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0" windowWidth="13980" windowHeight="12435" tabRatio="674" activeTab="0"/>
  </bookViews>
  <sheets>
    <sheet name="PAVEMENT CALCS" sheetId="1" r:id="rId1"/>
    <sheet name="BARRIER" sheetId="2" r:id="rId2"/>
    <sheet name="PAGE 15" sheetId="3" r:id="rId3"/>
  </sheets>
  <definedNames>
    <definedName name="_xlnm.Print_Area" localSheetId="1">'BARRIER'!$B$688:$AU$753</definedName>
    <definedName name="_xlnm.Print_Area" localSheetId="2">'PAGE 15'!$B$985:$AK$1050</definedName>
    <definedName name="_xlnm.Print_Area" localSheetId="0">'PAVEMENT CALCS'!$B$3:$AG$68,'PAVEMENT CALCS'!$B$76:$AG$141,'PAVEMENT CALCS'!$B$151:$AG$216,'PAVEMENT CALCS'!$B$226:$AG$291,'PAVEMENT CALCS'!$B$304:$AG$369,'PAVEMENT CALCS'!$B$381:$AG$446,'PAVEMENT CALCS'!$B$458:$AG$523,'PAVEMENT CALCS'!$B$535:$AG$600,'PAVEMENT CALCS'!$B$611:$AG$676,'PAVEMENT CALCS'!$B$836:$AG$901,'PAVEMENT CALCS'!$B$910:$AG$975,'PAVEMENT CALCS'!$B$1060:$AG$1125,'PAVEMENT CALCS'!$B$1135:$AG$1200,'PAVEMENT CALCS'!$B$1284:$AG$1349</definedName>
  </definedNames>
  <calcPr fullCalcOnLoad="1"/>
</workbook>
</file>

<file path=xl/sharedStrings.xml><?xml version="1.0" encoding="utf-8"?>
<sst xmlns="http://schemas.openxmlformats.org/spreadsheetml/2006/main" count="1552" uniqueCount="159">
  <si>
    <t>STATION</t>
  </si>
  <si>
    <t>FROM</t>
  </si>
  <si>
    <t>TO</t>
  </si>
  <si>
    <t>SIDE</t>
  </si>
  <si>
    <t>LENGTH (L)</t>
  </si>
  <si>
    <t>AVERAGE WIDTH (W)</t>
  </si>
  <si>
    <t>SURFACE AREA (A=LxW)</t>
  </si>
  <si>
    <t>REFERENCE CELLS FOR FORMULA CONSTANTS (DO NOT PRINT THIS ROW)</t>
  </si>
  <si>
    <t>PAVEMENT CALCULATIONS</t>
  </si>
  <si>
    <t>TABLE 1</t>
  </si>
  <si>
    <t>TABLE 2</t>
  </si>
  <si>
    <t>TABLE 3</t>
  </si>
  <si>
    <t>TABLE 4</t>
  </si>
  <si>
    <t>CADD</t>
  </si>
  <si>
    <t>FT</t>
  </si>
  <si>
    <t>TOTALS CARRIED TO PAVEMENT SUBSUMMARY</t>
  </si>
  <si>
    <t>RT</t>
  </si>
  <si>
    <t>LT</t>
  </si>
  <si>
    <t>TABLE 5</t>
  </si>
  <si>
    <t>AREA FOR 4" EXTENSION</t>
  </si>
  <si>
    <t>CY</t>
  </si>
  <si>
    <t>SF</t>
  </si>
  <si>
    <t>GAL</t>
  </si>
  <si>
    <t>FULL DEPTH LANES</t>
  </si>
  <si>
    <t>FULL DEPTH SHOULDER</t>
  </si>
  <si>
    <t>FULL DEPTH SHOULDER CONTD.</t>
  </si>
  <si>
    <t>CADD AREA</t>
  </si>
  <si>
    <t>1 3/4" ASPHALT CONCRETE 
INTERMEDIATE COURSE, 
19 MM, TYPE A (446)</t>
  </si>
  <si>
    <t>TABLE 8</t>
  </si>
  <si>
    <t>TABLE 9</t>
  </si>
  <si>
    <t>TABLE 10</t>
  </si>
  <si>
    <t>TABLE 11</t>
  </si>
  <si>
    <t>TABLE 12</t>
  </si>
  <si>
    <t>TABLE 13</t>
  </si>
  <si>
    <t>LT/RT</t>
  </si>
  <si>
    <t>TABLE6</t>
  </si>
  <si>
    <t>EASTBOUND I.R. 70</t>
  </si>
  <si>
    <t>10.5" ASPHALT CONCRETE BASE, 
PG64-22</t>
  </si>
  <si>
    <t>CALCULATED                            
CJC</t>
  </si>
  <si>
    <t>FRA - 70 / 71 - 12.68 / 14.86</t>
  </si>
  <si>
    <t>SY</t>
  </si>
  <si>
    <t>NORTHBOUND I.R. 71</t>
  </si>
  <si>
    <t>RAMP C3</t>
  </si>
  <si>
    <t>CURVE CORRECTION RATIO</t>
  </si>
  <si>
    <t>AREA FOR 28" EXTENSION</t>
  </si>
  <si>
    <t>CURB CURVE CORRECTION RATIO</t>
  </si>
  <si>
    <t>AREA FOR 6" EXTENSION</t>
  </si>
  <si>
    <t>CURB, TYPE 4-C</t>
  </si>
  <si>
    <t>FULL DEPTH SHOULDER CONT'D</t>
  </si>
  <si>
    <t>RESURFACING</t>
  </si>
  <si>
    <t>RAMP A5</t>
  </si>
  <si>
    <t>RAMP C5</t>
  </si>
  <si>
    <t>RAMP C6</t>
  </si>
  <si>
    <t>LIVINGSTON AVE</t>
  </si>
  <si>
    <t>BIKE PATH</t>
  </si>
  <si>
    <t>FULL DEPTH</t>
  </si>
  <si>
    <t>1 3/4" ASPHALT CONCRETE 
INTERMEDIATE COURSE, 
TYPE 2, (448)</t>
  </si>
  <si>
    <t>FRONT ST</t>
  </si>
  <si>
    <t>CHECKED                       
CWL</t>
  </si>
  <si>
    <t>01/IMS/PV</t>
  </si>
  <si>
    <t>SPLITS</t>
  </si>
  <si>
    <t>AREA FOR 20" EXTENSION</t>
  </si>
  <si>
    <t>SPLITS EB I-70</t>
  </si>
  <si>
    <t>SPLITS NB I-71</t>
  </si>
  <si>
    <t>CURB, TYPE 6</t>
  </si>
  <si>
    <t>FULTON ST</t>
  </si>
  <si>
    <t>MOUND ST</t>
  </si>
  <si>
    <t>AREA FOR 12" EXTENSION</t>
  </si>
  <si>
    <t>SOUDER AVE</t>
  </si>
  <si>
    <t>PAVING UNDER GUARDRAIL</t>
  </si>
  <si>
    <t>4" CONCRETE TRAFFIC ISLAND</t>
  </si>
  <si>
    <t>CONCRETE TRAFFIC ISLAND</t>
  </si>
  <si>
    <t>LINEAR GRADING, AS PER PLAN</t>
  </si>
  <si>
    <t>AREA FOR 22" EXTENSION</t>
  </si>
  <si>
    <t>GORE AREAS</t>
  </si>
  <si>
    <t>NB S.R. 315/ NB I.R. 71</t>
  </si>
  <si>
    <t>EB I.R. 70/ RAMP C5</t>
  </si>
  <si>
    <t>NB I.R. 71/ RAMP A5</t>
  </si>
  <si>
    <t>RAMP C5/ RAMP C6</t>
  </si>
  <si>
    <t>RAMP C6/ EB I.R. 70</t>
  </si>
  <si>
    <t>RAMP C5/ RAMP C3</t>
  </si>
  <si>
    <t>CROSSWALK TREATMENT</t>
  </si>
  <si>
    <t>AREA FOR 36" EXTENSION</t>
  </si>
  <si>
    <t xml:space="preserve">BARRIER </t>
  </si>
  <si>
    <t>CONCRETE BARRIER, SINGLE SLOPE, TYPE B</t>
  </si>
  <si>
    <t>CONCRETE BARRIER, SINGLE SLOPE, TYPE C1</t>
  </si>
  <si>
    <t>CONCRETE BARRIER, SINGLE SLOPE, TYPE D</t>
  </si>
  <si>
    <t xml:space="preserve">MOMENT SLAB DEDUCTIONS </t>
  </si>
  <si>
    <t>TABLE 7</t>
  </si>
  <si>
    <t>TABLE 14</t>
  </si>
  <si>
    <t>8" ASPHALT CONCRETE BASE PG64-22</t>
  </si>
  <si>
    <t>WESTBOUND I.R. 70</t>
  </si>
  <si>
    <t>02/NHS/PV</t>
  </si>
  <si>
    <t>NON-TRACKING TACK COAT
(0.055 GAL/SY - 1 APPLICATION)
(0.085 GAL/SY - 1 APPLICATION)</t>
  </si>
  <si>
    <t>NON-TRACKING TACK COAT
(0.055 GAL/SY - 1 APPLICATION)</t>
  </si>
  <si>
    <t>NON-TRACKING TACK COAT
(0.055 GAL/SY - 1 OR 2 APPLICATION) OR
(0.085 GAL/SY - 1 APPLICATION)</t>
  </si>
  <si>
    <t>CURB, MISC.: COLUMBUS 18" CONCRETE CURB</t>
  </si>
  <si>
    <t>ANTI-SEGREGATION EQUIPMENT</t>
  </si>
  <si>
    <t>TACK COAT, 702.13
(0.070 GAL/SY - 1 APPLICATION)</t>
  </si>
  <si>
    <t>WEST MOUND ST</t>
  </si>
  <si>
    <t>BIKE PATH DETOUR</t>
  </si>
  <si>
    <t>APPROACH SLABS</t>
  </si>
  <si>
    <t>CONCRETE BARRIER, END ANCHORAGE, REINFORCED, TYPE D</t>
  </si>
  <si>
    <t>EACH</t>
  </si>
  <si>
    <t>CONCRETE BARRIER, END ANCHORAGE, REINFORCED, TYPE B</t>
  </si>
  <si>
    <t>BARRIER MISC.: CONCRETE BARRIER, TYPE B50</t>
  </si>
  <si>
    <t>BARRIER TRANSTION</t>
  </si>
  <si>
    <t>CONCRETE BARRIER, SINGLE SLOPE, TYPE D, AS PER PLAN</t>
  </si>
  <si>
    <t>DEDUCTIONS</t>
  </si>
  <si>
    <t>OVERHEAD SIGN FOUNDATIONS</t>
  </si>
  <si>
    <t>MEDIAN INLETS</t>
  </si>
  <si>
    <t>END ANCHORAGES</t>
  </si>
  <si>
    <t>LIGHT TOWER FOUNDATIONS/PULLBOX</t>
  </si>
  <si>
    <t>END SECTIONS</t>
  </si>
  <si>
    <t>TRANSITION</t>
  </si>
  <si>
    <t>CONCRETE BARRIER, END ANCHORAGE, REINFORCED, TYPE C1, AS PER PLAN</t>
  </si>
  <si>
    <t>6" EDGE EXTENSION</t>
  </si>
  <si>
    <t>RUMBLE STRIPS</t>
  </si>
  <si>
    <t>RUMBLE STRIPS, (ASPHALT CONCRETE)</t>
  </si>
  <si>
    <t>MILE</t>
  </si>
  <si>
    <t>5" AGGREGATE BASE</t>
  </si>
  <si>
    <t>6" AGGREGATE BASE</t>
  </si>
  <si>
    <t>NON-TRACKING TACK COAT
(0.055 GAL/SY - 3 APPLICATION)</t>
  </si>
  <si>
    <t>09/MPO/OT</t>
  </si>
  <si>
    <t>10/IMS/ OT/COL</t>
  </si>
  <si>
    <t>11/ENH/ OT/COL</t>
  </si>
  <si>
    <t>WALKWAY MISC.: 6X6 CONCRETE PAVERS</t>
  </si>
  <si>
    <t>RIP RAP, WITH GROUT, AS PER PLAN</t>
  </si>
  <si>
    <t>WALKWAY, MISC.: BRICK PAVER CROSSWALK</t>
  </si>
  <si>
    <t>01/IMS/ PV</t>
  </si>
  <si>
    <t>02/NHS/ PV</t>
  </si>
  <si>
    <t>10/IMS/OT/ COL</t>
  </si>
  <si>
    <t>PAVEMENT PLANING, ASPHALT CONCRETE,  
5" AVERAGE</t>
  </si>
  <si>
    <t>PAVEMENT PLANING, ASPHALT CONCRETE,  
1.25" AVERAGE</t>
  </si>
  <si>
    <t>2' ASPHALT CONCRETE INTERMEDIATE COURSE, TYPE 1, (448), (UNDER GUARDRAIL), AS PER PLAN</t>
  </si>
  <si>
    <t>PRESSURE RELIEF JOINT, TYPE A</t>
  </si>
  <si>
    <t>SPECIAL</t>
  </si>
  <si>
    <t>2' BIKE LANE MORPC ADJUSTMENT</t>
  </si>
  <si>
    <t>1 1/2" ASPHALT CONCRETE 
SURFACE COURSE, 12.5 MM, 
TYPE A (447), AS PER PLAN</t>
  </si>
  <si>
    <t>VARIABLE DEPTH AGGREGATE BASE (9" AVERAGE)</t>
  </si>
  <si>
    <t xml:space="preserve">6" AGGREGATE BASE </t>
  </si>
  <si>
    <t>CONCRETE BARRIER, END ANCHORAGE, REINFORCED, TYPE D, AS PER PLAN</t>
  </si>
  <si>
    <t>9" CONCRETE BASE, CLASS QC 1P</t>
  </si>
  <si>
    <t>12" NON-REINFORCED CONCRETE PAVEMENT, CLASS QC 1P</t>
  </si>
  <si>
    <t>AREA FOR 18" EXTENSION</t>
  </si>
  <si>
    <t>CURB, MISC.: COMBINATION CURB AND GUTTER, TYPE SPECIAL</t>
  </si>
  <si>
    <t>4" NON-REINFORCED CONCRETE PAVEMENT, CLASS QC 1P</t>
  </si>
  <si>
    <t>STA</t>
  </si>
  <si>
    <t>1 1/4" ASPHALT CONCRETE 
SURFACE COURSE, TYPE 1, (448), AS PER PLAN, PG64-22</t>
  </si>
  <si>
    <t>1 1/2" ASPHALT CONCRETE 
SURFACE COURSE, 12.5 MM, 
TYPE A (446), AS PER PLAN, PG76-22M</t>
  </si>
  <si>
    <t>1 1/2" ASPHALT CONCRETE 
SURFACE COURSE, 12.5 MM, 
TYPE A (446),  AS PER PLAN, PG76-22M</t>
  </si>
  <si>
    <t>CURB, MISC.: COLUMBUS 18" GRANITE CURB</t>
  </si>
  <si>
    <t>4" AGGREGATE BASE</t>
  </si>
  <si>
    <t>6" CONCRETE BASE, CLASS QC 1P</t>
  </si>
  <si>
    <t>TABLE 15</t>
  </si>
  <si>
    <t>TABLE 16</t>
  </si>
  <si>
    <t>CONCRETE BARRIER, END SECTION, TYPE D</t>
  </si>
  <si>
    <t>CONCRETE BARRIER, END SECTION, TYPE D, AS PER PLAN "A"</t>
  </si>
  <si>
    <t>CONCRETE BARRIER, END SECTION, TYPE D, AS PER PLAN "B"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</si>
</sst>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+##.##"/>
    <numFmt numFmtId="165" formatCode="00######"/>
    <numFmt numFmtId="166" formatCode="0######"/>
    <numFmt numFmtId="167" formatCode="mmmm\ d\,\ yyyy"/>
    <numFmt numFmtId="168" formatCode="&quot;$&quot;#,##0.00"/>
    <numFmt numFmtId="169" formatCode="&quot;$&quot;#,##0.000"/>
    <numFmt numFmtId="170" formatCode="&quot;$&quot;#,##0.0"/>
    <numFmt numFmtId="171" formatCode="&quot;$&quot;#,##0"/>
    <numFmt numFmtId="172" formatCode="&quot;$&quot;#,##0.0000"/>
    <numFmt numFmtId="173" formatCode="0.0000"/>
    <numFmt numFmtId="174" formatCode="0.000"/>
    <numFmt numFmtId="175" formatCode="0.0"/>
    <numFmt numFmtId="176" formatCode="0.00000"/>
    <numFmt numFmtId="177" formatCode="0.000000"/>
    <numFmt numFmtId="178" formatCode="0.0000000"/>
    <numFmt numFmtId="179" formatCode="##\+##"/>
    <numFmt numFmtId="180" formatCode="0\+00.00"/>
    <numFmt numFmtId="181" formatCode="0.0000000000000"/>
    <numFmt numFmtId="182" formatCode="00\+00.00"/>
    <numFmt numFmtId="183" formatCode="##\+##.####"/>
    <numFmt numFmtId="184" formatCode="0\+00"/>
    <numFmt numFmtId="185" formatCode="000\+00"/>
    <numFmt numFmtId="186" formatCode="000\+00.00"/>
    <numFmt numFmtId="187" formatCode="0.000000000000"/>
    <numFmt numFmtId="188" formatCode="0.0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9]dddd\,\ mmmm\ d\,\ yyyy"/>
    <numFmt numFmtId="194" formatCode="[$-409]h:mm:ss\ AM/PM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sz val="12"/>
      <color indexed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theme="3" tint="0.39998000860214233"/>
      <name val="Arial"/>
      <family val="2"/>
    </font>
    <font>
      <sz val="10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NumberFormat="1" applyFont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5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80" fontId="3" fillId="0" borderId="11" xfId="0" applyNumberFormat="1" applyFont="1" applyBorder="1" applyAlignment="1">
      <alignment horizontal="center" vertical="center"/>
    </xf>
    <xf numFmtId="174" fontId="12" fillId="0" borderId="0" xfId="0" applyNumberFormat="1" applyFont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175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80" fontId="3" fillId="0" borderId="2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75" fontId="12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center" vertical="center"/>
    </xf>
    <xf numFmtId="180" fontId="2" fillId="0" borderId="21" xfId="0" applyNumberFormat="1" applyFont="1" applyFill="1" applyBorder="1" applyAlignment="1">
      <alignment vertical="center"/>
    </xf>
    <xf numFmtId="2" fontId="3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4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175" fontId="12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0" fontId="51" fillId="0" borderId="0" xfId="0" applyFont="1" applyFill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vertical="center"/>
    </xf>
    <xf numFmtId="2" fontId="3" fillId="0" borderId="21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174" fontId="12" fillId="0" borderId="0" xfId="0" applyNumberFormat="1" applyFont="1" applyFill="1" applyAlignment="1">
      <alignment vertical="center"/>
    </xf>
    <xf numFmtId="175" fontId="12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12" fillId="0" borderId="0" xfId="0" applyNumberFormat="1" applyFont="1" applyFill="1" applyAlignment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3" fillId="0" borderId="24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180" fontId="3" fillId="35" borderId="11" xfId="0" applyNumberFormat="1" applyFont="1" applyFill="1" applyBorder="1" applyAlignment="1">
      <alignment horizontal="center" vertical="center"/>
    </xf>
    <xf numFmtId="2" fontId="3" fillId="36" borderId="11" xfId="0" applyNumberFormat="1" applyFont="1" applyFill="1" applyBorder="1" applyAlignment="1">
      <alignment horizontal="center" vertical="center"/>
    </xf>
    <xf numFmtId="173" fontId="3" fillId="37" borderId="11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left" vertical="center"/>
    </xf>
    <xf numFmtId="180" fontId="2" fillId="0" borderId="10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horizontal="left" vertical="center"/>
    </xf>
    <xf numFmtId="186" fontId="3" fillId="0" borderId="20" xfId="0" applyNumberFormat="1" applyFont="1" applyFill="1" applyBorder="1" applyAlignment="1">
      <alignment horizontal="center" vertical="center"/>
    </xf>
    <xf numFmtId="186" fontId="3" fillId="0" borderId="11" xfId="0" applyNumberFormat="1" applyFont="1" applyFill="1" applyBorder="1" applyAlignment="1">
      <alignment horizontal="center" vertical="center"/>
    </xf>
    <xf numFmtId="173" fontId="3" fillId="0" borderId="24" xfId="0" applyNumberFormat="1" applyFont="1" applyFill="1" applyBorder="1" applyAlignment="1">
      <alignment horizontal="center" vertical="center"/>
    </xf>
    <xf numFmtId="180" fontId="3" fillId="35" borderId="2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/>
    </xf>
    <xf numFmtId="2" fontId="3" fillId="34" borderId="24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6" fontId="3" fillId="35" borderId="20" xfId="0" applyNumberFormat="1" applyFont="1" applyFill="1" applyBorder="1" applyAlignment="1">
      <alignment horizontal="center" vertical="center"/>
    </xf>
    <xf numFmtId="186" fontId="3" fillId="35" borderId="11" xfId="0" applyNumberFormat="1" applyFont="1" applyFill="1" applyBorder="1" applyAlignment="1">
      <alignment horizontal="center" vertical="center"/>
    </xf>
    <xf numFmtId="180" fontId="3" fillId="35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0" fontId="12" fillId="0" borderId="0" xfId="0" applyFont="1" applyFill="1" applyAlignment="1">
      <alignment horizontal="right" vertic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left" vertical="center"/>
    </xf>
    <xf numFmtId="0" fontId="52" fillId="0" borderId="3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50" fillId="0" borderId="37" xfId="0" applyFont="1" applyFill="1" applyBorder="1" applyAlignment="1">
      <alignment/>
    </xf>
    <xf numFmtId="2" fontId="3" fillId="0" borderId="20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52" fillId="0" borderId="33" xfId="0" applyFont="1" applyBorder="1" applyAlignment="1">
      <alignment vertical="center"/>
    </xf>
    <xf numFmtId="180" fontId="10" fillId="0" borderId="2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16" xfId="0" applyFont="1" applyFill="1" applyBorder="1" applyAlignment="1">
      <alignment vertical="center"/>
    </xf>
    <xf numFmtId="174" fontId="1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2" fillId="0" borderId="38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50" fillId="0" borderId="0" xfId="0" applyNumberFormat="1" applyFont="1" applyFill="1" applyAlignment="1">
      <alignment vertical="center"/>
    </xf>
    <xf numFmtId="0" fontId="52" fillId="0" borderId="0" xfId="0" applyFont="1" applyAlignment="1">
      <alignment/>
    </xf>
    <xf numFmtId="0" fontId="52" fillId="0" borderId="33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Border="1" applyAlignment="1">
      <alignment/>
    </xf>
    <xf numFmtId="2" fontId="12" fillId="0" borderId="0" xfId="0" applyNumberFormat="1" applyFont="1" applyAlignment="1">
      <alignment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75" fontId="3" fillId="0" borderId="11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8" xfId="0" applyFont="1" applyBorder="1" applyAlignment="1">
      <alignment/>
    </xf>
    <xf numFmtId="175" fontId="3" fillId="0" borderId="18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 vertical="center"/>
    </xf>
    <xf numFmtId="174" fontId="12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vertical="center"/>
    </xf>
    <xf numFmtId="0" fontId="3" fillId="0" borderId="41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29" xfId="0" applyFont="1" applyBorder="1" applyAlignment="1">
      <alignment wrapText="1"/>
    </xf>
    <xf numFmtId="175" fontId="3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175" fontId="2" fillId="0" borderId="41" xfId="0" applyNumberFormat="1" applyFont="1" applyBorder="1" applyAlignment="1">
      <alignment horizontal="center" vertical="center"/>
    </xf>
    <xf numFmtId="175" fontId="2" fillId="0" borderId="23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" fontId="0" fillId="0" borderId="23" xfId="0" applyNumberForma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0" fillId="0" borderId="2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textRotation="90" wrapText="1"/>
    </xf>
    <xf numFmtId="0" fontId="52" fillId="0" borderId="38" xfId="0" applyFont="1" applyFill="1" applyBorder="1" applyAlignment="1">
      <alignment horizontal="center" vertical="center"/>
    </xf>
    <xf numFmtId="180" fontId="10" fillId="0" borderId="18" xfId="0" applyNumberFormat="1" applyFont="1" applyFill="1" applyBorder="1" applyAlignment="1">
      <alignment horizontal="center" vertical="center"/>
    </xf>
    <xf numFmtId="180" fontId="10" fillId="0" borderId="22" xfId="0" applyNumberFormat="1" applyFont="1" applyFill="1" applyBorder="1" applyAlignment="1">
      <alignment horizontal="center" vertical="center"/>
    </xf>
    <xf numFmtId="180" fontId="10" fillId="0" borderId="21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3" fontId="13" fillId="0" borderId="30" xfId="42" applyFont="1" applyFill="1" applyBorder="1" applyAlignment="1">
      <alignment horizontal="center" vertical="center" textRotation="90"/>
    </xf>
    <xf numFmtId="43" fontId="13" fillId="0" borderId="45" xfId="42" applyFont="1" applyFill="1" applyBorder="1" applyAlignment="1">
      <alignment horizontal="center" vertical="center" textRotation="90"/>
    </xf>
    <xf numFmtId="43" fontId="13" fillId="0" borderId="17" xfId="42" applyFont="1" applyFill="1" applyBorder="1" applyAlignment="1">
      <alignment horizontal="center" vertical="center" textRotation="90"/>
    </xf>
    <xf numFmtId="43" fontId="13" fillId="0" borderId="43" xfId="42" applyFont="1" applyFill="1" applyBorder="1" applyAlignment="1">
      <alignment horizontal="center" vertical="center" textRotation="90"/>
    </xf>
    <xf numFmtId="43" fontId="13" fillId="0" borderId="0" xfId="42" applyFont="1" applyFill="1" applyBorder="1" applyAlignment="1">
      <alignment horizontal="center" vertical="center" textRotation="90"/>
    </xf>
    <xf numFmtId="43" fontId="13" fillId="0" borderId="33" xfId="42" applyFont="1" applyFill="1" applyBorder="1" applyAlignment="1">
      <alignment horizontal="center" vertical="center" textRotation="90"/>
    </xf>
    <xf numFmtId="43" fontId="13" fillId="0" borderId="46" xfId="42" applyFont="1" applyFill="1" applyBorder="1" applyAlignment="1">
      <alignment horizontal="center" vertical="center" textRotation="90"/>
    </xf>
    <xf numFmtId="0" fontId="6" fillId="0" borderId="26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43" fontId="13" fillId="0" borderId="32" xfId="42" applyFont="1" applyFill="1" applyBorder="1" applyAlignment="1">
      <alignment horizontal="center" vertical="center" textRotation="90"/>
    </xf>
    <xf numFmtId="0" fontId="5" fillId="0" borderId="41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75" fontId="2" fillId="0" borderId="41" xfId="0" applyNumberFormat="1" applyFont="1" applyFill="1" applyBorder="1" applyAlignment="1">
      <alignment horizontal="center" vertical="center"/>
    </xf>
    <xf numFmtId="175" fontId="2" fillId="0" borderId="23" xfId="0" applyNumberFormat="1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3" xfId="0" applyFill="1" applyBorder="1" applyAlignment="1">
      <alignment/>
    </xf>
    <xf numFmtId="0" fontId="9" fillId="0" borderId="19" xfId="0" applyFont="1" applyFill="1" applyBorder="1" applyAlignment="1">
      <alignment/>
    </xf>
    <xf numFmtId="0" fontId="0" fillId="0" borderId="44" xfId="0" applyFill="1" applyBorder="1" applyAlignment="1">
      <alignment/>
    </xf>
    <xf numFmtId="0" fontId="52" fillId="0" borderId="38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 textRotation="90"/>
    </xf>
    <xf numFmtId="175" fontId="2" fillId="0" borderId="30" xfId="0" applyNumberFormat="1" applyFont="1" applyBorder="1" applyAlignment="1">
      <alignment horizontal="center" vertical="center"/>
    </xf>
    <xf numFmtId="175" fontId="2" fillId="0" borderId="32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/>
    </xf>
    <xf numFmtId="180" fontId="3" fillId="0" borderId="21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left" vertical="center"/>
    </xf>
    <xf numFmtId="180" fontId="2" fillId="0" borderId="39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3" fontId="13" fillId="0" borderId="30" xfId="42" applyFont="1" applyBorder="1" applyAlignment="1">
      <alignment horizontal="center" vertical="center" textRotation="90"/>
    </xf>
    <xf numFmtId="43" fontId="13" fillId="0" borderId="45" xfId="42" applyFont="1" applyBorder="1" applyAlignment="1">
      <alignment horizontal="center" vertical="center" textRotation="90"/>
    </xf>
    <xf numFmtId="43" fontId="13" fillId="0" borderId="17" xfId="42" applyFont="1" applyBorder="1" applyAlignment="1">
      <alignment horizontal="center" vertical="center" textRotation="90"/>
    </xf>
    <xf numFmtId="43" fontId="13" fillId="0" borderId="43" xfId="42" applyFont="1" applyBorder="1" applyAlignment="1">
      <alignment horizontal="center" vertical="center" textRotation="90"/>
    </xf>
    <xf numFmtId="43" fontId="13" fillId="0" borderId="32" xfId="42" applyFont="1" applyBorder="1" applyAlignment="1">
      <alignment horizontal="center" vertical="center" textRotation="90"/>
    </xf>
    <xf numFmtId="43" fontId="13" fillId="0" borderId="46" xfId="42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textRotation="90"/>
    </xf>
    <xf numFmtId="0" fontId="13" fillId="0" borderId="45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 textRotation="90"/>
    </xf>
    <xf numFmtId="0" fontId="13" fillId="0" borderId="43" xfId="0" applyFont="1" applyBorder="1" applyAlignment="1">
      <alignment horizontal="center" vertical="center" textRotation="90"/>
    </xf>
    <xf numFmtId="0" fontId="2" fillId="0" borderId="48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1" fontId="2" fillId="0" borderId="4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3" fillId="0" borderId="4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13" fillId="0" borderId="31" xfId="42" applyFont="1" applyFill="1" applyBorder="1" applyAlignment="1">
      <alignment horizontal="center" vertical="center" textRotation="90"/>
    </xf>
    <xf numFmtId="2" fontId="3" fillId="34" borderId="24" xfId="0" applyNumberFormat="1" applyFont="1" applyFill="1" applyBorder="1" applyAlignment="1">
      <alignment horizontal="center" vertical="center" wrapText="1"/>
    </xf>
    <xf numFmtId="2" fontId="3" fillId="34" borderId="29" xfId="0" applyNumberFormat="1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horizontal="center" vertical="center" textRotation="90" wrapText="1"/>
    </xf>
    <xf numFmtId="0" fontId="5" fillId="0" borderId="46" xfId="0" applyFont="1" applyFill="1" applyBorder="1" applyAlignment="1">
      <alignment horizontal="center" vertical="center" textRotation="90" wrapText="1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0" fontId="13" fillId="0" borderId="32" xfId="0" applyFont="1" applyBorder="1" applyAlignment="1">
      <alignment horizontal="center" vertical="center" textRotation="90"/>
    </xf>
    <xf numFmtId="0" fontId="13" fillId="0" borderId="46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430905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973</xdr:row>
      <xdr:rowOff>152400</xdr:rowOff>
    </xdr:from>
    <xdr:ext cx="838200" cy="876300"/>
    <xdr:sp>
      <xdr:nvSpPr>
        <xdr:cNvPr id="2" name="Oval 8"/>
        <xdr:cNvSpPr>
          <a:spLocks noChangeAspect="1"/>
        </xdr:cNvSpPr>
      </xdr:nvSpPr>
      <xdr:spPr>
        <a:xfrm>
          <a:off x="34309050" y="2793968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214</xdr:row>
      <xdr:rowOff>152400</xdr:rowOff>
    </xdr:from>
    <xdr:ext cx="838200" cy="876300"/>
    <xdr:sp>
      <xdr:nvSpPr>
        <xdr:cNvPr id="3" name="Oval 7"/>
        <xdr:cNvSpPr>
          <a:spLocks noChangeAspect="1"/>
        </xdr:cNvSpPr>
      </xdr:nvSpPr>
      <xdr:spPr>
        <a:xfrm>
          <a:off x="34309050" y="619887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367</xdr:row>
      <xdr:rowOff>152400</xdr:rowOff>
    </xdr:from>
    <xdr:ext cx="838200" cy="885825"/>
    <xdr:sp>
      <xdr:nvSpPr>
        <xdr:cNvPr id="4" name="Oval 7"/>
        <xdr:cNvSpPr>
          <a:spLocks noChangeAspect="1"/>
        </xdr:cNvSpPr>
      </xdr:nvSpPr>
      <xdr:spPr>
        <a:xfrm>
          <a:off x="34309050" y="105727500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444</xdr:row>
      <xdr:rowOff>152400</xdr:rowOff>
    </xdr:from>
    <xdr:ext cx="838200" cy="885825"/>
    <xdr:sp>
      <xdr:nvSpPr>
        <xdr:cNvPr id="5" name="Oval 7"/>
        <xdr:cNvSpPr>
          <a:spLocks noChangeAspect="1"/>
        </xdr:cNvSpPr>
      </xdr:nvSpPr>
      <xdr:spPr>
        <a:xfrm>
          <a:off x="34309050" y="127454025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1048</xdr:row>
      <xdr:rowOff>152400</xdr:rowOff>
    </xdr:from>
    <xdr:ext cx="838200" cy="885825"/>
    <xdr:sp>
      <xdr:nvSpPr>
        <xdr:cNvPr id="6" name="Oval 8"/>
        <xdr:cNvSpPr>
          <a:spLocks noChangeAspect="1"/>
        </xdr:cNvSpPr>
      </xdr:nvSpPr>
      <xdr:spPr>
        <a:xfrm>
          <a:off x="34309050" y="301161450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899</xdr:row>
      <xdr:rowOff>152400</xdr:rowOff>
    </xdr:from>
    <xdr:ext cx="838200" cy="885825"/>
    <xdr:sp>
      <xdr:nvSpPr>
        <xdr:cNvPr id="7" name="Oval 8"/>
        <xdr:cNvSpPr>
          <a:spLocks noChangeAspect="1"/>
        </xdr:cNvSpPr>
      </xdr:nvSpPr>
      <xdr:spPr>
        <a:xfrm>
          <a:off x="34309050" y="257832225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598</xdr:row>
      <xdr:rowOff>152400</xdr:rowOff>
    </xdr:from>
    <xdr:ext cx="838200" cy="885825"/>
    <xdr:sp>
      <xdr:nvSpPr>
        <xdr:cNvPr id="8" name="Oval 8"/>
        <xdr:cNvSpPr>
          <a:spLocks noChangeAspect="1"/>
        </xdr:cNvSpPr>
      </xdr:nvSpPr>
      <xdr:spPr>
        <a:xfrm>
          <a:off x="34309050" y="170935650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674</xdr:row>
      <xdr:rowOff>152400</xdr:rowOff>
    </xdr:from>
    <xdr:ext cx="838200" cy="885825"/>
    <xdr:sp>
      <xdr:nvSpPr>
        <xdr:cNvPr id="9" name="Oval 8"/>
        <xdr:cNvSpPr>
          <a:spLocks noChangeAspect="1"/>
        </xdr:cNvSpPr>
      </xdr:nvSpPr>
      <xdr:spPr>
        <a:xfrm>
          <a:off x="34309050" y="192795525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1123</xdr:row>
      <xdr:rowOff>152400</xdr:rowOff>
    </xdr:from>
    <xdr:ext cx="838200" cy="885825"/>
    <xdr:sp>
      <xdr:nvSpPr>
        <xdr:cNvPr id="10" name="Oval 8"/>
        <xdr:cNvSpPr>
          <a:spLocks noChangeAspect="1"/>
        </xdr:cNvSpPr>
      </xdr:nvSpPr>
      <xdr:spPr>
        <a:xfrm>
          <a:off x="34309050" y="322926075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751</xdr:row>
      <xdr:rowOff>152400</xdr:rowOff>
    </xdr:from>
    <xdr:ext cx="838200" cy="885825"/>
    <xdr:sp>
      <xdr:nvSpPr>
        <xdr:cNvPr id="11" name="Oval 8"/>
        <xdr:cNvSpPr>
          <a:spLocks noChangeAspect="1"/>
        </xdr:cNvSpPr>
      </xdr:nvSpPr>
      <xdr:spPr>
        <a:xfrm>
          <a:off x="34309050" y="214817325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1347</xdr:row>
      <xdr:rowOff>152400</xdr:rowOff>
    </xdr:from>
    <xdr:ext cx="838200" cy="895350"/>
    <xdr:sp>
      <xdr:nvSpPr>
        <xdr:cNvPr id="12" name="Oval 8"/>
        <xdr:cNvSpPr>
          <a:spLocks noChangeAspect="1"/>
        </xdr:cNvSpPr>
      </xdr:nvSpPr>
      <xdr:spPr>
        <a:xfrm>
          <a:off x="34309050" y="387810375"/>
          <a:ext cx="838200" cy="89535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1274</xdr:row>
      <xdr:rowOff>152400</xdr:rowOff>
    </xdr:from>
    <xdr:ext cx="838200" cy="923925"/>
    <xdr:sp>
      <xdr:nvSpPr>
        <xdr:cNvPr id="13" name="Oval 8"/>
        <xdr:cNvSpPr>
          <a:spLocks noChangeAspect="1"/>
        </xdr:cNvSpPr>
      </xdr:nvSpPr>
      <xdr:spPr>
        <a:xfrm>
          <a:off x="34309050" y="366464850"/>
          <a:ext cx="838200" cy="9239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1198</xdr:row>
      <xdr:rowOff>152400</xdr:rowOff>
    </xdr:from>
    <xdr:ext cx="838200" cy="885825"/>
    <xdr:sp>
      <xdr:nvSpPr>
        <xdr:cNvPr id="14" name="Oval 8"/>
        <xdr:cNvSpPr>
          <a:spLocks noChangeAspect="1"/>
        </xdr:cNvSpPr>
      </xdr:nvSpPr>
      <xdr:spPr>
        <a:xfrm>
          <a:off x="34309050" y="344595450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139</xdr:row>
      <xdr:rowOff>152400</xdr:rowOff>
    </xdr:from>
    <xdr:ext cx="838200" cy="876300"/>
    <xdr:sp>
      <xdr:nvSpPr>
        <xdr:cNvPr id="15" name="Oval 7"/>
        <xdr:cNvSpPr>
          <a:spLocks noChangeAspect="1"/>
        </xdr:cNvSpPr>
      </xdr:nvSpPr>
      <xdr:spPr>
        <a:xfrm>
          <a:off x="34309050" y="403479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289</xdr:row>
      <xdr:rowOff>152400</xdr:rowOff>
    </xdr:from>
    <xdr:ext cx="838200" cy="876300"/>
    <xdr:sp>
      <xdr:nvSpPr>
        <xdr:cNvPr id="16" name="Oval 7"/>
        <xdr:cNvSpPr>
          <a:spLocks noChangeAspect="1"/>
        </xdr:cNvSpPr>
      </xdr:nvSpPr>
      <xdr:spPr>
        <a:xfrm>
          <a:off x="34309050" y="836295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521</xdr:row>
      <xdr:rowOff>152400</xdr:rowOff>
    </xdr:from>
    <xdr:ext cx="838200" cy="885825"/>
    <xdr:sp>
      <xdr:nvSpPr>
        <xdr:cNvPr id="17" name="Oval 7"/>
        <xdr:cNvSpPr>
          <a:spLocks noChangeAspect="1"/>
        </xdr:cNvSpPr>
      </xdr:nvSpPr>
      <xdr:spPr>
        <a:xfrm>
          <a:off x="34309050" y="149180550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751</xdr:row>
      <xdr:rowOff>152400</xdr:rowOff>
    </xdr:from>
    <xdr:ext cx="838200" cy="876300"/>
    <xdr:sp>
      <xdr:nvSpPr>
        <xdr:cNvPr id="18" name="Oval 21"/>
        <xdr:cNvSpPr>
          <a:spLocks noChangeAspect="1"/>
        </xdr:cNvSpPr>
      </xdr:nvSpPr>
      <xdr:spPr>
        <a:xfrm>
          <a:off x="34309050" y="2148173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214</xdr:row>
      <xdr:rowOff>152400</xdr:rowOff>
    </xdr:from>
    <xdr:ext cx="838200" cy="876300"/>
    <xdr:sp>
      <xdr:nvSpPr>
        <xdr:cNvPr id="19" name="Oval 7"/>
        <xdr:cNvSpPr>
          <a:spLocks noChangeAspect="1"/>
        </xdr:cNvSpPr>
      </xdr:nvSpPr>
      <xdr:spPr>
        <a:xfrm>
          <a:off x="34309050" y="619887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289</xdr:row>
      <xdr:rowOff>152400</xdr:rowOff>
    </xdr:from>
    <xdr:ext cx="838200" cy="876300"/>
    <xdr:sp>
      <xdr:nvSpPr>
        <xdr:cNvPr id="20" name="Oval 7"/>
        <xdr:cNvSpPr>
          <a:spLocks noChangeAspect="1"/>
        </xdr:cNvSpPr>
      </xdr:nvSpPr>
      <xdr:spPr>
        <a:xfrm>
          <a:off x="34309050" y="836295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367</xdr:row>
      <xdr:rowOff>152400</xdr:rowOff>
    </xdr:from>
    <xdr:ext cx="838200" cy="876300"/>
    <xdr:sp>
      <xdr:nvSpPr>
        <xdr:cNvPr id="21" name="Oval 7"/>
        <xdr:cNvSpPr>
          <a:spLocks noChangeAspect="1"/>
        </xdr:cNvSpPr>
      </xdr:nvSpPr>
      <xdr:spPr>
        <a:xfrm>
          <a:off x="34309050" y="1057275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444</xdr:row>
      <xdr:rowOff>152400</xdr:rowOff>
    </xdr:from>
    <xdr:ext cx="838200" cy="876300"/>
    <xdr:sp>
      <xdr:nvSpPr>
        <xdr:cNvPr id="22" name="Oval 7"/>
        <xdr:cNvSpPr>
          <a:spLocks noChangeAspect="1"/>
        </xdr:cNvSpPr>
      </xdr:nvSpPr>
      <xdr:spPr>
        <a:xfrm>
          <a:off x="34309050" y="1274540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521</xdr:row>
      <xdr:rowOff>152400</xdr:rowOff>
    </xdr:from>
    <xdr:ext cx="838200" cy="876300"/>
    <xdr:sp>
      <xdr:nvSpPr>
        <xdr:cNvPr id="23" name="Oval 7"/>
        <xdr:cNvSpPr>
          <a:spLocks noChangeAspect="1"/>
        </xdr:cNvSpPr>
      </xdr:nvSpPr>
      <xdr:spPr>
        <a:xfrm>
          <a:off x="34309050" y="14918055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598</xdr:row>
      <xdr:rowOff>152400</xdr:rowOff>
    </xdr:from>
    <xdr:ext cx="838200" cy="876300"/>
    <xdr:sp>
      <xdr:nvSpPr>
        <xdr:cNvPr id="24" name="Oval 7"/>
        <xdr:cNvSpPr>
          <a:spLocks noChangeAspect="1"/>
        </xdr:cNvSpPr>
      </xdr:nvSpPr>
      <xdr:spPr>
        <a:xfrm>
          <a:off x="34309050" y="17093565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674</xdr:row>
      <xdr:rowOff>152400</xdr:rowOff>
    </xdr:from>
    <xdr:ext cx="838200" cy="876300"/>
    <xdr:sp>
      <xdr:nvSpPr>
        <xdr:cNvPr id="25" name="Oval 7"/>
        <xdr:cNvSpPr>
          <a:spLocks noChangeAspect="1"/>
        </xdr:cNvSpPr>
      </xdr:nvSpPr>
      <xdr:spPr>
        <a:xfrm>
          <a:off x="34309050" y="192795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751</xdr:row>
      <xdr:rowOff>152400</xdr:rowOff>
    </xdr:from>
    <xdr:ext cx="838200" cy="876300"/>
    <xdr:sp>
      <xdr:nvSpPr>
        <xdr:cNvPr id="26" name="Oval 7"/>
        <xdr:cNvSpPr>
          <a:spLocks noChangeAspect="1"/>
        </xdr:cNvSpPr>
      </xdr:nvSpPr>
      <xdr:spPr>
        <a:xfrm>
          <a:off x="34309050" y="2148173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899</xdr:row>
      <xdr:rowOff>152400</xdr:rowOff>
    </xdr:from>
    <xdr:ext cx="838200" cy="876300"/>
    <xdr:sp>
      <xdr:nvSpPr>
        <xdr:cNvPr id="27" name="Oval 7"/>
        <xdr:cNvSpPr>
          <a:spLocks noChangeAspect="1"/>
        </xdr:cNvSpPr>
      </xdr:nvSpPr>
      <xdr:spPr>
        <a:xfrm>
          <a:off x="34309050" y="2578322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973</xdr:row>
      <xdr:rowOff>152400</xdr:rowOff>
    </xdr:from>
    <xdr:ext cx="838200" cy="876300"/>
    <xdr:sp>
      <xdr:nvSpPr>
        <xdr:cNvPr id="28" name="Oval 7"/>
        <xdr:cNvSpPr>
          <a:spLocks noChangeAspect="1"/>
        </xdr:cNvSpPr>
      </xdr:nvSpPr>
      <xdr:spPr>
        <a:xfrm>
          <a:off x="34309050" y="2793968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1048</xdr:row>
      <xdr:rowOff>152400</xdr:rowOff>
    </xdr:from>
    <xdr:ext cx="838200" cy="876300"/>
    <xdr:sp>
      <xdr:nvSpPr>
        <xdr:cNvPr id="29" name="Oval 7"/>
        <xdr:cNvSpPr>
          <a:spLocks noChangeAspect="1"/>
        </xdr:cNvSpPr>
      </xdr:nvSpPr>
      <xdr:spPr>
        <a:xfrm>
          <a:off x="34309050" y="30116145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1123</xdr:row>
      <xdr:rowOff>152400</xdr:rowOff>
    </xdr:from>
    <xdr:ext cx="838200" cy="876300"/>
    <xdr:sp>
      <xdr:nvSpPr>
        <xdr:cNvPr id="30" name="Oval 7"/>
        <xdr:cNvSpPr>
          <a:spLocks noChangeAspect="1"/>
        </xdr:cNvSpPr>
      </xdr:nvSpPr>
      <xdr:spPr>
        <a:xfrm>
          <a:off x="34309050" y="32292607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1198</xdr:row>
      <xdr:rowOff>152400</xdr:rowOff>
    </xdr:from>
    <xdr:ext cx="838200" cy="876300"/>
    <xdr:sp>
      <xdr:nvSpPr>
        <xdr:cNvPr id="31" name="Oval 7"/>
        <xdr:cNvSpPr>
          <a:spLocks noChangeAspect="1"/>
        </xdr:cNvSpPr>
      </xdr:nvSpPr>
      <xdr:spPr>
        <a:xfrm>
          <a:off x="34309050" y="34459545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1347</xdr:row>
      <xdr:rowOff>152400</xdr:rowOff>
    </xdr:from>
    <xdr:ext cx="838200" cy="923925"/>
    <xdr:sp>
      <xdr:nvSpPr>
        <xdr:cNvPr id="32" name="Oval 8"/>
        <xdr:cNvSpPr>
          <a:spLocks noChangeAspect="1"/>
        </xdr:cNvSpPr>
      </xdr:nvSpPr>
      <xdr:spPr>
        <a:xfrm>
          <a:off x="34309050" y="387810375"/>
          <a:ext cx="838200" cy="9239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497580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214</xdr:row>
      <xdr:rowOff>152400</xdr:rowOff>
    </xdr:from>
    <xdr:ext cx="838200" cy="876300"/>
    <xdr:sp>
      <xdr:nvSpPr>
        <xdr:cNvPr id="2" name="Oval 7"/>
        <xdr:cNvSpPr>
          <a:spLocks noChangeAspect="1"/>
        </xdr:cNvSpPr>
      </xdr:nvSpPr>
      <xdr:spPr>
        <a:xfrm>
          <a:off x="34975800" y="619887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367</xdr:row>
      <xdr:rowOff>152400</xdr:rowOff>
    </xdr:from>
    <xdr:ext cx="838200" cy="885825"/>
    <xdr:sp>
      <xdr:nvSpPr>
        <xdr:cNvPr id="3" name="Oval 7"/>
        <xdr:cNvSpPr>
          <a:spLocks noChangeAspect="1"/>
        </xdr:cNvSpPr>
      </xdr:nvSpPr>
      <xdr:spPr>
        <a:xfrm>
          <a:off x="34975800" y="105727500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444</xdr:row>
      <xdr:rowOff>152400</xdr:rowOff>
    </xdr:from>
    <xdr:ext cx="838200" cy="885825"/>
    <xdr:sp>
      <xdr:nvSpPr>
        <xdr:cNvPr id="4" name="Oval 7"/>
        <xdr:cNvSpPr>
          <a:spLocks noChangeAspect="1"/>
        </xdr:cNvSpPr>
      </xdr:nvSpPr>
      <xdr:spPr>
        <a:xfrm>
          <a:off x="34975800" y="127454025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598</xdr:row>
      <xdr:rowOff>152400</xdr:rowOff>
    </xdr:from>
    <xdr:ext cx="838200" cy="885825"/>
    <xdr:sp>
      <xdr:nvSpPr>
        <xdr:cNvPr id="5" name="Oval 8"/>
        <xdr:cNvSpPr>
          <a:spLocks noChangeAspect="1"/>
        </xdr:cNvSpPr>
      </xdr:nvSpPr>
      <xdr:spPr>
        <a:xfrm>
          <a:off x="34975800" y="170935650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674</xdr:row>
      <xdr:rowOff>152400</xdr:rowOff>
    </xdr:from>
    <xdr:ext cx="838200" cy="885825"/>
    <xdr:sp>
      <xdr:nvSpPr>
        <xdr:cNvPr id="6" name="Oval 8"/>
        <xdr:cNvSpPr>
          <a:spLocks noChangeAspect="1"/>
        </xdr:cNvSpPr>
      </xdr:nvSpPr>
      <xdr:spPr>
        <a:xfrm>
          <a:off x="34975800" y="192795525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751</xdr:row>
      <xdr:rowOff>152400</xdr:rowOff>
    </xdr:from>
    <xdr:ext cx="838200" cy="885825"/>
    <xdr:sp>
      <xdr:nvSpPr>
        <xdr:cNvPr id="7" name="Oval 8"/>
        <xdr:cNvSpPr>
          <a:spLocks noChangeAspect="1"/>
        </xdr:cNvSpPr>
      </xdr:nvSpPr>
      <xdr:spPr>
        <a:xfrm>
          <a:off x="34975800" y="214817325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139</xdr:row>
      <xdr:rowOff>152400</xdr:rowOff>
    </xdr:from>
    <xdr:ext cx="838200" cy="876300"/>
    <xdr:sp>
      <xdr:nvSpPr>
        <xdr:cNvPr id="8" name="Oval 7"/>
        <xdr:cNvSpPr>
          <a:spLocks noChangeAspect="1"/>
        </xdr:cNvSpPr>
      </xdr:nvSpPr>
      <xdr:spPr>
        <a:xfrm>
          <a:off x="34975800" y="403479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289</xdr:row>
      <xdr:rowOff>152400</xdr:rowOff>
    </xdr:from>
    <xdr:ext cx="838200" cy="876300"/>
    <xdr:sp>
      <xdr:nvSpPr>
        <xdr:cNvPr id="9" name="Oval 7"/>
        <xdr:cNvSpPr>
          <a:spLocks noChangeAspect="1"/>
        </xdr:cNvSpPr>
      </xdr:nvSpPr>
      <xdr:spPr>
        <a:xfrm>
          <a:off x="34975800" y="836295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521</xdr:row>
      <xdr:rowOff>152400</xdr:rowOff>
    </xdr:from>
    <xdr:ext cx="838200" cy="885825"/>
    <xdr:sp>
      <xdr:nvSpPr>
        <xdr:cNvPr id="10" name="Oval 7"/>
        <xdr:cNvSpPr>
          <a:spLocks noChangeAspect="1"/>
        </xdr:cNvSpPr>
      </xdr:nvSpPr>
      <xdr:spPr>
        <a:xfrm>
          <a:off x="34975800" y="149180550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751</xdr:row>
      <xdr:rowOff>152400</xdr:rowOff>
    </xdr:from>
    <xdr:ext cx="838200" cy="876300"/>
    <xdr:sp>
      <xdr:nvSpPr>
        <xdr:cNvPr id="11" name="Oval 21"/>
        <xdr:cNvSpPr>
          <a:spLocks noChangeAspect="1"/>
        </xdr:cNvSpPr>
      </xdr:nvSpPr>
      <xdr:spPr>
        <a:xfrm>
          <a:off x="34975800" y="2148173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214</xdr:row>
      <xdr:rowOff>152400</xdr:rowOff>
    </xdr:from>
    <xdr:ext cx="838200" cy="876300"/>
    <xdr:sp>
      <xdr:nvSpPr>
        <xdr:cNvPr id="12" name="Oval 7"/>
        <xdr:cNvSpPr>
          <a:spLocks noChangeAspect="1"/>
        </xdr:cNvSpPr>
      </xdr:nvSpPr>
      <xdr:spPr>
        <a:xfrm>
          <a:off x="34975800" y="619887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289</xdr:row>
      <xdr:rowOff>152400</xdr:rowOff>
    </xdr:from>
    <xdr:ext cx="838200" cy="876300"/>
    <xdr:sp>
      <xdr:nvSpPr>
        <xdr:cNvPr id="13" name="Oval 7"/>
        <xdr:cNvSpPr>
          <a:spLocks noChangeAspect="1"/>
        </xdr:cNvSpPr>
      </xdr:nvSpPr>
      <xdr:spPr>
        <a:xfrm>
          <a:off x="34975800" y="836295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367</xdr:row>
      <xdr:rowOff>152400</xdr:rowOff>
    </xdr:from>
    <xdr:ext cx="838200" cy="876300"/>
    <xdr:sp>
      <xdr:nvSpPr>
        <xdr:cNvPr id="14" name="Oval 7"/>
        <xdr:cNvSpPr>
          <a:spLocks noChangeAspect="1"/>
        </xdr:cNvSpPr>
      </xdr:nvSpPr>
      <xdr:spPr>
        <a:xfrm>
          <a:off x="34975800" y="1057275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444</xdr:row>
      <xdr:rowOff>152400</xdr:rowOff>
    </xdr:from>
    <xdr:ext cx="838200" cy="876300"/>
    <xdr:sp>
      <xdr:nvSpPr>
        <xdr:cNvPr id="15" name="Oval 7"/>
        <xdr:cNvSpPr>
          <a:spLocks noChangeAspect="1"/>
        </xdr:cNvSpPr>
      </xdr:nvSpPr>
      <xdr:spPr>
        <a:xfrm>
          <a:off x="34975800" y="1274540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521</xdr:row>
      <xdr:rowOff>152400</xdr:rowOff>
    </xdr:from>
    <xdr:ext cx="838200" cy="876300"/>
    <xdr:sp>
      <xdr:nvSpPr>
        <xdr:cNvPr id="16" name="Oval 7"/>
        <xdr:cNvSpPr>
          <a:spLocks noChangeAspect="1"/>
        </xdr:cNvSpPr>
      </xdr:nvSpPr>
      <xdr:spPr>
        <a:xfrm>
          <a:off x="34975800" y="14918055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598</xdr:row>
      <xdr:rowOff>152400</xdr:rowOff>
    </xdr:from>
    <xdr:ext cx="838200" cy="876300"/>
    <xdr:sp>
      <xdr:nvSpPr>
        <xdr:cNvPr id="17" name="Oval 7"/>
        <xdr:cNvSpPr>
          <a:spLocks noChangeAspect="1"/>
        </xdr:cNvSpPr>
      </xdr:nvSpPr>
      <xdr:spPr>
        <a:xfrm>
          <a:off x="34975800" y="17093565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674</xdr:row>
      <xdr:rowOff>152400</xdr:rowOff>
    </xdr:from>
    <xdr:ext cx="838200" cy="876300"/>
    <xdr:sp>
      <xdr:nvSpPr>
        <xdr:cNvPr id="18" name="Oval 7"/>
        <xdr:cNvSpPr>
          <a:spLocks noChangeAspect="1"/>
        </xdr:cNvSpPr>
      </xdr:nvSpPr>
      <xdr:spPr>
        <a:xfrm>
          <a:off x="34975800" y="192795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28575</xdr:colOff>
      <xdr:row>751</xdr:row>
      <xdr:rowOff>152400</xdr:rowOff>
    </xdr:from>
    <xdr:ext cx="838200" cy="876300"/>
    <xdr:sp>
      <xdr:nvSpPr>
        <xdr:cNvPr id="19" name="Oval 7"/>
        <xdr:cNvSpPr>
          <a:spLocks noChangeAspect="1"/>
        </xdr:cNvSpPr>
      </xdr:nvSpPr>
      <xdr:spPr>
        <a:xfrm>
          <a:off x="34975800" y="2148173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084195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973</xdr:row>
      <xdr:rowOff>152400</xdr:rowOff>
    </xdr:from>
    <xdr:ext cx="838200" cy="876300"/>
    <xdr:sp>
      <xdr:nvSpPr>
        <xdr:cNvPr id="2" name="Oval 8"/>
        <xdr:cNvSpPr>
          <a:spLocks noChangeAspect="1"/>
        </xdr:cNvSpPr>
      </xdr:nvSpPr>
      <xdr:spPr>
        <a:xfrm>
          <a:off x="30841950" y="2793968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214</xdr:row>
      <xdr:rowOff>152400</xdr:rowOff>
    </xdr:from>
    <xdr:ext cx="838200" cy="876300"/>
    <xdr:sp>
      <xdr:nvSpPr>
        <xdr:cNvPr id="3" name="Oval 7"/>
        <xdr:cNvSpPr>
          <a:spLocks noChangeAspect="1"/>
        </xdr:cNvSpPr>
      </xdr:nvSpPr>
      <xdr:spPr>
        <a:xfrm>
          <a:off x="30841950" y="619887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367</xdr:row>
      <xdr:rowOff>152400</xdr:rowOff>
    </xdr:from>
    <xdr:ext cx="838200" cy="885825"/>
    <xdr:sp>
      <xdr:nvSpPr>
        <xdr:cNvPr id="4" name="Oval 7"/>
        <xdr:cNvSpPr>
          <a:spLocks noChangeAspect="1"/>
        </xdr:cNvSpPr>
      </xdr:nvSpPr>
      <xdr:spPr>
        <a:xfrm>
          <a:off x="30841950" y="105727500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444</xdr:row>
      <xdr:rowOff>152400</xdr:rowOff>
    </xdr:from>
    <xdr:ext cx="838200" cy="885825"/>
    <xdr:sp>
      <xdr:nvSpPr>
        <xdr:cNvPr id="5" name="Oval 7"/>
        <xdr:cNvSpPr>
          <a:spLocks noChangeAspect="1"/>
        </xdr:cNvSpPr>
      </xdr:nvSpPr>
      <xdr:spPr>
        <a:xfrm>
          <a:off x="30841950" y="127454025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28575</xdr:colOff>
      <xdr:row>1048</xdr:row>
      <xdr:rowOff>152400</xdr:rowOff>
    </xdr:from>
    <xdr:ext cx="838200" cy="885825"/>
    <xdr:sp>
      <xdr:nvSpPr>
        <xdr:cNvPr id="6" name="Oval 8"/>
        <xdr:cNvSpPr>
          <a:spLocks noChangeAspect="1"/>
        </xdr:cNvSpPr>
      </xdr:nvSpPr>
      <xdr:spPr>
        <a:xfrm>
          <a:off x="34537650" y="301161450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899</xdr:row>
      <xdr:rowOff>152400</xdr:rowOff>
    </xdr:from>
    <xdr:ext cx="838200" cy="885825"/>
    <xdr:sp>
      <xdr:nvSpPr>
        <xdr:cNvPr id="7" name="Oval 8"/>
        <xdr:cNvSpPr>
          <a:spLocks noChangeAspect="1"/>
        </xdr:cNvSpPr>
      </xdr:nvSpPr>
      <xdr:spPr>
        <a:xfrm>
          <a:off x="30841950" y="257832225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598</xdr:row>
      <xdr:rowOff>152400</xdr:rowOff>
    </xdr:from>
    <xdr:ext cx="838200" cy="885825"/>
    <xdr:sp>
      <xdr:nvSpPr>
        <xdr:cNvPr id="8" name="Oval 8"/>
        <xdr:cNvSpPr>
          <a:spLocks noChangeAspect="1"/>
        </xdr:cNvSpPr>
      </xdr:nvSpPr>
      <xdr:spPr>
        <a:xfrm>
          <a:off x="30841950" y="170935650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674</xdr:row>
      <xdr:rowOff>152400</xdr:rowOff>
    </xdr:from>
    <xdr:ext cx="838200" cy="885825"/>
    <xdr:sp>
      <xdr:nvSpPr>
        <xdr:cNvPr id="9" name="Oval 8"/>
        <xdr:cNvSpPr>
          <a:spLocks noChangeAspect="1"/>
        </xdr:cNvSpPr>
      </xdr:nvSpPr>
      <xdr:spPr>
        <a:xfrm>
          <a:off x="30841950" y="192795525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751</xdr:row>
      <xdr:rowOff>152400</xdr:rowOff>
    </xdr:from>
    <xdr:ext cx="838200" cy="885825"/>
    <xdr:sp>
      <xdr:nvSpPr>
        <xdr:cNvPr id="10" name="Oval 8"/>
        <xdr:cNvSpPr>
          <a:spLocks noChangeAspect="1"/>
        </xdr:cNvSpPr>
      </xdr:nvSpPr>
      <xdr:spPr>
        <a:xfrm>
          <a:off x="30841950" y="214817325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139</xdr:row>
      <xdr:rowOff>152400</xdr:rowOff>
    </xdr:from>
    <xdr:ext cx="838200" cy="876300"/>
    <xdr:sp>
      <xdr:nvSpPr>
        <xdr:cNvPr id="11" name="Oval 7"/>
        <xdr:cNvSpPr>
          <a:spLocks noChangeAspect="1"/>
        </xdr:cNvSpPr>
      </xdr:nvSpPr>
      <xdr:spPr>
        <a:xfrm>
          <a:off x="30841950" y="403479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289</xdr:row>
      <xdr:rowOff>152400</xdr:rowOff>
    </xdr:from>
    <xdr:ext cx="838200" cy="876300"/>
    <xdr:sp>
      <xdr:nvSpPr>
        <xdr:cNvPr id="12" name="Oval 7"/>
        <xdr:cNvSpPr>
          <a:spLocks noChangeAspect="1"/>
        </xdr:cNvSpPr>
      </xdr:nvSpPr>
      <xdr:spPr>
        <a:xfrm>
          <a:off x="30841950" y="836295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521</xdr:row>
      <xdr:rowOff>152400</xdr:rowOff>
    </xdr:from>
    <xdr:ext cx="838200" cy="885825"/>
    <xdr:sp>
      <xdr:nvSpPr>
        <xdr:cNvPr id="13" name="Oval 7"/>
        <xdr:cNvSpPr>
          <a:spLocks noChangeAspect="1"/>
        </xdr:cNvSpPr>
      </xdr:nvSpPr>
      <xdr:spPr>
        <a:xfrm>
          <a:off x="30841950" y="149180550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751</xdr:row>
      <xdr:rowOff>152400</xdr:rowOff>
    </xdr:from>
    <xdr:ext cx="838200" cy="876300"/>
    <xdr:sp>
      <xdr:nvSpPr>
        <xdr:cNvPr id="14" name="Oval 21"/>
        <xdr:cNvSpPr>
          <a:spLocks noChangeAspect="1"/>
        </xdr:cNvSpPr>
      </xdr:nvSpPr>
      <xdr:spPr>
        <a:xfrm>
          <a:off x="30841950" y="2148173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214</xdr:row>
      <xdr:rowOff>152400</xdr:rowOff>
    </xdr:from>
    <xdr:ext cx="838200" cy="876300"/>
    <xdr:sp>
      <xdr:nvSpPr>
        <xdr:cNvPr id="15" name="Oval 7"/>
        <xdr:cNvSpPr>
          <a:spLocks noChangeAspect="1"/>
        </xdr:cNvSpPr>
      </xdr:nvSpPr>
      <xdr:spPr>
        <a:xfrm>
          <a:off x="30841950" y="619887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289</xdr:row>
      <xdr:rowOff>152400</xdr:rowOff>
    </xdr:from>
    <xdr:ext cx="838200" cy="876300"/>
    <xdr:sp>
      <xdr:nvSpPr>
        <xdr:cNvPr id="16" name="Oval 7"/>
        <xdr:cNvSpPr>
          <a:spLocks noChangeAspect="1"/>
        </xdr:cNvSpPr>
      </xdr:nvSpPr>
      <xdr:spPr>
        <a:xfrm>
          <a:off x="30841950" y="836295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367</xdr:row>
      <xdr:rowOff>152400</xdr:rowOff>
    </xdr:from>
    <xdr:ext cx="838200" cy="876300"/>
    <xdr:sp>
      <xdr:nvSpPr>
        <xdr:cNvPr id="17" name="Oval 7"/>
        <xdr:cNvSpPr>
          <a:spLocks noChangeAspect="1"/>
        </xdr:cNvSpPr>
      </xdr:nvSpPr>
      <xdr:spPr>
        <a:xfrm>
          <a:off x="30841950" y="10572750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444</xdr:row>
      <xdr:rowOff>152400</xdr:rowOff>
    </xdr:from>
    <xdr:ext cx="838200" cy="876300"/>
    <xdr:sp>
      <xdr:nvSpPr>
        <xdr:cNvPr id="18" name="Oval 7"/>
        <xdr:cNvSpPr>
          <a:spLocks noChangeAspect="1"/>
        </xdr:cNvSpPr>
      </xdr:nvSpPr>
      <xdr:spPr>
        <a:xfrm>
          <a:off x="30841950" y="1274540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521</xdr:row>
      <xdr:rowOff>152400</xdr:rowOff>
    </xdr:from>
    <xdr:ext cx="838200" cy="876300"/>
    <xdr:sp>
      <xdr:nvSpPr>
        <xdr:cNvPr id="19" name="Oval 7"/>
        <xdr:cNvSpPr>
          <a:spLocks noChangeAspect="1"/>
        </xdr:cNvSpPr>
      </xdr:nvSpPr>
      <xdr:spPr>
        <a:xfrm>
          <a:off x="30841950" y="14918055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598</xdr:row>
      <xdr:rowOff>152400</xdr:rowOff>
    </xdr:from>
    <xdr:ext cx="838200" cy="876300"/>
    <xdr:sp>
      <xdr:nvSpPr>
        <xdr:cNvPr id="20" name="Oval 7"/>
        <xdr:cNvSpPr>
          <a:spLocks noChangeAspect="1"/>
        </xdr:cNvSpPr>
      </xdr:nvSpPr>
      <xdr:spPr>
        <a:xfrm>
          <a:off x="30841950" y="17093565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674</xdr:row>
      <xdr:rowOff>152400</xdr:rowOff>
    </xdr:from>
    <xdr:ext cx="838200" cy="876300"/>
    <xdr:sp>
      <xdr:nvSpPr>
        <xdr:cNvPr id="21" name="Oval 7"/>
        <xdr:cNvSpPr>
          <a:spLocks noChangeAspect="1"/>
        </xdr:cNvSpPr>
      </xdr:nvSpPr>
      <xdr:spPr>
        <a:xfrm>
          <a:off x="30841950" y="192795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751</xdr:row>
      <xdr:rowOff>152400</xdr:rowOff>
    </xdr:from>
    <xdr:ext cx="838200" cy="876300"/>
    <xdr:sp>
      <xdr:nvSpPr>
        <xdr:cNvPr id="22" name="Oval 7"/>
        <xdr:cNvSpPr>
          <a:spLocks noChangeAspect="1"/>
        </xdr:cNvSpPr>
      </xdr:nvSpPr>
      <xdr:spPr>
        <a:xfrm>
          <a:off x="30841950" y="2148173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899</xdr:row>
      <xdr:rowOff>152400</xdr:rowOff>
    </xdr:from>
    <xdr:ext cx="838200" cy="876300"/>
    <xdr:sp>
      <xdr:nvSpPr>
        <xdr:cNvPr id="23" name="Oval 7"/>
        <xdr:cNvSpPr>
          <a:spLocks noChangeAspect="1"/>
        </xdr:cNvSpPr>
      </xdr:nvSpPr>
      <xdr:spPr>
        <a:xfrm>
          <a:off x="30841950" y="2578322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973</xdr:row>
      <xdr:rowOff>152400</xdr:rowOff>
    </xdr:from>
    <xdr:ext cx="838200" cy="876300"/>
    <xdr:sp>
      <xdr:nvSpPr>
        <xdr:cNvPr id="24" name="Oval 7"/>
        <xdr:cNvSpPr>
          <a:spLocks noChangeAspect="1"/>
        </xdr:cNvSpPr>
      </xdr:nvSpPr>
      <xdr:spPr>
        <a:xfrm>
          <a:off x="30841950" y="2793968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28575</xdr:colOff>
      <xdr:row>1048</xdr:row>
      <xdr:rowOff>152400</xdr:rowOff>
    </xdr:from>
    <xdr:ext cx="838200" cy="876300"/>
    <xdr:sp>
      <xdr:nvSpPr>
        <xdr:cNvPr id="25" name="Oval 7"/>
        <xdr:cNvSpPr>
          <a:spLocks noChangeAspect="1"/>
        </xdr:cNvSpPr>
      </xdr:nvSpPr>
      <xdr:spPr>
        <a:xfrm>
          <a:off x="34537650" y="301161450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58"/>
  <sheetViews>
    <sheetView tabSelected="1" view="pageBreakPreview" zoomScale="40" zoomScaleNormal="25" zoomScaleSheetLayoutView="40" workbookViewId="0" topLeftCell="A1064">
      <selection activeCell="P1092" sqref="P1092"/>
    </sheetView>
  </sheetViews>
  <sheetFormatPr defaultColWidth="9.140625" defaultRowHeight="12.75"/>
  <cols>
    <col min="1" max="3" width="24.7109375" style="0" customWidth="1"/>
    <col min="4" max="19" width="15.7109375" style="0" customWidth="1"/>
    <col min="20" max="20" width="15.7109375" style="18" customWidth="1"/>
    <col min="21" max="31" width="15.7109375" style="0" customWidth="1"/>
    <col min="32" max="34" width="6.7109375" style="0" customWidth="1"/>
  </cols>
  <sheetData>
    <row r="1" spans="16:30" ht="12.75">
      <c r="P1" s="8"/>
      <c r="Q1" s="8"/>
      <c r="R1" s="8"/>
      <c r="S1" s="8"/>
      <c r="T1" s="17"/>
      <c r="U1" s="8"/>
      <c r="V1" s="8"/>
      <c r="Y1" s="8"/>
      <c r="Z1" s="8"/>
      <c r="AC1" s="8"/>
      <c r="AD1" s="8"/>
    </row>
    <row r="2" spans="1:34" s="3" customFormat="1" ht="36" customHeight="1" thickBot="1">
      <c r="A2" s="12"/>
      <c r="B2" s="20" t="s">
        <v>9</v>
      </c>
      <c r="C2" s="2"/>
      <c r="D2" s="100"/>
      <c r="E2" s="100"/>
      <c r="F2" s="100"/>
      <c r="G2" s="100"/>
      <c r="H2" s="100"/>
      <c r="I2" s="99"/>
      <c r="J2" s="100"/>
      <c r="K2" s="100"/>
      <c r="L2" s="100"/>
      <c r="M2" s="100"/>
      <c r="N2" s="99"/>
      <c r="O2" s="229">
        <v>5</v>
      </c>
      <c r="P2" s="229"/>
      <c r="Q2" s="229">
        <v>7</v>
      </c>
      <c r="R2" s="229"/>
      <c r="S2" s="229">
        <v>56</v>
      </c>
      <c r="T2" s="229"/>
      <c r="U2" s="229">
        <v>2</v>
      </c>
      <c r="V2" s="229"/>
      <c r="W2" s="229">
        <v>1</v>
      </c>
      <c r="X2" s="229"/>
      <c r="Y2" s="229">
        <v>3</v>
      </c>
      <c r="Z2" s="229"/>
      <c r="AA2" s="351"/>
      <c r="AB2" s="351"/>
      <c r="AC2" s="257">
        <v>20</v>
      </c>
      <c r="AD2" s="257"/>
      <c r="AH2" s="13"/>
    </row>
    <row r="3" spans="2:34" s="4" customFormat="1" ht="21.75" customHeight="1">
      <c r="B3" s="233" t="s">
        <v>0</v>
      </c>
      <c r="C3" s="235"/>
      <c r="D3" s="251" t="s">
        <v>3</v>
      </c>
      <c r="E3" s="251" t="s">
        <v>4</v>
      </c>
      <c r="F3" s="251" t="s">
        <v>5</v>
      </c>
      <c r="G3" s="254" t="s">
        <v>43</v>
      </c>
      <c r="H3" s="254" t="s">
        <v>45</v>
      </c>
      <c r="I3" s="251" t="s">
        <v>6</v>
      </c>
      <c r="J3" s="254" t="s">
        <v>26</v>
      </c>
      <c r="K3" s="254" t="s">
        <v>19</v>
      </c>
      <c r="L3" s="254" t="s">
        <v>46</v>
      </c>
      <c r="M3" s="254" t="s">
        <v>61</v>
      </c>
      <c r="N3" s="254" t="s">
        <v>44</v>
      </c>
      <c r="O3" s="216">
        <v>302</v>
      </c>
      <c r="P3" s="217"/>
      <c r="Q3" s="216">
        <v>304</v>
      </c>
      <c r="R3" s="217"/>
      <c r="S3" s="216">
        <v>304</v>
      </c>
      <c r="T3" s="217"/>
      <c r="U3" s="216">
        <v>407</v>
      </c>
      <c r="V3" s="217"/>
      <c r="W3" s="216">
        <v>442</v>
      </c>
      <c r="X3" s="217"/>
      <c r="Y3" s="216">
        <v>442</v>
      </c>
      <c r="Z3" s="217"/>
      <c r="AA3" s="216">
        <v>442</v>
      </c>
      <c r="AB3" s="217"/>
      <c r="AC3" s="216">
        <v>609</v>
      </c>
      <c r="AD3" s="217"/>
      <c r="AE3" s="58"/>
      <c r="AF3" s="282" t="s">
        <v>38</v>
      </c>
      <c r="AG3" s="282" t="s">
        <v>58</v>
      </c>
      <c r="AH3" s="27"/>
    </row>
    <row r="4" spans="2:34" s="4" customFormat="1" ht="27.75" customHeight="1">
      <c r="B4" s="293"/>
      <c r="C4" s="294"/>
      <c r="D4" s="252"/>
      <c r="E4" s="252"/>
      <c r="F4" s="252"/>
      <c r="G4" s="242"/>
      <c r="H4" s="242"/>
      <c r="I4" s="252"/>
      <c r="J4" s="255"/>
      <c r="K4" s="255"/>
      <c r="L4" s="242"/>
      <c r="M4" s="242"/>
      <c r="N4" s="242"/>
      <c r="O4" s="218" t="s">
        <v>37</v>
      </c>
      <c r="P4" s="219"/>
      <c r="Q4" s="218" t="s">
        <v>121</v>
      </c>
      <c r="R4" s="219"/>
      <c r="S4" s="218" t="s">
        <v>139</v>
      </c>
      <c r="T4" s="219"/>
      <c r="U4" s="218" t="s">
        <v>122</v>
      </c>
      <c r="V4" s="219"/>
      <c r="W4" s="218" t="s">
        <v>138</v>
      </c>
      <c r="X4" s="219"/>
      <c r="Y4" s="218" t="s">
        <v>27</v>
      </c>
      <c r="Z4" s="219"/>
      <c r="AA4" s="218" t="s">
        <v>97</v>
      </c>
      <c r="AB4" s="219"/>
      <c r="AC4" s="218" t="s">
        <v>47</v>
      </c>
      <c r="AD4" s="219"/>
      <c r="AE4" s="241"/>
      <c r="AF4" s="283"/>
      <c r="AG4" s="304"/>
      <c r="AH4" s="29"/>
    </row>
    <row r="5" spans="2:33" s="4" customFormat="1" ht="27.75" customHeight="1" thickBot="1">
      <c r="B5" s="293"/>
      <c r="C5" s="294"/>
      <c r="D5" s="252"/>
      <c r="E5" s="252"/>
      <c r="F5" s="252"/>
      <c r="G5" s="242"/>
      <c r="H5" s="242"/>
      <c r="I5" s="252"/>
      <c r="J5" s="255"/>
      <c r="K5" s="255"/>
      <c r="L5" s="242"/>
      <c r="M5" s="242"/>
      <c r="N5" s="242"/>
      <c r="O5" s="220"/>
      <c r="P5" s="221"/>
      <c r="Q5" s="220"/>
      <c r="R5" s="221"/>
      <c r="S5" s="220"/>
      <c r="T5" s="221"/>
      <c r="U5" s="220"/>
      <c r="V5" s="221"/>
      <c r="W5" s="220"/>
      <c r="X5" s="221"/>
      <c r="Y5" s="220"/>
      <c r="Z5" s="221"/>
      <c r="AA5" s="220"/>
      <c r="AB5" s="221"/>
      <c r="AC5" s="220"/>
      <c r="AD5" s="221"/>
      <c r="AE5" s="242"/>
      <c r="AF5" s="284"/>
      <c r="AG5" s="304"/>
    </row>
    <row r="6" spans="2:33" s="4" customFormat="1" ht="27.75" customHeight="1">
      <c r="B6" s="293"/>
      <c r="C6" s="294"/>
      <c r="D6" s="252"/>
      <c r="E6" s="252"/>
      <c r="F6" s="252"/>
      <c r="G6" s="242"/>
      <c r="H6" s="242"/>
      <c r="I6" s="252"/>
      <c r="J6" s="255"/>
      <c r="K6" s="255"/>
      <c r="L6" s="242"/>
      <c r="M6" s="242"/>
      <c r="N6" s="242"/>
      <c r="O6" s="220"/>
      <c r="P6" s="221"/>
      <c r="Q6" s="220"/>
      <c r="R6" s="221"/>
      <c r="S6" s="220"/>
      <c r="T6" s="221"/>
      <c r="U6" s="220"/>
      <c r="V6" s="221"/>
      <c r="W6" s="220"/>
      <c r="X6" s="221"/>
      <c r="Y6" s="220"/>
      <c r="Z6" s="221"/>
      <c r="AA6" s="220"/>
      <c r="AB6" s="221"/>
      <c r="AC6" s="220"/>
      <c r="AD6" s="221"/>
      <c r="AE6" s="242"/>
      <c r="AF6" s="269" t="s">
        <v>8</v>
      </c>
      <c r="AG6" s="270"/>
    </row>
    <row r="7" spans="2:33" s="4" customFormat="1" ht="27.75" customHeight="1">
      <c r="B7" s="293"/>
      <c r="C7" s="294"/>
      <c r="D7" s="252"/>
      <c r="E7" s="252"/>
      <c r="F7" s="252"/>
      <c r="G7" s="242"/>
      <c r="H7" s="242"/>
      <c r="I7" s="252"/>
      <c r="J7" s="255"/>
      <c r="K7" s="255"/>
      <c r="L7" s="242"/>
      <c r="M7" s="242"/>
      <c r="N7" s="242"/>
      <c r="O7" s="220"/>
      <c r="P7" s="221"/>
      <c r="Q7" s="220"/>
      <c r="R7" s="221"/>
      <c r="S7" s="220"/>
      <c r="T7" s="221"/>
      <c r="U7" s="220"/>
      <c r="V7" s="221"/>
      <c r="W7" s="220"/>
      <c r="X7" s="221"/>
      <c r="Y7" s="220"/>
      <c r="Z7" s="221"/>
      <c r="AA7" s="220"/>
      <c r="AB7" s="221"/>
      <c r="AC7" s="220"/>
      <c r="AD7" s="221"/>
      <c r="AE7" s="242"/>
      <c r="AF7" s="271"/>
      <c r="AG7" s="272"/>
    </row>
    <row r="8" spans="2:33" s="4" customFormat="1" ht="27.75" customHeight="1">
      <c r="B8" s="293"/>
      <c r="C8" s="294"/>
      <c r="D8" s="252"/>
      <c r="E8" s="252"/>
      <c r="F8" s="252"/>
      <c r="G8" s="242"/>
      <c r="H8" s="242"/>
      <c r="I8" s="252"/>
      <c r="J8" s="255"/>
      <c r="K8" s="255"/>
      <c r="L8" s="242"/>
      <c r="M8" s="242"/>
      <c r="N8" s="242"/>
      <c r="O8" s="220"/>
      <c r="P8" s="221"/>
      <c r="Q8" s="220"/>
      <c r="R8" s="221"/>
      <c r="S8" s="220"/>
      <c r="T8" s="221"/>
      <c r="U8" s="220"/>
      <c r="V8" s="221"/>
      <c r="W8" s="220"/>
      <c r="X8" s="221"/>
      <c r="Y8" s="220"/>
      <c r="Z8" s="221"/>
      <c r="AA8" s="220"/>
      <c r="AB8" s="221"/>
      <c r="AC8" s="220"/>
      <c r="AD8" s="221"/>
      <c r="AE8" s="242"/>
      <c r="AF8" s="271"/>
      <c r="AG8" s="272"/>
    </row>
    <row r="9" spans="2:33" s="4" customFormat="1" ht="27.75" customHeight="1">
      <c r="B9" s="293"/>
      <c r="C9" s="294"/>
      <c r="D9" s="252"/>
      <c r="E9" s="252"/>
      <c r="F9" s="252"/>
      <c r="G9" s="242"/>
      <c r="H9" s="242"/>
      <c r="I9" s="252"/>
      <c r="J9" s="255"/>
      <c r="K9" s="255"/>
      <c r="L9" s="242"/>
      <c r="M9" s="242"/>
      <c r="N9" s="242"/>
      <c r="O9" s="220"/>
      <c r="P9" s="221"/>
      <c r="Q9" s="220"/>
      <c r="R9" s="221"/>
      <c r="S9" s="220"/>
      <c r="T9" s="221"/>
      <c r="U9" s="220"/>
      <c r="V9" s="221"/>
      <c r="W9" s="220"/>
      <c r="X9" s="221"/>
      <c r="Y9" s="220"/>
      <c r="Z9" s="221"/>
      <c r="AA9" s="220"/>
      <c r="AB9" s="221"/>
      <c r="AC9" s="220"/>
      <c r="AD9" s="221"/>
      <c r="AE9" s="242"/>
      <c r="AF9" s="271"/>
      <c r="AG9" s="272"/>
    </row>
    <row r="10" spans="2:33" s="4" customFormat="1" ht="27.75" customHeight="1">
      <c r="B10" s="293"/>
      <c r="C10" s="294"/>
      <c r="D10" s="252"/>
      <c r="E10" s="252"/>
      <c r="F10" s="252"/>
      <c r="G10" s="242"/>
      <c r="H10" s="242"/>
      <c r="I10" s="252"/>
      <c r="J10" s="255"/>
      <c r="K10" s="255"/>
      <c r="L10" s="242"/>
      <c r="M10" s="242"/>
      <c r="N10" s="242"/>
      <c r="O10" s="220"/>
      <c r="P10" s="221"/>
      <c r="Q10" s="220"/>
      <c r="R10" s="221"/>
      <c r="S10" s="220"/>
      <c r="T10" s="221"/>
      <c r="U10" s="220"/>
      <c r="V10" s="221"/>
      <c r="W10" s="220"/>
      <c r="X10" s="221"/>
      <c r="Y10" s="220"/>
      <c r="Z10" s="221"/>
      <c r="AA10" s="220"/>
      <c r="AB10" s="221"/>
      <c r="AC10" s="220"/>
      <c r="AD10" s="221"/>
      <c r="AE10" s="242"/>
      <c r="AF10" s="271"/>
      <c r="AG10" s="272"/>
    </row>
    <row r="11" spans="2:33" s="5" customFormat="1" ht="27.75" customHeight="1">
      <c r="B11" s="295"/>
      <c r="C11" s="296"/>
      <c r="D11" s="253"/>
      <c r="E11" s="253"/>
      <c r="F11" s="253"/>
      <c r="G11" s="243"/>
      <c r="H11" s="243"/>
      <c r="I11" s="253"/>
      <c r="J11" s="256"/>
      <c r="K11" s="256"/>
      <c r="L11" s="243"/>
      <c r="M11" s="243"/>
      <c r="N11" s="243"/>
      <c r="O11" s="222"/>
      <c r="P11" s="223"/>
      <c r="Q11" s="222"/>
      <c r="R11" s="223"/>
      <c r="S11" s="222"/>
      <c r="T11" s="223"/>
      <c r="U11" s="222"/>
      <c r="V11" s="223"/>
      <c r="W11" s="222"/>
      <c r="X11" s="223"/>
      <c r="Y11" s="222"/>
      <c r="Z11" s="223"/>
      <c r="AA11" s="222"/>
      <c r="AB11" s="223"/>
      <c r="AC11" s="222"/>
      <c r="AD11" s="223"/>
      <c r="AE11" s="243"/>
      <c r="AF11" s="271"/>
      <c r="AG11" s="272"/>
    </row>
    <row r="12" spans="2:33" s="7" customFormat="1" ht="21.75" customHeight="1" thickBot="1">
      <c r="B12" s="56" t="s">
        <v>1</v>
      </c>
      <c r="C12" s="56" t="s">
        <v>2</v>
      </c>
      <c r="D12" s="57"/>
      <c r="E12" s="57" t="s">
        <v>14</v>
      </c>
      <c r="F12" s="57" t="s">
        <v>14</v>
      </c>
      <c r="G12" s="57"/>
      <c r="H12" s="57"/>
      <c r="I12" s="57" t="s">
        <v>21</v>
      </c>
      <c r="J12" s="57" t="s">
        <v>21</v>
      </c>
      <c r="K12" s="57" t="s">
        <v>21</v>
      </c>
      <c r="L12" s="57" t="s">
        <v>21</v>
      </c>
      <c r="M12" s="57" t="s">
        <v>21</v>
      </c>
      <c r="N12" s="57" t="s">
        <v>21</v>
      </c>
      <c r="O12" s="208" t="s">
        <v>20</v>
      </c>
      <c r="P12" s="210"/>
      <c r="Q12" s="208" t="s">
        <v>20</v>
      </c>
      <c r="R12" s="210"/>
      <c r="S12" s="208" t="s">
        <v>20</v>
      </c>
      <c r="T12" s="210"/>
      <c r="U12" s="208" t="s">
        <v>22</v>
      </c>
      <c r="V12" s="210"/>
      <c r="W12" s="208" t="s">
        <v>20</v>
      </c>
      <c r="X12" s="210"/>
      <c r="Y12" s="208" t="s">
        <v>20</v>
      </c>
      <c r="Z12" s="210"/>
      <c r="AA12" s="208" t="s">
        <v>20</v>
      </c>
      <c r="AB12" s="210"/>
      <c r="AC12" s="208" t="s">
        <v>14</v>
      </c>
      <c r="AD12" s="210"/>
      <c r="AE12" s="57"/>
      <c r="AF12" s="271"/>
      <c r="AG12" s="272"/>
    </row>
    <row r="13" spans="1:33" s="4" customFormat="1" ht="21.75" customHeight="1">
      <c r="A13" s="30">
        <v>1</v>
      </c>
      <c r="B13" s="37"/>
      <c r="C13" s="38"/>
      <c r="D13" s="39"/>
      <c r="E13" s="24"/>
      <c r="F13" s="66"/>
      <c r="G13" s="105"/>
      <c r="H13" s="105"/>
      <c r="I13" s="24"/>
      <c r="J13" s="24"/>
      <c r="K13" s="24"/>
      <c r="L13" s="24"/>
      <c r="M13" s="24"/>
      <c r="N13" s="24"/>
      <c r="O13" s="227" t="s">
        <v>59</v>
      </c>
      <c r="P13" s="227" t="s">
        <v>92</v>
      </c>
      <c r="Q13" s="227" t="s">
        <v>59</v>
      </c>
      <c r="R13" s="227" t="s">
        <v>92</v>
      </c>
      <c r="S13" s="227" t="s">
        <v>59</v>
      </c>
      <c r="T13" s="227" t="s">
        <v>92</v>
      </c>
      <c r="U13" s="227" t="s">
        <v>59</v>
      </c>
      <c r="V13" s="227" t="s">
        <v>92</v>
      </c>
      <c r="W13" s="227" t="s">
        <v>59</v>
      </c>
      <c r="X13" s="227" t="s">
        <v>92</v>
      </c>
      <c r="Y13" s="227" t="s">
        <v>59</v>
      </c>
      <c r="Z13" s="227" t="s">
        <v>92</v>
      </c>
      <c r="AA13" s="227" t="s">
        <v>59</v>
      </c>
      <c r="AB13" s="227" t="s">
        <v>92</v>
      </c>
      <c r="AC13" s="265" t="s">
        <v>59</v>
      </c>
      <c r="AD13" s="265" t="s">
        <v>92</v>
      </c>
      <c r="AE13" s="227"/>
      <c r="AF13" s="271"/>
      <c r="AG13" s="272"/>
    </row>
    <row r="14" spans="1:33" s="4" customFormat="1" ht="21.75" customHeight="1">
      <c r="A14" s="30">
        <v>2</v>
      </c>
      <c r="B14" s="230" t="s">
        <v>36</v>
      </c>
      <c r="C14" s="231"/>
      <c r="D14" s="231"/>
      <c r="E14" s="231"/>
      <c r="F14" s="231"/>
      <c r="G14" s="231"/>
      <c r="H14" s="231"/>
      <c r="I14" s="232"/>
      <c r="J14" s="24"/>
      <c r="K14" s="24"/>
      <c r="L14" s="39"/>
      <c r="M14" s="39"/>
      <c r="N14" s="24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66"/>
      <c r="AD14" s="266"/>
      <c r="AE14" s="228"/>
      <c r="AF14" s="271"/>
      <c r="AG14" s="272"/>
    </row>
    <row r="15" spans="1:33" s="4" customFormat="1" ht="21.75" customHeight="1">
      <c r="A15" s="30">
        <v>3</v>
      </c>
      <c r="B15" s="67" t="s">
        <v>23</v>
      </c>
      <c r="C15" s="68"/>
      <c r="D15" s="39"/>
      <c r="E15" s="24"/>
      <c r="F15" s="24"/>
      <c r="G15" s="24"/>
      <c r="H15" s="61"/>
      <c r="I15" s="24"/>
      <c r="J15" s="24"/>
      <c r="K15" s="24"/>
      <c r="L15" s="39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71"/>
      <c r="AG15" s="272"/>
    </row>
    <row r="16" spans="1:33" s="4" customFormat="1" ht="21.75" customHeight="1">
      <c r="A16" s="30">
        <v>4</v>
      </c>
      <c r="B16" s="40">
        <v>12596</v>
      </c>
      <c r="C16" s="41">
        <v>12695.71</v>
      </c>
      <c r="D16" s="39" t="s">
        <v>17</v>
      </c>
      <c r="E16" s="24">
        <f>C16-B16</f>
        <v>99.70999999999913</v>
      </c>
      <c r="F16" s="66">
        <v>24</v>
      </c>
      <c r="G16" s="105">
        <f>ROUND((5729.578+($F16/2))/5729.578,4)</f>
        <v>1.0021</v>
      </c>
      <c r="H16" s="61"/>
      <c r="I16" s="24">
        <f>IF($G16=0,ROUND($E16*$F16,2),ROUND($E16*$F16*$G16,2))</f>
        <v>2398.07</v>
      </c>
      <c r="J16" s="24"/>
      <c r="K16" s="24"/>
      <c r="L16" s="39"/>
      <c r="M16" s="24"/>
      <c r="N16" s="24"/>
      <c r="O16" s="24">
        <f>ROUND(((($I16)*(O$72/12))/27)*O$74,2)</f>
        <v>46.63</v>
      </c>
      <c r="P16" s="24">
        <f>ROUND(((($I16)*(P$72/12))/27)*P$74,2)</f>
        <v>31.09</v>
      </c>
      <c r="Q16" s="24">
        <f>ROUND(((($I16)*(Q$72/12))/27)*Q$74,2)</f>
        <v>26.65</v>
      </c>
      <c r="R16" s="24">
        <f>ROUND(((($I16)*(R$72/12))/27)*R$74,2)</f>
        <v>17.76</v>
      </c>
      <c r="S16" s="24"/>
      <c r="T16" s="24"/>
      <c r="U16" s="24">
        <f>ROUND(((($I16/9)*U$72)*3)*U$74,2)</f>
        <v>26.38</v>
      </c>
      <c r="V16" s="24">
        <f>ROUND(((($I16/9)*V$72)*3)*V$74,2)</f>
        <v>17.59</v>
      </c>
      <c r="W16" s="24">
        <f>ROUND((($I16*(W$72/12))/27)*W$74,2)</f>
        <v>6.66</v>
      </c>
      <c r="X16" s="24">
        <f>ROUND((($I16*(X$72/12))/27)*X$74,2)</f>
        <v>4.44</v>
      </c>
      <c r="Y16" s="24">
        <f>ROUND((($I16*(Y$72/12))/27)*Y$74,2)</f>
        <v>7.77</v>
      </c>
      <c r="Z16" s="24">
        <f>ROUND((($I16*(Z$72/12))/27)*Z$74,2)</f>
        <v>5.18</v>
      </c>
      <c r="AA16" s="24">
        <f>Y16+W16</f>
        <v>14.43</v>
      </c>
      <c r="AB16" s="24">
        <f>Z16+X16</f>
        <v>9.620000000000001</v>
      </c>
      <c r="AC16" s="24"/>
      <c r="AD16" s="24"/>
      <c r="AE16" s="24"/>
      <c r="AF16" s="271"/>
      <c r="AG16" s="272"/>
    </row>
    <row r="17" spans="1:33" s="4" customFormat="1" ht="21.75" customHeight="1">
      <c r="A17" s="30">
        <v>5</v>
      </c>
      <c r="B17" s="37"/>
      <c r="C17" s="38"/>
      <c r="D17" s="39"/>
      <c r="E17" s="24"/>
      <c r="F17" s="66"/>
      <c r="G17" s="105"/>
      <c r="H17" s="61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71"/>
      <c r="AG17" s="272"/>
    </row>
    <row r="18" spans="1:33" s="4" customFormat="1" ht="21.75" customHeight="1">
      <c r="A18" s="30">
        <v>6</v>
      </c>
      <c r="B18" s="37">
        <v>12827.86</v>
      </c>
      <c r="C18" s="38">
        <v>12950</v>
      </c>
      <c r="D18" s="39" t="s">
        <v>17</v>
      </c>
      <c r="E18" s="24">
        <f>C18-B18</f>
        <v>122.13999999999942</v>
      </c>
      <c r="F18" s="66">
        <v>24</v>
      </c>
      <c r="G18" s="105">
        <f>ROUND((5729.578+($F18/2))/5729.578,4)</f>
        <v>1.0021</v>
      </c>
      <c r="H18" s="61"/>
      <c r="I18" s="24">
        <f>IF($G18=0,ROUND($E18*$F18,2),ROUND($E18*$F18*$G18,2))</f>
        <v>2937.52</v>
      </c>
      <c r="J18" s="24"/>
      <c r="K18" s="24"/>
      <c r="L18" s="24"/>
      <c r="M18" s="24"/>
      <c r="N18" s="24"/>
      <c r="O18" s="24">
        <f>ROUND(((($I18)*(O$72/12))/27)*O$74,2)</f>
        <v>57.12</v>
      </c>
      <c r="P18" s="24">
        <f>ROUND(((($I18)*(P$72/12))/27)*P$74,2)</f>
        <v>38.08</v>
      </c>
      <c r="Q18" s="24">
        <f>ROUND(((($I18)*(Q$72/12))/27)*Q$74,2)</f>
        <v>32.64</v>
      </c>
      <c r="R18" s="24">
        <f>ROUND(((($I18)*(R$72/12))/27)*R$74,2)</f>
        <v>21.76</v>
      </c>
      <c r="S18" s="24"/>
      <c r="T18" s="24"/>
      <c r="U18" s="24">
        <f>ROUND(((($I18/9)*U$72)*3)*U$74,2)</f>
        <v>32.31</v>
      </c>
      <c r="V18" s="24">
        <f>ROUND(((($I18/9)*V$72)*3)*V$74,2)</f>
        <v>21.54</v>
      </c>
      <c r="W18" s="24">
        <f>ROUND((($I18*(W$72/12))/27)*W$74,2)</f>
        <v>8.16</v>
      </c>
      <c r="X18" s="24">
        <f>ROUND((($I18*(X$72/12))/27)*X$74,2)</f>
        <v>5.44</v>
      </c>
      <c r="Y18" s="24">
        <f>ROUND((($I18*(Y$72/12))/27)*Y$74,2)</f>
        <v>9.52</v>
      </c>
      <c r="Z18" s="24">
        <f>ROUND((($I18*(Z$72/12))/27)*Z$74,2)</f>
        <v>6.35</v>
      </c>
      <c r="AA18" s="24">
        <f>Y18+W18</f>
        <v>17.68</v>
      </c>
      <c r="AB18" s="24">
        <f>Z18+X18</f>
        <v>11.79</v>
      </c>
      <c r="AC18" s="24"/>
      <c r="AD18" s="24"/>
      <c r="AE18" s="24"/>
      <c r="AF18" s="271"/>
      <c r="AG18" s="272"/>
    </row>
    <row r="19" spans="1:33" s="4" customFormat="1" ht="21.75" customHeight="1">
      <c r="A19" s="30">
        <v>7</v>
      </c>
      <c r="B19" s="37"/>
      <c r="C19" s="38"/>
      <c r="D19" s="39"/>
      <c r="E19" s="24"/>
      <c r="F19" s="24"/>
      <c r="G19" s="39"/>
      <c r="H19" s="61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71"/>
      <c r="AG19" s="272"/>
    </row>
    <row r="20" spans="1:33" s="4" customFormat="1" ht="21.75" customHeight="1">
      <c r="A20" s="30">
        <v>8</v>
      </c>
      <c r="B20" s="37">
        <v>416993.98</v>
      </c>
      <c r="C20" s="38">
        <v>417558.08</v>
      </c>
      <c r="D20" s="39" t="s">
        <v>17</v>
      </c>
      <c r="E20" s="24">
        <f>C20-B20</f>
        <v>564.1000000000349</v>
      </c>
      <c r="F20" s="66">
        <v>24</v>
      </c>
      <c r="G20" s="105">
        <f>ROUND((3819.7186+($F20/2))/3819.7186,4)</f>
        <v>1.0031</v>
      </c>
      <c r="H20" s="61"/>
      <c r="I20" s="24">
        <f>IF($G20=0,ROUND($E20*$F20,2),ROUND($E20*$F20*$G20,2))</f>
        <v>13580.37</v>
      </c>
      <c r="J20" s="24"/>
      <c r="K20" s="24"/>
      <c r="L20" s="24"/>
      <c r="M20" s="24"/>
      <c r="N20" s="24"/>
      <c r="O20" s="24">
        <f aca="true" t="shared" si="0" ref="O20:R23">ROUND(((($I20)*(O$72/12))/27)*O$74,2)</f>
        <v>264.06</v>
      </c>
      <c r="P20" s="24">
        <f t="shared" si="0"/>
        <v>176.04</v>
      </c>
      <c r="Q20" s="24">
        <f t="shared" si="0"/>
        <v>150.89</v>
      </c>
      <c r="R20" s="24">
        <f t="shared" si="0"/>
        <v>100.6</v>
      </c>
      <c r="S20" s="24"/>
      <c r="T20" s="24"/>
      <c r="U20" s="24">
        <f aca="true" t="shared" si="1" ref="U20:V23">ROUND(((($I20/9)*U$72)*3)*U$74,2)</f>
        <v>149.38</v>
      </c>
      <c r="V20" s="24">
        <f t="shared" si="1"/>
        <v>99.59</v>
      </c>
      <c r="W20" s="24">
        <f aca="true" t="shared" si="2" ref="W20:Z23">ROUND((($I20*(W$72/12))/27)*W$74,2)</f>
        <v>37.72</v>
      </c>
      <c r="X20" s="24">
        <f t="shared" si="2"/>
        <v>25.15</v>
      </c>
      <c r="Y20" s="24">
        <f t="shared" si="2"/>
        <v>44.01</v>
      </c>
      <c r="Z20" s="24">
        <f t="shared" si="2"/>
        <v>29.34</v>
      </c>
      <c r="AA20" s="24">
        <f aca="true" t="shared" si="3" ref="AA20:AB24">Y20+W20</f>
        <v>81.72999999999999</v>
      </c>
      <c r="AB20" s="24">
        <f t="shared" si="3"/>
        <v>54.489999999999995</v>
      </c>
      <c r="AC20" s="24"/>
      <c r="AD20" s="24"/>
      <c r="AE20" s="24"/>
      <c r="AF20" s="271"/>
      <c r="AG20" s="272"/>
    </row>
    <row r="21" spans="1:33" s="4" customFormat="1" ht="21.75" customHeight="1">
      <c r="A21" s="30">
        <v>9</v>
      </c>
      <c r="B21" s="37">
        <v>417715.06</v>
      </c>
      <c r="C21" s="38">
        <v>417777.84</v>
      </c>
      <c r="D21" s="39" t="s">
        <v>17</v>
      </c>
      <c r="E21" s="24">
        <f>C21-B21</f>
        <v>62.78000000002794</v>
      </c>
      <c r="F21" s="66">
        <v>24</v>
      </c>
      <c r="G21" s="105">
        <f>ROUND((3819.7186+($F21/2))/3819.7186,4)</f>
        <v>1.0031</v>
      </c>
      <c r="H21" s="61"/>
      <c r="I21" s="24">
        <f>IF($G21=0,ROUND($E21*$F21,2),ROUND($E21*$F21*$G21,2))</f>
        <v>1511.39</v>
      </c>
      <c r="J21" s="24"/>
      <c r="K21" s="24"/>
      <c r="L21" s="24"/>
      <c r="M21" s="24"/>
      <c r="N21" s="24"/>
      <c r="O21" s="24">
        <f t="shared" si="0"/>
        <v>29.39</v>
      </c>
      <c r="P21" s="24">
        <f t="shared" si="0"/>
        <v>19.59</v>
      </c>
      <c r="Q21" s="24">
        <f t="shared" si="0"/>
        <v>16.79</v>
      </c>
      <c r="R21" s="24">
        <f t="shared" si="0"/>
        <v>11.2</v>
      </c>
      <c r="S21" s="24"/>
      <c r="T21" s="24"/>
      <c r="U21" s="24">
        <f t="shared" si="1"/>
        <v>16.63</v>
      </c>
      <c r="V21" s="24">
        <f t="shared" si="1"/>
        <v>11.08</v>
      </c>
      <c r="W21" s="24">
        <f t="shared" si="2"/>
        <v>4.2</v>
      </c>
      <c r="X21" s="24">
        <f t="shared" si="2"/>
        <v>2.8</v>
      </c>
      <c r="Y21" s="24">
        <f t="shared" si="2"/>
        <v>4.9</v>
      </c>
      <c r="Z21" s="24">
        <f t="shared" si="2"/>
        <v>3.27</v>
      </c>
      <c r="AA21" s="24">
        <f t="shared" si="3"/>
        <v>9.100000000000001</v>
      </c>
      <c r="AB21" s="24">
        <f t="shared" si="3"/>
        <v>6.07</v>
      </c>
      <c r="AC21" s="24"/>
      <c r="AD21" s="24"/>
      <c r="AE21" s="24"/>
      <c r="AF21" s="271"/>
      <c r="AG21" s="272"/>
    </row>
    <row r="22" spans="1:33" s="4" customFormat="1" ht="21.75" customHeight="1">
      <c r="A22" s="30">
        <v>10</v>
      </c>
      <c r="B22" s="37">
        <f>C21</f>
        <v>417777.84</v>
      </c>
      <c r="C22" s="38">
        <v>418604.15</v>
      </c>
      <c r="D22" s="39" t="s">
        <v>17</v>
      </c>
      <c r="E22" s="24">
        <f>C22-B22</f>
        <v>826.3099999999977</v>
      </c>
      <c r="F22" s="66">
        <v>24</v>
      </c>
      <c r="G22" s="24"/>
      <c r="H22" s="61"/>
      <c r="I22" s="24">
        <f>IF(G22=0,ROUND($E22*$F22,2),ROUND($E22*$F22*$G22,2))</f>
        <v>19831.44</v>
      </c>
      <c r="J22" s="24"/>
      <c r="K22" s="24"/>
      <c r="L22" s="24"/>
      <c r="M22" s="24"/>
      <c r="N22" s="24"/>
      <c r="O22" s="24">
        <f t="shared" si="0"/>
        <v>385.61</v>
      </c>
      <c r="P22" s="24">
        <f t="shared" si="0"/>
        <v>257.07</v>
      </c>
      <c r="Q22" s="24">
        <f t="shared" si="0"/>
        <v>220.35</v>
      </c>
      <c r="R22" s="24">
        <f t="shared" si="0"/>
        <v>146.9</v>
      </c>
      <c r="S22" s="24"/>
      <c r="T22" s="24"/>
      <c r="U22" s="24">
        <f t="shared" si="1"/>
        <v>218.15</v>
      </c>
      <c r="V22" s="24">
        <f t="shared" si="1"/>
        <v>145.43</v>
      </c>
      <c r="W22" s="24">
        <f t="shared" si="2"/>
        <v>55.09</v>
      </c>
      <c r="X22" s="24">
        <f t="shared" si="2"/>
        <v>36.72</v>
      </c>
      <c r="Y22" s="24">
        <f t="shared" si="2"/>
        <v>64.27</v>
      </c>
      <c r="Z22" s="24">
        <f t="shared" si="2"/>
        <v>42.85</v>
      </c>
      <c r="AA22" s="24">
        <f t="shared" si="3"/>
        <v>119.36</v>
      </c>
      <c r="AB22" s="24">
        <f t="shared" si="3"/>
        <v>79.57</v>
      </c>
      <c r="AC22" s="24"/>
      <c r="AD22" s="24"/>
      <c r="AE22" s="24"/>
      <c r="AF22" s="271"/>
      <c r="AG22" s="272"/>
    </row>
    <row r="23" spans="1:33" s="4" customFormat="1" ht="21.75" customHeight="1">
      <c r="A23" s="30">
        <v>11</v>
      </c>
      <c r="B23" s="37">
        <f>C22</f>
        <v>418604.15</v>
      </c>
      <c r="C23" s="38">
        <v>418625</v>
      </c>
      <c r="D23" s="39" t="s">
        <v>17</v>
      </c>
      <c r="E23" s="24">
        <f>C23-B23</f>
        <v>20.849999999976717</v>
      </c>
      <c r="F23" s="66">
        <v>24</v>
      </c>
      <c r="G23" s="105">
        <f>ROUND((2901.4858-($F23/2))/2901.4858,4)</f>
        <v>0.9959</v>
      </c>
      <c r="H23" s="61"/>
      <c r="I23" s="24">
        <f>IF(G23=0,ROUND($E23*$F23,2),ROUND($E23*$F23*$G23,2))</f>
        <v>498.35</v>
      </c>
      <c r="J23" s="24"/>
      <c r="K23" s="24"/>
      <c r="L23" s="24"/>
      <c r="M23" s="24"/>
      <c r="N23" s="24"/>
      <c r="O23" s="24">
        <f t="shared" si="0"/>
        <v>9.69</v>
      </c>
      <c r="P23" s="24">
        <f t="shared" si="0"/>
        <v>6.46</v>
      </c>
      <c r="Q23" s="24">
        <f t="shared" si="0"/>
        <v>5.54</v>
      </c>
      <c r="R23" s="24">
        <f t="shared" si="0"/>
        <v>3.69</v>
      </c>
      <c r="S23" s="24"/>
      <c r="T23" s="24"/>
      <c r="U23" s="24">
        <f t="shared" si="1"/>
        <v>5.48</v>
      </c>
      <c r="V23" s="24">
        <f t="shared" si="1"/>
        <v>3.65</v>
      </c>
      <c r="W23" s="24">
        <f t="shared" si="2"/>
        <v>1.38</v>
      </c>
      <c r="X23" s="24">
        <f t="shared" si="2"/>
        <v>0.92</v>
      </c>
      <c r="Y23" s="24">
        <f t="shared" si="2"/>
        <v>1.62</v>
      </c>
      <c r="Z23" s="24">
        <f t="shared" si="2"/>
        <v>1.08</v>
      </c>
      <c r="AA23" s="24">
        <f t="shared" si="3"/>
        <v>3</v>
      </c>
      <c r="AB23" s="24">
        <f t="shared" si="3"/>
        <v>2</v>
      </c>
      <c r="AC23" s="24"/>
      <c r="AD23" s="24"/>
      <c r="AE23" s="24"/>
      <c r="AF23" s="271"/>
      <c r="AG23" s="272"/>
    </row>
    <row r="24" spans="1:33" s="4" customFormat="1" ht="21.75" customHeight="1">
      <c r="A24" s="30">
        <v>12</v>
      </c>
      <c r="B24" s="37">
        <f>C23</f>
        <v>418625</v>
      </c>
      <c r="C24" s="38">
        <v>418672.06</v>
      </c>
      <c r="D24" s="39" t="s">
        <v>17</v>
      </c>
      <c r="E24" s="213" t="s">
        <v>13</v>
      </c>
      <c r="F24" s="214"/>
      <c r="G24" s="214"/>
      <c r="H24" s="214"/>
      <c r="I24" s="215"/>
      <c r="J24" s="24">
        <f>64.0976+17.8929</f>
        <v>81.9905</v>
      </c>
      <c r="K24" s="24"/>
      <c r="L24" s="24"/>
      <c r="M24" s="24"/>
      <c r="N24" s="24"/>
      <c r="O24" s="24">
        <f>ROUND(((($J24)*(O$72/12))/27)*O$74,2)</f>
        <v>1.59</v>
      </c>
      <c r="P24" s="24">
        <f>ROUND(((($J24)*(P$72/12))/27)*P$74,2)</f>
        <v>1.06</v>
      </c>
      <c r="Q24" s="24"/>
      <c r="R24" s="24"/>
      <c r="S24" s="24">
        <f>ROUND(((($J24)*(S$72/12))/27)*S$74,2)</f>
        <v>1.37</v>
      </c>
      <c r="T24" s="24">
        <f>ROUND(((($J24)*(T$72/12))/27)*T$74,2)</f>
        <v>0.91</v>
      </c>
      <c r="U24" s="24">
        <f>ROUND(((($J24/9)*U$72)*3)*U$74,2)</f>
        <v>0.9</v>
      </c>
      <c r="V24" s="24">
        <f>ROUND(((($J24/9)*V$72)*3)*V$74,2)</f>
        <v>0.6</v>
      </c>
      <c r="W24" s="24">
        <f>ROUND((($J24*(W$72/12))/27)*W$74,2)</f>
        <v>0.23</v>
      </c>
      <c r="X24" s="24">
        <f>ROUND((($J24*(X$72/12))/27)*X$74,2)</f>
        <v>0.15</v>
      </c>
      <c r="Y24" s="24">
        <f>ROUND((($J24*(Y$72/12))/27)*Y$74,2)</f>
        <v>0.27</v>
      </c>
      <c r="Z24" s="24">
        <f>ROUND((($J24*(Z$72/12))/27)*Z$74,2)</f>
        <v>0.18</v>
      </c>
      <c r="AA24" s="24">
        <f t="shared" si="3"/>
        <v>0.5</v>
      </c>
      <c r="AB24" s="24">
        <f t="shared" si="3"/>
        <v>0.32999999999999996</v>
      </c>
      <c r="AC24" s="24"/>
      <c r="AD24" s="24"/>
      <c r="AE24" s="24"/>
      <c r="AF24" s="271"/>
      <c r="AG24" s="272"/>
    </row>
    <row r="25" spans="1:33" s="4" customFormat="1" ht="21.75" customHeight="1">
      <c r="A25" s="30">
        <v>13</v>
      </c>
      <c r="B25" s="37"/>
      <c r="C25" s="38"/>
      <c r="D25" s="39"/>
      <c r="E25" s="24"/>
      <c r="F25" s="66"/>
      <c r="G25" s="24"/>
      <c r="H25" s="61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71"/>
      <c r="AG25" s="272"/>
    </row>
    <row r="26" spans="1:33" s="4" customFormat="1" ht="21.75" customHeight="1">
      <c r="A26" s="30">
        <v>14</v>
      </c>
      <c r="B26" s="40">
        <v>12596</v>
      </c>
      <c r="C26" s="41">
        <v>12695.68</v>
      </c>
      <c r="D26" s="39" t="s">
        <v>16</v>
      </c>
      <c r="E26" s="24">
        <f aca="true" t="shared" si="4" ref="E26:E33">C26-B26</f>
        <v>99.68000000000029</v>
      </c>
      <c r="F26" s="66">
        <v>12</v>
      </c>
      <c r="G26" s="105">
        <f>ROUND((5729.578-($F26/2))/5729.578,4)</f>
        <v>0.999</v>
      </c>
      <c r="H26" s="61"/>
      <c r="I26" s="24">
        <f>IF(G26=0,ROUND($E26*$F26,2),ROUND($E26*$F26*$G26,2))</f>
        <v>1194.96</v>
      </c>
      <c r="J26" s="24"/>
      <c r="K26" s="24"/>
      <c r="L26" s="24"/>
      <c r="M26" s="24"/>
      <c r="N26" s="24"/>
      <c r="O26" s="24">
        <f aca="true" t="shared" si="5" ref="O26:R28">ROUND(((($I26)*(O$72/12))/27)*O$74,2)</f>
        <v>23.24</v>
      </c>
      <c r="P26" s="24">
        <f t="shared" si="5"/>
        <v>15.49</v>
      </c>
      <c r="Q26" s="24">
        <f t="shared" si="5"/>
        <v>13.28</v>
      </c>
      <c r="R26" s="24">
        <f t="shared" si="5"/>
        <v>8.85</v>
      </c>
      <c r="S26" s="24"/>
      <c r="T26" s="24"/>
      <c r="U26" s="24">
        <f aca="true" t="shared" si="6" ref="U26:V28">ROUND(((($I26/9)*U$72)*3)*U$74,2)</f>
        <v>13.14</v>
      </c>
      <c r="V26" s="24">
        <f t="shared" si="6"/>
        <v>8.76</v>
      </c>
      <c r="W26" s="24">
        <f aca="true" t="shared" si="7" ref="W26:Z28">ROUND((($I26*(W$72/12))/27)*W$74,2)</f>
        <v>3.32</v>
      </c>
      <c r="X26" s="24">
        <f t="shared" si="7"/>
        <v>2.21</v>
      </c>
      <c r="Y26" s="24">
        <f t="shared" si="7"/>
        <v>3.87</v>
      </c>
      <c r="Z26" s="24">
        <f t="shared" si="7"/>
        <v>2.58</v>
      </c>
      <c r="AA26" s="24">
        <f aca="true" t="shared" si="8" ref="AA26:AB30">Y26+W26</f>
        <v>7.1899999999999995</v>
      </c>
      <c r="AB26" s="24">
        <f t="shared" si="8"/>
        <v>4.79</v>
      </c>
      <c r="AC26" s="24"/>
      <c r="AD26" s="24"/>
      <c r="AE26" s="24"/>
      <c r="AF26" s="271"/>
      <c r="AG26" s="272"/>
    </row>
    <row r="27" spans="1:33" s="4" customFormat="1" ht="21.75" customHeight="1">
      <c r="A27" s="30">
        <v>15</v>
      </c>
      <c r="B27" s="37">
        <v>12828.25</v>
      </c>
      <c r="C27" s="38">
        <v>12950</v>
      </c>
      <c r="D27" s="39" t="s">
        <v>16</v>
      </c>
      <c r="E27" s="24">
        <f t="shared" si="4"/>
        <v>121.75</v>
      </c>
      <c r="F27" s="66">
        <v>12</v>
      </c>
      <c r="G27" s="105">
        <f>ROUND((5729.578-($F27/2))/5729.578,4)</f>
        <v>0.999</v>
      </c>
      <c r="H27" s="61"/>
      <c r="I27" s="24">
        <f>IF(G27=0,ROUND($E27*$F27,2),ROUND($E27*$F27*$G27,2))</f>
        <v>1459.54</v>
      </c>
      <c r="J27" s="24"/>
      <c r="K27" s="24"/>
      <c r="L27" s="24"/>
      <c r="M27" s="24"/>
      <c r="N27" s="24"/>
      <c r="O27" s="24">
        <f t="shared" si="5"/>
        <v>28.38</v>
      </c>
      <c r="P27" s="24">
        <f t="shared" si="5"/>
        <v>18.92</v>
      </c>
      <c r="Q27" s="24">
        <f t="shared" si="5"/>
        <v>16.22</v>
      </c>
      <c r="R27" s="24">
        <f t="shared" si="5"/>
        <v>10.81</v>
      </c>
      <c r="S27" s="24"/>
      <c r="T27" s="24"/>
      <c r="U27" s="24">
        <f t="shared" si="6"/>
        <v>16.05</v>
      </c>
      <c r="V27" s="24">
        <f t="shared" si="6"/>
        <v>10.7</v>
      </c>
      <c r="W27" s="24">
        <f t="shared" si="7"/>
        <v>4.05</v>
      </c>
      <c r="X27" s="24">
        <f t="shared" si="7"/>
        <v>2.7</v>
      </c>
      <c r="Y27" s="24">
        <f t="shared" si="7"/>
        <v>4.73</v>
      </c>
      <c r="Z27" s="24">
        <f t="shared" si="7"/>
        <v>3.15</v>
      </c>
      <c r="AA27" s="24">
        <f t="shared" si="8"/>
        <v>8.780000000000001</v>
      </c>
      <c r="AB27" s="24">
        <f t="shared" si="8"/>
        <v>5.85</v>
      </c>
      <c r="AC27" s="24"/>
      <c r="AD27" s="24"/>
      <c r="AE27" s="24"/>
      <c r="AF27" s="271"/>
      <c r="AG27" s="272"/>
    </row>
    <row r="28" spans="1:33" s="4" customFormat="1" ht="21.75" customHeight="1">
      <c r="A28" s="30">
        <v>16</v>
      </c>
      <c r="B28" s="37">
        <v>416993.98</v>
      </c>
      <c r="C28" s="38">
        <v>417564.56</v>
      </c>
      <c r="D28" s="39" t="s">
        <v>16</v>
      </c>
      <c r="E28" s="24">
        <f t="shared" si="4"/>
        <v>570.5800000000163</v>
      </c>
      <c r="F28" s="66">
        <v>24</v>
      </c>
      <c r="G28" s="105">
        <f>ROUND((3819.7186-($F28/2))/3819.7186,4)</f>
        <v>0.9969</v>
      </c>
      <c r="H28" s="61"/>
      <c r="I28" s="24">
        <f>IF(G28=0,ROUND($E28*$F28,2),ROUND($E28*$F28*$G28,2))</f>
        <v>13651.47</v>
      </c>
      <c r="J28" s="24"/>
      <c r="K28" s="24"/>
      <c r="L28" s="24"/>
      <c r="M28" s="24"/>
      <c r="N28" s="24"/>
      <c r="O28" s="24">
        <f t="shared" si="5"/>
        <v>265.45</v>
      </c>
      <c r="P28" s="24">
        <f t="shared" si="5"/>
        <v>176.96</v>
      </c>
      <c r="Q28" s="24">
        <f t="shared" si="5"/>
        <v>151.68</v>
      </c>
      <c r="R28" s="24">
        <f t="shared" si="5"/>
        <v>101.12</v>
      </c>
      <c r="S28" s="24"/>
      <c r="T28" s="24"/>
      <c r="U28" s="24">
        <f t="shared" si="6"/>
        <v>150.17</v>
      </c>
      <c r="V28" s="24">
        <f t="shared" si="6"/>
        <v>100.11</v>
      </c>
      <c r="W28" s="24">
        <f t="shared" si="7"/>
        <v>37.92</v>
      </c>
      <c r="X28" s="24">
        <f t="shared" si="7"/>
        <v>25.28</v>
      </c>
      <c r="Y28" s="24">
        <f t="shared" si="7"/>
        <v>44.24</v>
      </c>
      <c r="Z28" s="24">
        <f t="shared" si="7"/>
        <v>29.49</v>
      </c>
      <c r="AA28" s="24">
        <f t="shared" si="8"/>
        <v>82.16</v>
      </c>
      <c r="AB28" s="24">
        <f t="shared" si="8"/>
        <v>54.769999999999996</v>
      </c>
      <c r="AC28" s="24"/>
      <c r="AD28" s="24"/>
      <c r="AE28" s="24"/>
      <c r="AF28" s="271"/>
      <c r="AG28" s="272"/>
    </row>
    <row r="29" spans="1:33" s="4" customFormat="1" ht="21.75" customHeight="1">
      <c r="A29" s="30">
        <v>17</v>
      </c>
      <c r="B29" s="37"/>
      <c r="C29" s="38"/>
      <c r="D29" s="39"/>
      <c r="E29" s="107"/>
      <c r="F29" s="89"/>
      <c r="G29" s="24"/>
      <c r="H29" s="61"/>
      <c r="I29" s="90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71"/>
      <c r="AG29" s="272"/>
    </row>
    <row r="30" spans="1:33" s="4" customFormat="1" ht="21.75" customHeight="1">
      <c r="A30" s="30">
        <v>18</v>
      </c>
      <c r="B30" s="37">
        <v>417725.72</v>
      </c>
      <c r="C30" s="38">
        <v>417777.84</v>
      </c>
      <c r="D30" s="39" t="s">
        <v>16</v>
      </c>
      <c r="E30" s="24">
        <f t="shared" si="4"/>
        <v>52.12000000005355</v>
      </c>
      <c r="F30" s="66">
        <f>ROUND((42+40.853)/2,2)</f>
        <v>41.43</v>
      </c>
      <c r="G30" s="105">
        <f>ROUND((3819.7186-($F30/2))/3819.7186,4)</f>
        <v>0.9946</v>
      </c>
      <c r="H30" s="61"/>
      <c r="I30" s="24">
        <f>IF(G30=0,ROUND($E30*$F30,2),ROUND($E30*$F30*$G30,2))</f>
        <v>2147.67</v>
      </c>
      <c r="J30" s="24"/>
      <c r="K30" s="24"/>
      <c r="L30" s="24"/>
      <c r="M30" s="24"/>
      <c r="N30" s="24"/>
      <c r="O30" s="24">
        <f>ROUND(((($I30)*(O$72/12))/27)*O$74,2)</f>
        <v>41.76</v>
      </c>
      <c r="P30" s="24">
        <f>ROUND(((($I30)*(P$72/12))/27)*P$74,2)</f>
        <v>27.84</v>
      </c>
      <c r="Q30" s="24">
        <f>ROUND(((($I30)*(Q$72/12))/27)*Q$74,2)</f>
        <v>23.86</v>
      </c>
      <c r="R30" s="24">
        <f>ROUND(((($I30)*(R$72/12))/27)*R$74,2)</f>
        <v>15.91</v>
      </c>
      <c r="S30" s="24"/>
      <c r="T30" s="24"/>
      <c r="U30" s="24">
        <f>ROUND(((($I30/9)*U$72)*3)*U$74,2)</f>
        <v>23.62</v>
      </c>
      <c r="V30" s="24">
        <f>ROUND(((($I30/9)*V$72)*3)*V$74,2)</f>
        <v>15.75</v>
      </c>
      <c r="W30" s="24">
        <f>ROUND((($I30*(W$72/12))/27)*W$74,2)</f>
        <v>5.97</v>
      </c>
      <c r="X30" s="24">
        <f>ROUND((($I30*(X$72/12))/27)*X$74,2)</f>
        <v>3.98</v>
      </c>
      <c r="Y30" s="24">
        <f>ROUND((($I30*(Y$72/12))/27)*Y$74,2)</f>
        <v>6.96</v>
      </c>
      <c r="Z30" s="24">
        <f>ROUND((($I30*(Z$72/12))/27)*Z$74,2)</f>
        <v>4.64</v>
      </c>
      <c r="AA30" s="24">
        <f t="shared" si="8"/>
        <v>12.93</v>
      </c>
      <c r="AB30" s="24">
        <f t="shared" si="8"/>
        <v>8.62</v>
      </c>
      <c r="AC30" s="24"/>
      <c r="AD30" s="24"/>
      <c r="AE30" s="24"/>
      <c r="AF30" s="271"/>
      <c r="AG30" s="272"/>
    </row>
    <row r="31" spans="1:33" s="4" customFormat="1" ht="21.75" customHeight="1">
      <c r="A31" s="30">
        <v>19</v>
      </c>
      <c r="B31" s="38">
        <f>C30</f>
        <v>417777.84</v>
      </c>
      <c r="C31" s="38">
        <v>418604.15</v>
      </c>
      <c r="D31" s="39" t="s">
        <v>16</v>
      </c>
      <c r="E31" s="24">
        <f t="shared" si="4"/>
        <v>826.3099999999977</v>
      </c>
      <c r="F31" s="66">
        <f>ROUND((40.853+24.3269)/2,2)</f>
        <v>32.59</v>
      </c>
      <c r="G31" s="24"/>
      <c r="H31" s="61"/>
      <c r="I31" s="24">
        <f>IF(G31=0,ROUND($E31*$F31,2),ROUND($E31*$F31*$G31,2))</f>
        <v>26929.44</v>
      </c>
      <c r="J31" s="24"/>
      <c r="K31" s="24"/>
      <c r="L31" s="24"/>
      <c r="M31" s="24"/>
      <c r="N31" s="24"/>
      <c r="O31" s="24">
        <f aca="true" t="shared" si="9" ref="O31:R32">ROUND(((($I31)*(O$72/12))/27)*O$74,2)</f>
        <v>523.63</v>
      </c>
      <c r="P31" s="24">
        <f t="shared" si="9"/>
        <v>349.09</v>
      </c>
      <c r="Q31" s="24">
        <f t="shared" si="9"/>
        <v>299.22</v>
      </c>
      <c r="R31" s="24">
        <f t="shared" si="9"/>
        <v>199.48</v>
      </c>
      <c r="S31" s="24"/>
      <c r="T31" s="24"/>
      <c r="U31" s="24">
        <f aca="true" t="shared" si="10" ref="U31:V33">ROUND(((($I31/9)*U$72)*3)*U$74,2)</f>
        <v>296.22</v>
      </c>
      <c r="V31" s="24">
        <f t="shared" si="10"/>
        <v>197.48</v>
      </c>
      <c r="W31" s="24">
        <f aca="true" t="shared" si="11" ref="W31:Z33">ROUND((($I31*(W$72/12))/27)*W$74,2)</f>
        <v>74.8</v>
      </c>
      <c r="X31" s="24">
        <f t="shared" si="11"/>
        <v>49.87</v>
      </c>
      <c r="Y31" s="24">
        <f t="shared" si="11"/>
        <v>87.27</v>
      </c>
      <c r="Z31" s="24">
        <f t="shared" si="11"/>
        <v>58.18</v>
      </c>
      <c r="AA31" s="24">
        <f aca="true" t="shared" si="12" ref="AA31:AB35">Y31+W31</f>
        <v>162.07</v>
      </c>
      <c r="AB31" s="24">
        <f t="shared" si="12"/>
        <v>108.05</v>
      </c>
      <c r="AC31" s="24"/>
      <c r="AD31" s="24"/>
      <c r="AE31" s="24"/>
      <c r="AF31" s="271"/>
      <c r="AG31" s="272"/>
    </row>
    <row r="32" spans="1:33" s="4" customFormat="1" ht="21.75" customHeight="1">
      <c r="A32" s="30">
        <v>20</v>
      </c>
      <c r="B32" s="37">
        <f>C31</f>
        <v>418604.15</v>
      </c>
      <c r="C32" s="38">
        <v>418620.5</v>
      </c>
      <c r="D32" s="39" t="s">
        <v>16</v>
      </c>
      <c r="E32" s="24">
        <f t="shared" si="4"/>
        <v>16.349999999976717</v>
      </c>
      <c r="F32" s="66">
        <f>ROUND((24.3269+24)/2,2)</f>
        <v>24.16</v>
      </c>
      <c r="G32" s="105">
        <f>ROUND((2901.4858+($F32/2))/2901.4858,4)</f>
        <v>1.0042</v>
      </c>
      <c r="H32" s="61"/>
      <c r="I32" s="24">
        <f>IF(G32=0,ROUND($E32*$F32,2),ROUND($E32*$F32*$G32,2))</f>
        <v>396.68</v>
      </c>
      <c r="J32" s="24"/>
      <c r="K32" s="24"/>
      <c r="L32" s="24"/>
      <c r="M32" s="24"/>
      <c r="N32" s="24"/>
      <c r="O32" s="24">
        <f t="shared" si="9"/>
        <v>7.71</v>
      </c>
      <c r="P32" s="24">
        <f t="shared" si="9"/>
        <v>5.14</v>
      </c>
      <c r="Q32" s="24">
        <f t="shared" si="9"/>
        <v>4.41</v>
      </c>
      <c r="R32" s="24">
        <f t="shared" si="9"/>
        <v>2.94</v>
      </c>
      <c r="S32" s="24"/>
      <c r="T32" s="24"/>
      <c r="U32" s="24">
        <f t="shared" si="10"/>
        <v>4.36</v>
      </c>
      <c r="V32" s="24">
        <f t="shared" si="10"/>
        <v>2.91</v>
      </c>
      <c r="W32" s="24">
        <f t="shared" si="11"/>
        <v>1.1</v>
      </c>
      <c r="X32" s="24">
        <f t="shared" si="11"/>
        <v>0.73</v>
      </c>
      <c r="Y32" s="24">
        <f t="shared" si="11"/>
        <v>1.29</v>
      </c>
      <c r="Z32" s="24">
        <f t="shared" si="11"/>
        <v>0.86</v>
      </c>
      <c r="AA32" s="24">
        <f t="shared" si="12"/>
        <v>2.39</v>
      </c>
      <c r="AB32" s="24">
        <f t="shared" si="12"/>
        <v>1.5899999999999999</v>
      </c>
      <c r="AC32" s="24"/>
      <c r="AD32" s="24"/>
      <c r="AE32" s="24"/>
      <c r="AF32" s="271"/>
      <c r="AG32" s="272"/>
    </row>
    <row r="33" spans="1:33" s="4" customFormat="1" ht="21.75" customHeight="1">
      <c r="A33" s="30">
        <v>21</v>
      </c>
      <c r="B33" s="37">
        <f>C32</f>
        <v>418620.5</v>
      </c>
      <c r="C33" s="38">
        <v>418672.06</v>
      </c>
      <c r="D33" s="39" t="s">
        <v>16</v>
      </c>
      <c r="E33" s="24">
        <f t="shared" si="4"/>
        <v>51.55999999999767</v>
      </c>
      <c r="F33" s="66">
        <v>24</v>
      </c>
      <c r="G33" s="105">
        <f>ROUND((2901.4858+($F33/2))/2901.4858,4)</f>
        <v>1.0041</v>
      </c>
      <c r="H33" s="61"/>
      <c r="I33" s="24">
        <f>IF(G33=0,ROUND($E33*$F33,2),ROUND($E33*$F33*$G33,2))</f>
        <v>1242.51</v>
      </c>
      <c r="J33" s="24"/>
      <c r="K33" s="24"/>
      <c r="L33" s="24"/>
      <c r="M33" s="24"/>
      <c r="N33" s="24"/>
      <c r="O33" s="24">
        <f>ROUND(((($I33)*(O$72/12))/27)*O$74,2)</f>
        <v>24.16</v>
      </c>
      <c r="P33" s="24">
        <f>ROUND(((($I33)*(P$72/12))/27)*P$74,2)</f>
        <v>16.11</v>
      </c>
      <c r="Q33" s="24"/>
      <c r="R33" s="24"/>
      <c r="S33" s="24">
        <f>ROUND(((($I33)*(S$72/12))/27)*S$74,2)</f>
        <v>20.71</v>
      </c>
      <c r="T33" s="24">
        <f>ROUND(((($I33)*(T$72/12))/27)*T$74,2)</f>
        <v>13.81</v>
      </c>
      <c r="U33" s="24">
        <f t="shared" si="10"/>
        <v>13.67</v>
      </c>
      <c r="V33" s="24">
        <f t="shared" si="10"/>
        <v>9.11</v>
      </c>
      <c r="W33" s="24">
        <f t="shared" si="11"/>
        <v>3.45</v>
      </c>
      <c r="X33" s="24">
        <f t="shared" si="11"/>
        <v>2.3</v>
      </c>
      <c r="Y33" s="24">
        <f t="shared" si="11"/>
        <v>4.03</v>
      </c>
      <c r="Z33" s="24">
        <f t="shared" si="11"/>
        <v>2.68</v>
      </c>
      <c r="AA33" s="24">
        <f t="shared" si="12"/>
        <v>7.48</v>
      </c>
      <c r="AB33" s="24">
        <f t="shared" si="12"/>
        <v>4.98</v>
      </c>
      <c r="AC33" s="24"/>
      <c r="AD33" s="24"/>
      <c r="AE33" s="24"/>
      <c r="AF33" s="271"/>
      <c r="AG33" s="272"/>
    </row>
    <row r="34" spans="1:33" s="4" customFormat="1" ht="21.75" customHeight="1">
      <c r="A34" s="30">
        <v>22</v>
      </c>
      <c r="B34" s="37">
        <f>C33</f>
        <v>418672.06</v>
      </c>
      <c r="C34" s="38">
        <v>419603.94</v>
      </c>
      <c r="D34" s="39" t="s">
        <v>16</v>
      </c>
      <c r="E34" s="213" t="s">
        <v>13</v>
      </c>
      <c r="F34" s="214"/>
      <c r="G34" s="214"/>
      <c r="H34" s="214"/>
      <c r="I34" s="215"/>
      <c r="J34" s="24">
        <f>9195.4656+191.0748+809.1483+64.8102+8.2145+3.9551</f>
        <v>10272.6685</v>
      </c>
      <c r="K34" s="24"/>
      <c r="L34" s="24"/>
      <c r="M34" s="24"/>
      <c r="N34" s="24"/>
      <c r="O34" s="24">
        <f>ROUND(((($J34)*(O$72/12))/27)*O$74,2)</f>
        <v>199.75</v>
      </c>
      <c r="P34" s="24">
        <f>ROUND(((($J34)*(P$72/12))/27)*P$74,2)</f>
        <v>133.16</v>
      </c>
      <c r="Q34" s="24"/>
      <c r="R34" s="24"/>
      <c r="S34" s="24">
        <f>ROUND(((($J34)*(S$72/12))/27)*S$74,2)</f>
        <v>171.21</v>
      </c>
      <c r="T34" s="24">
        <f>ROUND(((($J34)*(T$72/12))/27)*T$74,2)</f>
        <v>114.14</v>
      </c>
      <c r="U34" s="24">
        <f>ROUND(((($J34/9)*U$72)*3)*U$74,2)</f>
        <v>113</v>
      </c>
      <c r="V34" s="24">
        <f>ROUND(((($J34/9)*V$72)*3)*V$74,2)</f>
        <v>75.33</v>
      </c>
      <c r="W34" s="24">
        <f>ROUND((($J34*(W$72/12))/27)*W$74,2)</f>
        <v>28.54</v>
      </c>
      <c r="X34" s="24">
        <f>ROUND((($J34*(X$72/12))/27)*X$74,2)</f>
        <v>19.02</v>
      </c>
      <c r="Y34" s="24">
        <f>ROUND((($J34*(Y$72/12))/27)*Y$74,2)</f>
        <v>33.29</v>
      </c>
      <c r="Z34" s="24">
        <f>ROUND((($J34*(Z$72/12))/27)*Z$74,2)</f>
        <v>22.19</v>
      </c>
      <c r="AA34" s="24">
        <f t="shared" si="12"/>
        <v>61.83</v>
      </c>
      <c r="AB34" s="24">
        <f t="shared" si="12"/>
        <v>41.21</v>
      </c>
      <c r="AC34" s="24"/>
      <c r="AD34" s="24"/>
      <c r="AE34" s="24"/>
      <c r="AF34" s="271"/>
      <c r="AG34" s="272"/>
    </row>
    <row r="35" spans="1:33" s="4" customFormat="1" ht="21.75" customHeight="1">
      <c r="A35" s="30">
        <v>23</v>
      </c>
      <c r="B35" s="37">
        <f>C34</f>
        <v>419603.94</v>
      </c>
      <c r="C35" s="38">
        <v>419798.56</v>
      </c>
      <c r="D35" s="39" t="s">
        <v>16</v>
      </c>
      <c r="E35" s="24">
        <f>C35-B35</f>
        <v>194.61999999999534</v>
      </c>
      <c r="F35" s="66">
        <f>ROUND((10.7984+0)/2,2)</f>
        <v>5.4</v>
      </c>
      <c r="G35" s="105"/>
      <c r="H35" s="61"/>
      <c r="I35" s="24">
        <f>IF(G35=0,ROUND($E35*$F35,2),ROUND($E35*$F35*$G35,2))</f>
        <v>1050.95</v>
      </c>
      <c r="J35" s="24"/>
      <c r="K35" s="24"/>
      <c r="L35" s="24"/>
      <c r="M35" s="24"/>
      <c r="N35" s="24"/>
      <c r="O35" s="24">
        <f>ROUND(((($I35)*(O$72/12))/27)*O$74,2)</f>
        <v>20.44</v>
      </c>
      <c r="P35" s="24">
        <f>ROUND(((($I35)*(P$72/12))/27)*P$74,2)</f>
        <v>13.62</v>
      </c>
      <c r="Q35" s="24"/>
      <c r="R35" s="24"/>
      <c r="S35" s="24">
        <f>ROUND(((($I35)*(S$72/12))/27)*S$74,2)</f>
        <v>17.52</v>
      </c>
      <c r="T35" s="24">
        <f>ROUND(((($I35)*(T$72/12))/27)*T$74,2)</f>
        <v>11.68</v>
      </c>
      <c r="U35" s="24">
        <f>ROUND(((($I35/9)*U$72)*3)*U$74,2)</f>
        <v>11.56</v>
      </c>
      <c r="V35" s="24">
        <f>ROUND(((($I35/9)*V$72)*3)*V$74,2)</f>
        <v>7.71</v>
      </c>
      <c r="W35" s="24">
        <f>ROUND((($I35*(W$72/12))/27)*W$74,2)</f>
        <v>2.92</v>
      </c>
      <c r="X35" s="24">
        <f>ROUND((($I35*(X$72/12))/27)*X$74,2)</f>
        <v>1.95</v>
      </c>
      <c r="Y35" s="24">
        <f>ROUND((($I35*(Y$72/12))/27)*Y$74,2)</f>
        <v>3.41</v>
      </c>
      <c r="Z35" s="24">
        <f>ROUND((($I35*(Z$72/12))/27)*Z$74,2)</f>
        <v>2.27</v>
      </c>
      <c r="AA35" s="24">
        <f t="shared" si="12"/>
        <v>6.33</v>
      </c>
      <c r="AB35" s="24">
        <f t="shared" si="12"/>
        <v>4.22</v>
      </c>
      <c r="AC35" s="24"/>
      <c r="AD35" s="24"/>
      <c r="AE35" s="24"/>
      <c r="AF35" s="271"/>
      <c r="AG35" s="272"/>
    </row>
    <row r="36" spans="1:33" s="4" customFormat="1" ht="21.75" customHeight="1">
      <c r="A36" s="30">
        <v>24</v>
      </c>
      <c r="B36" s="37"/>
      <c r="C36" s="38"/>
      <c r="D36" s="39"/>
      <c r="E36" s="24"/>
      <c r="F36" s="92"/>
      <c r="G36" s="24"/>
      <c r="H36" s="61"/>
      <c r="I36" s="66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71"/>
      <c r="AG36" s="272"/>
    </row>
    <row r="37" spans="1:33" s="4" customFormat="1" ht="21.75" customHeight="1">
      <c r="A37" s="30">
        <v>25</v>
      </c>
      <c r="B37" s="67" t="s">
        <v>24</v>
      </c>
      <c r="C37" s="38"/>
      <c r="D37" s="39"/>
      <c r="E37" s="24"/>
      <c r="F37" s="92"/>
      <c r="G37" s="39"/>
      <c r="H37" s="61"/>
      <c r="I37" s="66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71"/>
      <c r="AG37" s="272"/>
    </row>
    <row r="38" spans="1:33" s="4" customFormat="1" ht="21.75" customHeight="1">
      <c r="A38" s="30">
        <v>26</v>
      </c>
      <c r="B38" s="37">
        <v>12596</v>
      </c>
      <c r="C38" s="38">
        <v>12633</v>
      </c>
      <c r="D38" s="39" t="s">
        <v>17</v>
      </c>
      <c r="E38" s="24">
        <f>C38-B38</f>
        <v>37</v>
      </c>
      <c r="F38" s="66">
        <f>ROUND((13.4775+12)/2,2)</f>
        <v>12.74</v>
      </c>
      <c r="G38" s="105">
        <f>ROUND((5729.578+24+($F38/2))/5729.578,4)</f>
        <v>1.0053</v>
      </c>
      <c r="H38" s="105">
        <f>ROUND((5729.578+24+$F38)/5729.578,4)</f>
        <v>1.0064</v>
      </c>
      <c r="I38" s="24">
        <f>IF(G38=0,ROUND($E38*$F38,2),ROUND($E38*$F38*$G38,2))</f>
        <v>473.88</v>
      </c>
      <c r="J38" s="24"/>
      <c r="K38" s="24"/>
      <c r="L38" s="24"/>
      <c r="M38" s="24"/>
      <c r="N38" s="24">
        <f>IF($H38=0,ROUND($E38*(N$72/12),2),ROUND($E38*$H38*(N$72/12),2))</f>
        <v>86.89</v>
      </c>
      <c r="O38" s="24">
        <f aca="true" t="shared" si="13" ref="O38:R39">ROUND(((($I38+$N38)*(O$72/12))/27)*O$74,2)</f>
        <v>10.9</v>
      </c>
      <c r="P38" s="24">
        <f t="shared" si="13"/>
        <v>7.27</v>
      </c>
      <c r="Q38" s="24">
        <f t="shared" si="13"/>
        <v>6.23</v>
      </c>
      <c r="R38" s="24">
        <f t="shared" si="13"/>
        <v>4.15</v>
      </c>
      <c r="S38" s="24"/>
      <c r="T38" s="24"/>
      <c r="U38" s="24">
        <f>ROUND((((($I38+$N38)/9)*3)*U$72)*U$74,2)</f>
        <v>6.17</v>
      </c>
      <c r="V38" s="24">
        <f>ROUND((((($I38+$N38)/9)*3)*V$72)*V$74,2)</f>
        <v>4.11</v>
      </c>
      <c r="W38" s="24">
        <f>ROUND((($I38*(W$72/12))/27)*W$74,2)</f>
        <v>1.32</v>
      </c>
      <c r="X38" s="24">
        <f>ROUND((($I38*(X$72/12))/27)*X$74,2)</f>
        <v>0.88</v>
      </c>
      <c r="Y38" s="24">
        <f>ROUND(((($I38+$N38)*(Y$72/12))/27)*Y$74,2)</f>
        <v>1.82</v>
      </c>
      <c r="Z38" s="24">
        <f>ROUND(((($I38+$N38)*(Z$72/12))/27)*Z$74,2)</f>
        <v>1.21</v>
      </c>
      <c r="AA38" s="24"/>
      <c r="AB38" s="24"/>
      <c r="AC38" s="24"/>
      <c r="AD38" s="24"/>
      <c r="AE38" s="24"/>
      <c r="AF38" s="271"/>
      <c r="AG38" s="272"/>
    </row>
    <row r="39" spans="1:33" s="4" customFormat="1" ht="21.75" customHeight="1">
      <c r="A39" s="30">
        <v>27</v>
      </c>
      <c r="B39" s="37">
        <f>C38</f>
        <v>12633</v>
      </c>
      <c r="C39" s="38">
        <v>12695.75</v>
      </c>
      <c r="D39" s="39" t="s">
        <v>17</v>
      </c>
      <c r="E39" s="24">
        <f>C39-B39</f>
        <v>62.75</v>
      </c>
      <c r="F39" s="66">
        <v>12</v>
      </c>
      <c r="G39" s="105">
        <f>ROUND((5729.578+24+($F39/2))/5729.578,4)</f>
        <v>1.0052</v>
      </c>
      <c r="H39" s="105">
        <f>ROUND((5729.578+24+$F39)/5729.578,4)</f>
        <v>1.0063</v>
      </c>
      <c r="I39" s="24">
        <f>IF(G39=0,ROUND($E39*$F39,2),ROUND($E39*$F39*$G39,2))</f>
        <v>756.92</v>
      </c>
      <c r="J39" s="24"/>
      <c r="K39" s="24"/>
      <c r="L39" s="24"/>
      <c r="M39" s="24"/>
      <c r="N39" s="24">
        <f>IF($H39=0,ROUND($E39*(N$72/12),2),ROUND($E39*$H39*(N$72/12),2))</f>
        <v>147.34</v>
      </c>
      <c r="O39" s="24">
        <f t="shared" si="13"/>
        <v>17.58</v>
      </c>
      <c r="P39" s="24">
        <f t="shared" si="13"/>
        <v>11.72</v>
      </c>
      <c r="Q39" s="24">
        <f t="shared" si="13"/>
        <v>10.05</v>
      </c>
      <c r="R39" s="24">
        <f t="shared" si="13"/>
        <v>6.7</v>
      </c>
      <c r="S39" s="24"/>
      <c r="T39" s="24"/>
      <c r="U39" s="24">
        <f>ROUND((((($I39+$N39)/9)*3)*U$72)*U$74,2)</f>
        <v>9.95</v>
      </c>
      <c r="V39" s="24">
        <f>ROUND((((($I39+$N39)/9)*3)*V$72)*V$74,2)</f>
        <v>6.63</v>
      </c>
      <c r="W39" s="24">
        <f>ROUND((($I39*(W$72/12))/27)*W$74,2)</f>
        <v>2.1</v>
      </c>
      <c r="X39" s="24">
        <f>ROUND((($I39*(X$72/12))/27)*X$74,2)</f>
        <v>1.4</v>
      </c>
      <c r="Y39" s="24">
        <f>ROUND(((($I39+$N39)*(Y$72/12))/27)*Y$74,2)</f>
        <v>2.93</v>
      </c>
      <c r="Z39" s="24">
        <f>ROUND(((($I39+$N39)*(Z$72/12))/27)*Z$74,2)</f>
        <v>1.95</v>
      </c>
      <c r="AA39" s="24"/>
      <c r="AB39" s="24"/>
      <c r="AC39" s="24"/>
      <c r="AD39" s="24"/>
      <c r="AE39" s="24"/>
      <c r="AF39" s="271"/>
      <c r="AG39" s="272"/>
    </row>
    <row r="40" spans="1:33" s="4" customFormat="1" ht="21.75" customHeight="1">
      <c r="A40" s="30">
        <v>28</v>
      </c>
      <c r="B40" s="38"/>
      <c r="C40" s="38"/>
      <c r="D40" s="39"/>
      <c r="E40" s="24"/>
      <c r="F40" s="66"/>
      <c r="G40" s="105"/>
      <c r="H40" s="61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71"/>
      <c r="AG40" s="272"/>
    </row>
    <row r="41" spans="1:33" s="4" customFormat="1" ht="21.75" customHeight="1">
      <c r="A41" s="30">
        <v>29</v>
      </c>
      <c r="B41" s="37">
        <v>12827.5</v>
      </c>
      <c r="C41" s="38">
        <v>12895</v>
      </c>
      <c r="D41" s="39" t="s">
        <v>17</v>
      </c>
      <c r="E41" s="24">
        <f>C41-B41</f>
        <v>67.5</v>
      </c>
      <c r="F41" s="66">
        <v>12</v>
      </c>
      <c r="G41" s="105">
        <f>ROUND((5729.578+24+($F41/2))/5729.578,4)</f>
        <v>1.0052</v>
      </c>
      <c r="H41" s="105">
        <f>ROUND((5729.578+24+$F41)/5729.578,4)</f>
        <v>1.0063</v>
      </c>
      <c r="I41" s="24">
        <f>IF(G41=0,ROUND($E41*$F41,2),ROUND($E41*$F41*$G41,2))</f>
        <v>814.21</v>
      </c>
      <c r="J41" s="24"/>
      <c r="K41" s="24"/>
      <c r="L41" s="24"/>
      <c r="M41" s="24">
        <f>IF($H41=0,ROUND($E41*(M$72/12),2),ROUND($E41*$H41*(M$72/12),2))</f>
        <v>113.21</v>
      </c>
      <c r="N41" s="24"/>
      <c r="O41" s="24">
        <f>ROUND(((($I41)*(O$72/12))/27)*O$74,2)</f>
        <v>15.83</v>
      </c>
      <c r="P41" s="24">
        <f>ROUND(((($I41)*(P$72/12))/27)*P$74,2)</f>
        <v>10.55</v>
      </c>
      <c r="Q41" s="24">
        <f>ROUND(((($I41+$M41)*(Q$72/12))/27)*Q$74,2)</f>
        <v>10.3</v>
      </c>
      <c r="R41" s="24">
        <f>ROUND(((($I41+$M41)*(R$72/12))/27)*R$74,2)</f>
        <v>6.87</v>
      </c>
      <c r="S41" s="24"/>
      <c r="T41" s="24"/>
      <c r="U41" s="24">
        <f>ROUND(((($I41/9)*U$72)*3)*U$74,2)</f>
        <v>8.96</v>
      </c>
      <c r="V41" s="24">
        <f>ROUND(((($I41/9)*V$72)*3)*V$74,2)</f>
        <v>5.97</v>
      </c>
      <c r="W41" s="24">
        <f aca="true" t="shared" si="14" ref="W41:Z42">ROUND((($I41*(W$72/12))/27)*W$74,2)</f>
        <v>2.26</v>
      </c>
      <c r="X41" s="24">
        <f t="shared" si="14"/>
        <v>1.51</v>
      </c>
      <c r="Y41" s="24">
        <f t="shared" si="14"/>
        <v>2.64</v>
      </c>
      <c r="Z41" s="24">
        <f t="shared" si="14"/>
        <v>1.76</v>
      </c>
      <c r="AA41" s="24"/>
      <c r="AB41" s="24"/>
      <c r="AC41" s="24">
        <f>IF(H41=0,$E41*AC$74,ROUND($E41*$H41*AC$74,2))</f>
        <v>40.76</v>
      </c>
      <c r="AD41" s="24">
        <f>IF(I41=0,$E41*AD$74,ROUND($E41*$H41*AD$74,2))</f>
        <v>27.17</v>
      </c>
      <c r="AE41" s="24"/>
      <c r="AF41" s="271"/>
      <c r="AG41" s="272"/>
    </row>
    <row r="42" spans="1:33" s="4" customFormat="1" ht="21.75" customHeight="1">
      <c r="A42" s="30">
        <v>30</v>
      </c>
      <c r="B42" s="37">
        <f>C41</f>
        <v>12895</v>
      </c>
      <c r="C42" s="38">
        <v>12950</v>
      </c>
      <c r="D42" s="39" t="s">
        <v>17</v>
      </c>
      <c r="E42" s="24">
        <f>C42-B42</f>
        <v>55</v>
      </c>
      <c r="F42" s="66">
        <f>ROUND((12+10.7765)/2,2)</f>
        <v>11.39</v>
      </c>
      <c r="G42" s="105">
        <f>ROUND((5729.578+24+($F42/2))/5729.578,4)</f>
        <v>1.0052</v>
      </c>
      <c r="H42" s="105">
        <f>ROUND((5729.578+24+$F42)/5729.578,4)</f>
        <v>1.0062</v>
      </c>
      <c r="I42" s="24">
        <f>IF(G42=0,ROUND($E42*$F42,2),ROUND($E42*$F42*$G42,2))</f>
        <v>629.71</v>
      </c>
      <c r="J42" s="24"/>
      <c r="K42" s="24"/>
      <c r="L42" s="24"/>
      <c r="M42" s="24">
        <f>IF($H42=0,ROUND($E42*(M$72/12),2),ROUND($E42*$H42*(M$72/12),2))</f>
        <v>92.24</v>
      </c>
      <c r="N42" s="24"/>
      <c r="O42" s="24">
        <f>ROUND(((($I42)*(O$72/12))/27)*O$74,2)</f>
        <v>12.24</v>
      </c>
      <c r="P42" s="24">
        <f>ROUND(((($I42)*(P$72/12))/27)*P$74,2)</f>
        <v>8.16</v>
      </c>
      <c r="Q42" s="24">
        <f>ROUND(((($I42+$M42)*(Q$72/12))/27)*Q$74,2)</f>
        <v>8.02</v>
      </c>
      <c r="R42" s="24">
        <f>ROUND(((($I42+$M42)*(R$72/12))/27)*R$74,2)</f>
        <v>5.35</v>
      </c>
      <c r="S42" s="24"/>
      <c r="T42" s="24"/>
      <c r="U42" s="24">
        <f>ROUND(((($I42/9)*U$72)*3)*U$74,2)</f>
        <v>6.93</v>
      </c>
      <c r="V42" s="24">
        <f>ROUND(((($I42/9)*V$72)*3)*V$74,2)</f>
        <v>4.62</v>
      </c>
      <c r="W42" s="24">
        <f t="shared" si="14"/>
        <v>1.75</v>
      </c>
      <c r="X42" s="24">
        <f t="shared" si="14"/>
        <v>1.17</v>
      </c>
      <c r="Y42" s="24">
        <f t="shared" si="14"/>
        <v>2.04</v>
      </c>
      <c r="Z42" s="24">
        <f t="shared" si="14"/>
        <v>1.36</v>
      </c>
      <c r="AA42" s="24"/>
      <c r="AB42" s="24"/>
      <c r="AC42" s="24">
        <f>IF(H42=0,$E42*AC$74,ROUND($E42*$H42*AC$74,2))</f>
        <v>33.2</v>
      </c>
      <c r="AD42" s="24">
        <f>IF(I42=0,$E42*AD$74,ROUND($E42*$H42*AD$74,2))</f>
        <v>22.14</v>
      </c>
      <c r="AE42" s="24"/>
      <c r="AF42" s="271"/>
      <c r="AG42" s="272"/>
    </row>
    <row r="43" spans="1:33" s="4" customFormat="1" ht="21.75" customHeight="1">
      <c r="A43" s="30">
        <v>31</v>
      </c>
      <c r="B43" s="37"/>
      <c r="C43" s="38"/>
      <c r="D43" s="39"/>
      <c r="E43" s="104"/>
      <c r="F43" s="107"/>
      <c r="G43" s="24"/>
      <c r="H43" s="61"/>
      <c r="I43" s="90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71"/>
      <c r="AG43" s="272"/>
    </row>
    <row r="44" spans="1:33" s="4" customFormat="1" ht="21.75" customHeight="1">
      <c r="A44" s="30">
        <v>32</v>
      </c>
      <c r="B44" s="37">
        <v>415861.63</v>
      </c>
      <c r="C44" s="38">
        <v>416598.74</v>
      </c>
      <c r="D44" s="39" t="s">
        <v>17</v>
      </c>
      <c r="E44" s="213" t="s">
        <v>13</v>
      </c>
      <c r="F44" s="214"/>
      <c r="G44" s="214"/>
      <c r="H44" s="214"/>
      <c r="I44" s="215"/>
      <c r="J44" s="24">
        <v>7502.84</v>
      </c>
      <c r="K44" s="24"/>
      <c r="L44" s="24"/>
      <c r="M44" s="24"/>
      <c r="N44" s="24"/>
      <c r="O44" s="24">
        <f>ROUND(((($J44)*(O$72/12))/27)*O$74,2)</f>
        <v>145.89</v>
      </c>
      <c r="P44" s="24">
        <f>ROUND(((($J44)*(P$72/12))/27)*P$74,2)</f>
        <v>97.26</v>
      </c>
      <c r="Q44" s="24"/>
      <c r="R44" s="24"/>
      <c r="S44" s="24">
        <f>ROUND(((($J44)*(S$72/12))/27)*S$74,2)</f>
        <v>125.05</v>
      </c>
      <c r="T44" s="24">
        <f>ROUND(((($J44)*(T$72/12))/27)*T$74,2)</f>
        <v>83.36</v>
      </c>
      <c r="U44" s="24">
        <f>ROUND(((($J44/9)*U$72)*3)*U$74,2)</f>
        <v>82.53</v>
      </c>
      <c r="V44" s="24">
        <f>ROUND(((($J44/9)*V$72)*3)*V$74,2)</f>
        <v>55.02</v>
      </c>
      <c r="W44" s="24">
        <f>ROUND((($J44*(W$72/12))/27)*W$74,2)</f>
        <v>20.84</v>
      </c>
      <c r="X44" s="24">
        <f>ROUND((($J44*(X$72/12))/27)*X$74,2)</f>
        <v>13.89</v>
      </c>
      <c r="Y44" s="24">
        <f>ROUND((($J44*(Y$72/12))/27)*Y$74,2)</f>
        <v>24.31</v>
      </c>
      <c r="Z44" s="24">
        <f>ROUND((($J44*(Z$72/12))/27)*Z$74,2)</f>
        <v>16.21</v>
      </c>
      <c r="AA44" s="24"/>
      <c r="AB44" s="24"/>
      <c r="AC44" s="24"/>
      <c r="AD44" s="24"/>
      <c r="AE44" s="24"/>
      <c r="AF44" s="271"/>
      <c r="AG44" s="272"/>
    </row>
    <row r="45" spans="1:33" s="4" customFormat="1" ht="21.75" customHeight="1">
      <c r="A45" s="30">
        <v>33</v>
      </c>
      <c r="B45" s="37"/>
      <c r="C45" s="38"/>
      <c r="D45" s="39"/>
      <c r="E45" s="70"/>
      <c r="F45" s="24"/>
      <c r="G45" s="24"/>
      <c r="H45" s="61"/>
      <c r="I45" s="66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71"/>
      <c r="AG45" s="272"/>
    </row>
    <row r="46" spans="1:33" s="4" customFormat="1" ht="21.75" customHeight="1">
      <c r="A46" s="30">
        <v>34</v>
      </c>
      <c r="B46" s="37">
        <v>416982.17</v>
      </c>
      <c r="C46" s="38">
        <v>417002.21</v>
      </c>
      <c r="D46" s="39" t="s">
        <v>17</v>
      </c>
      <c r="E46" s="24">
        <f aca="true" t="shared" si="15" ref="E46:E56">C46-B46</f>
        <v>20.040000000037253</v>
      </c>
      <c r="F46" s="66">
        <f>ROUND((13.5+14.5)/2,2)</f>
        <v>14</v>
      </c>
      <c r="G46" s="105">
        <f aca="true" t="shared" si="16" ref="G46:G52">ROUND((3819.7186+24+($F46/2))/3819.7186,4)</f>
        <v>1.0081</v>
      </c>
      <c r="H46" s="105"/>
      <c r="I46" s="24">
        <f aca="true" t="shared" si="17" ref="I46:I56">IF(G46=0,ROUND($E46*$F46,2),ROUND($E46*$F46*$G46,2))</f>
        <v>282.83</v>
      </c>
      <c r="J46" s="24"/>
      <c r="K46" s="119"/>
      <c r="L46" s="24"/>
      <c r="M46" s="24"/>
      <c r="N46" s="24"/>
      <c r="O46" s="24">
        <f aca="true" t="shared" si="18" ref="O46:R49">ROUND(((($I46)*(O$72/12))/27)*O$74,2)</f>
        <v>5.5</v>
      </c>
      <c r="P46" s="24">
        <f t="shared" si="18"/>
        <v>3.67</v>
      </c>
      <c r="Q46" s="24">
        <f t="shared" si="18"/>
        <v>3.14</v>
      </c>
      <c r="R46" s="24">
        <f t="shared" si="18"/>
        <v>2.1</v>
      </c>
      <c r="S46" s="24"/>
      <c r="T46" s="24"/>
      <c r="U46" s="24">
        <f aca="true" t="shared" si="19" ref="U46:V49">ROUND(((($I46/9)*U$72)*3)*U$74,2)</f>
        <v>3.11</v>
      </c>
      <c r="V46" s="24">
        <f t="shared" si="19"/>
        <v>2.07</v>
      </c>
      <c r="W46" s="24">
        <f aca="true" t="shared" si="20" ref="W46:Z50">ROUND((($I46*(W$72/12))/27)*W$74,2)</f>
        <v>0.79</v>
      </c>
      <c r="X46" s="24">
        <f t="shared" si="20"/>
        <v>0.52</v>
      </c>
      <c r="Y46" s="24">
        <f t="shared" si="20"/>
        <v>0.92</v>
      </c>
      <c r="Z46" s="24">
        <f t="shared" si="20"/>
        <v>0.61</v>
      </c>
      <c r="AA46" s="24"/>
      <c r="AB46" s="24"/>
      <c r="AC46" s="24"/>
      <c r="AD46" s="24"/>
      <c r="AE46" s="24"/>
      <c r="AF46" s="271"/>
      <c r="AG46" s="272"/>
    </row>
    <row r="47" spans="1:33" s="4" customFormat="1" ht="21.75" customHeight="1">
      <c r="A47" s="30">
        <v>35</v>
      </c>
      <c r="B47" s="115">
        <f>C46</f>
        <v>417002.21</v>
      </c>
      <c r="C47" s="116">
        <v>417041.79</v>
      </c>
      <c r="D47" s="39" t="s">
        <v>17</v>
      </c>
      <c r="E47" s="24">
        <f>C47-B47</f>
        <v>39.57999999995809</v>
      </c>
      <c r="F47" s="66">
        <f>ROUND((14.5+15.1)/2,2)</f>
        <v>14.8</v>
      </c>
      <c r="G47" s="105">
        <f t="shared" si="16"/>
        <v>1.0082</v>
      </c>
      <c r="H47" s="105"/>
      <c r="I47" s="24">
        <f>IF(G47=0,ROUND($E47*$F47,2),ROUND($E47*$F47*$G47,2))</f>
        <v>590.59</v>
      </c>
      <c r="J47" s="24"/>
      <c r="K47" s="24"/>
      <c r="L47" s="24"/>
      <c r="M47" s="24"/>
      <c r="N47" s="24"/>
      <c r="O47" s="24">
        <f t="shared" si="18"/>
        <v>11.48</v>
      </c>
      <c r="P47" s="24">
        <f t="shared" si="18"/>
        <v>7.66</v>
      </c>
      <c r="Q47" s="24">
        <f t="shared" si="18"/>
        <v>6.56</v>
      </c>
      <c r="R47" s="24">
        <f t="shared" si="18"/>
        <v>4.37</v>
      </c>
      <c r="S47" s="24"/>
      <c r="T47" s="24"/>
      <c r="U47" s="24">
        <f t="shared" si="19"/>
        <v>6.5</v>
      </c>
      <c r="V47" s="24">
        <f t="shared" si="19"/>
        <v>4.33</v>
      </c>
      <c r="W47" s="24">
        <f t="shared" si="20"/>
        <v>1.64</v>
      </c>
      <c r="X47" s="24">
        <f t="shared" si="20"/>
        <v>1.09</v>
      </c>
      <c r="Y47" s="24">
        <f t="shared" si="20"/>
        <v>1.91</v>
      </c>
      <c r="Z47" s="24">
        <f t="shared" si="20"/>
        <v>1.28</v>
      </c>
      <c r="AA47" s="24"/>
      <c r="AB47" s="24"/>
      <c r="AC47" s="24"/>
      <c r="AD47" s="107"/>
      <c r="AE47" s="24"/>
      <c r="AF47" s="271"/>
      <c r="AG47" s="272"/>
    </row>
    <row r="48" spans="1:33" s="4" customFormat="1" ht="21.75" customHeight="1">
      <c r="A48" s="30">
        <v>36</v>
      </c>
      <c r="B48" s="38">
        <f>C47</f>
        <v>417041.79</v>
      </c>
      <c r="C48" s="103">
        <v>417051.68</v>
      </c>
      <c r="D48" s="39" t="s">
        <v>17</v>
      </c>
      <c r="E48" s="24">
        <f>C48-B48</f>
        <v>9.89000000001397</v>
      </c>
      <c r="F48" s="66">
        <f>ROUND((15.1+15.5)/2,2)</f>
        <v>15.3</v>
      </c>
      <c r="G48" s="105">
        <f t="shared" si="16"/>
        <v>1.0083</v>
      </c>
      <c r="H48" s="117"/>
      <c r="I48" s="24">
        <f>IF(G48=0,ROUND($E48*$F48,2),ROUND($E48*$F48*$G48,2))</f>
        <v>152.57</v>
      </c>
      <c r="J48" s="74"/>
      <c r="K48" s="74"/>
      <c r="L48" s="24"/>
      <c r="M48" s="24"/>
      <c r="N48" s="74"/>
      <c r="O48" s="24">
        <f t="shared" si="18"/>
        <v>2.97</v>
      </c>
      <c r="P48" s="24">
        <f t="shared" si="18"/>
        <v>1.98</v>
      </c>
      <c r="Q48" s="24">
        <f t="shared" si="18"/>
        <v>1.7</v>
      </c>
      <c r="R48" s="24">
        <f t="shared" si="18"/>
        <v>1.13</v>
      </c>
      <c r="S48" s="24"/>
      <c r="T48" s="24"/>
      <c r="U48" s="24">
        <f t="shared" si="19"/>
        <v>1.68</v>
      </c>
      <c r="V48" s="24">
        <f t="shared" si="19"/>
        <v>1.12</v>
      </c>
      <c r="W48" s="24">
        <f t="shared" si="20"/>
        <v>0.42</v>
      </c>
      <c r="X48" s="24">
        <f t="shared" si="20"/>
        <v>0.28</v>
      </c>
      <c r="Y48" s="24">
        <f t="shared" si="20"/>
        <v>0.49</v>
      </c>
      <c r="Z48" s="24">
        <f t="shared" si="20"/>
        <v>0.33</v>
      </c>
      <c r="AA48" s="24"/>
      <c r="AB48" s="24"/>
      <c r="AC48" s="24"/>
      <c r="AD48" s="24"/>
      <c r="AE48" s="24"/>
      <c r="AF48" s="271"/>
      <c r="AG48" s="272"/>
    </row>
    <row r="49" spans="1:33" s="4" customFormat="1" ht="21.75" customHeight="1">
      <c r="A49" s="30">
        <v>37</v>
      </c>
      <c r="B49" s="38">
        <f>C48</f>
        <v>417051.68</v>
      </c>
      <c r="C49" s="38">
        <v>417091.16</v>
      </c>
      <c r="D49" s="39" t="s">
        <v>17</v>
      </c>
      <c r="E49" s="24">
        <f>C49-B49</f>
        <v>39.47999999998137</v>
      </c>
      <c r="F49" s="66">
        <f>ROUND((15.5+18.2)/2,2)</f>
        <v>16.85</v>
      </c>
      <c r="G49" s="105">
        <f t="shared" si="16"/>
        <v>1.0085</v>
      </c>
      <c r="H49" s="61"/>
      <c r="I49" s="24">
        <f>IF(G49=0,ROUND($E49*$F49,2),ROUND($E49*$F49*$G49,2))</f>
        <v>670.89</v>
      </c>
      <c r="J49" s="24"/>
      <c r="K49" s="24"/>
      <c r="L49" s="24"/>
      <c r="M49" s="24"/>
      <c r="N49" s="24"/>
      <c r="O49" s="24">
        <f t="shared" si="18"/>
        <v>13.05</v>
      </c>
      <c r="P49" s="24">
        <f t="shared" si="18"/>
        <v>8.7</v>
      </c>
      <c r="Q49" s="24">
        <f t="shared" si="18"/>
        <v>7.45</v>
      </c>
      <c r="R49" s="24">
        <f t="shared" si="18"/>
        <v>4.97</v>
      </c>
      <c r="S49" s="24"/>
      <c r="T49" s="24"/>
      <c r="U49" s="24">
        <f t="shared" si="19"/>
        <v>7.38</v>
      </c>
      <c r="V49" s="24">
        <f t="shared" si="19"/>
        <v>4.92</v>
      </c>
      <c r="W49" s="24">
        <f t="shared" si="20"/>
        <v>1.86</v>
      </c>
      <c r="X49" s="24">
        <f t="shared" si="20"/>
        <v>1.24</v>
      </c>
      <c r="Y49" s="24">
        <f t="shared" si="20"/>
        <v>2.17</v>
      </c>
      <c r="Z49" s="24">
        <f t="shared" si="20"/>
        <v>1.45</v>
      </c>
      <c r="AA49" s="24"/>
      <c r="AB49" s="24"/>
      <c r="AC49" s="24"/>
      <c r="AD49" s="24"/>
      <c r="AE49" s="24"/>
      <c r="AF49" s="271"/>
      <c r="AG49" s="272"/>
    </row>
    <row r="50" spans="1:33" s="4" customFormat="1" ht="21.75" customHeight="1" thickBot="1">
      <c r="A50" s="30">
        <v>38</v>
      </c>
      <c r="B50" s="37">
        <f>C49</f>
        <v>417091.16</v>
      </c>
      <c r="C50" s="38">
        <v>417350</v>
      </c>
      <c r="D50" s="39" t="s">
        <v>17</v>
      </c>
      <c r="E50" s="24">
        <f>C50-B50</f>
        <v>258.8400000000256</v>
      </c>
      <c r="F50" s="66">
        <v>15</v>
      </c>
      <c r="G50" s="105">
        <f t="shared" si="16"/>
        <v>1.0082</v>
      </c>
      <c r="H50" s="105">
        <f>ROUND((3819.7186+24+($F50))/3819.7186,4)</f>
        <v>1.0102</v>
      </c>
      <c r="I50" s="24">
        <f t="shared" si="17"/>
        <v>3914.44</v>
      </c>
      <c r="J50" s="24"/>
      <c r="K50" s="24">
        <f>IF($H50=0,ROUND($E50*(K$72/12),2),ROUND($E50*$H50*(K$72/12),2))</f>
        <v>87.16</v>
      </c>
      <c r="L50" s="24">
        <f>IF($H50=0,ROUND($E50*(L$72/12),2),ROUND($E50*$H50*(L$72/12),2))</f>
        <v>130.74</v>
      </c>
      <c r="M50" s="24"/>
      <c r="N50" s="24"/>
      <c r="O50" s="24">
        <f>ROUND((((($I50+$K50)*(O$73/12))+(($I50+$K50+$L50)*(O$73/12)))/27)*O$74,2)</f>
        <v>79.08</v>
      </c>
      <c r="P50" s="24">
        <f>ROUND((((($I50+$K50)*(P$73/12))+(($I50+$K50+$L50)*(P$73/12)))/27)*P$74,2)</f>
        <v>52.72</v>
      </c>
      <c r="Q50" s="24">
        <f>ROUND(((($I50+$K50+$L50+$L50)*(Q$72/12))/27)*Q$74,2)</f>
        <v>47.37</v>
      </c>
      <c r="R50" s="24">
        <f>ROUND(((($I50+$K50+$L50+$L50)*(R$72/12))/27)*R$74,2)</f>
        <v>31.58</v>
      </c>
      <c r="S50" s="24"/>
      <c r="T50" s="24"/>
      <c r="U50" s="24">
        <f>ROUND(((($I50/9)*U$72)+((($I50+$K50)/9)*U$72)+((($I50+$K50+$L50)/9)*U$72))*U$74,2)</f>
        <v>44.18</v>
      </c>
      <c r="V50" s="24">
        <f>ROUND(((($I50/9)*V$72)+((($I50+$K50)/9)*V$72)+((($I50+$K50+$L50)/9)*V$72))*V$74,2)</f>
        <v>29.45</v>
      </c>
      <c r="W50" s="24">
        <f t="shared" si="20"/>
        <v>10.87</v>
      </c>
      <c r="X50" s="24">
        <f t="shared" si="20"/>
        <v>7.25</v>
      </c>
      <c r="Y50" s="24">
        <f t="shared" si="20"/>
        <v>12.69</v>
      </c>
      <c r="Z50" s="24">
        <f t="shared" si="20"/>
        <v>8.46</v>
      </c>
      <c r="AA50" s="24"/>
      <c r="AB50" s="24"/>
      <c r="AC50" s="24"/>
      <c r="AD50" s="24"/>
      <c r="AE50" s="24"/>
      <c r="AF50" s="281"/>
      <c r="AG50" s="275"/>
    </row>
    <row r="51" spans="1:33" s="4" customFormat="1" ht="21.75" customHeight="1">
      <c r="A51" s="30">
        <v>39</v>
      </c>
      <c r="B51" s="37"/>
      <c r="C51" s="38"/>
      <c r="D51" s="39"/>
      <c r="E51" s="24"/>
      <c r="F51" s="66"/>
      <c r="G51" s="105"/>
      <c r="H51" s="105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69" t="s">
        <v>39</v>
      </c>
      <c r="AG51" s="270"/>
    </row>
    <row r="52" spans="1:33" s="4" customFormat="1" ht="21.75" customHeight="1">
      <c r="A52" s="30">
        <v>40</v>
      </c>
      <c r="B52" s="38">
        <f>C50</f>
        <v>417350</v>
      </c>
      <c r="C52" s="38">
        <v>417406</v>
      </c>
      <c r="D52" s="39" t="s">
        <v>17</v>
      </c>
      <c r="E52" s="24">
        <f t="shared" si="15"/>
        <v>56</v>
      </c>
      <c r="F52" s="66">
        <f>ROUND((15+15.4)/2,2)</f>
        <v>15.2</v>
      </c>
      <c r="G52" s="105">
        <f t="shared" si="16"/>
        <v>1.0083</v>
      </c>
      <c r="H52" s="105">
        <f>ROUND((3819.7186+24+($F52))/3819.7186,4)</f>
        <v>1.0103</v>
      </c>
      <c r="I52" s="24">
        <f t="shared" si="17"/>
        <v>858.26</v>
      </c>
      <c r="J52" s="24"/>
      <c r="K52" s="24">
        <f>IF($H52=0,ROUND($E52*(K$72/12),2),ROUND($E52*$H52*(K$72/12),2))</f>
        <v>18.86</v>
      </c>
      <c r="L52" s="24">
        <f>IF($H52=0,ROUND($E52*(L$72/12),2),ROUND($E52*$H52*(L$72/12),2))</f>
        <v>28.29</v>
      </c>
      <c r="M52" s="24"/>
      <c r="N52" s="24"/>
      <c r="O52" s="24">
        <f>ROUND((((($I52+$K52)*(O$73/12))+(($I52+$K52+$L52)*(O$73/12)))/27)*O$74,2)</f>
        <v>17.33</v>
      </c>
      <c r="P52" s="24">
        <f>ROUND((((($I52+$K52)*(P$73/12))+(($I52+$K52+$L52)*(P$73/12)))/27)*P$74,2)</f>
        <v>11.55</v>
      </c>
      <c r="Q52" s="24">
        <f>ROUND(((($I52+$K52+$L52+$L52)*(Q$72/12))/27)*Q$74,2)</f>
        <v>10.37</v>
      </c>
      <c r="R52" s="24">
        <f>ROUND(((($I52+$K52+$L52+$L52)*(R$72/12))/27)*R$74,2)</f>
        <v>6.92</v>
      </c>
      <c r="S52" s="24"/>
      <c r="T52" s="24"/>
      <c r="U52" s="24">
        <f>ROUND(((($I52/9)*U$72)+((($I52+$K52)/9)*U$72)+((($I52+$K52+$L52)/9)*U$72))*U$74,2)</f>
        <v>9.68</v>
      </c>
      <c r="V52" s="24">
        <f>ROUND(((($I52/9)*V$72)+((($I52+$K52)/9)*V$72)+((($I52+$K52+$L52)/9)*V$72))*V$74,2)</f>
        <v>6.46</v>
      </c>
      <c r="W52" s="24">
        <f aca="true" t="shared" si="21" ref="W52:Z56">ROUND((($I52*(W$72/12))/27)*W$74,2)</f>
        <v>2.38</v>
      </c>
      <c r="X52" s="24">
        <f t="shared" si="21"/>
        <v>1.59</v>
      </c>
      <c r="Y52" s="24">
        <f t="shared" si="21"/>
        <v>2.78</v>
      </c>
      <c r="Z52" s="24">
        <f t="shared" si="21"/>
        <v>1.85</v>
      </c>
      <c r="AA52" s="24"/>
      <c r="AB52" s="24"/>
      <c r="AC52" s="24"/>
      <c r="AD52" s="24"/>
      <c r="AE52" s="24"/>
      <c r="AF52" s="271"/>
      <c r="AG52" s="272"/>
    </row>
    <row r="53" spans="1:33" s="4" customFormat="1" ht="21.75" customHeight="1">
      <c r="A53" s="30">
        <v>41</v>
      </c>
      <c r="B53" s="37">
        <f>C52</f>
        <v>417406</v>
      </c>
      <c r="C53" s="38">
        <v>417445.96</v>
      </c>
      <c r="D53" s="39" t="s">
        <v>17</v>
      </c>
      <c r="E53" s="24">
        <f t="shared" si="15"/>
        <v>39.960000000020955</v>
      </c>
      <c r="F53" s="66">
        <f>ROUND((15.4+13.9)/2,2)</f>
        <v>14.65</v>
      </c>
      <c r="G53" s="105">
        <f aca="true" t="shared" si="22" ref="G53:G59">ROUND((3819.7186+24+($F53/2))/3819.7186,4)</f>
        <v>1.0082</v>
      </c>
      <c r="H53" s="105"/>
      <c r="I53" s="24">
        <f t="shared" si="17"/>
        <v>590.21</v>
      </c>
      <c r="J53" s="24"/>
      <c r="K53" s="24"/>
      <c r="L53" s="24"/>
      <c r="M53" s="24"/>
      <c r="N53" s="24"/>
      <c r="O53" s="24">
        <f aca="true" t="shared" si="23" ref="O53:R56">ROUND(((($I53)*(O$72/12))/27)*O$74,2)</f>
        <v>11.48</v>
      </c>
      <c r="P53" s="24">
        <f t="shared" si="23"/>
        <v>7.65</v>
      </c>
      <c r="Q53" s="24">
        <f t="shared" si="23"/>
        <v>6.56</v>
      </c>
      <c r="R53" s="24">
        <f t="shared" si="23"/>
        <v>4.37</v>
      </c>
      <c r="S53" s="24"/>
      <c r="T53" s="24"/>
      <c r="U53" s="24">
        <f aca="true" t="shared" si="24" ref="U53:V56">ROUND(((($I53/9)*U$72)*3)*U$74,2)</f>
        <v>6.49</v>
      </c>
      <c r="V53" s="24">
        <f t="shared" si="24"/>
        <v>4.33</v>
      </c>
      <c r="W53" s="24">
        <f t="shared" si="21"/>
        <v>1.64</v>
      </c>
      <c r="X53" s="24">
        <f t="shared" si="21"/>
        <v>1.09</v>
      </c>
      <c r="Y53" s="24">
        <f t="shared" si="21"/>
        <v>1.91</v>
      </c>
      <c r="Z53" s="24">
        <f t="shared" si="21"/>
        <v>1.28</v>
      </c>
      <c r="AA53" s="24"/>
      <c r="AB53" s="24"/>
      <c r="AC53" s="24"/>
      <c r="AD53" s="24"/>
      <c r="AE53" s="24"/>
      <c r="AF53" s="271"/>
      <c r="AG53" s="272"/>
    </row>
    <row r="54" spans="1:33" s="4" customFormat="1" ht="21.75" customHeight="1">
      <c r="A54" s="30">
        <v>42</v>
      </c>
      <c r="B54" s="37">
        <f>C53</f>
        <v>417445.96</v>
      </c>
      <c r="C54" s="38">
        <v>417455.95</v>
      </c>
      <c r="D54" s="39" t="s">
        <v>17</v>
      </c>
      <c r="E54" s="24">
        <f t="shared" si="15"/>
        <v>9.989999999990687</v>
      </c>
      <c r="F54" s="66">
        <v>13.9</v>
      </c>
      <c r="G54" s="105">
        <f t="shared" si="22"/>
        <v>1.0081</v>
      </c>
      <c r="H54" s="105"/>
      <c r="I54" s="24">
        <f t="shared" si="17"/>
        <v>139.99</v>
      </c>
      <c r="J54" s="24"/>
      <c r="K54" s="24"/>
      <c r="L54" s="24"/>
      <c r="M54" s="24"/>
      <c r="N54" s="24"/>
      <c r="O54" s="24">
        <f t="shared" si="23"/>
        <v>2.72</v>
      </c>
      <c r="P54" s="24">
        <f t="shared" si="23"/>
        <v>1.81</v>
      </c>
      <c r="Q54" s="24">
        <f t="shared" si="23"/>
        <v>1.56</v>
      </c>
      <c r="R54" s="24">
        <f t="shared" si="23"/>
        <v>1.04</v>
      </c>
      <c r="S54" s="24"/>
      <c r="T54" s="24"/>
      <c r="U54" s="24">
        <f t="shared" si="24"/>
        <v>1.54</v>
      </c>
      <c r="V54" s="24">
        <f t="shared" si="24"/>
        <v>1.03</v>
      </c>
      <c r="W54" s="24">
        <f t="shared" si="21"/>
        <v>0.39</v>
      </c>
      <c r="X54" s="24">
        <f t="shared" si="21"/>
        <v>0.26</v>
      </c>
      <c r="Y54" s="24">
        <f t="shared" si="21"/>
        <v>0.45</v>
      </c>
      <c r="Z54" s="24">
        <f t="shared" si="21"/>
        <v>0.3</v>
      </c>
      <c r="AA54" s="24"/>
      <c r="AB54" s="24"/>
      <c r="AC54" s="24"/>
      <c r="AD54" s="24"/>
      <c r="AE54" s="24"/>
      <c r="AF54" s="271"/>
      <c r="AG54" s="272"/>
    </row>
    <row r="55" spans="1:33" s="4" customFormat="1" ht="21.75" customHeight="1">
      <c r="A55" s="30">
        <v>43</v>
      </c>
      <c r="B55" s="37">
        <f>C54</f>
        <v>417455.95</v>
      </c>
      <c r="C55" s="38">
        <v>417495.93</v>
      </c>
      <c r="D55" s="39" t="s">
        <v>17</v>
      </c>
      <c r="E55" s="24">
        <f t="shared" si="15"/>
        <v>39.97999999998137</v>
      </c>
      <c r="F55" s="66">
        <f>ROUND((13.9+14.5)/2,2)</f>
        <v>14.2</v>
      </c>
      <c r="G55" s="105">
        <f t="shared" si="22"/>
        <v>1.0081</v>
      </c>
      <c r="H55" s="105"/>
      <c r="I55" s="24">
        <f t="shared" si="17"/>
        <v>572.31</v>
      </c>
      <c r="J55" s="24"/>
      <c r="K55" s="24"/>
      <c r="L55" s="24"/>
      <c r="M55" s="24"/>
      <c r="N55" s="24"/>
      <c r="O55" s="24">
        <f t="shared" si="23"/>
        <v>11.13</v>
      </c>
      <c r="P55" s="24">
        <f t="shared" si="23"/>
        <v>7.42</v>
      </c>
      <c r="Q55" s="24">
        <f t="shared" si="23"/>
        <v>6.36</v>
      </c>
      <c r="R55" s="24">
        <f t="shared" si="23"/>
        <v>4.24</v>
      </c>
      <c r="S55" s="24"/>
      <c r="T55" s="24"/>
      <c r="U55" s="24">
        <f t="shared" si="24"/>
        <v>6.3</v>
      </c>
      <c r="V55" s="24">
        <f t="shared" si="24"/>
        <v>4.2</v>
      </c>
      <c r="W55" s="24">
        <f t="shared" si="21"/>
        <v>1.59</v>
      </c>
      <c r="X55" s="24">
        <f t="shared" si="21"/>
        <v>1.06</v>
      </c>
      <c r="Y55" s="24">
        <f t="shared" si="21"/>
        <v>1.85</v>
      </c>
      <c r="Z55" s="24">
        <f t="shared" si="21"/>
        <v>1.24</v>
      </c>
      <c r="AA55" s="24"/>
      <c r="AB55" s="24"/>
      <c r="AC55" s="24"/>
      <c r="AD55" s="24"/>
      <c r="AE55" s="24"/>
      <c r="AF55" s="271"/>
      <c r="AG55" s="272"/>
    </row>
    <row r="56" spans="1:33" s="4" customFormat="1" ht="21.75" customHeight="1">
      <c r="A56" s="30">
        <v>44</v>
      </c>
      <c r="B56" s="37">
        <f>C55</f>
        <v>417495.93</v>
      </c>
      <c r="C56" s="38">
        <v>417553.86</v>
      </c>
      <c r="D56" s="39" t="s">
        <v>17</v>
      </c>
      <c r="E56" s="24">
        <f t="shared" si="15"/>
        <v>57.929999999993015</v>
      </c>
      <c r="F56" s="66">
        <f>ROUND((14.5+13.9)/2,2)</f>
        <v>14.2</v>
      </c>
      <c r="G56" s="105">
        <f t="shared" si="22"/>
        <v>1.0081</v>
      </c>
      <c r="H56" s="105"/>
      <c r="I56" s="24">
        <f t="shared" si="17"/>
        <v>829.27</v>
      </c>
      <c r="J56" s="24"/>
      <c r="K56" s="24"/>
      <c r="L56" s="24"/>
      <c r="M56" s="24"/>
      <c r="N56" s="24"/>
      <c r="O56" s="24">
        <f t="shared" si="23"/>
        <v>16.12</v>
      </c>
      <c r="P56" s="24">
        <f t="shared" si="23"/>
        <v>10.75</v>
      </c>
      <c r="Q56" s="24">
        <f t="shared" si="23"/>
        <v>9.21</v>
      </c>
      <c r="R56" s="24">
        <f t="shared" si="23"/>
        <v>6.14</v>
      </c>
      <c r="S56" s="24"/>
      <c r="T56" s="24"/>
      <c r="U56" s="24">
        <f t="shared" si="24"/>
        <v>9.12</v>
      </c>
      <c r="V56" s="24">
        <f t="shared" si="24"/>
        <v>6.08</v>
      </c>
      <c r="W56" s="24">
        <f t="shared" si="21"/>
        <v>2.3</v>
      </c>
      <c r="X56" s="24">
        <f t="shared" si="21"/>
        <v>1.54</v>
      </c>
      <c r="Y56" s="24">
        <f t="shared" si="21"/>
        <v>2.69</v>
      </c>
      <c r="Z56" s="24">
        <f t="shared" si="21"/>
        <v>1.79</v>
      </c>
      <c r="AA56" s="24"/>
      <c r="AB56" s="24"/>
      <c r="AC56" s="24"/>
      <c r="AD56" s="24"/>
      <c r="AE56" s="24"/>
      <c r="AF56" s="271"/>
      <c r="AG56" s="272"/>
    </row>
    <row r="57" spans="1:33" s="4" customFormat="1" ht="21.75" customHeight="1">
      <c r="A57" s="30">
        <v>45</v>
      </c>
      <c r="B57" s="37"/>
      <c r="C57" s="38"/>
      <c r="D57" s="39"/>
      <c r="E57" s="24"/>
      <c r="F57" s="66"/>
      <c r="G57" s="105"/>
      <c r="H57" s="105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71"/>
      <c r="AG57" s="272"/>
    </row>
    <row r="58" spans="1:33" s="16" customFormat="1" ht="21.75" customHeight="1">
      <c r="A58" s="30">
        <v>46</v>
      </c>
      <c r="B58" s="37">
        <v>417710.18</v>
      </c>
      <c r="C58" s="38">
        <v>417757.34</v>
      </c>
      <c r="D58" s="39" t="s">
        <v>17</v>
      </c>
      <c r="E58" s="24">
        <f aca="true" t="shared" si="25" ref="E58:E65">C58-B58</f>
        <v>47.160000000032596</v>
      </c>
      <c r="F58" s="66">
        <f>ROUND((12.4847+12.4391)/2,2)</f>
        <v>12.46</v>
      </c>
      <c r="G58" s="105">
        <f t="shared" si="22"/>
        <v>1.0079</v>
      </c>
      <c r="H58" s="105">
        <f>ROUND((3819.7186+24+($F58))/3819.7186,4)</f>
        <v>1.0095</v>
      </c>
      <c r="I58" s="24">
        <f aca="true" t="shared" si="26" ref="I58:I63">IF(G58=0,ROUND($E58*$F58,2),ROUND($E58*$F58*$G58,2))</f>
        <v>592.26</v>
      </c>
      <c r="J58" s="24"/>
      <c r="K58" s="24">
        <f aca="true" t="shared" si="27" ref="K58:L65">IF($H58=0,ROUND($E58*(K$72/12),2),ROUND($E58*$H58*(K$72/12),2))</f>
        <v>15.87</v>
      </c>
      <c r="L58" s="24">
        <f t="shared" si="27"/>
        <v>23.8</v>
      </c>
      <c r="M58" s="24"/>
      <c r="N58" s="24">
        <f aca="true" t="shared" si="28" ref="N58:N65">IF($H58=0,ROUND($E58*(N$72/12),2),ROUND($E58*$H58*(N$72/12),2))</f>
        <v>111.09</v>
      </c>
      <c r="O58" s="24">
        <f aca="true" t="shared" si="29" ref="O58:P64">ROUND((((($I58+$L58+$N58+$L58+$K58)*(O$73/12))+(($I58+$L58+$N58+$L58+$K58+$L58)*(O$73/12)))/27)*O$74,2)</f>
        <v>15.14</v>
      </c>
      <c r="P58" s="24">
        <f t="shared" si="29"/>
        <v>10.09</v>
      </c>
      <c r="Q58" s="24">
        <f aca="true" t="shared" si="30" ref="Q58:R63">ROUND(((($I58+$L58+$N58+$L58+$K58+$L58+$L58)*(Q$72/12))/27)*Q$74,2)</f>
        <v>9.05</v>
      </c>
      <c r="R58" s="24">
        <f t="shared" si="30"/>
        <v>6.03</v>
      </c>
      <c r="S58" s="24"/>
      <c r="T58" s="24"/>
      <c r="U58" s="24">
        <f aca="true" t="shared" si="31" ref="U58:V65">ROUND((((($I58+$L58+$N58+$L58)/9)*U$72)+((($I58+$L58+$N58+$L58+$K58)/9)*U$72)+((($I58+$L58+$N58+$L58+$K58+$L58)/9)*U$72))*U$74,2)</f>
        <v>8.46</v>
      </c>
      <c r="V58" s="24">
        <f t="shared" si="31"/>
        <v>5.64</v>
      </c>
      <c r="W58" s="24">
        <f aca="true" t="shared" si="32" ref="W58:X64">ROUND((($I58*(W$72/12))/27)*W$74,2)</f>
        <v>1.65</v>
      </c>
      <c r="X58" s="24">
        <f t="shared" si="32"/>
        <v>1.1</v>
      </c>
      <c r="Y58" s="24">
        <f aca="true" t="shared" si="33" ref="Y58:Z64">ROUND(((($I58+$L58+$N58+$L58)*(Y$72/12))/27)*Y$74,2)</f>
        <v>2.43</v>
      </c>
      <c r="Z58" s="24">
        <f t="shared" si="33"/>
        <v>1.62</v>
      </c>
      <c r="AA58" s="24"/>
      <c r="AB58" s="24"/>
      <c r="AC58" s="24"/>
      <c r="AD58" s="24"/>
      <c r="AE58" s="24"/>
      <c r="AF58" s="271"/>
      <c r="AG58" s="272"/>
    </row>
    <row r="59" spans="1:33" s="16" customFormat="1" ht="21.75" customHeight="1">
      <c r="A59" s="30">
        <v>47</v>
      </c>
      <c r="B59" s="37">
        <f aca="true" t="shared" si="34" ref="B59:B65">C58</f>
        <v>417757.34</v>
      </c>
      <c r="C59" s="38">
        <v>417777.84</v>
      </c>
      <c r="D59" s="39" t="s">
        <v>17</v>
      </c>
      <c r="E59" s="24">
        <f t="shared" si="25"/>
        <v>20.5</v>
      </c>
      <c r="F59" s="66">
        <f>ROUND((12.4391+12.3294)/2,2)</f>
        <v>12.38</v>
      </c>
      <c r="G59" s="105">
        <f t="shared" si="22"/>
        <v>1.0079</v>
      </c>
      <c r="H59" s="105">
        <f>ROUND((3819.7186+24+($F59))/3819.7186,4)</f>
        <v>1.0095</v>
      </c>
      <c r="I59" s="24">
        <f t="shared" si="26"/>
        <v>255.79</v>
      </c>
      <c r="J59" s="24"/>
      <c r="K59" s="24">
        <f t="shared" si="27"/>
        <v>6.9</v>
      </c>
      <c r="L59" s="24">
        <f t="shared" si="27"/>
        <v>10.35</v>
      </c>
      <c r="M59" s="24"/>
      <c r="N59" s="24">
        <f t="shared" si="28"/>
        <v>48.29</v>
      </c>
      <c r="O59" s="24">
        <f t="shared" si="29"/>
        <v>6.55</v>
      </c>
      <c r="P59" s="24">
        <f t="shared" si="29"/>
        <v>4.37</v>
      </c>
      <c r="Q59" s="24">
        <f t="shared" si="30"/>
        <v>3.92</v>
      </c>
      <c r="R59" s="24">
        <f t="shared" si="30"/>
        <v>2.61</v>
      </c>
      <c r="S59" s="24"/>
      <c r="T59" s="24"/>
      <c r="U59" s="24">
        <f t="shared" si="31"/>
        <v>3.66</v>
      </c>
      <c r="V59" s="24">
        <f t="shared" si="31"/>
        <v>2.44</v>
      </c>
      <c r="W59" s="24">
        <f t="shared" si="32"/>
        <v>0.71</v>
      </c>
      <c r="X59" s="24">
        <f t="shared" si="32"/>
        <v>0.47</v>
      </c>
      <c r="Y59" s="24">
        <f t="shared" si="33"/>
        <v>1.05</v>
      </c>
      <c r="Z59" s="24">
        <f t="shared" si="33"/>
        <v>0.7</v>
      </c>
      <c r="AA59" s="24"/>
      <c r="AB59" s="24"/>
      <c r="AC59" s="24"/>
      <c r="AD59" s="24"/>
      <c r="AE59" s="24"/>
      <c r="AF59" s="271"/>
      <c r="AG59" s="272"/>
    </row>
    <row r="60" spans="1:33" s="16" customFormat="1" ht="21.75" customHeight="1">
      <c r="A60" s="30">
        <v>48</v>
      </c>
      <c r="B60" s="37">
        <f t="shared" si="34"/>
        <v>417777.84</v>
      </c>
      <c r="C60" s="38">
        <v>418077.93</v>
      </c>
      <c r="D60" s="39" t="s">
        <v>17</v>
      </c>
      <c r="E60" s="24">
        <f t="shared" si="25"/>
        <v>300.0899999999674</v>
      </c>
      <c r="F60" s="66">
        <f>ROUND((12.3294+11.5468)/2,2)</f>
        <v>11.94</v>
      </c>
      <c r="G60" s="105"/>
      <c r="H60" s="105"/>
      <c r="I60" s="24">
        <f t="shared" si="26"/>
        <v>3583.07</v>
      </c>
      <c r="J60" s="24"/>
      <c r="K60" s="24">
        <f t="shared" si="27"/>
        <v>100.03</v>
      </c>
      <c r="L60" s="24">
        <f t="shared" si="27"/>
        <v>150.04</v>
      </c>
      <c r="M60" s="24"/>
      <c r="N60" s="24">
        <f t="shared" si="28"/>
        <v>700.21</v>
      </c>
      <c r="O60" s="24">
        <f t="shared" si="29"/>
        <v>92.52</v>
      </c>
      <c r="P60" s="24">
        <f t="shared" si="29"/>
        <v>61.68</v>
      </c>
      <c r="Q60" s="24">
        <f t="shared" si="30"/>
        <v>55.37</v>
      </c>
      <c r="R60" s="24">
        <f t="shared" si="30"/>
        <v>36.91</v>
      </c>
      <c r="S60" s="24"/>
      <c r="T60" s="24"/>
      <c r="U60" s="24">
        <f t="shared" si="31"/>
        <v>51.7</v>
      </c>
      <c r="V60" s="24">
        <f t="shared" si="31"/>
        <v>34.47</v>
      </c>
      <c r="W60" s="24">
        <f t="shared" si="32"/>
        <v>9.95</v>
      </c>
      <c r="X60" s="24">
        <f t="shared" si="32"/>
        <v>6.64</v>
      </c>
      <c r="Y60" s="24">
        <f t="shared" si="33"/>
        <v>14.85</v>
      </c>
      <c r="Z60" s="24">
        <f t="shared" si="33"/>
        <v>9.9</v>
      </c>
      <c r="AA60" s="24"/>
      <c r="AB60" s="24"/>
      <c r="AC60" s="24"/>
      <c r="AD60" s="24"/>
      <c r="AE60" s="24"/>
      <c r="AF60" s="271"/>
      <c r="AG60" s="272"/>
    </row>
    <row r="61" spans="1:33" s="16" customFormat="1" ht="21.75" customHeight="1">
      <c r="A61" s="30">
        <v>49</v>
      </c>
      <c r="B61" s="37">
        <f t="shared" si="34"/>
        <v>418077.93</v>
      </c>
      <c r="C61" s="38">
        <v>418117.93</v>
      </c>
      <c r="D61" s="39" t="s">
        <v>17</v>
      </c>
      <c r="E61" s="24">
        <f t="shared" si="25"/>
        <v>40</v>
      </c>
      <c r="F61" s="66">
        <f>ROUND((11.5468+10.9379)/2,2)</f>
        <v>11.24</v>
      </c>
      <c r="G61" s="105"/>
      <c r="H61" s="105"/>
      <c r="I61" s="24">
        <f t="shared" si="26"/>
        <v>449.6</v>
      </c>
      <c r="J61" s="24"/>
      <c r="K61" s="24">
        <f t="shared" si="27"/>
        <v>13.33</v>
      </c>
      <c r="L61" s="24">
        <f t="shared" si="27"/>
        <v>20</v>
      </c>
      <c r="M61" s="24"/>
      <c r="N61" s="24">
        <f t="shared" si="28"/>
        <v>93.33</v>
      </c>
      <c r="O61" s="24">
        <f t="shared" si="29"/>
        <v>11.79</v>
      </c>
      <c r="P61" s="24">
        <f t="shared" si="29"/>
        <v>7.86</v>
      </c>
      <c r="Q61" s="24">
        <f t="shared" si="30"/>
        <v>7.07</v>
      </c>
      <c r="R61" s="24">
        <f t="shared" si="30"/>
        <v>4.71</v>
      </c>
      <c r="S61" s="24"/>
      <c r="T61" s="24"/>
      <c r="U61" s="24">
        <f t="shared" si="31"/>
        <v>6.58</v>
      </c>
      <c r="V61" s="24">
        <f t="shared" si="31"/>
        <v>4.39</v>
      </c>
      <c r="W61" s="24">
        <f t="shared" si="32"/>
        <v>1.25</v>
      </c>
      <c r="X61" s="24">
        <f t="shared" si="32"/>
        <v>0.83</v>
      </c>
      <c r="Y61" s="24">
        <f t="shared" si="33"/>
        <v>1.89</v>
      </c>
      <c r="Z61" s="24">
        <f t="shared" si="33"/>
        <v>1.26</v>
      </c>
      <c r="AA61" s="24"/>
      <c r="AB61" s="24"/>
      <c r="AC61" s="24"/>
      <c r="AD61" s="24"/>
      <c r="AE61" s="24"/>
      <c r="AF61" s="271"/>
      <c r="AG61" s="272"/>
    </row>
    <row r="62" spans="1:33" s="16" customFormat="1" ht="21.75" customHeight="1">
      <c r="A62" s="30">
        <v>50</v>
      </c>
      <c r="B62" s="37">
        <f t="shared" si="34"/>
        <v>418117.93</v>
      </c>
      <c r="C62" s="38">
        <v>418604.15</v>
      </c>
      <c r="D62" s="39" t="s">
        <v>17</v>
      </c>
      <c r="E62" s="24">
        <f t="shared" si="25"/>
        <v>486.22000000003027</v>
      </c>
      <c r="F62" s="66">
        <f>ROUND((10.9379+9.6563)/2,2)</f>
        <v>10.3</v>
      </c>
      <c r="G62" s="105"/>
      <c r="H62" s="105"/>
      <c r="I62" s="24">
        <f t="shared" si="26"/>
        <v>5008.07</v>
      </c>
      <c r="J62" s="24"/>
      <c r="K62" s="24">
        <f t="shared" si="27"/>
        <v>162.07</v>
      </c>
      <c r="L62" s="24">
        <f t="shared" si="27"/>
        <v>243.11</v>
      </c>
      <c r="M62" s="24"/>
      <c r="N62" s="24">
        <f t="shared" si="28"/>
        <v>1134.51</v>
      </c>
      <c r="O62" s="24">
        <f t="shared" si="29"/>
        <v>134.41</v>
      </c>
      <c r="P62" s="24">
        <f t="shared" si="29"/>
        <v>89.61</v>
      </c>
      <c r="Q62" s="24">
        <f t="shared" si="30"/>
        <v>80.86</v>
      </c>
      <c r="R62" s="24">
        <f t="shared" si="30"/>
        <v>53.9</v>
      </c>
      <c r="S62" s="24"/>
      <c r="T62" s="24"/>
      <c r="U62" s="24">
        <f t="shared" si="31"/>
        <v>75</v>
      </c>
      <c r="V62" s="24">
        <f t="shared" si="31"/>
        <v>50</v>
      </c>
      <c r="W62" s="24">
        <f t="shared" si="32"/>
        <v>13.91</v>
      </c>
      <c r="X62" s="24">
        <f t="shared" si="32"/>
        <v>9.27</v>
      </c>
      <c r="Y62" s="24">
        <f t="shared" si="33"/>
        <v>21.48</v>
      </c>
      <c r="Z62" s="24">
        <f t="shared" si="33"/>
        <v>14.32</v>
      </c>
      <c r="AA62" s="24"/>
      <c r="AB62" s="24"/>
      <c r="AC62" s="24"/>
      <c r="AD62" s="24"/>
      <c r="AE62" s="24"/>
      <c r="AF62" s="271"/>
      <c r="AG62" s="272"/>
    </row>
    <row r="63" spans="1:33" s="16" customFormat="1" ht="21.75" customHeight="1">
      <c r="A63" s="30">
        <v>51</v>
      </c>
      <c r="B63" s="37">
        <f t="shared" si="34"/>
        <v>418604.15</v>
      </c>
      <c r="C63" s="38">
        <v>418625</v>
      </c>
      <c r="D63" s="39" t="s">
        <v>17</v>
      </c>
      <c r="E63" s="24">
        <f t="shared" si="25"/>
        <v>20.849999999976717</v>
      </c>
      <c r="F63" s="66">
        <f>ROUND((9.6563+9.3535)/2,2)</f>
        <v>9.5</v>
      </c>
      <c r="G63" s="105">
        <f>ROUND((2901.4858-24-($F63/2))/2901.4858,4)</f>
        <v>0.9901</v>
      </c>
      <c r="H63" s="105">
        <f>ROUND((2901.4858-24-($F63))/2901.4858,4)</f>
        <v>0.9885</v>
      </c>
      <c r="I63" s="24">
        <f t="shared" si="26"/>
        <v>196.11</v>
      </c>
      <c r="J63" s="24"/>
      <c r="K63" s="24">
        <f t="shared" si="27"/>
        <v>6.87</v>
      </c>
      <c r="L63" s="24">
        <f t="shared" si="27"/>
        <v>10.31</v>
      </c>
      <c r="M63" s="24"/>
      <c r="N63" s="24">
        <f t="shared" si="28"/>
        <v>48.09</v>
      </c>
      <c r="O63" s="24">
        <f t="shared" si="29"/>
        <v>5.38</v>
      </c>
      <c r="P63" s="24">
        <f t="shared" si="29"/>
        <v>3.59</v>
      </c>
      <c r="Q63" s="24">
        <f t="shared" si="30"/>
        <v>3.25</v>
      </c>
      <c r="R63" s="24">
        <f t="shared" si="30"/>
        <v>2.17</v>
      </c>
      <c r="S63" s="24"/>
      <c r="T63" s="24"/>
      <c r="U63" s="24">
        <f t="shared" si="31"/>
        <v>3</v>
      </c>
      <c r="V63" s="24">
        <f t="shared" si="31"/>
        <v>2</v>
      </c>
      <c r="W63" s="24">
        <f t="shared" si="32"/>
        <v>0.54</v>
      </c>
      <c r="X63" s="24">
        <f t="shared" si="32"/>
        <v>0.36</v>
      </c>
      <c r="Y63" s="24">
        <f t="shared" si="33"/>
        <v>0.86</v>
      </c>
      <c r="Z63" s="24">
        <f t="shared" si="33"/>
        <v>0.57</v>
      </c>
      <c r="AA63" s="24"/>
      <c r="AB63" s="24"/>
      <c r="AC63" s="24"/>
      <c r="AD63" s="24"/>
      <c r="AE63" s="24"/>
      <c r="AF63" s="271"/>
      <c r="AG63" s="272"/>
    </row>
    <row r="64" spans="1:33" s="16" customFormat="1" ht="21.75" customHeight="1">
      <c r="A64" s="30">
        <v>52</v>
      </c>
      <c r="B64" s="102">
        <f t="shared" si="34"/>
        <v>418625</v>
      </c>
      <c r="C64" s="38">
        <v>418639.42</v>
      </c>
      <c r="D64" s="39" t="s">
        <v>17</v>
      </c>
      <c r="E64" s="24">
        <f>C64-B64</f>
        <v>14.419999999983702</v>
      </c>
      <c r="F64" s="66">
        <f>ROUND((9.6563+9.3535)/2,2)</f>
        <v>9.5</v>
      </c>
      <c r="G64" s="105">
        <f>ROUND((2901.4858-24-($F64/2))/2901.4858,4)</f>
        <v>0.9901</v>
      </c>
      <c r="H64" s="105">
        <f>ROUND((2901.4858-24-($F64))/2901.4858,4)</f>
        <v>0.9885</v>
      </c>
      <c r="I64" s="24">
        <f>IF(G64=0,ROUND($E64*$F64,2),ROUND($E64*$F64*$G64,2))</f>
        <v>135.63</v>
      </c>
      <c r="J64" s="24"/>
      <c r="K64" s="24">
        <f t="shared" si="27"/>
        <v>4.75</v>
      </c>
      <c r="L64" s="24">
        <f t="shared" si="27"/>
        <v>7.13</v>
      </c>
      <c r="M64" s="24"/>
      <c r="N64" s="24">
        <f t="shared" si="28"/>
        <v>33.26</v>
      </c>
      <c r="O64" s="24">
        <f t="shared" si="29"/>
        <v>3.72</v>
      </c>
      <c r="P64" s="24">
        <f t="shared" si="29"/>
        <v>2.48</v>
      </c>
      <c r="Q64" s="24"/>
      <c r="R64" s="24"/>
      <c r="S64" s="24">
        <f>ROUND(((($I64+$L64+$N64+$L64+$K64+$L64+$L64)*(S$72/12))/27)*S$74,2)</f>
        <v>3.37</v>
      </c>
      <c r="T64" s="24">
        <f>ROUND(((($I64+$L64+$N64+$L64+$K64+$L64+$L64)*(T$72/12))/27)*T$74,2)</f>
        <v>2.25</v>
      </c>
      <c r="U64" s="24">
        <f t="shared" si="31"/>
        <v>2.08</v>
      </c>
      <c r="V64" s="24">
        <f t="shared" si="31"/>
        <v>1.38</v>
      </c>
      <c r="W64" s="24">
        <f t="shared" si="32"/>
        <v>0.38</v>
      </c>
      <c r="X64" s="24">
        <f t="shared" si="32"/>
        <v>0.25</v>
      </c>
      <c r="Y64" s="24">
        <f t="shared" si="33"/>
        <v>0.59</v>
      </c>
      <c r="Z64" s="24">
        <f t="shared" si="33"/>
        <v>0.4</v>
      </c>
      <c r="AA64" s="24"/>
      <c r="AB64" s="24"/>
      <c r="AC64" s="74"/>
      <c r="AD64" s="74"/>
      <c r="AE64" s="24"/>
      <c r="AF64" s="273"/>
      <c r="AG64" s="272"/>
    </row>
    <row r="65" spans="1:33" s="16" customFormat="1" ht="21.75" customHeight="1">
      <c r="A65" s="30">
        <v>53</v>
      </c>
      <c r="B65" s="37">
        <f t="shared" si="34"/>
        <v>418639.42</v>
      </c>
      <c r="C65" s="38">
        <v>418790</v>
      </c>
      <c r="D65" s="39" t="s">
        <v>17</v>
      </c>
      <c r="E65" s="24">
        <f t="shared" si="25"/>
        <v>150.5800000000163</v>
      </c>
      <c r="F65" s="213" t="s">
        <v>13</v>
      </c>
      <c r="G65" s="214"/>
      <c r="H65" s="214"/>
      <c r="I65" s="215"/>
      <c r="J65" s="24">
        <v>1483.72</v>
      </c>
      <c r="K65" s="24">
        <f t="shared" si="27"/>
        <v>50.19</v>
      </c>
      <c r="L65" s="24">
        <f t="shared" si="27"/>
        <v>75.29</v>
      </c>
      <c r="M65" s="24"/>
      <c r="N65" s="24">
        <f t="shared" si="28"/>
        <v>351.35</v>
      </c>
      <c r="O65" s="24">
        <f>ROUND((((($J65+$L65+$N65+$L65+$K65)*(O$73/12))+(($J65+$L65+$N65+$L65+$K65+$L65)*(O$73/12)))/27)*O$74,2)</f>
        <v>40.32</v>
      </c>
      <c r="P65" s="24">
        <f>ROUND((((($J65+$L65+$N65+$L65+$K65)*(P$73/12))+(($J65+$L65+$N65+$L65+$K65+$L65)*(P$73/12)))/27)*P$74,2)</f>
        <v>26.88</v>
      </c>
      <c r="Q65" s="24"/>
      <c r="R65" s="24"/>
      <c r="S65" s="24">
        <f>ROUND(((($J65+$L65+$N65+$L65+$K65+$L65+$L65)*(S$72/12))/27)*S$74,2)</f>
        <v>36.44</v>
      </c>
      <c r="T65" s="24">
        <f>ROUND(((($J65+$L65+$N65+$L65+$K65+$L65+$L65)*(T$72/12))/27)*T$74,2)</f>
        <v>24.29</v>
      </c>
      <c r="U65" s="24">
        <f t="shared" si="31"/>
        <v>6.17</v>
      </c>
      <c r="V65" s="24">
        <f t="shared" si="31"/>
        <v>4.11</v>
      </c>
      <c r="W65" s="24">
        <f>ROUND((($J65*(W$72/12))/27)*W$74,2)</f>
        <v>4.12</v>
      </c>
      <c r="X65" s="24">
        <f>ROUND((($J65*(X$72/12))/27)*X$74,2)</f>
        <v>2.75</v>
      </c>
      <c r="Y65" s="24">
        <f>ROUND(((($J65+$L65+$N65+$L65)*(Y$72/12))/27)*Y$74,2)</f>
        <v>6.43</v>
      </c>
      <c r="Z65" s="24">
        <f>ROUND(((($J65+$L65+$N65+$L65)*(Z$72/12))/27)*Z$74,2)</f>
        <v>4.29</v>
      </c>
      <c r="AA65" s="24"/>
      <c r="AB65" s="24"/>
      <c r="AC65" s="24"/>
      <c r="AD65" s="24"/>
      <c r="AE65" s="24"/>
      <c r="AF65" s="273"/>
      <c r="AG65" s="272"/>
    </row>
    <row r="66" spans="1:33" s="16" customFormat="1" ht="21.75" customHeight="1" thickBot="1">
      <c r="A66" s="30">
        <v>54</v>
      </c>
      <c r="B66" s="37"/>
      <c r="C66" s="38"/>
      <c r="D66" s="39"/>
      <c r="E66" s="24"/>
      <c r="F66" s="66"/>
      <c r="G66" s="105"/>
      <c r="H66" s="105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74"/>
      <c r="AG66" s="275"/>
    </row>
    <row r="67" spans="2:33" s="1" customFormat="1" ht="46.5" customHeight="1">
      <c r="B67" s="233" t="s">
        <v>15</v>
      </c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5"/>
      <c r="O67" s="211">
        <f aca="true" t="shared" si="35" ref="O67:AE67">IF(SUM(O13:O65)=0," ",ROUNDUP(SUM(O13:O65),0))</f>
        <v>2612</v>
      </c>
      <c r="P67" s="211">
        <f t="shared" si="35"/>
        <v>1742</v>
      </c>
      <c r="Q67" s="211">
        <f t="shared" si="35"/>
        <v>1256</v>
      </c>
      <c r="R67" s="211">
        <f t="shared" si="35"/>
        <v>838</v>
      </c>
      <c r="S67" s="211">
        <f t="shared" si="35"/>
        <v>376</v>
      </c>
      <c r="T67" s="211">
        <f t="shared" si="35"/>
        <v>251</v>
      </c>
      <c r="U67" s="211">
        <f t="shared" si="35"/>
        <v>1459</v>
      </c>
      <c r="V67" s="211">
        <f t="shared" si="35"/>
        <v>973</v>
      </c>
      <c r="W67" s="211">
        <f t="shared" si="35"/>
        <v>361</v>
      </c>
      <c r="X67" s="211">
        <f t="shared" si="35"/>
        <v>241</v>
      </c>
      <c r="Y67" s="211">
        <f t="shared" si="35"/>
        <v>433</v>
      </c>
      <c r="Z67" s="211">
        <f t="shared" si="35"/>
        <v>289</v>
      </c>
      <c r="AA67" s="211">
        <f t="shared" si="35"/>
        <v>597</v>
      </c>
      <c r="AB67" s="211">
        <f t="shared" si="35"/>
        <v>398</v>
      </c>
      <c r="AC67" s="211">
        <f t="shared" si="35"/>
        <v>74</v>
      </c>
      <c r="AD67" s="211">
        <f t="shared" si="35"/>
        <v>50</v>
      </c>
      <c r="AE67" s="211" t="str">
        <f t="shared" si="35"/>
        <v> </v>
      </c>
      <c r="AF67" s="317">
        <v>3</v>
      </c>
      <c r="AG67" s="318"/>
    </row>
    <row r="68" spans="2:33" s="1" customFormat="1" ht="46.5" customHeight="1" thickBot="1">
      <c r="B68" s="236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8"/>
      <c r="O68" s="250"/>
      <c r="P68" s="250"/>
      <c r="Q68" s="250"/>
      <c r="R68" s="250"/>
      <c r="S68" s="212"/>
      <c r="T68" s="212"/>
      <c r="U68" s="250"/>
      <c r="V68" s="250"/>
      <c r="W68" s="212"/>
      <c r="X68" s="212"/>
      <c r="Y68" s="250"/>
      <c r="Z68" s="250"/>
      <c r="AA68" s="212"/>
      <c r="AB68" s="212"/>
      <c r="AC68" s="212"/>
      <c r="AD68" s="212"/>
      <c r="AE68" s="212"/>
      <c r="AF68" s="276">
        <v>18</v>
      </c>
      <c r="AG68" s="277"/>
    </row>
    <row r="69" spans="1:34" ht="36" customHeight="1">
      <c r="A69" s="10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T69"/>
      <c r="U69" s="49"/>
      <c r="V69" s="49"/>
      <c r="W69" s="49"/>
      <c r="X69" s="49"/>
      <c r="Y69" s="49"/>
      <c r="Z69" s="49"/>
      <c r="AC69" s="49"/>
      <c r="AD69" s="49"/>
      <c r="AF69" s="49"/>
      <c r="AG69" s="49"/>
      <c r="AH69" s="11"/>
    </row>
    <row r="70" spans="2:33" ht="12.7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T70"/>
      <c r="U70" s="49"/>
      <c r="V70" s="49"/>
      <c r="W70" s="49"/>
      <c r="X70" s="49"/>
      <c r="Y70" s="49"/>
      <c r="Z70" s="49"/>
      <c r="AC70" s="49"/>
      <c r="AD70" s="49"/>
      <c r="AF70" s="49"/>
      <c r="AG70" s="49"/>
    </row>
    <row r="71" spans="2:33" ht="12.7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T71"/>
      <c r="U71" s="49"/>
      <c r="V71" s="49"/>
      <c r="W71" s="49"/>
      <c r="X71" s="49"/>
      <c r="Y71" s="49"/>
      <c r="Z71" s="49"/>
      <c r="AC71" s="49"/>
      <c r="AD71" s="49"/>
      <c r="AF71" s="49"/>
      <c r="AG71" s="49"/>
    </row>
    <row r="72" spans="2:33" ht="15.75">
      <c r="B72" s="224" t="s">
        <v>7</v>
      </c>
      <c r="C72" s="225"/>
      <c r="D72" s="225"/>
      <c r="E72" s="225"/>
      <c r="F72" s="225"/>
      <c r="G72" s="226"/>
      <c r="H72" s="53"/>
      <c r="I72" s="53"/>
      <c r="J72" s="53"/>
      <c r="K72" s="53">
        <v>4</v>
      </c>
      <c r="L72" s="53">
        <v>6</v>
      </c>
      <c r="M72" s="53">
        <v>20</v>
      </c>
      <c r="N72" s="53">
        <v>28</v>
      </c>
      <c r="O72" s="53">
        <v>10.5</v>
      </c>
      <c r="P72" s="53">
        <v>10.5</v>
      </c>
      <c r="Q72" s="101">
        <v>6</v>
      </c>
      <c r="R72" s="101">
        <v>6</v>
      </c>
      <c r="S72" s="101">
        <v>9</v>
      </c>
      <c r="T72" s="101">
        <v>9</v>
      </c>
      <c r="U72" s="94">
        <v>0.055</v>
      </c>
      <c r="V72" s="94">
        <v>0.055</v>
      </c>
      <c r="W72" s="101">
        <v>1.5</v>
      </c>
      <c r="X72" s="101">
        <v>1.5</v>
      </c>
      <c r="Y72" s="101">
        <v>1.75</v>
      </c>
      <c r="Z72" s="101">
        <v>1.75</v>
      </c>
      <c r="AA72" s="101">
        <v>1.75</v>
      </c>
      <c r="AB72" s="101">
        <v>1.75</v>
      </c>
      <c r="AC72" s="53"/>
      <c r="AD72" s="53"/>
      <c r="AF72" s="49"/>
      <c r="AG72" s="49"/>
    </row>
    <row r="73" spans="2:33" ht="15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96">
        <f>O72/2</f>
        <v>5.25</v>
      </c>
      <c r="P73" s="96">
        <f>P72/2</f>
        <v>5.25</v>
      </c>
      <c r="Q73" s="53"/>
      <c r="R73" s="53"/>
      <c r="T73"/>
      <c r="U73" s="85"/>
      <c r="V73" s="49"/>
      <c r="W73" s="49"/>
      <c r="X73" s="49"/>
      <c r="Y73" s="49"/>
      <c r="Z73" s="49"/>
      <c r="AC73" s="49"/>
      <c r="AD73" s="49"/>
      <c r="AF73" s="49"/>
      <c r="AG73" s="49"/>
    </row>
    <row r="74" spans="2:33" ht="15">
      <c r="B74" s="49"/>
      <c r="C74" s="97"/>
      <c r="D74" s="49"/>
      <c r="E74" s="49"/>
      <c r="F74" s="49"/>
      <c r="G74" s="49"/>
      <c r="H74" s="49"/>
      <c r="I74" s="49"/>
      <c r="J74" s="49"/>
      <c r="K74" s="297" t="s">
        <v>60</v>
      </c>
      <c r="L74" s="298"/>
      <c r="M74" s="298"/>
      <c r="N74" s="298"/>
      <c r="O74" s="122">
        <v>0.6</v>
      </c>
      <c r="P74" s="122">
        <v>0.4</v>
      </c>
      <c r="Q74" s="122">
        <f>$O74</f>
        <v>0.6</v>
      </c>
      <c r="R74" s="122">
        <f>$P74</f>
        <v>0.4</v>
      </c>
      <c r="S74" s="122">
        <f>$O74</f>
        <v>0.6</v>
      </c>
      <c r="T74" s="122">
        <f>$P74</f>
        <v>0.4</v>
      </c>
      <c r="U74" s="122">
        <f>$O74</f>
        <v>0.6</v>
      </c>
      <c r="V74" s="122">
        <f>$P74</f>
        <v>0.4</v>
      </c>
      <c r="W74" s="122">
        <f>$O74</f>
        <v>0.6</v>
      </c>
      <c r="X74" s="122">
        <f>$P74</f>
        <v>0.4</v>
      </c>
      <c r="Y74" s="122">
        <f>$O74</f>
        <v>0.6</v>
      </c>
      <c r="Z74" s="122">
        <f>$P74</f>
        <v>0.4</v>
      </c>
      <c r="AA74" s="122">
        <f>$O74</f>
        <v>0.6</v>
      </c>
      <c r="AB74" s="122">
        <f>$P74</f>
        <v>0.4</v>
      </c>
      <c r="AC74" s="122">
        <f>$O74</f>
        <v>0.6</v>
      </c>
      <c r="AD74" s="122">
        <f>$P74</f>
        <v>0.4</v>
      </c>
      <c r="AF74" s="49"/>
      <c r="AG74" s="49"/>
    </row>
    <row r="75" spans="2:34" s="3" customFormat="1" ht="36" customHeight="1" thickBot="1">
      <c r="B75" s="54" t="s">
        <v>10</v>
      </c>
      <c r="C75" s="55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229">
        <v>5</v>
      </c>
      <c r="P75" s="229"/>
      <c r="Q75" s="229">
        <v>7</v>
      </c>
      <c r="R75" s="229"/>
      <c r="S75" s="229">
        <v>56</v>
      </c>
      <c r="T75" s="229"/>
      <c r="U75" s="229">
        <v>2</v>
      </c>
      <c r="V75" s="229"/>
      <c r="W75" s="259">
        <v>1</v>
      </c>
      <c r="X75" s="259"/>
      <c r="Y75" s="229">
        <v>3</v>
      </c>
      <c r="Z75" s="229"/>
      <c r="AC75" s="303">
        <v>20</v>
      </c>
      <c r="AD75" s="303"/>
      <c r="AF75" s="98"/>
      <c r="AG75" s="98"/>
      <c r="AH75" s="13"/>
    </row>
    <row r="76" spans="2:33" s="4" customFormat="1" ht="21.75" customHeight="1">
      <c r="B76" s="233" t="s">
        <v>0</v>
      </c>
      <c r="C76" s="299"/>
      <c r="D76" s="251" t="s">
        <v>3</v>
      </c>
      <c r="E76" s="251" t="s">
        <v>4</v>
      </c>
      <c r="F76" s="251" t="s">
        <v>5</v>
      </c>
      <c r="G76" s="254" t="s">
        <v>43</v>
      </c>
      <c r="H76" s="254" t="s">
        <v>45</v>
      </c>
      <c r="I76" s="251" t="s">
        <v>6</v>
      </c>
      <c r="J76" s="254" t="s">
        <v>26</v>
      </c>
      <c r="K76" s="254" t="s">
        <v>19</v>
      </c>
      <c r="L76" s="254" t="s">
        <v>46</v>
      </c>
      <c r="M76" s="254" t="s">
        <v>61</v>
      </c>
      <c r="N76" s="254" t="s">
        <v>73</v>
      </c>
      <c r="O76" s="216">
        <v>302</v>
      </c>
      <c r="P76" s="217"/>
      <c r="Q76" s="216">
        <v>304</v>
      </c>
      <c r="R76" s="217"/>
      <c r="S76" s="216">
        <v>304</v>
      </c>
      <c r="T76" s="217"/>
      <c r="U76" s="216">
        <v>407</v>
      </c>
      <c r="V76" s="217"/>
      <c r="W76" s="216">
        <v>442</v>
      </c>
      <c r="X76" s="217"/>
      <c r="Y76" s="216">
        <v>442</v>
      </c>
      <c r="Z76" s="217"/>
      <c r="AA76" s="216"/>
      <c r="AB76" s="217"/>
      <c r="AC76" s="216">
        <v>609</v>
      </c>
      <c r="AD76" s="217"/>
      <c r="AE76" s="58"/>
      <c r="AF76" s="282" t="s">
        <v>38</v>
      </c>
      <c r="AG76" s="282" t="s">
        <v>58</v>
      </c>
    </row>
    <row r="77" spans="2:33" s="4" customFormat="1" ht="27.75" customHeight="1">
      <c r="B77" s="293"/>
      <c r="C77" s="300"/>
      <c r="D77" s="255"/>
      <c r="E77" s="255"/>
      <c r="F77" s="255"/>
      <c r="G77" s="242"/>
      <c r="H77" s="242"/>
      <c r="I77" s="252"/>
      <c r="J77" s="255"/>
      <c r="K77" s="255"/>
      <c r="L77" s="242"/>
      <c r="M77" s="242"/>
      <c r="N77" s="242"/>
      <c r="O77" s="218" t="s">
        <v>37</v>
      </c>
      <c r="P77" s="219"/>
      <c r="Q77" s="218" t="s">
        <v>121</v>
      </c>
      <c r="R77" s="219"/>
      <c r="S77" s="218" t="s">
        <v>139</v>
      </c>
      <c r="T77" s="219"/>
      <c r="U77" s="218" t="s">
        <v>122</v>
      </c>
      <c r="V77" s="219"/>
      <c r="W77" s="218" t="s">
        <v>138</v>
      </c>
      <c r="X77" s="219"/>
      <c r="Y77" s="218" t="s">
        <v>27</v>
      </c>
      <c r="Z77" s="219"/>
      <c r="AA77" s="218"/>
      <c r="AB77" s="219"/>
      <c r="AC77" s="218" t="s">
        <v>47</v>
      </c>
      <c r="AD77" s="219"/>
      <c r="AE77" s="241"/>
      <c r="AF77" s="283"/>
      <c r="AG77" s="304"/>
    </row>
    <row r="78" spans="2:33" s="4" customFormat="1" ht="27.75" customHeight="1" thickBot="1">
      <c r="B78" s="293"/>
      <c r="C78" s="300"/>
      <c r="D78" s="255"/>
      <c r="E78" s="255"/>
      <c r="F78" s="255"/>
      <c r="G78" s="242"/>
      <c r="H78" s="242"/>
      <c r="I78" s="252"/>
      <c r="J78" s="255"/>
      <c r="K78" s="255"/>
      <c r="L78" s="242"/>
      <c r="M78" s="242"/>
      <c r="N78" s="242"/>
      <c r="O78" s="220"/>
      <c r="P78" s="221"/>
      <c r="Q78" s="220"/>
      <c r="R78" s="221"/>
      <c r="S78" s="220"/>
      <c r="T78" s="221"/>
      <c r="U78" s="220"/>
      <c r="V78" s="221"/>
      <c r="W78" s="220"/>
      <c r="X78" s="221"/>
      <c r="Y78" s="220"/>
      <c r="Z78" s="221"/>
      <c r="AA78" s="220"/>
      <c r="AB78" s="221"/>
      <c r="AC78" s="220"/>
      <c r="AD78" s="221"/>
      <c r="AE78" s="242"/>
      <c r="AF78" s="284"/>
      <c r="AG78" s="304"/>
    </row>
    <row r="79" spans="2:33" s="4" customFormat="1" ht="27.75" customHeight="1">
      <c r="B79" s="293"/>
      <c r="C79" s="300"/>
      <c r="D79" s="255"/>
      <c r="E79" s="255"/>
      <c r="F79" s="255"/>
      <c r="G79" s="242"/>
      <c r="H79" s="242"/>
      <c r="I79" s="252"/>
      <c r="J79" s="255"/>
      <c r="K79" s="255"/>
      <c r="L79" s="242"/>
      <c r="M79" s="242"/>
      <c r="N79" s="242"/>
      <c r="O79" s="220"/>
      <c r="P79" s="221"/>
      <c r="Q79" s="220"/>
      <c r="R79" s="221"/>
      <c r="S79" s="220"/>
      <c r="T79" s="221"/>
      <c r="U79" s="220"/>
      <c r="V79" s="221"/>
      <c r="W79" s="220"/>
      <c r="X79" s="221"/>
      <c r="Y79" s="220"/>
      <c r="Z79" s="221"/>
      <c r="AA79" s="220"/>
      <c r="AB79" s="221"/>
      <c r="AC79" s="220"/>
      <c r="AD79" s="221"/>
      <c r="AE79" s="242"/>
      <c r="AF79" s="269" t="s">
        <v>8</v>
      </c>
      <c r="AG79" s="270"/>
    </row>
    <row r="80" spans="2:33" s="4" customFormat="1" ht="27.75" customHeight="1">
      <c r="B80" s="293"/>
      <c r="C80" s="300"/>
      <c r="D80" s="255"/>
      <c r="E80" s="255"/>
      <c r="F80" s="255"/>
      <c r="G80" s="242"/>
      <c r="H80" s="242"/>
      <c r="I80" s="252"/>
      <c r="J80" s="255"/>
      <c r="K80" s="255"/>
      <c r="L80" s="242"/>
      <c r="M80" s="242"/>
      <c r="N80" s="242"/>
      <c r="O80" s="220"/>
      <c r="P80" s="221"/>
      <c r="Q80" s="220"/>
      <c r="R80" s="221"/>
      <c r="S80" s="220"/>
      <c r="T80" s="221"/>
      <c r="U80" s="220"/>
      <c r="V80" s="221"/>
      <c r="W80" s="220"/>
      <c r="X80" s="221"/>
      <c r="Y80" s="220"/>
      <c r="Z80" s="221"/>
      <c r="AA80" s="220"/>
      <c r="AB80" s="221"/>
      <c r="AC80" s="220"/>
      <c r="AD80" s="221"/>
      <c r="AE80" s="242"/>
      <c r="AF80" s="271"/>
      <c r="AG80" s="272"/>
    </row>
    <row r="81" spans="2:33" s="4" customFormat="1" ht="27.75" customHeight="1">
      <c r="B81" s="293"/>
      <c r="C81" s="300"/>
      <c r="D81" s="255"/>
      <c r="E81" s="255"/>
      <c r="F81" s="255"/>
      <c r="G81" s="242"/>
      <c r="H81" s="242"/>
      <c r="I81" s="252"/>
      <c r="J81" s="255"/>
      <c r="K81" s="255"/>
      <c r="L81" s="242"/>
      <c r="M81" s="242"/>
      <c r="N81" s="242"/>
      <c r="O81" s="220"/>
      <c r="P81" s="221"/>
      <c r="Q81" s="220"/>
      <c r="R81" s="221"/>
      <c r="S81" s="220"/>
      <c r="T81" s="221"/>
      <c r="U81" s="220"/>
      <c r="V81" s="221"/>
      <c r="W81" s="220"/>
      <c r="X81" s="221"/>
      <c r="Y81" s="220"/>
      <c r="Z81" s="221"/>
      <c r="AA81" s="220"/>
      <c r="AB81" s="221"/>
      <c r="AC81" s="220"/>
      <c r="AD81" s="221"/>
      <c r="AE81" s="242"/>
      <c r="AF81" s="271"/>
      <c r="AG81" s="272"/>
    </row>
    <row r="82" spans="2:33" s="4" customFormat="1" ht="27.75" customHeight="1">
      <c r="B82" s="293"/>
      <c r="C82" s="300"/>
      <c r="D82" s="255"/>
      <c r="E82" s="255"/>
      <c r="F82" s="255"/>
      <c r="G82" s="242"/>
      <c r="H82" s="242"/>
      <c r="I82" s="252"/>
      <c r="J82" s="255"/>
      <c r="K82" s="255"/>
      <c r="L82" s="242"/>
      <c r="M82" s="242"/>
      <c r="N82" s="242"/>
      <c r="O82" s="220"/>
      <c r="P82" s="221"/>
      <c r="Q82" s="220"/>
      <c r="R82" s="221"/>
      <c r="S82" s="220"/>
      <c r="T82" s="221"/>
      <c r="U82" s="220"/>
      <c r="V82" s="221"/>
      <c r="W82" s="220"/>
      <c r="X82" s="221"/>
      <c r="Y82" s="220"/>
      <c r="Z82" s="221"/>
      <c r="AA82" s="220"/>
      <c r="AB82" s="221"/>
      <c r="AC82" s="220"/>
      <c r="AD82" s="221"/>
      <c r="AE82" s="242"/>
      <c r="AF82" s="271"/>
      <c r="AG82" s="272"/>
    </row>
    <row r="83" spans="2:33" s="4" customFormat="1" ht="27.75" customHeight="1">
      <c r="B83" s="293"/>
      <c r="C83" s="300"/>
      <c r="D83" s="255"/>
      <c r="E83" s="255"/>
      <c r="F83" s="255"/>
      <c r="G83" s="242"/>
      <c r="H83" s="242"/>
      <c r="I83" s="252"/>
      <c r="J83" s="255"/>
      <c r="K83" s="255"/>
      <c r="L83" s="242"/>
      <c r="M83" s="242"/>
      <c r="N83" s="242"/>
      <c r="O83" s="220"/>
      <c r="P83" s="221"/>
      <c r="Q83" s="220"/>
      <c r="R83" s="221"/>
      <c r="S83" s="220"/>
      <c r="T83" s="221"/>
      <c r="U83" s="220"/>
      <c r="V83" s="221"/>
      <c r="W83" s="220"/>
      <c r="X83" s="221"/>
      <c r="Y83" s="220"/>
      <c r="Z83" s="221"/>
      <c r="AA83" s="220"/>
      <c r="AB83" s="221"/>
      <c r="AC83" s="220"/>
      <c r="AD83" s="221"/>
      <c r="AE83" s="242"/>
      <c r="AF83" s="271"/>
      <c r="AG83" s="272"/>
    </row>
    <row r="84" spans="2:33" s="5" customFormat="1" ht="27.75" customHeight="1">
      <c r="B84" s="301"/>
      <c r="C84" s="302"/>
      <c r="D84" s="256"/>
      <c r="E84" s="256"/>
      <c r="F84" s="256"/>
      <c r="G84" s="243"/>
      <c r="H84" s="243"/>
      <c r="I84" s="253"/>
      <c r="J84" s="256"/>
      <c r="K84" s="256"/>
      <c r="L84" s="243"/>
      <c r="M84" s="243"/>
      <c r="N84" s="243"/>
      <c r="O84" s="222"/>
      <c r="P84" s="223"/>
      <c r="Q84" s="222"/>
      <c r="R84" s="223"/>
      <c r="S84" s="222"/>
      <c r="T84" s="223"/>
      <c r="U84" s="222"/>
      <c r="V84" s="223"/>
      <c r="W84" s="222"/>
      <c r="X84" s="223"/>
      <c r="Y84" s="222"/>
      <c r="Z84" s="223"/>
      <c r="AA84" s="222"/>
      <c r="AB84" s="223"/>
      <c r="AC84" s="222"/>
      <c r="AD84" s="223"/>
      <c r="AE84" s="243"/>
      <c r="AF84" s="271"/>
      <c r="AG84" s="272"/>
    </row>
    <row r="85" spans="2:33" s="7" customFormat="1" ht="21.75" customHeight="1" thickBot="1">
      <c r="B85" s="56" t="s">
        <v>1</v>
      </c>
      <c r="C85" s="56" t="s">
        <v>2</v>
      </c>
      <c r="D85" s="57"/>
      <c r="E85" s="57" t="s">
        <v>14</v>
      </c>
      <c r="F85" s="57" t="s">
        <v>14</v>
      </c>
      <c r="G85" s="57"/>
      <c r="H85" s="57"/>
      <c r="I85" s="57" t="s">
        <v>21</v>
      </c>
      <c r="J85" s="57" t="s">
        <v>21</v>
      </c>
      <c r="K85" s="57" t="s">
        <v>21</v>
      </c>
      <c r="L85" s="57" t="s">
        <v>21</v>
      </c>
      <c r="M85" s="57" t="s">
        <v>21</v>
      </c>
      <c r="N85" s="57" t="s">
        <v>21</v>
      </c>
      <c r="O85" s="208" t="s">
        <v>20</v>
      </c>
      <c r="P85" s="210"/>
      <c r="Q85" s="208" t="s">
        <v>20</v>
      </c>
      <c r="R85" s="210"/>
      <c r="S85" s="208" t="s">
        <v>20</v>
      </c>
      <c r="T85" s="210"/>
      <c r="U85" s="208" t="s">
        <v>22</v>
      </c>
      <c r="V85" s="210"/>
      <c r="W85" s="208" t="s">
        <v>20</v>
      </c>
      <c r="X85" s="210"/>
      <c r="Y85" s="208" t="s">
        <v>20</v>
      </c>
      <c r="Z85" s="210"/>
      <c r="AA85" s="208"/>
      <c r="AB85" s="210"/>
      <c r="AC85" s="208" t="s">
        <v>14</v>
      </c>
      <c r="AD85" s="210"/>
      <c r="AE85" s="57"/>
      <c r="AF85" s="271"/>
      <c r="AG85" s="272"/>
    </row>
    <row r="86" spans="1:33" s="4" customFormat="1" ht="21.75" customHeight="1">
      <c r="A86" s="30">
        <v>1</v>
      </c>
      <c r="B86" s="113"/>
      <c r="C86" s="65"/>
      <c r="D86" s="39"/>
      <c r="E86" s="24"/>
      <c r="F86" s="24"/>
      <c r="G86" s="24"/>
      <c r="H86" s="24"/>
      <c r="I86" s="24"/>
      <c r="J86" s="24"/>
      <c r="K86" s="24"/>
      <c r="L86" s="24"/>
      <c r="M86" s="24"/>
      <c r="N86" s="61"/>
      <c r="O86" s="227" t="s">
        <v>59</v>
      </c>
      <c r="P86" s="227" t="s">
        <v>92</v>
      </c>
      <c r="Q86" s="227" t="s">
        <v>59</v>
      </c>
      <c r="R86" s="227" t="s">
        <v>92</v>
      </c>
      <c r="S86" s="227" t="s">
        <v>59</v>
      </c>
      <c r="T86" s="227" t="s">
        <v>92</v>
      </c>
      <c r="U86" s="227" t="s">
        <v>59</v>
      </c>
      <c r="V86" s="227" t="s">
        <v>92</v>
      </c>
      <c r="W86" s="227" t="s">
        <v>59</v>
      </c>
      <c r="X86" s="227" t="s">
        <v>92</v>
      </c>
      <c r="Y86" s="227" t="s">
        <v>59</v>
      </c>
      <c r="Z86" s="227" t="s">
        <v>92</v>
      </c>
      <c r="AA86" s="227"/>
      <c r="AB86" s="227"/>
      <c r="AC86" s="265" t="s">
        <v>59</v>
      </c>
      <c r="AD86" s="265" t="s">
        <v>92</v>
      </c>
      <c r="AE86" s="227"/>
      <c r="AF86" s="271"/>
      <c r="AG86" s="272"/>
    </row>
    <row r="87" spans="1:33" s="4" customFormat="1" ht="21.75" customHeight="1">
      <c r="A87" s="30">
        <v>2</v>
      </c>
      <c r="B87" s="230" t="s">
        <v>36</v>
      </c>
      <c r="C87" s="231"/>
      <c r="D87" s="231"/>
      <c r="E87" s="231"/>
      <c r="F87" s="231"/>
      <c r="G87" s="231"/>
      <c r="H87" s="231"/>
      <c r="I87" s="232"/>
      <c r="J87" s="24"/>
      <c r="K87" s="24"/>
      <c r="L87" s="24"/>
      <c r="M87" s="24"/>
      <c r="N87" s="61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66"/>
      <c r="AD87" s="266"/>
      <c r="AE87" s="228"/>
      <c r="AF87" s="271"/>
      <c r="AG87" s="272"/>
    </row>
    <row r="88" spans="1:33" s="4" customFormat="1" ht="21.75" customHeight="1">
      <c r="A88" s="30">
        <v>3</v>
      </c>
      <c r="B88" s="77" t="s">
        <v>48</v>
      </c>
      <c r="C88" s="38"/>
      <c r="D88" s="39"/>
      <c r="E88" s="24"/>
      <c r="F88" s="66"/>
      <c r="G88" s="105"/>
      <c r="H88" s="105"/>
      <c r="I88" s="24"/>
      <c r="J88" s="24"/>
      <c r="K88" s="24"/>
      <c r="L88" s="24"/>
      <c r="M88" s="24"/>
      <c r="N88" s="61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71"/>
      <c r="AG88" s="272"/>
    </row>
    <row r="89" spans="1:33" s="4" customFormat="1" ht="21.75" customHeight="1">
      <c r="A89" s="30">
        <v>4</v>
      </c>
      <c r="B89" s="37">
        <v>418790</v>
      </c>
      <c r="C89" s="38">
        <v>418887.48</v>
      </c>
      <c r="D89" s="39" t="s">
        <v>17</v>
      </c>
      <c r="E89" s="24">
        <f>C89-B89</f>
        <v>97.47999999998137</v>
      </c>
      <c r="F89" s="66">
        <f>ROUND((12.2248+8.2933)/2,2)</f>
        <v>10.26</v>
      </c>
      <c r="G89" s="105">
        <f>ROUND((2901.4858-24-($F89/2))/2901.4858,4)</f>
        <v>0.99</v>
      </c>
      <c r="H89" s="105"/>
      <c r="I89" s="24">
        <f aca="true" t="shared" si="36" ref="I89:I108">IF(G89=0,ROUND($E89*$F89,2),ROUND($E89*$F89*$G89,2))</f>
        <v>990.14</v>
      </c>
      <c r="J89" s="24"/>
      <c r="K89" s="24"/>
      <c r="L89" s="24"/>
      <c r="M89" s="24"/>
      <c r="N89" s="61"/>
      <c r="O89" s="24">
        <f aca="true" t="shared" si="37" ref="O89:P96">ROUND(((($I89)*(O$145/12))/27)*O$148,2)</f>
        <v>19.25</v>
      </c>
      <c r="P89" s="24">
        <f t="shared" si="37"/>
        <v>12.84</v>
      </c>
      <c r="Q89" s="24"/>
      <c r="R89" s="24"/>
      <c r="S89" s="24">
        <f aca="true" t="shared" si="38" ref="S89:T96">ROUND(((($I89)*(S$145/12))/27)*S$148,2)</f>
        <v>16.5</v>
      </c>
      <c r="T89" s="24">
        <f t="shared" si="38"/>
        <v>11</v>
      </c>
      <c r="U89" s="24">
        <f aca="true" t="shared" si="39" ref="U89:V96">ROUND(((($I89/9)*U$145)*3)*U$148,2)</f>
        <v>10.89</v>
      </c>
      <c r="V89" s="24">
        <f t="shared" si="39"/>
        <v>7.26</v>
      </c>
      <c r="W89" s="24">
        <f aca="true" t="shared" si="40" ref="W89:Z96">ROUND((($I89*(W$145/12))/27)*W$148,2)</f>
        <v>2.75</v>
      </c>
      <c r="X89" s="24">
        <f t="shared" si="40"/>
        <v>1.83</v>
      </c>
      <c r="Y89" s="24">
        <f t="shared" si="40"/>
        <v>3.21</v>
      </c>
      <c r="Z89" s="24">
        <f t="shared" si="40"/>
        <v>2.14</v>
      </c>
      <c r="AA89" s="24"/>
      <c r="AB89" s="24"/>
      <c r="AC89" s="24"/>
      <c r="AD89" s="24"/>
      <c r="AE89" s="24"/>
      <c r="AF89" s="271"/>
      <c r="AG89" s="272"/>
    </row>
    <row r="90" spans="1:33" s="4" customFormat="1" ht="21.75" customHeight="1">
      <c r="A90" s="30">
        <v>5</v>
      </c>
      <c r="B90" s="37">
        <f aca="true" t="shared" si="41" ref="B90:B96">C89</f>
        <v>418887.48</v>
      </c>
      <c r="C90" s="38">
        <v>419040</v>
      </c>
      <c r="D90" s="39" t="s">
        <v>17</v>
      </c>
      <c r="E90" s="24">
        <f>C90-B90</f>
        <v>152.52000000001863</v>
      </c>
      <c r="F90" s="66">
        <f>ROUND((8.2933+9.0393)/2,2)</f>
        <v>8.67</v>
      </c>
      <c r="G90" s="105">
        <f>ROUND((2901.4858-((24+20.2025)/2)-($F90/2))/2901.4858,4)</f>
        <v>0.9909</v>
      </c>
      <c r="H90" s="105"/>
      <c r="I90" s="24">
        <f t="shared" si="36"/>
        <v>1310.32</v>
      </c>
      <c r="J90" s="24"/>
      <c r="K90" s="24"/>
      <c r="L90" s="24"/>
      <c r="M90" s="24"/>
      <c r="N90" s="61"/>
      <c r="O90" s="24">
        <f t="shared" si="37"/>
        <v>25.48</v>
      </c>
      <c r="P90" s="24">
        <f t="shared" si="37"/>
        <v>16.99</v>
      </c>
      <c r="Q90" s="24"/>
      <c r="R90" s="24"/>
      <c r="S90" s="24">
        <f t="shared" si="38"/>
        <v>21.84</v>
      </c>
      <c r="T90" s="24">
        <f t="shared" si="38"/>
        <v>14.56</v>
      </c>
      <c r="U90" s="24">
        <f t="shared" si="39"/>
        <v>14.41</v>
      </c>
      <c r="V90" s="24">
        <f t="shared" si="39"/>
        <v>9.61</v>
      </c>
      <c r="W90" s="24">
        <f t="shared" si="40"/>
        <v>3.64</v>
      </c>
      <c r="X90" s="24">
        <f t="shared" si="40"/>
        <v>2.43</v>
      </c>
      <c r="Y90" s="24">
        <f t="shared" si="40"/>
        <v>4.25</v>
      </c>
      <c r="Z90" s="24">
        <f t="shared" si="40"/>
        <v>2.83</v>
      </c>
      <c r="AA90" s="24"/>
      <c r="AB90" s="24"/>
      <c r="AC90" s="24"/>
      <c r="AD90" s="24"/>
      <c r="AE90" s="24"/>
      <c r="AF90" s="271"/>
      <c r="AG90" s="272"/>
    </row>
    <row r="91" spans="1:33" s="4" customFormat="1" ht="21.75" customHeight="1">
      <c r="A91" s="30">
        <v>6</v>
      </c>
      <c r="B91" s="37">
        <f t="shared" si="41"/>
        <v>419040</v>
      </c>
      <c r="C91" s="38">
        <v>419154.37</v>
      </c>
      <c r="D91" s="39" t="s">
        <v>17</v>
      </c>
      <c r="E91" s="24">
        <f>C91-B91</f>
        <v>114.36999999999534</v>
      </c>
      <c r="F91" s="66">
        <f>ROUND((8.2933+7.6143)/2,2)</f>
        <v>7.95</v>
      </c>
      <c r="G91" s="105">
        <f>ROUND((2901.4858-((20.2025+19.7932)/2)-($F91/2))/2901.4858,4)</f>
        <v>0.9917</v>
      </c>
      <c r="H91" s="105"/>
      <c r="I91" s="24">
        <f t="shared" si="36"/>
        <v>901.69</v>
      </c>
      <c r="J91" s="24"/>
      <c r="K91" s="24"/>
      <c r="L91" s="24"/>
      <c r="M91" s="24"/>
      <c r="N91" s="61"/>
      <c r="O91" s="24">
        <f t="shared" si="37"/>
        <v>17.53</v>
      </c>
      <c r="P91" s="24">
        <f t="shared" si="37"/>
        <v>11.69</v>
      </c>
      <c r="Q91" s="24"/>
      <c r="R91" s="24"/>
      <c r="S91" s="24">
        <f t="shared" si="38"/>
        <v>15.03</v>
      </c>
      <c r="T91" s="24">
        <f t="shared" si="38"/>
        <v>10.02</v>
      </c>
      <c r="U91" s="24">
        <f t="shared" si="39"/>
        <v>9.92</v>
      </c>
      <c r="V91" s="24">
        <f t="shared" si="39"/>
        <v>6.61</v>
      </c>
      <c r="W91" s="24">
        <f t="shared" si="40"/>
        <v>2.5</v>
      </c>
      <c r="X91" s="24">
        <f t="shared" si="40"/>
        <v>1.67</v>
      </c>
      <c r="Y91" s="24">
        <f t="shared" si="40"/>
        <v>2.92</v>
      </c>
      <c r="Z91" s="24">
        <f t="shared" si="40"/>
        <v>1.95</v>
      </c>
      <c r="AA91" s="24"/>
      <c r="AB91" s="24"/>
      <c r="AC91" s="24"/>
      <c r="AD91" s="24"/>
      <c r="AE91" s="24"/>
      <c r="AF91" s="271"/>
      <c r="AG91" s="272"/>
    </row>
    <row r="92" spans="1:33" s="4" customFormat="1" ht="21.75" customHeight="1">
      <c r="A92" s="30">
        <v>7</v>
      </c>
      <c r="B92" s="38">
        <f t="shared" si="41"/>
        <v>419154.37</v>
      </c>
      <c r="C92" s="38">
        <v>419263.51</v>
      </c>
      <c r="D92" s="39" t="s">
        <v>17</v>
      </c>
      <c r="E92" s="24">
        <f>C92-B92</f>
        <v>109.14000000001397</v>
      </c>
      <c r="F92" s="66">
        <f>ROUND((7.6143+6.7081)/2,2)</f>
        <v>7.16</v>
      </c>
      <c r="G92" s="105">
        <f>ROUND((2901.4858-((19.7932+21.3542)/2)-($F92/2))/2901.4858,4)</f>
        <v>0.9917</v>
      </c>
      <c r="H92" s="105"/>
      <c r="I92" s="24">
        <f t="shared" si="36"/>
        <v>774.96</v>
      </c>
      <c r="J92" s="24"/>
      <c r="K92" s="24"/>
      <c r="L92" s="24"/>
      <c r="M92" s="24"/>
      <c r="N92" s="61"/>
      <c r="O92" s="24">
        <f t="shared" si="37"/>
        <v>15.07</v>
      </c>
      <c r="P92" s="24">
        <f t="shared" si="37"/>
        <v>10.05</v>
      </c>
      <c r="Q92" s="24"/>
      <c r="R92" s="24"/>
      <c r="S92" s="24">
        <f t="shared" si="38"/>
        <v>12.92</v>
      </c>
      <c r="T92" s="24">
        <f t="shared" si="38"/>
        <v>8.61</v>
      </c>
      <c r="U92" s="24">
        <f t="shared" si="39"/>
        <v>8.52</v>
      </c>
      <c r="V92" s="24">
        <f t="shared" si="39"/>
        <v>5.68</v>
      </c>
      <c r="W92" s="24">
        <f t="shared" si="40"/>
        <v>2.15</v>
      </c>
      <c r="X92" s="24">
        <f t="shared" si="40"/>
        <v>1.44</v>
      </c>
      <c r="Y92" s="24">
        <f t="shared" si="40"/>
        <v>2.51</v>
      </c>
      <c r="Z92" s="24">
        <f t="shared" si="40"/>
        <v>1.67</v>
      </c>
      <c r="AA92" s="24"/>
      <c r="AB92" s="24"/>
      <c r="AC92" s="24"/>
      <c r="AD92" s="24"/>
      <c r="AE92" s="24"/>
      <c r="AF92" s="271"/>
      <c r="AG92" s="272"/>
    </row>
    <row r="93" spans="1:33" s="4" customFormat="1" ht="21.75" customHeight="1">
      <c r="A93" s="30">
        <v>8</v>
      </c>
      <c r="B93" s="37">
        <f t="shared" si="41"/>
        <v>419263.51</v>
      </c>
      <c r="C93" s="38">
        <v>419345.18</v>
      </c>
      <c r="D93" s="39" t="s">
        <v>17</v>
      </c>
      <c r="E93" s="24">
        <f>C93-B93</f>
        <v>81.6699999999837</v>
      </c>
      <c r="F93" s="66">
        <f>ROUND((6.7081+8.9409)/2,2)</f>
        <v>7.82</v>
      </c>
      <c r="G93" s="105">
        <f>ROUND((2901.4858-((22.087+21.3542)/2)-($F93/2))/2901.4858,4)</f>
        <v>0.9912</v>
      </c>
      <c r="H93" s="105"/>
      <c r="I93" s="24">
        <f t="shared" si="36"/>
        <v>633.04</v>
      </c>
      <c r="J93" s="24"/>
      <c r="K93" s="24"/>
      <c r="L93" s="24"/>
      <c r="M93" s="24"/>
      <c r="N93" s="61"/>
      <c r="O93" s="24">
        <f t="shared" si="37"/>
        <v>12.31</v>
      </c>
      <c r="P93" s="24">
        <f t="shared" si="37"/>
        <v>8.21</v>
      </c>
      <c r="Q93" s="24"/>
      <c r="R93" s="24"/>
      <c r="S93" s="24">
        <f t="shared" si="38"/>
        <v>10.55</v>
      </c>
      <c r="T93" s="24">
        <f t="shared" si="38"/>
        <v>7.03</v>
      </c>
      <c r="U93" s="24">
        <f t="shared" si="39"/>
        <v>6.96</v>
      </c>
      <c r="V93" s="24">
        <f t="shared" si="39"/>
        <v>4.64</v>
      </c>
      <c r="W93" s="24">
        <f t="shared" si="40"/>
        <v>1.76</v>
      </c>
      <c r="X93" s="24">
        <f t="shared" si="40"/>
        <v>1.17</v>
      </c>
      <c r="Y93" s="24">
        <f t="shared" si="40"/>
        <v>2.05</v>
      </c>
      <c r="Z93" s="24">
        <f t="shared" si="40"/>
        <v>1.37</v>
      </c>
      <c r="AA93" s="24"/>
      <c r="AB93" s="24"/>
      <c r="AC93" s="24"/>
      <c r="AD93" s="24"/>
      <c r="AE93" s="24"/>
      <c r="AF93" s="271"/>
      <c r="AG93" s="272"/>
    </row>
    <row r="94" spans="1:33" s="4" customFormat="1" ht="21.75" customHeight="1">
      <c r="A94" s="30">
        <v>9</v>
      </c>
      <c r="B94" s="38">
        <f t="shared" si="41"/>
        <v>419345.18</v>
      </c>
      <c r="C94" s="38">
        <v>419699.64</v>
      </c>
      <c r="D94" s="39" t="s">
        <v>17</v>
      </c>
      <c r="E94" s="24">
        <f aca="true" t="shared" si="42" ref="E94:E115">C94-B94</f>
        <v>354.46000000002095</v>
      </c>
      <c r="F94" s="66">
        <f>ROUND((8.9409+8.8634)/2,2)</f>
        <v>8.9</v>
      </c>
      <c r="G94" s="105"/>
      <c r="H94" s="105"/>
      <c r="I94" s="24">
        <f t="shared" si="36"/>
        <v>3154.69</v>
      </c>
      <c r="J94" s="24"/>
      <c r="K94" s="24"/>
      <c r="L94" s="24"/>
      <c r="M94" s="24"/>
      <c r="N94" s="61"/>
      <c r="O94" s="24">
        <f t="shared" si="37"/>
        <v>61.34</v>
      </c>
      <c r="P94" s="24">
        <f t="shared" si="37"/>
        <v>40.89</v>
      </c>
      <c r="Q94" s="24"/>
      <c r="R94" s="24"/>
      <c r="S94" s="24">
        <f t="shared" si="38"/>
        <v>52.58</v>
      </c>
      <c r="T94" s="24">
        <f t="shared" si="38"/>
        <v>35.05</v>
      </c>
      <c r="U94" s="24">
        <f t="shared" si="39"/>
        <v>34.7</v>
      </c>
      <c r="V94" s="24">
        <f t="shared" si="39"/>
        <v>23.13</v>
      </c>
      <c r="W94" s="24">
        <f t="shared" si="40"/>
        <v>8.76</v>
      </c>
      <c r="X94" s="24">
        <f t="shared" si="40"/>
        <v>5.84</v>
      </c>
      <c r="Y94" s="24">
        <f t="shared" si="40"/>
        <v>10.22</v>
      </c>
      <c r="Z94" s="24">
        <f t="shared" si="40"/>
        <v>6.82</v>
      </c>
      <c r="AA94" s="24"/>
      <c r="AB94" s="24"/>
      <c r="AC94" s="24"/>
      <c r="AD94" s="24"/>
      <c r="AE94" s="24"/>
      <c r="AF94" s="271"/>
      <c r="AG94" s="272"/>
    </row>
    <row r="95" spans="1:33" s="4" customFormat="1" ht="21.75" customHeight="1">
      <c r="A95" s="30">
        <v>10</v>
      </c>
      <c r="B95" s="37">
        <f t="shared" si="41"/>
        <v>419699.64</v>
      </c>
      <c r="C95" s="38">
        <v>419863.49</v>
      </c>
      <c r="D95" s="39" t="s">
        <v>17</v>
      </c>
      <c r="E95" s="24">
        <f t="shared" si="42"/>
        <v>163.84999999997672</v>
      </c>
      <c r="F95" s="66">
        <f>ROUND((8.8634+9.2961)/2,2)</f>
        <v>9.08</v>
      </c>
      <c r="G95" s="105"/>
      <c r="H95" s="105"/>
      <c r="I95" s="24">
        <f t="shared" si="36"/>
        <v>1487.76</v>
      </c>
      <c r="J95" s="24"/>
      <c r="K95" s="24"/>
      <c r="L95" s="24"/>
      <c r="M95" s="24"/>
      <c r="N95" s="61"/>
      <c r="O95" s="24">
        <f t="shared" si="37"/>
        <v>28.93</v>
      </c>
      <c r="P95" s="24">
        <f t="shared" si="37"/>
        <v>19.29</v>
      </c>
      <c r="Q95" s="24"/>
      <c r="R95" s="24"/>
      <c r="S95" s="24">
        <f t="shared" si="38"/>
        <v>24.8</v>
      </c>
      <c r="T95" s="24">
        <f t="shared" si="38"/>
        <v>16.53</v>
      </c>
      <c r="U95" s="24">
        <f t="shared" si="39"/>
        <v>16.37</v>
      </c>
      <c r="V95" s="24">
        <f t="shared" si="39"/>
        <v>10.91</v>
      </c>
      <c r="W95" s="24">
        <f t="shared" si="40"/>
        <v>4.13</v>
      </c>
      <c r="X95" s="24">
        <f t="shared" si="40"/>
        <v>2.76</v>
      </c>
      <c r="Y95" s="24">
        <f t="shared" si="40"/>
        <v>4.82</v>
      </c>
      <c r="Z95" s="24">
        <f t="shared" si="40"/>
        <v>3.21</v>
      </c>
      <c r="AA95" s="24"/>
      <c r="AB95" s="24"/>
      <c r="AC95" s="24"/>
      <c r="AD95" s="24"/>
      <c r="AE95" s="24"/>
      <c r="AF95" s="271"/>
      <c r="AG95" s="272"/>
    </row>
    <row r="96" spans="1:33" s="16" customFormat="1" ht="21.75" customHeight="1">
      <c r="A96" s="30">
        <v>11</v>
      </c>
      <c r="B96" s="37">
        <f t="shared" si="41"/>
        <v>419863.49</v>
      </c>
      <c r="C96" s="38">
        <v>419926.94</v>
      </c>
      <c r="D96" s="39" t="s">
        <v>17</v>
      </c>
      <c r="E96" s="24">
        <f t="shared" si="42"/>
        <v>63.45000000001164</v>
      </c>
      <c r="F96" s="66">
        <f>ROUND((9.2961+7.4132)/2,2)</f>
        <v>8.35</v>
      </c>
      <c r="G96" s="105"/>
      <c r="H96" s="105"/>
      <c r="I96" s="24">
        <f>IF(G96=0,ROUND($E96*$F96,2),ROUND($E96*$F96*$G96,2))</f>
        <v>529.81</v>
      </c>
      <c r="J96" s="24"/>
      <c r="K96" s="24"/>
      <c r="L96" s="39"/>
      <c r="M96" s="24"/>
      <c r="N96" s="61"/>
      <c r="O96" s="24">
        <f t="shared" si="37"/>
        <v>10.3</v>
      </c>
      <c r="P96" s="24">
        <f t="shared" si="37"/>
        <v>6.87</v>
      </c>
      <c r="Q96" s="24"/>
      <c r="R96" s="24"/>
      <c r="S96" s="24">
        <f t="shared" si="38"/>
        <v>8.83</v>
      </c>
      <c r="T96" s="24">
        <f t="shared" si="38"/>
        <v>5.89</v>
      </c>
      <c r="U96" s="24">
        <f t="shared" si="39"/>
        <v>5.83</v>
      </c>
      <c r="V96" s="24">
        <f t="shared" si="39"/>
        <v>3.89</v>
      </c>
      <c r="W96" s="24">
        <f t="shared" si="40"/>
        <v>1.47</v>
      </c>
      <c r="X96" s="24">
        <f t="shared" si="40"/>
        <v>0.98</v>
      </c>
      <c r="Y96" s="24">
        <f t="shared" si="40"/>
        <v>1.72</v>
      </c>
      <c r="Z96" s="24">
        <f t="shared" si="40"/>
        <v>1.14</v>
      </c>
      <c r="AA96" s="24"/>
      <c r="AB96" s="24"/>
      <c r="AC96" s="24"/>
      <c r="AD96" s="24"/>
      <c r="AE96" s="24"/>
      <c r="AF96" s="271"/>
      <c r="AG96" s="272"/>
    </row>
    <row r="97" spans="1:33" s="16" customFormat="1" ht="21.75" customHeight="1">
      <c r="A97" s="30">
        <v>12</v>
      </c>
      <c r="B97" s="37"/>
      <c r="C97" s="38"/>
      <c r="D97" s="39"/>
      <c r="E97" s="24"/>
      <c r="F97" s="66"/>
      <c r="G97" s="105"/>
      <c r="H97" s="105"/>
      <c r="I97" s="24"/>
      <c r="J97" s="24"/>
      <c r="K97" s="24"/>
      <c r="L97" s="24"/>
      <c r="M97" s="24"/>
      <c r="N97" s="61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71"/>
      <c r="AG97" s="272"/>
    </row>
    <row r="98" spans="1:33" s="16" customFormat="1" ht="21.75" customHeight="1">
      <c r="A98" s="30">
        <v>13</v>
      </c>
      <c r="B98" s="37">
        <f>C96</f>
        <v>419926.94</v>
      </c>
      <c r="C98" s="38">
        <v>420019.9</v>
      </c>
      <c r="D98" s="39" t="s">
        <v>17</v>
      </c>
      <c r="E98" s="24">
        <f t="shared" si="42"/>
        <v>92.96000000002095</v>
      </c>
      <c r="F98" s="66">
        <f>ROUND((7.4132+7.6647)/2,2)</f>
        <v>7.54</v>
      </c>
      <c r="G98" s="105"/>
      <c r="H98" s="105"/>
      <c r="I98" s="24">
        <f>IF(G98=0,ROUND($E98*$F98,2),ROUND($E98*$F98*$G98,2))</f>
        <v>700.92</v>
      </c>
      <c r="J98" s="24"/>
      <c r="K98" s="24"/>
      <c r="L98" s="24"/>
      <c r="M98" s="24"/>
      <c r="N98" s="61"/>
      <c r="O98" s="24">
        <f aca="true" t="shared" si="43" ref="O98:P104">ROUND(((($I98)*(O$145/12))/27)*O$148,2)</f>
        <v>13.63</v>
      </c>
      <c r="P98" s="24">
        <f t="shared" si="43"/>
        <v>9.09</v>
      </c>
      <c r="Q98" s="24"/>
      <c r="R98" s="24"/>
      <c r="S98" s="24">
        <f aca="true" t="shared" si="44" ref="S98:T104">ROUND(((($I98)*(S$145/12))/27)*S$148,2)</f>
        <v>11.68</v>
      </c>
      <c r="T98" s="24">
        <f t="shared" si="44"/>
        <v>7.79</v>
      </c>
      <c r="U98" s="24">
        <f aca="true" t="shared" si="45" ref="U98:V104">ROUND(((($I98/9)*U$145)*3)*U$148,2)</f>
        <v>7.71</v>
      </c>
      <c r="V98" s="24">
        <f t="shared" si="45"/>
        <v>5.14</v>
      </c>
      <c r="W98" s="24">
        <f aca="true" t="shared" si="46" ref="W98:Z104">ROUND((($I98*(W$145/12))/27)*W$148,2)</f>
        <v>1.95</v>
      </c>
      <c r="X98" s="24">
        <f t="shared" si="46"/>
        <v>1.3</v>
      </c>
      <c r="Y98" s="24">
        <f t="shared" si="46"/>
        <v>2.27</v>
      </c>
      <c r="Z98" s="24">
        <f t="shared" si="46"/>
        <v>1.51</v>
      </c>
      <c r="AA98" s="24"/>
      <c r="AB98" s="24"/>
      <c r="AC98" s="24"/>
      <c r="AD98" s="24"/>
      <c r="AE98" s="24"/>
      <c r="AF98" s="271"/>
      <c r="AG98" s="272"/>
    </row>
    <row r="99" spans="1:33" s="16" customFormat="1" ht="21.75" customHeight="1">
      <c r="A99" s="30">
        <v>14</v>
      </c>
      <c r="B99" s="37">
        <f aca="true" t="shared" si="47" ref="B99:B104">C98</f>
        <v>420019.9</v>
      </c>
      <c r="C99" s="38">
        <v>420083.38</v>
      </c>
      <c r="D99" s="39" t="s">
        <v>17</v>
      </c>
      <c r="E99" s="24">
        <f t="shared" si="42"/>
        <v>63.47999999998137</v>
      </c>
      <c r="F99" s="66">
        <f>ROUND((7.6647+9.1714)/2,2)</f>
        <v>8.42</v>
      </c>
      <c r="G99" s="24"/>
      <c r="H99" s="24"/>
      <c r="I99" s="24">
        <f t="shared" si="36"/>
        <v>534.5</v>
      </c>
      <c r="J99" s="24"/>
      <c r="K99" s="24"/>
      <c r="L99" s="24"/>
      <c r="M99" s="24"/>
      <c r="N99" s="61"/>
      <c r="O99" s="24">
        <f t="shared" si="43"/>
        <v>10.39</v>
      </c>
      <c r="P99" s="24">
        <f t="shared" si="43"/>
        <v>6.93</v>
      </c>
      <c r="Q99" s="24"/>
      <c r="R99" s="24"/>
      <c r="S99" s="24">
        <f t="shared" si="44"/>
        <v>8.91</v>
      </c>
      <c r="T99" s="24">
        <f t="shared" si="44"/>
        <v>5.94</v>
      </c>
      <c r="U99" s="24">
        <f t="shared" si="45"/>
        <v>5.88</v>
      </c>
      <c r="V99" s="24">
        <f t="shared" si="45"/>
        <v>3.92</v>
      </c>
      <c r="W99" s="24">
        <f t="shared" si="46"/>
        <v>1.48</v>
      </c>
      <c r="X99" s="24">
        <f t="shared" si="46"/>
        <v>0.99</v>
      </c>
      <c r="Y99" s="24">
        <f t="shared" si="46"/>
        <v>1.73</v>
      </c>
      <c r="Z99" s="24">
        <f t="shared" si="46"/>
        <v>1.15</v>
      </c>
      <c r="AA99" s="24"/>
      <c r="AB99" s="24"/>
      <c r="AC99" s="24"/>
      <c r="AD99" s="24"/>
      <c r="AE99" s="24"/>
      <c r="AF99" s="271"/>
      <c r="AG99" s="272"/>
    </row>
    <row r="100" spans="1:33" s="16" customFormat="1" ht="21.75" customHeight="1">
      <c r="A100" s="30">
        <v>15</v>
      </c>
      <c r="B100" s="37">
        <f t="shared" si="47"/>
        <v>420083.38</v>
      </c>
      <c r="C100" s="38">
        <v>420342.95</v>
      </c>
      <c r="D100" s="39" t="s">
        <v>17</v>
      </c>
      <c r="E100" s="24">
        <f t="shared" si="42"/>
        <v>259.570000000007</v>
      </c>
      <c r="F100" s="66">
        <f>ROUND((9.1714+9.1552)/2,2)</f>
        <v>9.16</v>
      </c>
      <c r="G100" s="105"/>
      <c r="H100" s="105"/>
      <c r="I100" s="24">
        <f t="shared" si="36"/>
        <v>2377.66</v>
      </c>
      <c r="J100" s="24"/>
      <c r="K100" s="24"/>
      <c r="L100" s="24"/>
      <c r="M100" s="24"/>
      <c r="N100" s="61"/>
      <c r="O100" s="24">
        <f t="shared" si="43"/>
        <v>46.23</v>
      </c>
      <c r="P100" s="24">
        <f t="shared" si="43"/>
        <v>30.82</v>
      </c>
      <c r="Q100" s="24"/>
      <c r="R100" s="24"/>
      <c r="S100" s="24">
        <f t="shared" si="44"/>
        <v>39.63</v>
      </c>
      <c r="T100" s="24">
        <f t="shared" si="44"/>
        <v>26.42</v>
      </c>
      <c r="U100" s="24">
        <f t="shared" si="45"/>
        <v>26.15</v>
      </c>
      <c r="V100" s="24">
        <f t="shared" si="45"/>
        <v>17.44</v>
      </c>
      <c r="W100" s="24">
        <f t="shared" si="46"/>
        <v>6.6</v>
      </c>
      <c r="X100" s="24">
        <f t="shared" si="46"/>
        <v>4.4</v>
      </c>
      <c r="Y100" s="24">
        <f t="shared" si="46"/>
        <v>7.71</v>
      </c>
      <c r="Z100" s="24">
        <f t="shared" si="46"/>
        <v>5.14</v>
      </c>
      <c r="AA100" s="24"/>
      <c r="AB100" s="24"/>
      <c r="AC100" s="24"/>
      <c r="AD100" s="24"/>
      <c r="AE100" s="24"/>
      <c r="AF100" s="271"/>
      <c r="AG100" s="272"/>
    </row>
    <row r="101" spans="1:33" s="4" customFormat="1" ht="21.75" customHeight="1">
      <c r="A101" s="30">
        <v>16</v>
      </c>
      <c r="B101" s="37">
        <f t="shared" si="47"/>
        <v>420342.95</v>
      </c>
      <c r="C101" s="38">
        <v>420382.95</v>
      </c>
      <c r="D101" s="39" t="s">
        <v>17</v>
      </c>
      <c r="E101" s="24">
        <f t="shared" si="42"/>
        <v>40</v>
      </c>
      <c r="F101" s="66">
        <f>ROUND((9.1552+7.6696)/2,2)</f>
        <v>8.41</v>
      </c>
      <c r="G101" s="90"/>
      <c r="H101" s="24"/>
      <c r="I101" s="24">
        <f t="shared" si="36"/>
        <v>336.4</v>
      </c>
      <c r="J101" s="24"/>
      <c r="K101" s="24"/>
      <c r="L101" s="24"/>
      <c r="M101" s="24"/>
      <c r="N101" s="61"/>
      <c r="O101" s="24">
        <f t="shared" si="43"/>
        <v>6.54</v>
      </c>
      <c r="P101" s="24">
        <f t="shared" si="43"/>
        <v>4.36</v>
      </c>
      <c r="Q101" s="24"/>
      <c r="R101" s="24"/>
      <c r="S101" s="24">
        <f t="shared" si="44"/>
        <v>5.61</v>
      </c>
      <c r="T101" s="24">
        <f t="shared" si="44"/>
        <v>3.74</v>
      </c>
      <c r="U101" s="24">
        <f t="shared" si="45"/>
        <v>3.7</v>
      </c>
      <c r="V101" s="24">
        <f t="shared" si="45"/>
        <v>2.47</v>
      </c>
      <c r="W101" s="24">
        <f t="shared" si="46"/>
        <v>0.93</v>
      </c>
      <c r="X101" s="24">
        <f t="shared" si="46"/>
        <v>0.62</v>
      </c>
      <c r="Y101" s="24">
        <f t="shared" si="46"/>
        <v>1.09</v>
      </c>
      <c r="Z101" s="24">
        <f t="shared" si="46"/>
        <v>0.73</v>
      </c>
      <c r="AA101" s="24"/>
      <c r="AB101" s="24"/>
      <c r="AC101" s="24"/>
      <c r="AD101" s="24"/>
      <c r="AE101" s="24"/>
      <c r="AF101" s="271"/>
      <c r="AG101" s="272"/>
    </row>
    <row r="102" spans="1:33" s="4" customFormat="1" ht="21.75" customHeight="1">
      <c r="A102" s="30">
        <v>17</v>
      </c>
      <c r="B102" s="37">
        <f t="shared" si="47"/>
        <v>420382.95</v>
      </c>
      <c r="C102" s="38">
        <v>420538.7</v>
      </c>
      <c r="D102" s="39" t="s">
        <v>17</v>
      </c>
      <c r="E102" s="24">
        <f t="shared" si="42"/>
        <v>155.75</v>
      </c>
      <c r="F102" s="66">
        <f>ROUND((7.6696+7.8684)/2,2)</f>
        <v>7.77</v>
      </c>
      <c r="G102" s="90"/>
      <c r="H102" s="24"/>
      <c r="I102" s="24">
        <f t="shared" si="36"/>
        <v>1210.18</v>
      </c>
      <c r="J102" s="24"/>
      <c r="K102" s="24"/>
      <c r="L102" s="24"/>
      <c r="M102" s="24"/>
      <c r="N102" s="61"/>
      <c r="O102" s="24">
        <f t="shared" si="43"/>
        <v>23.53</v>
      </c>
      <c r="P102" s="24">
        <f t="shared" si="43"/>
        <v>15.69</v>
      </c>
      <c r="Q102" s="24"/>
      <c r="R102" s="24"/>
      <c r="S102" s="24">
        <f t="shared" si="44"/>
        <v>20.17</v>
      </c>
      <c r="T102" s="24">
        <f t="shared" si="44"/>
        <v>13.45</v>
      </c>
      <c r="U102" s="24">
        <f t="shared" si="45"/>
        <v>13.31</v>
      </c>
      <c r="V102" s="24">
        <f t="shared" si="45"/>
        <v>8.87</v>
      </c>
      <c r="W102" s="24">
        <f t="shared" si="46"/>
        <v>3.36</v>
      </c>
      <c r="X102" s="24">
        <f t="shared" si="46"/>
        <v>2.24</v>
      </c>
      <c r="Y102" s="24">
        <f t="shared" si="46"/>
        <v>3.92</v>
      </c>
      <c r="Z102" s="24">
        <f t="shared" si="46"/>
        <v>2.61</v>
      </c>
      <c r="AA102" s="24"/>
      <c r="AB102" s="24"/>
      <c r="AC102" s="24"/>
      <c r="AD102" s="24"/>
      <c r="AE102" s="24"/>
      <c r="AF102" s="271"/>
      <c r="AG102" s="272"/>
    </row>
    <row r="103" spans="1:33" s="4" customFormat="1" ht="21.75" customHeight="1">
      <c r="A103" s="30">
        <v>18</v>
      </c>
      <c r="B103" s="37">
        <f t="shared" si="47"/>
        <v>420538.7</v>
      </c>
      <c r="C103" s="38">
        <v>420578.69</v>
      </c>
      <c r="D103" s="39" t="s">
        <v>17</v>
      </c>
      <c r="E103" s="24">
        <f t="shared" si="42"/>
        <v>39.98999999999069</v>
      </c>
      <c r="F103" s="66">
        <f>ROUND((7.8684+9.2126)/2,2)</f>
        <v>8.54</v>
      </c>
      <c r="G103" s="90"/>
      <c r="H103" s="24"/>
      <c r="I103" s="24">
        <f t="shared" si="36"/>
        <v>341.51</v>
      </c>
      <c r="J103" s="24"/>
      <c r="K103" s="24"/>
      <c r="L103" s="24"/>
      <c r="M103" s="24"/>
      <c r="N103" s="61"/>
      <c r="O103" s="24">
        <f t="shared" si="43"/>
        <v>6.64</v>
      </c>
      <c r="P103" s="24">
        <f t="shared" si="43"/>
        <v>4.43</v>
      </c>
      <c r="Q103" s="24"/>
      <c r="R103" s="24"/>
      <c r="S103" s="24">
        <f t="shared" si="44"/>
        <v>5.69</v>
      </c>
      <c r="T103" s="24">
        <f t="shared" si="44"/>
        <v>3.79</v>
      </c>
      <c r="U103" s="24">
        <f t="shared" si="45"/>
        <v>3.76</v>
      </c>
      <c r="V103" s="24">
        <f t="shared" si="45"/>
        <v>2.5</v>
      </c>
      <c r="W103" s="24">
        <f t="shared" si="46"/>
        <v>0.95</v>
      </c>
      <c r="X103" s="24">
        <f t="shared" si="46"/>
        <v>0.63</v>
      </c>
      <c r="Y103" s="24">
        <f t="shared" si="46"/>
        <v>1.11</v>
      </c>
      <c r="Z103" s="24">
        <f t="shared" si="46"/>
        <v>0.74</v>
      </c>
      <c r="AA103" s="24"/>
      <c r="AB103" s="24"/>
      <c r="AC103" s="24"/>
      <c r="AD103" s="24"/>
      <c r="AE103" s="24"/>
      <c r="AF103" s="271"/>
      <c r="AG103" s="272"/>
    </row>
    <row r="104" spans="1:33" s="4" customFormat="1" ht="21.75" customHeight="1">
      <c r="A104" s="30">
        <v>19</v>
      </c>
      <c r="B104" s="37">
        <f t="shared" si="47"/>
        <v>420578.69</v>
      </c>
      <c r="C104" s="38">
        <v>420814.66</v>
      </c>
      <c r="D104" s="39" t="s">
        <v>17</v>
      </c>
      <c r="E104" s="24">
        <f t="shared" si="42"/>
        <v>235.96999999997206</v>
      </c>
      <c r="F104" s="66">
        <f>ROUND((9.2126+9.3859)/2,2)</f>
        <v>9.3</v>
      </c>
      <c r="G104" s="105"/>
      <c r="H104" s="105"/>
      <c r="I104" s="24">
        <f t="shared" si="36"/>
        <v>2194.52</v>
      </c>
      <c r="J104" s="24"/>
      <c r="K104" s="24"/>
      <c r="L104" s="24"/>
      <c r="M104" s="24"/>
      <c r="N104" s="61"/>
      <c r="O104" s="24">
        <f t="shared" si="43"/>
        <v>42.67</v>
      </c>
      <c r="P104" s="24">
        <f t="shared" si="43"/>
        <v>28.45</v>
      </c>
      <c r="Q104" s="24"/>
      <c r="R104" s="24"/>
      <c r="S104" s="24">
        <f t="shared" si="44"/>
        <v>36.58</v>
      </c>
      <c r="T104" s="24">
        <f t="shared" si="44"/>
        <v>24.38</v>
      </c>
      <c r="U104" s="24">
        <f t="shared" si="45"/>
        <v>24.14</v>
      </c>
      <c r="V104" s="24">
        <f t="shared" si="45"/>
        <v>16.09</v>
      </c>
      <c r="W104" s="24">
        <f t="shared" si="46"/>
        <v>6.1</v>
      </c>
      <c r="X104" s="24">
        <f t="shared" si="46"/>
        <v>4.06</v>
      </c>
      <c r="Y104" s="24">
        <f t="shared" si="46"/>
        <v>7.11</v>
      </c>
      <c r="Z104" s="24">
        <f t="shared" si="46"/>
        <v>4.74</v>
      </c>
      <c r="AA104" s="24"/>
      <c r="AB104" s="24"/>
      <c r="AC104" s="24"/>
      <c r="AD104" s="24"/>
      <c r="AE104" s="24"/>
      <c r="AF104" s="271"/>
      <c r="AG104" s="272"/>
    </row>
    <row r="105" spans="1:33" s="4" customFormat="1" ht="21.75" customHeight="1">
      <c r="A105" s="30">
        <v>20</v>
      </c>
      <c r="B105" s="37"/>
      <c r="C105" s="38"/>
      <c r="D105" s="39"/>
      <c r="E105" s="24"/>
      <c r="F105" s="66"/>
      <c r="G105" s="105"/>
      <c r="H105" s="105"/>
      <c r="I105" s="24"/>
      <c r="J105" s="24"/>
      <c r="K105" s="24"/>
      <c r="L105" s="39"/>
      <c r="M105" s="24"/>
      <c r="N105" s="61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71"/>
      <c r="AG105" s="272"/>
    </row>
    <row r="106" spans="1:33" s="4" customFormat="1" ht="21.75" customHeight="1">
      <c r="A106" s="30">
        <v>21</v>
      </c>
      <c r="B106" s="37">
        <v>12828.25</v>
      </c>
      <c r="C106" s="38">
        <v>12950</v>
      </c>
      <c r="D106" s="39" t="s">
        <v>16</v>
      </c>
      <c r="E106" s="24">
        <f t="shared" si="42"/>
        <v>121.75</v>
      </c>
      <c r="F106" s="66">
        <v>12</v>
      </c>
      <c r="G106" s="105">
        <f>ROUND((5729.578-12-($F106/2))/5729.578,4)</f>
        <v>0.9969</v>
      </c>
      <c r="H106" s="105">
        <f>ROUND((5729.578-12-($F106))/5729.578,4)</f>
        <v>0.9958</v>
      </c>
      <c r="I106" s="24">
        <f t="shared" si="36"/>
        <v>1456.47</v>
      </c>
      <c r="J106" s="24"/>
      <c r="K106" s="24"/>
      <c r="L106" s="24"/>
      <c r="M106" s="24">
        <f>IF($H106=0,ROUND($E106*(M$145/12),2),ROUND($E106*$H106*(M$145/12),2))</f>
        <v>202.06</v>
      </c>
      <c r="N106" s="61"/>
      <c r="O106" s="24">
        <f aca="true" t="shared" si="48" ref="O106:P108">ROUND(((($I106)*(O$145/12))/27)*O$148,2)</f>
        <v>28.32</v>
      </c>
      <c r="P106" s="24">
        <f t="shared" si="48"/>
        <v>18.88</v>
      </c>
      <c r="Q106" s="24">
        <f>ROUND(((($I106+$M106)*(Q$145/12))/27)*Q$148,2)</f>
        <v>18.43</v>
      </c>
      <c r="R106" s="24">
        <f>ROUND(((($I106+$M106)*(R$145/12))/27)*R$148,2)</f>
        <v>12.29</v>
      </c>
      <c r="S106" s="24"/>
      <c r="T106" s="24"/>
      <c r="U106" s="24">
        <f aca="true" t="shared" si="49" ref="U106:V108">ROUND(((($I106/9)*U$145)*3)*U$148,2)</f>
        <v>16.02</v>
      </c>
      <c r="V106" s="24">
        <f t="shared" si="49"/>
        <v>10.68</v>
      </c>
      <c r="W106" s="24">
        <f aca="true" t="shared" si="50" ref="W106:Z108">ROUND((($I106*(W$145/12))/27)*W$148,2)</f>
        <v>4.05</v>
      </c>
      <c r="X106" s="24">
        <f t="shared" si="50"/>
        <v>2.7</v>
      </c>
      <c r="Y106" s="24">
        <f t="shared" si="50"/>
        <v>4.72</v>
      </c>
      <c r="Z106" s="24">
        <f t="shared" si="50"/>
        <v>3.15</v>
      </c>
      <c r="AA106" s="24"/>
      <c r="AB106" s="24"/>
      <c r="AC106" s="24">
        <f aca="true" t="shared" si="51" ref="AC106:AD108">IF($H106=0,$E106*AC$148,ROUND($E106*$H106*AC$148,2))</f>
        <v>72.74</v>
      </c>
      <c r="AD106" s="24">
        <f t="shared" si="51"/>
        <v>48.5</v>
      </c>
      <c r="AE106" s="24"/>
      <c r="AF106" s="271"/>
      <c r="AG106" s="272"/>
    </row>
    <row r="107" spans="1:33" s="4" customFormat="1" ht="21.75" customHeight="1">
      <c r="A107" s="30">
        <v>22</v>
      </c>
      <c r="B107" s="38">
        <f>C106</f>
        <v>12950</v>
      </c>
      <c r="C107" s="38">
        <v>13380.04</v>
      </c>
      <c r="D107" s="39" t="s">
        <v>16</v>
      </c>
      <c r="E107" s="24">
        <f>C107-B107</f>
        <v>430.0400000000009</v>
      </c>
      <c r="F107" s="66">
        <v>13</v>
      </c>
      <c r="G107" s="105">
        <f>ROUND((5729.578-12-($F107/2))/5729.578,4)</f>
        <v>0.9968</v>
      </c>
      <c r="H107" s="105">
        <f>ROUND((5729.578-12-($F107))/5729.578,4)</f>
        <v>0.9956</v>
      </c>
      <c r="I107" s="24">
        <f>IF(G107=0,ROUND($E107*$F107,2),ROUND($E107*$F107*$G107,2))</f>
        <v>5572.63</v>
      </c>
      <c r="J107" s="24"/>
      <c r="K107" s="24"/>
      <c r="L107" s="24"/>
      <c r="M107" s="24">
        <f>IF($H107=0,ROUND($E107*(M$145/12),2),ROUND($E107*$H107*(M$145/12),2))</f>
        <v>713.58</v>
      </c>
      <c r="N107" s="61"/>
      <c r="O107" s="24">
        <f t="shared" si="48"/>
        <v>108.36</v>
      </c>
      <c r="P107" s="24">
        <f t="shared" si="48"/>
        <v>72.24</v>
      </c>
      <c r="Q107" s="24"/>
      <c r="R107" s="24"/>
      <c r="S107" s="24">
        <f>ROUND(((($I107+$M107)*(S$145/12))/27)*S$148,2)</f>
        <v>104.77</v>
      </c>
      <c r="T107" s="24">
        <f>ROUND(((($I107+$M107)*(T$145/12))/27)*T$148,2)</f>
        <v>69.85</v>
      </c>
      <c r="U107" s="24">
        <f t="shared" si="49"/>
        <v>61.3</v>
      </c>
      <c r="V107" s="24">
        <f t="shared" si="49"/>
        <v>40.87</v>
      </c>
      <c r="W107" s="24">
        <f t="shared" si="50"/>
        <v>15.48</v>
      </c>
      <c r="X107" s="24">
        <f t="shared" si="50"/>
        <v>10.32</v>
      </c>
      <c r="Y107" s="24">
        <f t="shared" si="50"/>
        <v>18.06</v>
      </c>
      <c r="Z107" s="24">
        <f t="shared" si="50"/>
        <v>12.04</v>
      </c>
      <c r="AA107" s="24"/>
      <c r="AB107" s="24"/>
      <c r="AC107" s="24">
        <f t="shared" si="51"/>
        <v>256.89</v>
      </c>
      <c r="AD107" s="24">
        <f t="shared" si="51"/>
        <v>171.26</v>
      </c>
      <c r="AE107" s="24"/>
      <c r="AF107" s="271"/>
      <c r="AG107" s="272"/>
    </row>
    <row r="108" spans="1:33" s="4" customFormat="1" ht="21.75" customHeight="1">
      <c r="A108" s="30">
        <v>23</v>
      </c>
      <c r="B108" s="37">
        <f>C107</f>
        <v>13380.04</v>
      </c>
      <c r="C108" s="38">
        <v>13445</v>
      </c>
      <c r="D108" s="39" t="s">
        <v>16</v>
      </c>
      <c r="E108" s="24">
        <f t="shared" si="42"/>
        <v>64.95999999999913</v>
      </c>
      <c r="F108" s="66">
        <f>ROUND((12+11.48)/2,2)</f>
        <v>11.74</v>
      </c>
      <c r="G108" s="105">
        <f>ROUND((5729.578-12-($F108/2))/5729.578,4)</f>
        <v>0.9969</v>
      </c>
      <c r="H108" s="105">
        <f>ROUND((5729.578-12-($F108))/5729.578,4)</f>
        <v>0.9959</v>
      </c>
      <c r="I108" s="24">
        <f t="shared" si="36"/>
        <v>760.27</v>
      </c>
      <c r="J108" s="24"/>
      <c r="K108" s="24"/>
      <c r="L108" s="24"/>
      <c r="M108" s="24">
        <f>IF($H108=0,ROUND($E108*(M$145/12),2),ROUND($E108*$H108*(M$145/12),2))</f>
        <v>107.82</v>
      </c>
      <c r="N108" s="61"/>
      <c r="O108" s="24">
        <f t="shared" si="48"/>
        <v>14.78</v>
      </c>
      <c r="P108" s="24">
        <f t="shared" si="48"/>
        <v>9.86</v>
      </c>
      <c r="Q108" s="24"/>
      <c r="R108" s="24"/>
      <c r="S108" s="24">
        <f>ROUND(((($I108+$M108)*(S$145/12))/27)*S$148,2)</f>
        <v>14.47</v>
      </c>
      <c r="T108" s="24">
        <f>ROUND(((($I108+$M108)*(T$145/12))/27)*T$148,2)</f>
        <v>9.65</v>
      </c>
      <c r="U108" s="24">
        <f t="shared" si="49"/>
        <v>8.36</v>
      </c>
      <c r="V108" s="24">
        <f t="shared" si="49"/>
        <v>5.58</v>
      </c>
      <c r="W108" s="24">
        <f t="shared" si="50"/>
        <v>2.11</v>
      </c>
      <c r="X108" s="24">
        <f t="shared" si="50"/>
        <v>1.41</v>
      </c>
      <c r="Y108" s="24">
        <f t="shared" si="50"/>
        <v>2.46</v>
      </c>
      <c r="Z108" s="24">
        <f t="shared" si="50"/>
        <v>1.64</v>
      </c>
      <c r="AA108" s="24"/>
      <c r="AB108" s="24"/>
      <c r="AC108" s="24">
        <f t="shared" si="51"/>
        <v>38.82</v>
      </c>
      <c r="AD108" s="24">
        <f t="shared" si="51"/>
        <v>25.88</v>
      </c>
      <c r="AE108" s="24"/>
      <c r="AF108" s="271"/>
      <c r="AG108" s="272"/>
    </row>
    <row r="109" spans="1:33" s="4" customFormat="1" ht="21.75" customHeight="1">
      <c r="A109" s="30">
        <v>24</v>
      </c>
      <c r="B109" s="37"/>
      <c r="C109" s="38"/>
      <c r="D109" s="39"/>
      <c r="E109" s="24"/>
      <c r="F109" s="66"/>
      <c r="G109" s="105"/>
      <c r="H109" s="105"/>
      <c r="I109" s="24"/>
      <c r="J109" s="24"/>
      <c r="K109" s="24"/>
      <c r="L109" s="24"/>
      <c r="M109" s="24"/>
      <c r="N109" s="61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71"/>
      <c r="AG109" s="272"/>
    </row>
    <row r="110" spans="1:33" s="4" customFormat="1" ht="21.75" customHeight="1">
      <c r="A110" s="30">
        <v>25</v>
      </c>
      <c r="B110" s="37">
        <v>415788.17</v>
      </c>
      <c r="C110" s="38">
        <v>415818.15</v>
      </c>
      <c r="D110" s="39" t="s">
        <v>16</v>
      </c>
      <c r="E110" s="24">
        <v>30</v>
      </c>
      <c r="F110" s="213" t="s">
        <v>13</v>
      </c>
      <c r="G110" s="214"/>
      <c r="H110" s="214"/>
      <c r="I110" s="215"/>
      <c r="J110" s="24">
        <v>317.74</v>
      </c>
      <c r="K110" s="24"/>
      <c r="L110" s="24"/>
      <c r="M110" s="24">
        <f>IF($H110=0,ROUND($E110*(M$145/12),2),ROUND($E110*$H110*(M$145/12),2))</f>
        <v>50</v>
      </c>
      <c r="N110" s="61"/>
      <c r="O110" s="24">
        <f>ROUND(((($J110)*(O$145/12))/27)*O$148,2)</f>
        <v>6.18</v>
      </c>
      <c r="P110" s="24">
        <f>ROUND(((($J110)*(P$145/12))/27)*P$148,2)</f>
        <v>4.12</v>
      </c>
      <c r="Q110" s="24"/>
      <c r="R110" s="24"/>
      <c r="S110" s="24">
        <f>ROUND(((($J110+$M110)*(S$145/12))/27)*S$148,2)</f>
        <v>6.13</v>
      </c>
      <c r="T110" s="24">
        <f>ROUND(((($J110+$M110)*(T$145/12))/27)*T$148,2)</f>
        <v>4.09</v>
      </c>
      <c r="U110" s="24">
        <f>ROUND(((($J110/9)*U$145)*3)*U$148,2)</f>
        <v>3.5</v>
      </c>
      <c r="V110" s="24">
        <f>ROUND(((($J110/9)*V$145)*3)*V$148,2)</f>
        <v>2.33</v>
      </c>
      <c r="W110" s="24">
        <f>ROUND((($J110*(W$145/12))/27)*W$148,2)</f>
        <v>0.88</v>
      </c>
      <c r="X110" s="24">
        <f>ROUND((($J110*(X$145/12))/27)*X$148,2)</f>
        <v>0.59</v>
      </c>
      <c r="Y110" s="24">
        <f>ROUND((($J110*(Y$145/12))/27)*Y$148,2)</f>
        <v>1.03</v>
      </c>
      <c r="Z110" s="24">
        <f>ROUND((($J110*(Z$145/12))/27)*Z$148,2)</f>
        <v>0.69</v>
      </c>
      <c r="AA110" s="24"/>
      <c r="AB110" s="24"/>
      <c r="AC110" s="24">
        <f>IF($H110=0,$E110*AC$148,ROUND($E110*$H110*AC$148,2))</f>
        <v>18</v>
      </c>
      <c r="AD110" s="24">
        <f>IF($H110=0,$E110*AD$148,ROUND($E110*$H110*AD$148,2))</f>
        <v>12</v>
      </c>
      <c r="AE110" s="24"/>
      <c r="AF110" s="271"/>
      <c r="AG110" s="272"/>
    </row>
    <row r="111" spans="1:33" s="4" customFormat="1" ht="21.75" customHeight="1">
      <c r="A111" s="30">
        <v>26</v>
      </c>
      <c r="B111" s="38">
        <f aca="true" t="shared" si="52" ref="B111:B116">C110</f>
        <v>415818.15</v>
      </c>
      <c r="C111" s="38">
        <v>415984.5</v>
      </c>
      <c r="D111" s="39" t="s">
        <v>16</v>
      </c>
      <c r="E111" s="24">
        <f t="shared" si="42"/>
        <v>166.34999999997672</v>
      </c>
      <c r="F111" s="66">
        <f>ROUND((13.9198+11.4327)/2,2)</f>
        <v>12.68</v>
      </c>
      <c r="G111" s="24"/>
      <c r="H111" s="24"/>
      <c r="I111" s="24">
        <f>IF(G111=0,ROUND($E111*$F111,2),ROUND($E111*$F111*$G111,2))</f>
        <v>2109.32</v>
      </c>
      <c r="J111" s="24"/>
      <c r="K111" s="24">
        <f aca="true" t="shared" si="53" ref="K111:L115">IF($H111=0,ROUND($E111*(K$145/12),2),ROUND($E111*$H111*(K$145/12),2))</f>
        <v>55.45</v>
      </c>
      <c r="L111" s="24">
        <f t="shared" si="53"/>
        <v>83.17</v>
      </c>
      <c r="M111" s="24"/>
      <c r="N111" s="61"/>
      <c r="O111" s="24">
        <f aca="true" t="shared" si="54" ref="O111:P115">ROUND((((($I111+$K111)*(O$146/12))+(($I111+$K111+$L111)*(O$146/12)))/27)*O$148,2)</f>
        <v>42.9</v>
      </c>
      <c r="P111" s="24">
        <f t="shared" si="54"/>
        <v>28.6</v>
      </c>
      <c r="Q111" s="24"/>
      <c r="R111" s="24"/>
      <c r="S111" s="24">
        <f aca="true" t="shared" si="55" ref="S111:T115">ROUND(((($I111+$K111+$L111+$L111)*(S$145/12))/27)*S$148,2)</f>
        <v>38.85</v>
      </c>
      <c r="T111" s="24">
        <f t="shared" si="55"/>
        <v>25.9</v>
      </c>
      <c r="U111" s="24">
        <f aca="true" t="shared" si="56" ref="U111:V115">ROUND((((($I111)/9)*U$145)+((($I111+$K111)/9)*U$145)+((($I111+$K111+$L111)/9)*U$145))*U$148,2)</f>
        <v>23.91</v>
      </c>
      <c r="V111" s="24">
        <f t="shared" si="56"/>
        <v>15.94</v>
      </c>
      <c r="W111" s="24">
        <f aca="true" t="shared" si="57" ref="W111:Z115">ROUND((($I111*(W$145/12))/27)*W$148,2)</f>
        <v>5.86</v>
      </c>
      <c r="X111" s="24">
        <f t="shared" si="57"/>
        <v>3.91</v>
      </c>
      <c r="Y111" s="24">
        <f t="shared" si="57"/>
        <v>6.84</v>
      </c>
      <c r="Z111" s="24">
        <f t="shared" si="57"/>
        <v>4.56</v>
      </c>
      <c r="AA111" s="24"/>
      <c r="AB111" s="24"/>
      <c r="AC111" s="24"/>
      <c r="AD111" s="24"/>
      <c r="AE111" s="24"/>
      <c r="AF111" s="271"/>
      <c r="AG111" s="272"/>
    </row>
    <row r="112" spans="1:33" s="4" customFormat="1" ht="21.75" customHeight="1">
      <c r="A112" s="30">
        <v>27</v>
      </c>
      <c r="B112" s="38">
        <f t="shared" si="52"/>
        <v>415984.5</v>
      </c>
      <c r="C112" s="38">
        <v>416144.1</v>
      </c>
      <c r="D112" s="39" t="s">
        <v>16</v>
      </c>
      <c r="E112" s="24">
        <f t="shared" si="42"/>
        <v>159.59999999997672</v>
      </c>
      <c r="F112" s="66">
        <f>ROUND((11.4327+10)/2,2)</f>
        <v>10.72</v>
      </c>
      <c r="G112" s="105">
        <f>ROUND((1897.859-24-($F112/2))/1897.859,4)</f>
        <v>0.9845</v>
      </c>
      <c r="H112" s="105">
        <f>ROUND((1897.859-24-($F112))/1897.859,4)</f>
        <v>0.9817</v>
      </c>
      <c r="I112" s="24">
        <f>IF(G112=0,ROUND($E112*$F112,2),ROUND($E112*$F112*$G112,2))</f>
        <v>1684.39</v>
      </c>
      <c r="J112" s="24"/>
      <c r="K112" s="24">
        <f t="shared" si="53"/>
        <v>52.23</v>
      </c>
      <c r="L112" s="24">
        <f t="shared" si="53"/>
        <v>78.34</v>
      </c>
      <c r="M112" s="24"/>
      <c r="N112" s="61"/>
      <c r="O112" s="24">
        <f t="shared" si="54"/>
        <v>34.53</v>
      </c>
      <c r="P112" s="24">
        <f t="shared" si="54"/>
        <v>23.02</v>
      </c>
      <c r="Q112" s="24"/>
      <c r="R112" s="24"/>
      <c r="S112" s="24">
        <f t="shared" si="55"/>
        <v>31.56</v>
      </c>
      <c r="T112" s="24">
        <f t="shared" si="55"/>
        <v>21.04</v>
      </c>
      <c r="U112" s="24">
        <f t="shared" si="56"/>
        <v>19.2</v>
      </c>
      <c r="V112" s="24">
        <f t="shared" si="56"/>
        <v>12.8</v>
      </c>
      <c r="W112" s="24">
        <f t="shared" si="57"/>
        <v>4.68</v>
      </c>
      <c r="X112" s="24">
        <f t="shared" si="57"/>
        <v>3.12</v>
      </c>
      <c r="Y112" s="24">
        <f t="shared" si="57"/>
        <v>5.46</v>
      </c>
      <c r="Z112" s="24">
        <f t="shared" si="57"/>
        <v>3.64</v>
      </c>
      <c r="AA112" s="24"/>
      <c r="AB112" s="24"/>
      <c r="AC112" s="24"/>
      <c r="AD112" s="24"/>
      <c r="AE112" s="24"/>
      <c r="AF112" s="271"/>
      <c r="AG112" s="272"/>
    </row>
    <row r="113" spans="1:33" s="4" customFormat="1" ht="21.75" customHeight="1">
      <c r="A113" s="30">
        <v>28</v>
      </c>
      <c r="B113" s="38">
        <f t="shared" si="52"/>
        <v>416144.1</v>
      </c>
      <c r="C113" s="38">
        <v>416370.78</v>
      </c>
      <c r="D113" s="39" t="s">
        <v>16</v>
      </c>
      <c r="E113" s="24">
        <f t="shared" si="42"/>
        <v>226.68000000005122</v>
      </c>
      <c r="F113" s="24">
        <v>10</v>
      </c>
      <c r="G113" s="105">
        <f>ROUND((1897.859-24-($F113/2))/1897.859,4)</f>
        <v>0.9847</v>
      </c>
      <c r="H113" s="105">
        <f>ROUND((1897.859-24-($F113))/1897.859,4)</f>
        <v>0.9821</v>
      </c>
      <c r="I113" s="24">
        <f>IF(G113=0,ROUND($E113*$F113,2),ROUND($E113*$F113*$G113,2))</f>
        <v>2232.12</v>
      </c>
      <c r="J113" s="24"/>
      <c r="K113" s="24">
        <f t="shared" si="53"/>
        <v>74.21</v>
      </c>
      <c r="L113" s="24">
        <f t="shared" si="53"/>
        <v>111.31</v>
      </c>
      <c r="M113" s="24"/>
      <c r="N113" s="61"/>
      <c r="O113" s="24">
        <f t="shared" si="54"/>
        <v>45.93</v>
      </c>
      <c r="P113" s="24">
        <f t="shared" si="54"/>
        <v>30.62</v>
      </c>
      <c r="Q113" s="24"/>
      <c r="R113" s="24"/>
      <c r="S113" s="24">
        <f t="shared" si="55"/>
        <v>42.15</v>
      </c>
      <c r="T113" s="24">
        <f t="shared" si="55"/>
        <v>28.1</v>
      </c>
      <c r="U113" s="24">
        <f t="shared" si="56"/>
        <v>25.51</v>
      </c>
      <c r="V113" s="24">
        <f t="shared" si="56"/>
        <v>17</v>
      </c>
      <c r="W113" s="24">
        <f t="shared" si="57"/>
        <v>6.2</v>
      </c>
      <c r="X113" s="24">
        <f t="shared" si="57"/>
        <v>4.13</v>
      </c>
      <c r="Y113" s="24">
        <f t="shared" si="57"/>
        <v>7.23</v>
      </c>
      <c r="Z113" s="24">
        <f t="shared" si="57"/>
        <v>4.82</v>
      </c>
      <c r="AA113" s="24"/>
      <c r="AB113" s="24"/>
      <c r="AC113" s="24"/>
      <c r="AD113" s="24"/>
      <c r="AE113" s="24"/>
      <c r="AF113" s="271"/>
      <c r="AG113" s="272"/>
    </row>
    <row r="114" spans="1:33" s="4" customFormat="1" ht="21.75" customHeight="1">
      <c r="A114" s="30">
        <v>29</v>
      </c>
      <c r="B114" s="37">
        <f t="shared" si="52"/>
        <v>416370.78</v>
      </c>
      <c r="C114" s="38">
        <v>416498.77</v>
      </c>
      <c r="D114" s="39" t="s">
        <v>16</v>
      </c>
      <c r="E114" s="24">
        <f t="shared" si="42"/>
        <v>127.98999999999069</v>
      </c>
      <c r="F114" s="66">
        <f>ROUND((10+10.74)/2,2)</f>
        <v>10.37</v>
      </c>
      <c r="G114" s="105">
        <f>ROUND((1897.859-24-($F114/2))/1897.859,4)</f>
        <v>0.9846</v>
      </c>
      <c r="H114" s="105">
        <f>ROUND((1897.859-24-($F114))/1897.859,4)</f>
        <v>0.9819</v>
      </c>
      <c r="I114" s="24">
        <f>IF(G114=0,ROUND($E114*$F114,2),ROUND($E114*$F114*$G114,2))</f>
        <v>1306.82</v>
      </c>
      <c r="J114" s="24"/>
      <c r="K114" s="24">
        <f t="shared" si="53"/>
        <v>41.89</v>
      </c>
      <c r="L114" s="24">
        <f t="shared" si="53"/>
        <v>62.84</v>
      </c>
      <c r="M114" s="24"/>
      <c r="N114" s="61"/>
      <c r="O114" s="24">
        <f t="shared" si="54"/>
        <v>26.84</v>
      </c>
      <c r="P114" s="24">
        <f t="shared" si="54"/>
        <v>17.89</v>
      </c>
      <c r="Q114" s="24"/>
      <c r="R114" s="24"/>
      <c r="S114" s="24">
        <f t="shared" si="55"/>
        <v>24.57</v>
      </c>
      <c r="T114" s="24">
        <f t="shared" si="55"/>
        <v>16.38</v>
      </c>
      <c r="U114" s="24">
        <f t="shared" si="56"/>
        <v>14.91</v>
      </c>
      <c r="V114" s="24">
        <f t="shared" si="56"/>
        <v>9.94</v>
      </c>
      <c r="W114" s="24">
        <f t="shared" si="57"/>
        <v>3.63</v>
      </c>
      <c r="X114" s="24">
        <f t="shared" si="57"/>
        <v>2.42</v>
      </c>
      <c r="Y114" s="24">
        <f t="shared" si="57"/>
        <v>4.24</v>
      </c>
      <c r="Z114" s="24">
        <f t="shared" si="57"/>
        <v>2.82</v>
      </c>
      <c r="AA114" s="24"/>
      <c r="AB114" s="24"/>
      <c r="AC114" s="24"/>
      <c r="AD114" s="24"/>
      <c r="AE114" s="24"/>
      <c r="AF114" s="271"/>
      <c r="AG114" s="272"/>
    </row>
    <row r="115" spans="1:33" s="4" customFormat="1" ht="21.75" customHeight="1">
      <c r="A115" s="30">
        <v>30</v>
      </c>
      <c r="B115" s="37">
        <f t="shared" si="52"/>
        <v>416498.77</v>
      </c>
      <c r="C115" s="38">
        <v>416591.66</v>
      </c>
      <c r="D115" s="39" t="s">
        <v>16</v>
      </c>
      <c r="E115" s="24">
        <f t="shared" si="42"/>
        <v>92.88999999995576</v>
      </c>
      <c r="F115" s="66">
        <f>ROUND((10.74+11.5431)/2,2)</f>
        <v>11.14</v>
      </c>
      <c r="G115" s="107"/>
      <c r="H115" s="24"/>
      <c r="I115" s="24">
        <f>IF(G115=0,ROUND($E115*$F115,2),ROUND($E115*$F115*$G115,2))</f>
        <v>1034.79</v>
      </c>
      <c r="J115" s="24"/>
      <c r="K115" s="24">
        <f t="shared" si="53"/>
        <v>30.96</v>
      </c>
      <c r="L115" s="24">
        <f t="shared" si="53"/>
        <v>46.44</v>
      </c>
      <c r="M115" s="24"/>
      <c r="N115" s="61"/>
      <c r="O115" s="24">
        <f t="shared" si="54"/>
        <v>21.17</v>
      </c>
      <c r="P115" s="24">
        <f t="shared" si="54"/>
        <v>14.12</v>
      </c>
      <c r="Q115" s="24"/>
      <c r="R115" s="24"/>
      <c r="S115" s="24">
        <f t="shared" si="55"/>
        <v>19.31</v>
      </c>
      <c r="T115" s="24">
        <f t="shared" si="55"/>
        <v>12.87</v>
      </c>
      <c r="U115" s="24">
        <f t="shared" si="56"/>
        <v>11.78</v>
      </c>
      <c r="V115" s="24">
        <f t="shared" si="56"/>
        <v>7.85</v>
      </c>
      <c r="W115" s="24">
        <f t="shared" si="57"/>
        <v>2.87</v>
      </c>
      <c r="X115" s="24">
        <f t="shared" si="57"/>
        <v>1.92</v>
      </c>
      <c r="Y115" s="24">
        <f t="shared" si="57"/>
        <v>3.35</v>
      </c>
      <c r="Z115" s="24">
        <f t="shared" si="57"/>
        <v>2.24</v>
      </c>
      <c r="AA115" s="24"/>
      <c r="AB115" s="24"/>
      <c r="AC115" s="24"/>
      <c r="AD115" s="24"/>
      <c r="AE115" s="24"/>
      <c r="AF115" s="271"/>
      <c r="AG115" s="272"/>
    </row>
    <row r="116" spans="1:33" s="4" customFormat="1" ht="21.75" customHeight="1">
      <c r="A116" s="30">
        <v>31</v>
      </c>
      <c r="B116" s="37">
        <f t="shared" si="52"/>
        <v>416591.66</v>
      </c>
      <c r="C116" s="38">
        <v>416621.7</v>
      </c>
      <c r="D116" s="39" t="s">
        <v>16</v>
      </c>
      <c r="E116" s="24">
        <v>30</v>
      </c>
      <c r="F116" s="213" t="s">
        <v>13</v>
      </c>
      <c r="G116" s="214"/>
      <c r="H116" s="214"/>
      <c r="I116" s="215"/>
      <c r="J116" s="24">
        <v>326.7</v>
      </c>
      <c r="K116" s="24"/>
      <c r="L116" s="24"/>
      <c r="M116" s="24">
        <f>IF($H116=0,ROUND($E116*(M$145/12),2),ROUND($E116*$H116*(M$145/12),2))</f>
        <v>50</v>
      </c>
      <c r="N116" s="61"/>
      <c r="O116" s="24">
        <f>ROUND(((($J116)*(O$145/12))/27)*O$148,2)</f>
        <v>6.35</v>
      </c>
      <c r="P116" s="24">
        <f>ROUND(((($J116)*(P$145/12))/27)*P$148,2)</f>
        <v>4.24</v>
      </c>
      <c r="Q116" s="24"/>
      <c r="R116" s="24"/>
      <c r="S116" s="24">
        <f>ROUND(((($J116+$M116)*(S$145/12))/27)*S$148,2)</f>
        <v>6.28</v>
      </c>
      <c r="T116" s="24">
        <f>ROUND(((($J116+$M116)*(T$145/12))/27)*T$148,2)</f>
        <v>4.19</v>
      </c>
      <c r="U116" s="24">
        <f>ROUND(((($J116/9)*U$145)*3)*U$148,2)</f>
        <v>3.59</v>
      </c>
      <c r="V116" s="24">
        <f>ROUND(((($J116/9)*V$145)*3)*V$148,2)</f>
        <v>2.4</v>
      </c>
      <c r="W116" s="24">
        <f>ROUND((($J116*(W$145/12))/27)*W$148,2)</f>
        <v>0.91</v>
      </c>
      <c r="X116" s="24">
        <f>ROUND((($J116*(X$145/12))/27)*X$148,2)</f>
        <v>0.61</v>
      </c>
      <c r="Y116" s="24">
        <f>ROUND((($J116*(Y$145/12))/27)*Y$148,2)</f>
        <v>1.06</v>
      </c>
      <c r="Z116" s="24">
        <f>ROUND((($J116*(Z$145/12))/27)*Z$148,2)</f>
        <v>0.71</v>
      </c>
      <c r="AA116" s="24"/>
      <c r="AB116" s="24"/>
      <c r="AC116" s="24">
        <f>IF($H116=0,$E116*AC$148,ROUND($E116*$H116*AC$148,2))</f>
        <v>18</v>
      </c>
      <c r="AD116" s="24">
        <f>IF($H116=0,$E116*AD$148,ROUND($E116*$H116*AD$148,2))</f>
        <v>12</v>
      </c>
      <c r="AE116" s="24"/>
      <c r="AF116" s="271"/>
      <c r="AG116" s="272"/>
    </row>
    <row r="117" spans="1:33" s="4" customFormat="1" ht="21.75" customHeight="1">
      <c r="A117" s="30">
        <v>32</v>
      </c>
      <c r="B117" s="38"/>
      <c r="C117" s="38"/>
      <c r="D117" s="39"/>
      <c r="E117" s="24"/>
      <c r="F117" s="24"/>
      <c r="G117" s="24"/>
      <c r="H117" s="24"/>
      <c r="I117" s="24"/>
      <c r="J117" s="24"/>
      <c r="K117" s="24"/>
      <c r="L117" s="24"/>
      <c r="M117" s="24"/>
      <c r="N117" s="61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71"/>
      <c r="AG117" s="272"/>
    </row>
    <row r="118" spans="1:33" s="4" customFormat="1" ht="21.75" customHeight="1">
      <c r="A118" s="30">
        <v>33</v>
      </c>
      <c r="B118" s="37">
        <v>417004.52</v>
      </c>
      <c r="C118" s="38">
        <v>417085.14</v>
      </c>
      <c r="D118" s="39" t="s">
        <v>16</v>
      </c>
      <c r="E118" s="24">
        <f aca="true" t="shared" si="58" ref="E118:E129">C118-B118</f>
        <v>80.61999999999534</v>
      </c>
      <c r="F118" s="66">
        <f>ROUND((6.0304+8.4054)/2,2)</f>
        <v>7.22</v>
      </c>
      <c r="G118" s="105">
        <f>ROUND((3819.7186-24-($F118/2))/3819.7186,4)</f>
        <v>0.9928</v>
      </c>
      <c r="H118" s="105">
        <f>ROUND((3819.7186-24-($F118))/3819.7186,4)</f>
        <v>0.9918</v>
      </c>
      <c r="I118" s="24">
        <f>IF(G118=0,ROUND($E118*$F118,2),ROUND($E118*$F118*$G118,2))</f>
        <v>577.89</v>
      </c>
      <c r="J118" s="24"/>
      <c r="K118" s="24"/>
      <c r="L118" s="24"/>
      <c r="M118" s="24">
        <f>IF($H118=0,ROUND($E118*(M$145/12),2),ROUND($E118*$H118*(M$145/12),2))</f>
        <v>133.26</v>
      </c>
      <c r="N118" s="24"/>
      <c r="O118" s="24">
        <f aca="true" t="shared" si="59" ref="O118:P122">ROUND(((($I118)*(O$145/12))/27)*O$148,2)</f>
        <v>11.24</v>
      </c>
      <c r="P118" s="24">
        <f t="shared" si="59"/>
        <v>7.49</v>
      </c>
      <c r="Q118" s="24">
        <f>ROUND(((($I118+$M118)*(Q$145/12))/27)*Q$148,2)</f>
        <v>7.9</v>
      </c>
      <c r="R118" s="24">
        <f>ROUND(((($I118+$M118)*(R$145/12))/27)*R$148,2)</f>
        <v>5.27</v>
      </c>
      <c r="S118" s="24"/>
      <c r="T118" s="24"/>
      <c r="U118" s="24">
        <f aca="true" t="shared" si="60" ref="U118:V122">ROUND(((($I118/9)*U$145)*3)*U$148,2)</f>
        <v>6.36</v>
      </c>
      <c r="V118" s="24">
        <f t="shared" si="60"/>
        <v>4.24</v>
      </c>
      <c r="W118" s="24">
        <f aca="true" t="shared" si="61" ref="W118:Z122">ROUND((($I118*(W$145/12))/27)*W$148,2)</f>
        <v>1.61</v>
      </c>
      <c r="X118" s="24">
        <f t="shared" si="61"/>
        <v>1.07</v>
      </c>
      <c r="Y118" s="24">
        <f t="shared" si="61"/>
        <v>1.87</v>
      </c>
      <c r="Z118" s="24">
        <f t="shared" si="61"/>
        <v>1.25</v>
      </c>
      <c r="AA118" s="24"/>
      <c r="AB118" s="24"/>
      <c r="AC118" s="24">
        <f>IF($H118=0,$E118*AC$148,ROUND($E118*$H118*AC$148,2))</f>
        <v>47.98</v>
      </c>
      <c r="AD118" s="24">
        <f>IF($H118=0,$E118*AD$148,ROUND($E118*$H118*AD$148,2))</f>
        <v>31.98</v>
      </c>
      <c r="AE118" s="24"/>
      <c r="AF118" s="271"/>
      <c r="AG118" s="272"/>
    </row>
    <row r="119" spans="1:33" s="4" customFormat="1" ht="21.75" customHeight="1">
      <c r="A119" s="30">
        <v>34</v>
      </c>
      <c r="B119" s="38">
        <f>C118</f>
        <v>417085.14</v>
      </c>
      <c r="C119" s="38">
        <v>417105.03</v>
      </c>
      <c r="D119" s="39" t="s">
        <v>16</v>
      </c>
      <c r="E119" s="24">
        <f t="shared" si="58"/>
        <v>19.89000000001397</v>
      </c>
      <c r="F119" s="66">
        <f>ROUND((13.9088+13.4076)/2,2)</f>
        <v>13.66</v>
      </c>
      <c r="G119" s="105">
        <f aca="true" t="shared" si="62" ref="G119:G124">ROUND((3819.7186-24-($F119/2))/3819.7186,4)</f>
        <v>0.9919</v>
      </c>
      <c r="H119" s="105">
        <f aca="true" t="shared" si="63" ref="H119:H124">ROUND((3819.7186-24-($F119))/3819.7186,4)</f>
        <v>0.9901</v>
      </c>
      <c r="I119" s="24">
        <f>IF(G119=0,ROUND($E119*$F119,2),ROUND($E119*$F119*$G119,2))</f>
        <v>269.5</v>
      </c>
      <c r="J119" s="24"/>
      <c r="K119" s="119"/>
      <c r="L119" s="24"/>
      <c r="M119" s="24"/>
      <c r="N119" s="61"/>
      <c r="O119" s="24">
        <f t="shared" si="59"/>
        <v>5.24</v>
      </c>
      <c r="P119" s="24">
        <f t="shared" si="59"/>
        <v>3.49</v>
      </c>
      <c r="Q119" s="24">
        <f aca="true" t="shared" si="64" ref="Q119:R122">ROUND(((($I119)*(Q$145/12))/27)*Q$148,2)</f>
        <v>2.99</v>
      </c>
      <c r="R119" s="24">
        <f t="shared" si="64"/>
        <v>2</v>
      </c>
      <c r="S119" s="24"/>
      <c r="T119" s="24"/>
      <c r="U119" s="24">
        <f t="shared" si="60"/>
        <v>2.96</v>
      </c>
      <c r="V119" s="24">
        <f t="shared" si="60"/>
        <v>1.98</v>
      </c>
      <c r="W119" s="24">
        <f t="shared" si="61"/>
        <v>0.75</v>
      </c>
      <c r="X119" s="24">
        <f t="shared" si="61"/>
        <v>0.5</v>
      </c>
      <c r="Y119" s="24">
        <f t="shared" si="61"/>
        <v>0.87</v>
      </c>
      <c r="Z119" s="24">
        <f t="shared" si="61"/>
        <v>0.58</v>
      </c>
      <c r="AA119" s="24"/>
      <c r="AB119" s="24"/>
      <c r="AC119" s="24"/>
      <c r="AD119" s="24"/>
      <c r="AE119" s="24"/>
      <c r="AF119" s="271"/>
      <c r="AG119" s="272"/>
    </row>
    <row r="120" spans="1:33" s="4" customFormat="1" ht="21.75" customHeight="1">
      <c r="A120" s="30">
        <v>35</v>
      </c>
      <c r="B120" s="38">
        <f>C119</f>
        <v>417105.03</v>
      </c>
      <c r="C120" s="38">
        <v>417161.45</v>
      </c>
      <c r="D120" s="39" t="s">
        <v>16</v>
      </c>
      <c r="E120" s="24">
        <f t="shared" si="58"/>
        <v>56.4199999999837</v>
      </c>
      <c r="F120" s="66">
        <f>ROUND((13.4076+12)/2,2)</f>
        <v>12.7</v>
      </c>
      <c r="G120" s="105">
        <f t="shared" si="62"/>
        <v>0.9921</v>
      </c>
      <c r="H120" s="105">
        <f t="shared" si="63"/>
        <v>0.9904</v>
      </c>
      <c r="I120" s="24">
        <f>IF(G120=0,ROUND($E120*$F120,2),ROUND($E120*$F120*$G120,2))</f>
        <v>710.87</v>
      </c>
      <c r="J120" s="24"/>
      <c r="K120" s="24"/>
      <c r="L120" s="24"/>
      <c r="M120" s="24"/>
      <c r="N120" s="61"/>
      <c r="O120" s="24">
        <f t="shared" si="59"/>
        <v>13.82</v>
      </c>
      <c r="P120" s="24">
        <f t="shared" si="59"/>
        <v>9.21</v>
      </c>
      <c r="Q120" s="24">
        <f t="shared" si="64"/>
        <v>7.9</v>
      </c>
      <c r="R120" s="24">
        <f t="shared" si="64"/>
        <v>5.27</v>
      </c>
      <c r="S120" s="24"/>
      <c r="T120" s="24"/>
      <c r="U120" s="24">
        <f t="shared" si="60"/>
        <v>7.82</v>
      </c>
      <c r="V120" s="24">
        <f t="shared" si="60"/>
        <v>5.21</v>
      </c>
      <c r="W120" s="24">
        <f t="shared" si="61"/>
        <v>1.97</v>
      </c>
      <c r="X120" s="24">
        <f t="shared" si="61"/>
        <v>1.32</v>
      </c>
      <c r="Y120" s="24">
        <f t="shared" si="61"/>
        <v>2.3</v>
      </c>
      <c r="Z120" s="24">
        <f t="shared" si="61"/>
        <v>1.54</v>
      </c>
      <c r="AA120" s="24"/>
      <c r="AB120" s="24"/>
      <c r="AC120" s="24"/>
      <c r="AD120" s="24"/>
      <c r="AE120" s="24"/>
      <c r="AF120" s="271"/>
      <c r="AG120" s="272"/>
    </row>
    <row r="121" spans="1:33" s="4" customFormat="1" ht="21.75" customHeight="1">
      <c r="A121" s="30">
        <v>36</v>
      </c>
      <c r="B121" s="38">
        <f>C120</f>
        <v>417161.45</v>
      </c>
      <c r="C121" s="38">
        <v>417263.03</v>
      </c>
      <c r="D121" s="39" t="s">
        <v>16</v>
      </c>
      <c r="E121" s="24">
        <f t="shared" si="58"/>
        <v>101.5800000000163</v>
      </c>
      <c r="F121" s="66">
        <f>ROUND((12+11)/2,2)</f>
        <v>11.5</v>
      </c>
      <c r="G121" s="105">
        <f t="shared" si="62"/>
        <v>0.9922</v>
      </c>
      <c r="H121" s="105">
        <f t="shared" si="63"/>
        <v>0.9907</v>
      </c>
      <c r="I121" s="24">
        <f>IF(G121=0,ROUND($E121*$F121,2),ROUND($E121*$F121*$G121,2))</f>
        <v>1159.06</v>
      </c>
      <c r="J121" s="24"/>
      <c r="K121" s="24"/>
      <c r="L121" s="24"/>
      <c r="M121" s="24"/>
      <c r="N121" s="61"/>
      <c r="O121" s="24">
        <f t="shared" si="59"/>
        <v>22.54</v>
      </c>
      <c r="P121" s="24">
        <f t="shared" si="59"/>
        <v>15.02</v>
      </c>
      <c r="Q121" s="24">
        <f t="shared" si="64"/>
        <v>12.88</v>
      </c>
      <c r="R121" s="24">
        <f t="shared" si="64"/>
        <v>8.59</v>
      </c>
      <c r="S121" s="24"/>
      <c r="T121" s="24"/>
      <c r="U121" s="24">
        <f t="shared" si="60"/>
        <v>12.75</v>
      </c>
      <c r="V121" s="24">
        <f t="shared" si="60"/>
        <v>8.5</v>
      </c>
      <c r="W121" s="24">
        <f t="shared" si="61"/>
        <v>3.22</v>
      </c>
      <c r="X121" s="24">
        <f t="shared" si="61"/>
        <v>2.15</v>
      </c>
      <c r="Y121" s="24">
        <f t="shared" si="61"/>
        <v>3.76</v>
      </c>
      <c r="Z121" s="24">
        <f t="shared" si="61"/>
        <v>2.5</v>
      </c>
      <c r="AA121" s="24"/>
      <c r="AB121" s="24"/>
      <c r="AC121" s="24"/>
      <c r="AD121" s="24"/>
      <c r="AE121" s="24"/>
      <c r="AF121" s="271"/>
      <c r="AG121" s="272"/>
    </row>
    <row r="122" spans="1:33" s="4" customFormat="1" ht="21.75" customHeight="1">
      <c r="A122" s="30">
        <v>37</v>
      </c>
      <c r="B122" s="38">
        <f>C121</f>
        <v>417263.03</v>
      </c>
      <c r="C122" s="46">
        <v>417397.24</v>
      </c>
      <c r="D122" s="39" t="s">
        <v>16</v>
      </c>
      <c r="E122" s="24">
        <f t="shared" si="58"/>
        <v>134.20999999996275</v>
      </c>
      <c r="F122" s="66">
        <f>ROUND((11+6.5)/2,2)</f>
        <v>8.75</v>
      </c>
      <c r="G122" s="105">
        <f t="shared" si="62"/>
        <v>0.9926</v>
      </c>
      <c r="H122" s="105">
        <f t="shared" si="63"/>
        <v>0.9914</v>
      </c>
      <c r="I122" s="24">
        <f>IF(G122=0,ROUND($E122*$F122,2),ROUND($E122*$F122*$G122,2))</f>
        <v>1165.65</v>
      </c>
      <c r="J122" s="24"/>
      <c r="K122" s="24"/>
      <c r="L122" s="24"/>
      <c r="M122" s="24"/>
      <c r="N122" s="61"/>
      <c r="O122" s="24">
        <f t="shared" si="59"/>
        <v>22.67</v>
      </c>
      <c r="P122" s="24">
        <f t="shared" si="59"/>
        <v>15.11</v>
      </c>
      <c r="Q122" s="24">
        <f t="shared" si="64"/>
        <v>12.95</v>
      </c>
      <c r="R122" s="24">
        <f t="shared" si="64"/>
        <v>8.63</v>
      </c>
      <c r="S122" s="24"/>
      <c r="T122" s="24"/>
      <c r="U122" s="24">
        <f t="shared" si="60"/>
        <v>12.82</v>
      </c>
      <c r="V122" s="24">
        <f t="shared" si="60"/>
        <v>8.55</v>
      </c>
      <c r="W122" s="24">
        <f t="shared" si="61"/>
        <v>3.24</v>
      </c>
      <c r="X122" s="24">
        <f t="shared" si="61"/>
        <v>2.16</v>
      </c>
      <c r="Y122" s="24">
        <f t="shared" si="61"/>
        <v>3.78</v>
      </c>
      <c r="Z122" s="24">
        <f t="shared" si="61"/>
        <v>2.52</v>
      </c>
      <c r="AA122" s="24"/>
      <c r="AB122" s="24"/>
      <c r="AC122" s="24"/>
      <c r="AD122" s="24"/>
      <c r="AE122" s="24"/>
      <c r="AF122" s="271"/>
      <c r="AG122" s="272"/>
    </row>
    <row r="123" spans="1:33" s="4" customFormat="1" ht="21.75" customHeight="1" thickBot="1">
      <c r="A123" s="30">
        <v>38</v>
      </c>
      <c r="B123" s="37"/>
      <c r="C123" s="38"/>
      <c r="D123" s="39"/>
      <c r="E123" s="24"/>
      <c r="F123" s="24"/>
      <c r="G123" s="24"/>
      <c r="H123" s="24"/>
      <c r="I123" s="24"/>
      <c r="J123" s="24"/>
      <c r="K123" s="24"/>
      <c r="L123" s="24"/>
      <c r="M123" s="24"/>
      <c r="N123" s="61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81"/>
      <c r="AG123" s="275"/>
    </row>
    <row r="124" spans="1:33" s="4" customFormat="1" ht="21.75" customHeight="1">
      <c r="A124" s="30">
        <v>39</v>
      </c>
      <c r="B124" s="38">
        <v>417732.47</v>
      </c>
      <c r="C124" s="38">
        <v>417777.84</v>
      </c>
      <c r="D124" s="39" t="s">
        <v>16</v>
      </c>
      <c r="E124" s="24">
        <f t="shared" si="58"/>
        <v>45.37000000005355</v>
      </c>
      <c r="F124" s="66">
        <f>ROUND((15.3346+15.7063)/2,2)</f>
        <v>15.52</v>
      </c>
      <c r="G124" s="105">
        <f t="shared" si="62"/>
        <v>0.9917</v>
      </c>
      <c r="H124" s="105">
        <f t="shared" si="63"/>
        <v>0.9897</v>
      </c>
      <c r="I124" s="24">
        <f aca="true" t="shared" si="65" ref="I124:I129">IF(G124=0,ROUND($E124*$F124,2),ROUND($E124*$F124*$G124,2))</f>
        <v>698.3</v>
      </c>
      <c r="J124" s="24"/>
      <c r="K124" s="24"/>
      <c r="L124" s="24"/>
      <c r="M124" s="24"/>
      <c r="N124" s="24">
        <f>IF($H124=0,ROUND($E124*(N$145/12),2),ROUND($E124*$H124*(N$145/12),2))</f>
        <v>82.32</v>
      </c>
      <c r="O124" s="24">
        <f aca="true" t="shared" si="66" ref="O124:R127">ROUND(((($I124+$N124)*(O$145/12))/27)*O$148,2)</f>
        <v>15.18</v>
      </c>
      <c r="P124" s="24">
        <f t="shared" si="66"/>
        <v>10.12</v>
      </c>
      <c r="Q124" s="24">
        <f t="shared" si="66"/>
        <v>8.67</v>
      </c>
      <c r="R124" s="24">
        <f t="shared" si="66"/>
        <v>5.78</v>
      </c>
      <c r="S124" s="24"/>
      <c r="T124" s="24"/>
      <c r="U124" s="24">
        <f aca="true" t="shared" si="67" ref="U124:V127">ROUND((((($I124+$N124)/9)*3)*U$145)*U$148,2)</f>
        <v>8.59</v>
      </c>
      <c r="V124" s="24">
        <f t="shared" si="67"/>
        <v>5.72</v>
      </c>
      <c r="W124" s="24">
        <f aca="true" t="shared" si="68" ref="W124:X130">ROUND((($I124*(W$145/12))/27)*W$148,2)</f>
        <v>1.94</v>
      </c>
      <c r="X124" s="24">
        <f t="shared" si="68"/>
        <v>1.29</v>
      </c>
      <c r="Y124" s="24">
        <f aca="true" t="shared" si="69" ref="Y124:Z127">ROUND(((($I124+$N124)*(Y$145/12))/27)*Y$148,2)</f>
        <v>2.53</v>
      </c>
      <c r="Z124" s="24">
        <f t="shared" si="69"/>
        <v>1.69</v>
      </c>
      <c r="AA124" s="24"/>
      <c r="AB124" s="24"/>
      <c r="AC124" s="24"/>
      <c r="AD124" s="24"/>
      <c r="AE124" s="24"/>
      <c r="AF124" s="269" t="s">
        <v>39</v>
      </c>
      <c r="AG124" s="270"/>
    </row>
    <row r="125" spans="1:33" s="4" customFormat="1" ht="21.75" customHeight="1">
      <c r="A125" s="30">
        <v>40</v>
      </c>
      <c r="B125" s="38">
        <f aca="true" t="shared" si="70" ref="B125:B130">C124</f>
        <v>417777.84</v>
      </c>
      <c r="C125" s="38">
        <v>418200.31</v>
      </c>
      <c r="D125" s="39" t="s">
        <v>16</v>
      </c>
      <c r="E125" s="24">
        <f t="shared" si="58"/>
        <v>422.46999999997206</v>
      </c>
      <c r="F125" s="66">
        <f>ROUND((15.7063+17.3)/2,2)</f>
        <v>16.5</v>
      </c>
      <c r="G125" s="24"/>
      <c r="H125" s="24"/>
      <c r="I125" s="24">
        <f t="shared" si="65"/>
        <v>6970.75</v>
      </c>
      <c r="J125" s="24"/>
      <c r="K125" s="24"/>
      <c r="L125" s="24"/>
      <c r="M125" s="24"/>
      <c r="N125" s="24">
        <f>IF($H125=0,ROUND($E125*(N$145/12),2),ROUND($E125*$H125*(N$145/12),2))</f>
        <v>774.53</v>
      </c>
      <c r="O125" s="24">
        <f t="shared" si="66"/>
        <v>150.6</v>
      </c>
      <c r="P125" s="24">
        <f t="shared" si="66"/>
        <v>100.4</v>
      </c>
      <c r="Q125" s="24">
        <f t="shared" si="66"/>
        <v>86.06</v>
      </c>
      <c r="R125" s="24">
        <f t="shared" si="66"/>
        <v>57.37</v>
      </c>
      <c r="S125" s="24"/>
      <c r="T125" s="24"/>
      <c r="U125" s="24">
        <f t="shared" si="67"/>
        <v>85.2</v>
      </c>
      <c r="V125" s="24">
        <f t="shared" si="67"/>
        <v>56.8</v>
      </c>
      <c r="W125" s="24">
        <f t="shared" si="68"/>
        <v>19.36</v>
      </c>
      <c r="X125" s="24">
        <f t="shared" si="68"/>
        <v>12.91</v>
      </c>
      <c r="Y125" s="24">
        <f t="shared" si="69"/>
        <v>25.1</v>
      </c>
      <c r="Z125" s="24">
        <f t="shared" si="69"/>
        <v>16.73</v>
      </c>
      <c r="AA125" s="24"/>
      <c r="AB125" s="24"/>
      <c r="AC125" s="24"/>
      <c r="AD125" s="24"/>
      <c r="AE125" s="24"/>
      <c r="AF125" s="271"/>
      <c r="AG125" s="272"/>
    </row>
    <row r="126" spans="1:33" s="4" customFormat="1" ht="21.75" customHeight="1">
      <c r="A126" s="30">
        <v>41</v>
      </c>
      <c r="B126" s="38">
        <f t="shared" si="70"/>
        <v>418200.31</v>
      </c>
      <c r="C126" s="38">
        <v>418325</v>
      </c>
      <c r="D126" s="39" t="s">
        <v>16</v>
      </c>
      <c r="E126" s="24">
        <f t="shared" si="58"/>
        <v>124.69000000000233</v>
      </c>
      <c r="F126" s="66">
        <f>ROUND((17.3+20.3)/2,2)</f>
        <v>18.8</v>
      </c>
      <c r="G126" s="90"/>
      <c r="H126" s="24"/>
      <c r="I126" s="24">
        <f t="shared" si="65"/>
        <v>2344.17</v>
      </c>
      <c r="J126" s="24"/>
      <c r="K126" s="24"/>
      <c r="L126" s="24"/>
      <c r="M126" s="24"/>
      <c r="N126" s="24">
        <f>IF($H126=0,ROUND($E126*(N$145/12),2),ROUND($E126*$H126*(N$145/12),2))</f>
        <v>228.6</v>
      </c>
      <c r="O126" s="24">
        <f t="shared" si="66"/>
        <v>50.03</v>
      </c>
      <c r="P126" s="24">
        <f t="shared" si="66"/>
        <v>33.35</v>
      </c>
      <c r="Q126" s="24">
        <f t="shared" si="66"/>
        <v>28.59</v>
      </c>
      <c r="R126" s="24">
        <f t="shared" si="66"/>
        <v>19.06</v>
      </c>
      <c r="S126" s="24"/>
      <c r="T126" s="24"/>
      <c r="U126" s="24">
        <f t="shared" si="67"/>
        <v>28.3</v>
      </c>
      <c r="V126" s="24">
        <f t="shared" si="67"/>
        <v>18.87</v>
      </c>
      <c r="W126" s="24">
        <f t="shared" si="68"/>
        <v>6.51</v>
      </c>
      <c r="X126" s="24">
        <f t="shared" si="68"/>
        <v>4.34</v>
      </c>
      <c r="Y126" s="24">
        <f t="shared" si="69"/>
        <v>8.34</v>
      </c>
      <c r="Z126" s="24">
        <f t="shared" si="69"/>
        <v>5.56</v>
      </c>
      <c r="AA126" s="24"/>
      <c r="AB126" s="24"/>
      <c r="AC126" s="24"/>
      <c r="AD126" s="24"/>
      <c r="AE126" s="24"/>
      <c r="AF126" s="271"/>
      <c r="AG126" s="272"/>
    </row>
    <row r="127" spans="1:33" s="4" customFormat="1" ht="21.75" customHeight="1">
      <c r="A127" s="30">
        <v>42</v>
      </c>
      <c r="B127" s="38">
        <f t="shared" si="70"/>
        <v>418325</v>
      </c>
      <c r="C127" s="38">
        <v>418388.93</v>
      </c>
      <c r="D127" s="39" t="s">
        <v>16</v>
      </c>
      <c r="E127" s="24">
        <f>C127-B127</f>
        <v>63.929999999993015</v>
      </c>
      <c r="F127" s="66">
        <f>ROUND((20.3+18.0948)/2,2)</f>
        <v>19.2</v>
      </c>
      <c r="G127" s="90"/>
      <c r="H127" s="24"/>
      <c r="I127" s="24">
        <f>IF(G127=0,ROUND($E127*$F127,2),ROUND($E127*$F127*$G127,2))</f>
        <v>1227.46</v>
      </c>
      <c r="J127" s="24"/>
      <c r="K127" s="24"/>
      <c r="L127" s="24"/>
      <c r="M127" s="24"/>
      <c r="N127" s="24">
        <f>IF($H127=0,ROUND($E127*(N$145/12),2),ROUND($E127*$H127*(N$145/12),2))</f>
        <v>117.2</v>
      </c>
      <c r="O127" s="24">
        <f t="shared" si="66"/>
        <v>26.15</v>
      </c>
      <c r="P127" s="24">
        <f t="shared" si="66"/>
        <v>17.43</v>
      </c>
      <c r="Q127" s="24">
        <f t="shared" si="66"/>
        <v>14.94</v>
      </c>
      <c r="R127" s="24">
        <f t="shared" si="66"/>
        <v>9.96</v>
      </c>
      <c r="S127" s="24"/>
      <c r="T127" s="24"/>
      <c r="U127" s="24">
        <f t="shared" si="67"/>
        <v>14.79</v>
      </c>
      <c r="V127" s="24">
        <f t="shared" si="67"/>
        <v>9.86</v>
      </c>
      <c r="W127" s="24">
        <f t="shared" si="68"/>
        <v>3.41</v>
      </c>
      <c r="X127" s="24">
        <f t="shared" si="68"/>
        <v>2.27</v>
      </c>
      <c r="Y127" s="24">
        <f t="shared" si="69"/>
        <v>4.36</v>
      </c>
      <c r="Z127" s="24">
        <f t="shared" si="69"/>
        <v>2.91</v>
      </c>
      <c r="AA127" s="24"/>
      <c r="AB127" s="24"/>
      <c r="AC127" s="24"/>
      <c r="AD127" s="24"/>
      <c r="AE127" s="24"/>
      <c r="AF127" s="271"/>
      <c r="AG127" s="272"/>
    </row>
    <row r="128" spans="1:33" s="4" customFormat="1" ht="21.75" customHeight="1">
      <c r="A128" s="30">
        <v>43</v>
      </c>
      <c r="B128" s="38">
        <f t="shared" si="70"/>
        <v>418388.93</v>
      </c>
      <c r="C128" s="38">
        <v>418604.15</v>
      </c>
      <c r="D128" s="39" t="s">
        <v>16</v>
      </c>
      <c r="E128" s="24">
        <f t="shared" si="58"/>
        <v>215.22000000003027</v>
      </c>
      <c r="F128" s="66">
        <f>ROUND((18.0948+10.5716)/2,2)</f>
        <v>14.33</v>
      </c>
      <c r="G128" s="90"/>
      <c r="H128" s="24"/>
      <c r="I128" s="24">
        <f t="shared" si="65"/>
        <v>3084.1</v>
      </c>
      <c r="J128" s="24"/>
      <c r="K128" s="24"/>
      <c r="L128" s="24"/>
      <c r="M128" s="24">
        <f>IF($H128=0,ROUND($E128*(M$145/12),2),ROUND($E128*$H128*(M$145/12),2))</f>
        <v>358.7</v>
      </c>
      <c r="N128" s="61"/>
      <c r="O128" s="24">
        <f aca="true" t="shared" si="71" ref="O128:P130">ROUND(((($I128)*(O$145/12))/27)*O$148,2)</f>
        <v>59.97</v>
      </c>
      <c r="P128" s="24">
        <f t="shared" si="71"/>
        <v>39.98</v>
      </c>
      <c r="Q128" s="24">
        <f aca="true" t="shared" si="72" ref="Q128:R130">ROUND(((($I128+$M128)*(Q$145/12))/27)*Q$148,2)</f>
        <v>38.25</v>
      </c>
      <c r="R128" s="24">
        <f t="shared" si="72"/>
        <v>25.5</v>
      </c>
      <c r="S128" s="24"/>
      <c r="T128" s="24"/>
      <c r="U128" s="24">
        <f aca="true" t="shared" si="73" ref="U128:V130">ROUND(((($I128/9)*3)*U$145)*U$148,2)</f>
        <v>33.93</v>
      </c>
      <c r="V128" s="24">
        <f t="shared" si="73"/>
        <v>22.62</v>
      </c>
      <c r="W128" s="24">
        <f t="shared" si="68"/>
        <v>8.57</v>
      </c>
      <c r="X128" s="24">
        <f t="shared" si="68"/>
        <v>5.71</v>
      </c>
      <c r="Y128" s="24">
        <f aca="true" t="shared" si="74" ref="Y128:Z130">ROUND((($I128*(Y$145/12))/27)*Y$148,2)</f>
        <v>9.99</v>
      </c>
      <c r="Z128" s="24">
        <f t="shared" si="74"/>
        <v>6.66</v>
      </c>
      <c r="AA128" s="24"/>
      <c r="AB128" s="24"/>
      <c r="AC128" s="24">
        <f aca="true" t="shared" si="75" ref="AC128:AD130">IF($H128=0,$E128*AC$148,ROUND($E128*$H128*AC$148,2))</f>
        <v>129.13200000001817</v>
      </c>
      <c r="AD128" s="24">
        <f t="shared" si="75"/>
        <v>86.08800000001212</v>
      </c>
      <c r="AE128" s="24"/>
      <c r="AF128" s="271"/>
      <c r="AG128" s="272"/>
    </row>
    <row r="129" spans="1:33" s="4" customFormat="1" ht="21.75" customHeight="1">
      <c r="A129" s="30">
        <v>44</v>
      </c>
      <c r="B129" s="38">
        <f t="shared" si="70"/>
        <v>418604.15</v>
      </c>
      <c r="C129" s="38">
        <v>418620.5</v>
      </c>
      <c r="D129" s="39" t="s">
        <v>16</v>
      </c>
      <c r="E129" s="24">
        <f t="shared" si="58"/>
        <v>16.349999999976717</v>
      </c>
      <c r="F129" s="66">
        <f>ROUND((10.5716+10)/2,2)</f>
        <v>10.29</v>
      </c>
      <c r="G129" s="105">
        <f>ROUND((2901.4858+((24.3269+24)/2)+($F129/2))/2901.4858,4)</f>
        <v>1.0101</v>
      </c>
      <c r="H129" s="105">
        <f>ROUND((2901.4858+((24.3269+24)/2)+($F129))/2901.4858,4)</f>
        <v>1.0119</v>
      </c>
      <c r="I129" s="24">
        <f t="shared" si="65"/>
        <v>169.94</v>
      </c>
      <c r="J129" s="24"/>
      <c r="K129" s="24"/>
      <c r="L129" s="24"/>
      <c r="M129" s="24">
        <f>IF($H129=0,ROUND($E129*(M$145/12),2),ROUND($E129*$H129*(M$145/12),2))</f>
        <v>27.57</v>
      </c>
      <c r="N129" s="61"/>
      <c r="O129" s="24">
        <f t="shared" si="71"/>
        <v>3.3</v>
      </c>
      <c r="P129" s="24">
        <f t="shared" si="71"/>
        <v>2.2</v>
      </c>
      <c r="Q129" s="24">
        <f t="shared" si="72"/>
        <v>2.19</v>
      </c>
      <c r="R129" s="24">
        <f t="shared" si="72"/>
        <v>1.46</v>
      </c>
      <c r="S129" s="24"/>
      <c r="T129" s="24"/>
      <c r="U129" s="24">
        <f t="shared" si="73"/>
        <v>1.87</v>
      </c>
      <c r="V129" s="24">
        <f t="shared" si="73"/>
        <v>1.25</v>
      </c>
      <c r="W129" s="24">
        <f t="shared" si="68"/>
        <v>0.47</v>
      </c>
      <c r="X129" s="24">
        <f t="shared" si="68"/>
        <v>0.31</v>
      </c>
      <c r="Y129" s="24">
        <f t="shared" si="74"/>
        <v>0.55</v>
      </c>
      <c r="Z129" s="24">
        <f t="shared" si="74"/>
        <v>0.37</v>
      </c>
      <c r="AA129" s="24"/>
      <c r="AB129" s="24"/>
      <c r="AC129" s="24">
        <f t="shared" si="75"/>
        <v>9.93</v>
      </c>
      <c r="AD129" s="24">
        <f t="shared" si="75"/>
        <v>6.62</v>
      </c>
      <c r="AE129" s="24"/>
      <c r="AF129" s="271"/>
      <c r="AG129" s="272"/>
    </row>
    <row r="130" spans="1:33" s="4" customFormat="1" ht="21.75" customHeight="1">
      <c r="A130" s="30">
        <v>45</v>
      </c>
      <c r="B130" s="38">
        <f t="shared" si="70"/>
        <v>418620.5</v>
      </c>
      <c r="C130" s="38">
        <v>418925</v>
      </c>
      <c r="D130" s="39" t="s">
        <v>16</v>
      </c>
      <c r="E130" s="24">
        <f>C130-B130</f>
        <v>304.5</v>
      </c>
      <c r="F130" s="66">
        <v>10</v>
      </c>
      <c r="G130" s="105">
        <f>ROUND((2901.4858+24+($F130/2))/2901.4858,4)</f>
        <v>1.01</v>
      </c>
      <c r="H130" s="105">
        <f>ROUND((2901.4858+24+($F130))/2901.4858,4)</f>
        <v>1.0117</v>
      </c>
      <c r="I130" s="24">
        <f>IF(G130=0,ROUND($E130*$F130,2),ROUND($E130*$F130*$G130,2))</f>
        <v>3075.45</v>
      </c>
      <c r="J130" s="24"/>
      <c r="K130" s="24"/>
      <c r="L130" s="24"/>
      <c r="M130" s="24">
        <f>IF($H130=0,ROUND($E130*(M$145/12),2),ROUND($E130*$H130*(M$145/12),2))</f>
        <v>513.44</v>
      </c>
      <c r="N130" s="61"/>
      <c r="O130" s="24">
        <f t="shared" si="71"/>
        <v>59.8</v>
      </c>
      <c r="P130" s="24">
        <f t="shared" si="71"/>
        <v>39.87</v>
      </c>
      <c r="Q130" s="24">
        <f t="shared" si="72"/>
        <v>39.88</v>
      </c>
      <c r="R130" s="24">
        <f t="shared" si="72"/>
        <v>26.58</v>
      </c>
      <c r="S130" s="24"/>
      <c r="T130" s="24"/>
      <c r="U130" s="24">
        <f t="shared" si="73"/>
        <v>33.83</v>
      </c>
      <c r="V130" s="24">
        <f t="shared" si="73"/>
        <v>22.55</v>
      </c>
      <c r="W130" s="24">
        <f t="shared" si="68"/>
        <v>8.54</v>
      </c>
      <c r="X130" s="24">
        <f t="shared" si="68"/>
        <v>5.7</v>
      </c>
      <c r="Y130" s="24">
        <f t="shared" si="74"/>
        <v>9.97</v>
      </c>
      <c r="Z130" s="24">
        <f t="shared" si="74"/>
        <v>6.64</v>
      </c>
      <c r="AA130" s="24"/>
      <c r="AB130" s="24"/>
      <c r="AC130" s="24">
        <f t="shared" si="75"/>
        <v>184.84</v>
      </c>
      <c r="AD130" s="24">
        <f t="shared" si="75"/>
        <v>123.23</v>
      </c>
      <c r="AE130" s="24"/>
      <c r="AF130" s="271"/>
      <c r="AG130" s="272"/>
    </row>
    <row r="131" spans="1:33" s="4" customFormat="1" ht="21.75" customHeight="1">
      <c r="A131" s="30">
        <v>46</v>
      </c>
      <c r="B131" s="37"/>
      <c r="C131" s="38"/>
      <c r="D131" s="39"/>
      <c r="E131" s="24"/>
      <c r="F131" s="66"/>
      <c r="G131" s="105"/>
      <c r="H131" s="105"/>
      <c r="I131" s="24"/>
      <c r="J131" s="24"/>
      <c r="K131" s="24"/>
      <c r="L131" s="24"/>
      <c r="M131" s="24"/>
      <c r="N131" s="61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71"/>
      <c r="AG131" s="272"/>
    </row>
    <row r="132" spans="1:33" s="4" customFormat="1" ht="21.75" customHeight="1">
      <c r="A132" s="30">
        <v>47</v>
      </c>
      <c r="B132" s="38">
        <f>C130</f>
        <v>418925</v>
      </c>
      <c r="C132" s="38">
        <v>418950</v>
      </c>
      <c r="D132" s="39" t="s">
        <v>16</v>
      </c>
      <c r="E132" s="24">
        <f aca="true" t="shared" si="76" ref="E132:E138">C132-B132</f>
        <v>25</v>
      </c>
      <c r="F132" s="66">
        <v>11</v>
      </c>
      <c r="G132" s="105">
        <f>ROUND((2901.4858+24+($F132/2))/2901.4858,4)</f>
        <v>1.0102</v>
      </c>
      <c r="H132" s="105">
        <f>ROUND((2901.4858+24+($F132))/2901.4858,4)</f>
        <v>1.0121</v>
      </c>
      <c r="I132" s="24">
        <f aca="true" t="shared" si="77" ref="I132:I138">IF(G132=0,ROUND($E132*$F132,2),ROUND($E132*$F132*$G132,2))</f>
        <v>277.81</v>
      </c>
      <c r="J132" s="24"/>
      <c r="K132" s="24"/>
      <c r="L132" s="24"/>
      <c r="M132" s="24">
        <f aca="true" t="shared" si="78" ref="M132:M138">IF($H132=0,ROUND($E132*(M$145/12),2),ROUND($E132*$H132*(M$145/12),2))</f>
        <v>42.17</v>
      </c>
      <c r="N132" s="61"/>
      <c r="O132" s="24">
        <f aca="true" t="shared" si="79" ref="O132:P134">ROUND(((($I132)*(O$145/12))/27)*O$148,2)</f>
        <v>5.4</v>
      </c>
      <c r="P132" s="24">
        <f t="shared" si="79"/>
        <v>3.6</v>
      </c>
      <c r="Q132" s="24"/>
      <c r="R132" s="24"/>
      <c r="S132" s="24">
        <f aca="true" t="shared" si="80" ref="S132:T134">ROUND(((($I132+$M132)*(S$145/12))/27)*S$148,2)</f>
        <v>5.33</v>
      </c>
      <c r="T132" s="24">
        <f t="shared" si="80"/>
        <v>3.56</v>
      </c>
      <c r="U132" s="24">
        <f aca="true" t="shared" si="81" ref="U132:V134">ROUND(((($I132/9)*3)*U$145)*U$148,2)</f>
        <v>3.06</v>
      </c>
      <c r="V132" s="24">
        <f t="shared" si="81"/>
        <v>2.04</v>
      </c>
      <c r="W132" s="24">
        <f aca="true" t="shared" si="82" ref="W132:Z134">ROUND((($I132*(W$145/12))/27)*W$148,2)</f>
        <v>0.77</v>
      </c>
      <c r="X132" s="24">
        <f t="shared" si="82"/>
        <v>0.51</v>
      </c>
      <c r="Y132" s="24">
        <f t="shared" si="82"/>
        <v>0.9</v>
      </c>
      <c r="Z132" s="24">
        <f t="shared" si="82"/>
        <v>0.6</v>
      </c>
      <c r="AA132" s="24"/>
      <c r="AB132" s="24"/>
      <c r="AC132" s="24">
        <f aca="true" t="shared" si="83" ref="AC132:AD134">IF($H132=0,$E132*AC$148,ROUND($E132*$H132*AC$148,2))</f>
        <v>15.18</v>
      </c>
      <c r="AD132" s="24">
        <f t="shared" si="83"/>
        <v>10.12</v>
      </c>
      <c r="AE132" s="24"/>
      <c r="AF132" s="271"/>
      <c r="AG132" s="272"/>
    </row>
    <row r="133" spans="1:33" s="4" customFormat="1" ht="21.75" customHeight="1">
      <c r="A133" s="30">
        <v>48</v>
      </c>
      <c r="B133" s="38">
        <f aca="true" t="shared" si="84" ref="B133:B138">C132</f>
        <v>418950</v>
      </c>
      <c r="C133" s="38">
        <v>419120.51</v>
      </c>
      <c r="D133" s="39" t="s">
        <v>16</v>
      </c>
      <c r="E133" s="24">
        <f t="shared" si="76"/>
        <v>170.5100000000093</v>
      </c>
      <c r="F133" s="66">
        <f>ROUND((10+4.4336)/2,2)</f>
        <v>7.22</v>
      </c>
      <c r="G133" s="105">
        <f>ROUND((2901.4858+((24+23.333)/2)+($F133/2))/2901.4858,4)</f>
        <v>1.0094</v>
      </c>
      <c r="H133" s="105">
        <f>ROUND((2901.4858+((24+23.333)/2)+($F133))/2901.4858,4)</f>
        <v>1.0106</v>
      </c>
      <c r="I133" s="24">
        <f t="shared" si="77"/>
        <v>1242.65</v>
      </c>
      <c r="J133" s="24"/>
      <c r="K133" s="24"/>
      <c r="L133" s="24"/>
      <c r="M133" s="24">
        <f t="shared" si="78"/>
        <v>287.2</v>
      </c>
      <c r="N133" s="61"/>
      <c r="O133" s="24">
        <f t="shared" si="79"/>
        <v>24.16</v>
      </c>
      <c r="P133" s="24">
        <f t="shared" si="79"/>
        <v>16.11</v>
      </c>
      <c r="Q133" s="24"/>
      <c r="R133" s="24"/>
      <c r="S133" s="24">
        <f t="shared" si="80"/>
        <v>25.5</v>
      </c>
      <c r="T133" s="24">
        <f t="shared" si="80"/>
        <v>17</v>
      </c>
      <c r="U133" s="24">
        <f t="shared" si="81"/>
        <v>13.67</v>
      </c>
      <c r="V133" s="24">
        <f t="shared" si="81"/>
        <v>9.11</v>
      </c>
      <c r="W133" s="24">
        <f t="shared" si="82"/>
        <v>3.45</v>
      </c>
      <c r="X133" s="24">
        <f t="shared" si="82"/>
        <v>2.3</v>
      </c>
      <c r="Y133" s="24">
        <f t="shared" si="82"/>
        <v>4.03</v>
      </c>
      <c r="Z133" s="24">
        <f t="shared" si="82"/>
        <v>2.68</v>
      </c>
      <c r="AA133" s="24"/>
      <c r="AB133" s="24"/>
      <c r="AC133" s="24">
        <f t="shared" si="83"/>
        <v>103.39</v>
      </c>
      <c r="AD133" s="24">
        <f t="shared" si="83"/>
        <v>68.93</v>
      </c>
      <c r="AE133" s="24"/>
      <c r="AF133" s="271"/>
      <c r="AG133" s="272"/>
    </row>
    <row r="134" spans="1:33" s="4" customFormat="1" ht="21.75" customHeight="1">
      <c r="A134" s="30">
        <v>49</v>
      </c>
      <c r="B134" s="38">
        <f t="shared" si="84"/>
        <v>419120.51</v>
      </c>
      <c r="C134" s="38">
        <v>419157.05</v>
      </c>
      <c r="D134" s="39" t="s">
        <v>16</v>
      </c>
      <c r="E134" s="24">
        <f t="shared" si="76"/>
        <v>36.539999999979045</v>
      </c>
      <c r="F134" s="66">
        <v>4.43</v>
      </c>
      <c r="G134" s="105">
        <f>ROUND((2901.4858+23.333+($F134/2))/2901.4858,4)</f>
        <v>1.0088</v>
      </c>
      <c r="H134" s="105">
        <f>ROUND((2901.4858+23.333+($F134))/2901.4858,4)</f>
        <v>1.0096</v>
      </c>
      <c r="I134" s="24">
        <f t="shared" si="77"/>
        <v>163.3</v>
      </c>
      <c r="J134" s="24"/>
      <c r="K134" s="24"/>
      <c r="L134" s="24"/>
      <c r="M134" s="24">
        <f t="shared" si="78"/>
        <v>61.48</v>
      </c>
      <c r="N134" s="61"/>
      <c r="O134" s="24">
        <f t="shared" si="79"/>
        <v>3.18</v>
      </c>
      <c r="P134" s="24">
        <f t="shared" si="79"/>
        <v>2.12</v>
      </c>
      <c r="Q134" s="24"/>
      <c r="R134" s="24"/>
      <c r="S134" s="24">
        <f t="shared" si="80"/>
        <v>3.75</v>
      </c>
      <c r="T134" s="24">
        <f t="shared" si="80"/>
        <v>2.5</v>
      </c>
      <c r="U134" s="24">
        <f t="shared" si="81"/>
        <v>1.8</v>
      </c>
      <c r="V134" s="24">
        <f t="shared" si="81"/>
        <v>1.2</v>
      </c>
      <c r="W134" s="24">
        <f t="shared" si="82"/>
        <v>0.45</v>
      </c>
      <c r="X134" s="24">
        <f t="shared" si="82"/>
        <v>0.3</v>
      </c>
      <c r="Y134" s="24">
        <f t="shared" si="82"/>
        <v>0.53</v>
      </c>
      <c r="Z134" s="24">
        <f t="shared" si="82"/>
        <v>0.35</v>
      </c>
      <c r="AA134" s="24"/>
      <c r="AB134" s="24"/>
      <c r="AC134" s="24">
        <f t="shared" si="83"/>
        <v>22.13</v>
      </c>
      <c r="AD134" s="24">
        <f t="shared" si="83"/>
        <v>14.76</v>
      </c>
      <c r="AE134" s="24"/>
      <c r="AF134" s="271"/>
      <c r="AG134" s="272"/>
    </row>
    <row r="135" spans="1:33" s="4" customFormat="1" ht="21.75" customHeight="1">
      <c r="A135" s="30">
        <v>50</v>
      </c>
      <c r="B135" s="38">
        <f t="shared" si="84"/>
        <v>419157.05</v>
      </c>
      <c r="C135" s="38">
        <v>419272.36</v>
      </c>
      <c r="D135" s="39" t="s">
        <v>16</v>
      </c>
      <c r="E135" s="24">
        <f t="shared" si="76"/>
        <v>115.30999999999767</v>
      </c>
      <c r="F135" s="66">
        <f>ROUND((4.4336+4.0024)/2,2)</f>
        <v>4.22</v>
      </c>
      <c r="G135" s="105">
        <f>ROUND((2901.4858+23.333+($F135/2))/2901.4858,4)</f>
        <v>1.0088</v>
      </c>
      <c r="H135" s="105">
        <f>ROUND((2901.4858+23.333+($F135))/2901.4858,4)</f>
        <v>1.0095</v>
      </c>
      <c r="I135" s="24">
        <f t="shared" si="77"/>
        <v>490.89</v>
      </c>
      <c r="J135" s="24"/>
      <c r="K135" s="24">
        <f>IF($H135=0,ROUND($E135*(K$145/12),2),ROUND($E135*$H135*(K$145/12),2))</f>
        <v>38.8</v>
      </c>
      <c r="L135" s="24">
        <f>IF($H135=0,ROUND($E135*(L$145/12),2),ROUND($E135*$H135*(L$145/12),2))</f>
        <v>58.2</v>
      </c>
      <c r="M135" s="24">
        <f t="shared" si="78"/>
        <v>194.01</v>
      </c>
      <c r="N135" s="61"/>
      <c r="O135" s="24">
        <f>ROUND((((($I135+$M135+$L135+$K135)*(O$146/12))+(($I135+$M135+$L135+$K135+$L135)*(O$146/12)))/27)*O$148,2)</f>
        <v>15.77</v>
      </c>
      <c r="P135" s="24">
        <f>ROUND((((($I135+$M135+$L135+$K135)*(P$146/12))+(($I135+$M135+$L135+$K135+$L135)*(P$146/12)))/27)*P$148,2)</f>
        <v>10.51</v>
      </c>
      <c r="Q135" s="24"/>
      <c r="R135" s="24"/>
      <c r="S135" s="24">
        <f>ROUND(((($I135+$M135+$L135+$K135+$L135+$L135)*(S$145/12))/27)*S$148,2)</f>
        <v>14.97</v>
      </c>
      <c r="T135" s="24">
        <f>ROUND(((($I135+$M135+$L135+$K135+$L135+$L135)*(T$145/12))/27)*T$148,2)</f>
        <v>9.98</v>
      </c>
      <c r="U135" s="24">
        <f>ROUND((((($I135+$M135+$L135)/9)*U$145)+((($I135+$M135+$L135+$K135)/9)*U$145)+((($I135+$M135+$L135+$K135+$L135)/9)*U$145))*U$148,2)</f>
        <v>8.67</v>
      </c>
      <c r="V135" s="24">
        <f>ROUND((((($I135+$M135+$L135)/9)*V$145)+((($I135+$M135+$L135+$K135)/9)*V$145)+((($I135+$M135+$L135+$K135+$L135)/9)*V$145))*V$148,2)</f>
        <v>5.78</v>
      </c>
      <c r="W135" s="24">
        <f>ROUND((($I135*(W$145/12))/27)*W$148,2)</f>
        <v>1.36</v>
      </c>
      <c r="X135" s="24">
        <f>ROUND((($I135*(X$145/12))/27)*X$148,2)</f>
        <v>0.91</v>
      </c>
      <c r="Y135" s="24">
        <f>ROUND(((($I135+$M135+$L135)*(Y$145/12))/27)*Y$148,2)</f>
        <v>2.41</v>
      </c>
      <c r="Z135" s="24">
        <f>ROUND(((($I135+$M135+$L135)*(Z$145/12))/27)*Z$148,2)</f>
        <v>1.61</v>
      </c>
      <c r="AA135" s="24"/>
      <c r="AB135" s="24"/>
      <c r="AC135" s="24"/>
      <c r="AD135" s="24"/>
      <c r="AE135" s="24"/>
      <c r="AF135" s="271"/>
      <c r="AG135" s="272"/>
    </row>
    <row r="136" spans="1:33" s="4" customFormat="1" ht="21.75" customHeight="1">
      <c r="A136" s="30">
        <v>51</v>
      </c>
      <c r="B136" s="38">
        <f t="shared" si="84"/>
        <v>419272.36</v>
      </c>
      <c r="C136" s="38">
        <v>419282.76</v>
      </c>
      <c r="D136" s="39" t="s">
        <v>16</v>
      </c>
      <c r="E136" s="24">
        <f t="shared" si="76"/>
        <v>10.400000000023283</v>
      </c>
      <c r="F136" s="66">
        <v>4.2507</v>
      </c>
      <c r="G136" s="105">
        <f>ROUND((2901.4858+23.333+($F136/2))/2901.4858,4)</f>
        <v>1.0088</v>
      </c>
      <c r="H136" s="105">
        <f>ROUND((2901.4858+23.333+($F136))/2901.4858,4)</f>
        <v>1.0095</v>
      </c>
      <c r="I136" s="24">
        <f t="shared" si="77"/>
        <v>44.6</v>
      </c>
      <c r="J136" s="24"/>
      <c r="K136" s="24"/>
      <c r="L136" s="24"/>
      <c r="M136" s="24">
        <f t="shared" si="78"/>
        <v>17.5</v>
      </c>
      <c r="N136" s="61"/>
      <c r="O136" s="24">
        <f aca="true" t="shared" si="85" ref="O136:P138">ROUND(((($I136)*(O$145/12))/27)*O$148,2)</f>
        <v>0.87</v>
      </c>
      <c r="P136" s="24">
        <f t="shared" si="85"/>
        <v>0.58</v>
      </c>
      <c r="Q136" s="24"/>
      <c r="R136" s="24"/>
      <c r="S136" s="24">
        <f aca="true" t="shared" si="86" ref="S136:T138">ROUND(((($I136+$M136)*(S$145/12))/27)*S$148,2)</f>
        <v>1.04</v>
      </c>
      <c r="T136" s="24">
        <f t="shared" si="86"/>
        <v>0.69</v>
      </c>
      <c r="U136" s="24">
        <f aca="true" t="shared" si="87" ref="U136:V138">ROUND(((($I136/9)*U$145)*3)*U$148,2)</f>
        <v>0.49</v>
      </c>
      <c r="V136" s="24">
        <f t="shared" si="87"/>
        <v>0.33</v>
      </c>
      <c r="W136" s="24">
        <f aca="true" t="shared" si="88" ref="W136:X138">ROUND((($I136*(W$145/12))/27)*W$148,2)</f>
        <v>0.12</v>
      </c>
      <c r="X136" s="24">
        <f t="shared" si="88"/>
        <v>0.08</v>
      </c>
      <c r="Y136" s="24">
        <f aca="true" t="shared" si="89" ref="Y136:Z138">ROUND((($I136*(Y$145/12))/27)*Y$148,2)</f>
        <v>0.14</v>
      </c>
      <c r="Z136" s="24">
        <f t="shared" si="89"/>
        <v>0.1</v>
      </c>
      <c r="AA136" s="24"/>
      <c r="AB136" s="24"/>
      <c r="AC136" s="24">
        <f aca="true" t="shared" si="90" ref="AC136:AD138">IF($H136=0,$E136*AC$148,ROUND($E136*$H136*AC$148,2))</f>
        <v>6.3</v>
      </c>
      <c r="AD136" s="24">
        <f t="shared" si="90"/>
        <v>4.2</v>
      </c>
      <c r="AE136" s="24"/>
      <c r="AF136" s="271"/>
      <c r="AG136" s="272"/>
    </row>
    <row r="137" spans="1:33" s="4" customFormat="1" ht="21.75" customHeight="1">
      <c r="A137" s="30">
        <v>52</v>
      </c>
      <c r="B137" s="38">
        <f t="shared" si="84"/>
        <v>419282.76</v>
      </c>
      <c r="C137" s="38">
        <v>419332.76</v>
      </c>
      <c r="D137" s="39" t="s">
        <v>16</v>
      </c>
      <c r="E137" s="24">
        <f t="shared" si="76"/>
        <v>50</v>
      </c>
      <c r="F137" s="66">
        <f>ROUND((4.2507+10)/2,2)</f>
        <v>7.13</v>
      </c>
      <c r="G137" s="105">
        <f>ROUND((2901.4858+23.333+($F137/2))/2901.4858,4)</f>
        <v>1.0093</v>
      </c>
      <c r="H137" s="105">
        <f>ROUND((2901.4858+23.333+($F137))/2901.4858,4)</f>
        <v>1.0105</v>
      </c>
      <c r="I137" s="24">
        <f t="shared" si="77"/>
        <v>359.82</v>
      </c>
      <c r="J137" s="24"/>
      <c r="K137" s="24"/>
      <c r="L137" s="24"/>
      <c r="M137" s="24">
        <f t="shared" si="78"/>
        <v>84.21</v>
      </c>
      <c r="N137" s="61"/>
      <c r="O137" s="24">
        <f t="shared" si="85"/>
        <v>7</v>
      </c>
      <c r="P137" s="24">
        <f t="shared" si="85"/>
        <v>4.66</v>
      </c>
      <c r="Q137" s="24"/>
      <c r="R137" s="24"/>
      <c r="S137" s="24">
        <f t="shared" si="86"/>
        <v>7.4</v>
      </c>
      <c r="T137" s="24">
        <f t="shared" si="86"/>
        <v>4.93</v>
      </c>
      <c r="U137" s="24">
        <f t="shared" si="87"/>
        <v>3.96</v>
      </c>
      <c r="V137" s="24">
        <f t="shared" si="87"/>
        <v>2.64</v>
      </c>
      <c r="W137" s="24">
        <f t="shared" si="88"/>
        <v>1</v>
      </c>
      <c r="X137" s="24">
        <f t="shared" si="88"/>
        <v>0.67</v>
      </c>
      <c r="Y137" s="24">
        <f t="shared" si="89"/>
        <v>1.17</v>
      </c>
      <c r="Z137" s="24">
        <f t="shared" si="89"/>
        <v>0.78</v>
      </c>
      <c r="AA137" s="24"/>
      <c r="AB137" s="24"/>
      <c r="AC137" s="24">
        <f t="shared" si="90"/>
        <v>30.32</v>
      </c>
      <c r="AD137" s="24">
        <f t="shared" si="90"/>
        <v>20.21</v>
      </c>
      <c r="AE137" s="24"/>
      <c r="AF137" s="273"/>
      <c r="AG137" s="272"/>
    </row>
    <row r="138" spans="1:33" s="4" customFormat="1" ht="21.75" customHeight="1">
      <c r="A138" s="30">
        <v>53</v>
      </c>
      <c r="B138" s="38">
        <f t="shared" si="84"/>
        <v>419332.76</v>
      </c>
      <c r="C138" s="38">
        <v>419345.18</v>
      </c>
      <c r="D138" s="39" t="s">
        <v>16</v>
      </c>
      <c r="E138" s="24">
        <f t="shared" si="76"/>
        <v>12.419999999983702</v>
      </c>
      <c r="F138" s="66">
        <v>10</v>
      </c>
      <c r="G138" s="105">
        <f>ROUND((2901.4858+23.333+($F138/2))/2901.4858,4)</f>
        <v>1.0098</v>
      </c>
      <c r="H138" s="105">
        <f>ROUND((2901.4858+23.333+($F138))/2901.4858,4)</f>
        <v>1.0115</v>
      </c>
      <c r="I138" s="24">
        <f t="shared" si="77"/>
        <v>125.42</v>
      </c>
      <c r="J138" s="24"/>
      <c r="K138" s="24"/>
      <c r="L138" s="24"/>
      <c r="M138" s="24">
        <f t="shared" si="78"/>
        <v>20.94</v>
      </c>
      <c r="N138" s="61"/>
      <c r="O138" s="24">
        <f t="shared" si="85"/>
        <v>2.44</v>
      </c>
      <c r="P138" s="24">
        <f t="shared" si="85"/>
        <v>1.63</v>
      </c>
      <c r="Q138" s="24"/>
      <c r="R138" s="24"/>
      <c r="S138" s="24">
        <f t="shared" si="86"/>
        <v>2.44</v>
      </c>
      <c r="T138" s="24">
        <f t="shared" si="86"/>
        <v>1.63</v>
      </c>
      <c r="U138" s="24">
        <f t="shared" si="87"/>
        <v>1.38</v>
      </c>
      <c r="V138" s="24">
        <f t="shared" si="87"/>
        <v>0.92</v>
      </c>
      <c r="W138" s="24">
        <f t="shared" si="88"/>
        <v>0.35</v>
      </c>
      <c r="X138" s="24">
        <f t="shared" si="88"/>
        <v>0.23</v>
      </c>
      <c r="Y138" s="24">
        <f t="shared" si="89"/>
        <v>0.41</v>
      </c>
      <c r="Z138" s="24">
        <f t="shared" si="89"/>
        <v>0.27</v>
      </c>
      <c r="AA138" s="24"/>
      <c r="AB138" s="24"/>
      <c r="AC138" s="24">
        <f t="shared" si="90"/>
        <v>7.54</v>
      </c>
      <c r="AD138" s="24">
        <f t="shared" si="90"/>
        <v>5.03</v>
      </c>
      <c r="AE138" s="24"/>
      <c r="AF138" s="273"/>
      <c r="AG138" s="272"/>
    </row>
    <row r="139" spans="1:33" s="4" customFormat="1" ht="21.75" customHeight="1" thickBot="1">
      <c r="A139" s="30">
        <v>54</v>
      </c>
      <c r="B139" s="38"/>
      <c r="C139" s="38"/>
      <c r="D139" s="39"/>
      <c r="E139" s="24"/>
      <c r="F139" s="108"/>
      <c r="G139" s="90"/>
      <c r="H139" s="24"/>
      <c r="I139" s="24"/>
      <c r="J139" s="24"/>
      <c r="K139" s="24"/>
      <c r="L139" s="24"/>
      <c r="M139" s="24"/>
      <c r="N139" s="61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74"/>
      <c r="AG139" s="275"/>
    </row>
    <row r="140" spans="2:33" s="1" customFormat="1" ht="46.5" customHeight="1">
      <c r="B140" s="233" t="s">
        <v>15</v>
      </c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5"/>
      <c r="O140" s="211">
        <f aca="true" t="shared" si="91" ref="O140:AE140">IF(SUM(O86:O139)=0," ",ROUNDUP(SUM(O86:O139),0))</f>
        <v>1175</v>
      </c>
      <c r="P140" s="211">
        <f t="shared" si="91"/>
        <v>784</v>
      </c>
      <c r="Q140" s="211">
        <f t="shared" si="91"/>
        <v>282</v>
      </c>
      <c r="R140" s="211">
        <f t="shared" si="91"/>
        <v>188</v>
      </c>
      <c r="S140" s="211">
        <f t="shared" si="91"/>
        <v>640</v>
      </c>
      <c r="T140" s="211">
        <f t="shared" si="91"/>
        <v>427</v>
      </c>
      <c r="U140" s="211">
        <f t="shared" si="91"/>
        <v>663</v>
      </c>
      <c r="V140" s="211">
        <f t="shared" si="91"/>
        <v>442</v>
      </c>
      <c r="W140" s="211">
        <f t="shared" si="91"/>
        <v>163</v>
      </c>
      <c r="X140" s="211">
        <f t="shared" si="91"/>
        <v>109</v>
      </c>
      <c r="Y140" s="211">
        <f t="shared" si="91"/>
        <v>195</v>
      </c>
      <c r="Z140" s="211">
        <f t="shared" si="91"/>
        <v>130</v>
      </c>
      <c r="AA140" s="211" t="str">
        <f t="shared" si="91"/>
        <v> </v>
      </c>
      <c r="AB140" s="211" t="str">
        <f t="shared" si="91"/>
        <v> </v>
      </c>
      <c r="AC140" s="211">
        <f t="shared" si="91"/>
        <v>962</v>
      </c>
      <c r="AD140" s="211">
        <f t="shared" si="91"/>
        <v>641</v>
      </c>
      <c r="AE140" s="211" t="str">
        <f t="shared" si="91"/>
        <v> </v>
      </c>
      <c r="AF140" s="279">
        <v>4</v>
      </c>
      <c r="AG140" s="280"/>
    </row>
    <row r="141" spans="2:33" s="1" customFormat="1" ht="46.5" customHeight="1" thickBot="1">
      <c r="B141" s="236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8"/>
      <c r="O141" s="250"/>
      <c r="P141" s="250"/>
      <c r="Q141" s="250"/>
      <c r="R141" s="250"/>
      <c r="S141" s="212"/>
      <c r="T141" s="212"/>
      <c r="U141" s="250"/>
      <c r="V141" s="250"/>
      <c r="W141" s="212"/>
      <c r="X141" s="212"/>
      <c r="Y141" s="250"/>
      <c r="Z141" s="250"/>
      <c r="AA141" s="212"/>
      <c r="AB141" s="212"/>
      <c r="AC141" s="212"/>
      <c r="AD141" s="212"/>
      <c r="AE141" s="212"/>
      <c r="AF141" s="276">
        <f>$AF$68</f>
        <v>18</v>
      </c>
      <c r="AG141" s="277"/>
    </row>
    <row r="142" spans="1:34" ht="36" customHeight="1">
      <c r="A142" s="10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T142"/>
      <c r="U142" s="49"/>
      <c r="V142" s="85"/>
      <c r="W142" s="49"/>
      <c r="X142" s="49"/>
      <c r="Y142" s="85"/>
      <c r="Z142" s="49"/>
      <c r="AC142" s="49"/>
      <c r="AD142" s="49"/>
      <c r="AF142" s="49"/>
      <c r="AG142" s="49"/>
      <c r="AH142" s="11"/>
    </row>
    <row r="143" spans="2:33" ht="12.75"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T143"/>
      <c r="U143" s="49"/>
      <c r="V143" s="85"/>
      <c r="W143" s="49"/>
      <c r="X143" s="49"/>
      <c r="Y143" s="85"/>
      <c r="Z143" s="49"/>
      <c r="AC143" s="49"/>
      <c r="AD143" s="49"/>
      <c r="AF143" s="49"/>
      <c r="AG143" s="49"/>
    </row>
    <row r="144" spans="2:33" ht="12.75"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T144"/>
      <c r="U144" s="49"/>
      <c r="V144" s="85"/>
      <c r="W144" s="49"/>
      <c r="X144" s="49"/>
      <c r="Y144" s="85"/>
      <c r="Z144" s="49"/>
      <c r="AC144" s="49"/>
      <c r="AD144" s="49"/>
      <c r="AF144" s="49"/>
      <c r="AG144" s="49"/>
    </row>
    <row r="145" spans="2:33" ht="15.75">
      <c r="B145" s="224" t="s">
        <v>7</v>
      </c>
      <c r="C145" s="225"/>
      <c r="D145" s="225"/>
      <c r="E145" s="225"/>
      <c r="F145" s="225"/>
      <c r="G145" s="226"/>
      <c r="H145" s="53"/>
      <c r="I145" s="53"/>
      <c r="J145" s="53"/>
      <c r="K145" s="53">
        <v>4</v>
      </c>
      <c r="L145" s="53">
        <v>6</v>
      </c>
      <c r="M145" s="53">
        <v>20</v>
      </c>
      <c r="N145" s="53">
        <v>22</v>
      </c>
      <c r="O145" s="53">
        <v>10.5</v>
      </c>
      <c r="P145" s="53">
        <v>10.5</v>
      </c>
      <c r="Q145" s="101">
        <v>6</v>
      </c>
      <c r="R145" s="101">
        <v>6</v>
      </c>
      <c r="S145" s="53">
        <v>9</v>
      </c>
      <c r="T145" s="53">
        <v>9</v>
      </c>
      <c r="U145" s="94">
        <v>0.055</v>
      </c>
      <c r="V145" s="94">
        <v>0.055</v>
      </c>
      <c r="W145" s="95">
        <v>1.5</v>
      </c>
      <c r="X145" s="95">
        <v>1.5</v>
      </c>
      <c r="Y145" s="53">
        <v>1.75</v>
      </c>
      <c r="Z145" s="53">
        <v>1.75</v>
      </c>
      <c r="AA145" s="95">
        <v>1.75</v>
      </c>
      <c r="AB145" s="95">
        <v>1.75</v>
      </c>
      <c r="AC145" s="53"/>
      <c r="AD145" s="53"/>
      <c r="AF145" s="49"/>
      <c r="AG145" s="49"/>
    </row>
    <row r="146" spans="2:33" ht="15"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96">
        <f>O145/2</f>
        <v>5.25</v>
      </c>
      <c r="P146" s="96">
        <f>P145/2</f>
        <v>5.25</v>
      </c>
      <c r="Q146" s="53"/>
      <c r="R146" s="53"/>
      <c r="S146" s="49"/>
      <c r="T146" s="49"/>
      <c r="U146" s="85"/>
      <c r="V146" s="49"/>
      <c r="W146" s="49"/>
      <c r="X146" s="49"/>
      <c r="Y146" s="49"/>
      <c r="Z146" s="49"/>
      <c r="AA146" s="49"/>
      <c r="AB146" s="49"/>
      <c r="AC146" s="49"/>
      <c r="AD146" s="49"/>
      <c r="AF146" s="49"/>
      <c r="AG146" s="49"/>
    </row>
    <row r="147" spans="2:33" ht="15"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96"/>
      <c r="P147" s="49"/>
      <c r="Q147" s="49"/>
      <c r="R147" s="49"/>
      <c r="S147" s="49"/>
      <c r="T147" s="49"/>
      <c r="U147" s="85"/>
      <c r="V147" s="49"/>
      <c r="W147" s="49"/>
      <c r="X147" s="49"/>
      <c r="Y147" s="49"/>
      <c r="Z147" s="49"/>
      <c r="AA147" s="49"/>
      <c r="AB147" s="49"/>
      <c r="AC147" s="49"/>
      <c r="AD147" s="49"/>
      <c r="AF147" s="49"/>
      <c r="AG147" s="49"/>
    </row>
    <row r="148" spans="2:33" ht="15">
      <c r="B148" s="49"/>
      <c r="C148" s="49"/>
      <c r="D148" s="49"/>
      <c r="E148" s="49"/>
      <c r="F148" s="49"/>
      <c r="G148" s="49"/>
      <c r="H148" s="49"/>
      <c r="I148" s="49"/>
      <c r="J148" s="49"/>
      <c r="K148" s="297" t="s">
        <v>62</v>
      </c>
      <c r="L148" s="298"/>
      <c r="M148" s="298"/>
      <c r="N148" s="298"/>
      <c r="O148" s="122">
        <v>0.6</v>
      </c>
      <c r="P148" s="122">
        <v>0.4</v>
      </c>
      <c r="Q148" s="122">
        <f>$O148</f>
        <v>0.6</v>
      </c>
      <c r="R148" s="122">
        <f>$P148</f>
        <v>0.4</v>
      </c>
      <c r="S148" s="122">
        <f>$O148</f>
        <v>0.6</v>
      </c>
      <c r="T148" s="122">
        <f>$P148</f>
        <v>0.4</v>
      </c>
      <c r="U148" s="122">
        <f>$O148</f>
        <v>0.6</v>
      </c>
      <c r="V148" s="122">
        <f>$P148</f>
        <v>0.4</v>
      </c>
      <c r="W148" s="122">
        <f>$O148</f>
        <v>0.6</v>
      </c>
      <c r="X148" s="122">
        <f>$P148</f>
        <v>0.4</v>
      </c>
      <c r="Y148" s="122">
        <f>$O148</f>
        <v>0.6</v>
      </c>
      <c r="Z148" s="122">
        <f>$P148</f>
        <v>0.4</v>
      </c>
      <c r="AA148" s="122">
        <f>$O148</f>
        <v>0.6</v>
      </c>
      <c r="AB148" s="122">
        <f>$P148</f>
        <v>0.4</v>
      </c>
      <c r="AC148" s="122">
        <f>$O148</f>
        <v>0.6</v>
      </c>
      <c r="AD148" s="122">
        <f>$P148</f>
        <v>0.4</v>
      </c>
      <c r="AF148" s="49"/>
      <c r="AG148" s="49"/>
    </row>
    <row r="149" spans="2:33" ht="12.75"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T149"/>
      <c r="U149" s="85"/>
      <c r="V149" s="49"/>
      <c r="W149" s="49"/>
      <c r="X149" s="49"/>
      <c r="Y149" s="49"/>
      <c r="Z149" s="49"/>
      <c r="AC149" s="49"/>
      <c r="AD149" s="49"/>
      <c r="AF149" s="49"/>
      <c r="AG149" s="49"/>
    </row>
    <row r="150" spans="2:34" s="3" customFormat="1" ht="36" customHeight="1" thickBot="1">
      <c r="B150" s="54" t="s">
        <v>11</v>
      </c>
      <c r="C150" s="55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229">
        <v>5</v>
      </c>
      <c r="P150" s="229"/>
      <c r="Q150" s="229">
        <v>7</v>
      </c>
      <c r="R150" s="229"/>
      <c r="S150" s="229">
        <v>56</v>
      </c>
      <c r="T150" s="229"/>
      <c r="U150" s="229">
        <v>2</v>
      </c>
      <c r="V150" s="229"/>
      <c r="W150" s="229">
        <v>1</v>
      </c>
      <c r="X150" s="229"/>
      <c r="Y150" s="229">
        <v>3</v>
      </c>
      <c r="Z150" s="229"/>
      <c r="AC150" s="257">
        <v>20</v>
      </c>
      <c r="AD150" s="257"/>
      <c r="AF150" s="98"/>
      <c r="AG150" s="98"/>
      <c r="AH150" s="13"/>
    </row>
    <row r="151" spans="2:33" s="4" customFormat="1" ht="21.75" customHeight="1">
      <c r="B151" s="233" t="s">
        <v>0</v>
      </c>
      <c r="C151" s="299"/>
      <c r="D151" s="251" t="s">
        <v>3</v>
      </c>
      <c r="E151" s="251" t="s">
        <v>4</v>
      </c>
      <c r="F151" s="251" t="s">
        <v>5</v>
      </c>
      <c r="G151" s="254" t="s">
        <v>43</v>
      </c>
      <c r="H151" s="254" t="s">
        <v>45</v>
      </c>
      <c r="I151" s="251" t="s">
        <v>6</v>
      </c>
      <c r="J151" s="254" t="s">
        <v>26</v>
      </c>
      <c r="K151" s="254" t="s">
        <v>19</v>
      </c>
      <c r="L151" s="254" t="s">
        <v>46</v>
      </c>
      <c r="M151" s="254" t="s">
        <v>61</v>
      </c>
      <c r="N151" s="254" t="s">
        <v>44</v>
      </c>
      <c r="O151" s="216">
        <v>302</v>
      </c>
      <c r="P151" s="217"/>
      <c r="Q151" s="216">
        <v>304</v>
      </c>
      <c r="R151" s="217"/>
      <c r="S151" s="216">
        <v>304</v>
      </c>
      <c r="T151" s="217"/>
      <c r="U151" s="216">
        <v>407</v>
      </c>
      <c r="V151" s="217"/>
      <c r="W151" s="216">
        <v>442</v>
      </c>
      <c r="X151" s="217"/>
      <c r="Y151" s="216">
        <v>442</v>
      </c>
      <c r="Z151" s="217"/>
      <c r="AA151" s="216">
        <v>442</v>
      </c>
      <c r="AB151" s="217"/>
      <c r="AC151" s="216">
        <v>609</v>
      </c>
      <c r="AD151" s="217"/>
      <c r="AE151" s="58"/>
      <c r="AF151" s="282" t="s">
        <v>38</v>
      </c>
      <c r="AG151" s="282" t="s">
        <v>58</v>
      </c>
    </row>
    <row r="152" spans="2:33" s="4" customFormat="1" ht="27.75" customHeight="1">
      <c r="B152" s="293"/>
      <c r="C152" s="300"/>
      <c r="D152" s="255"/>
      <c r="E152" s="255"/>
      <c r="F152" s="255"/>
      <c r="G152" s="242"/>
      <c r="H152" s="242"/>
      <c r="I152" s="252"/>
      <c r="J152" s="255"/>
      <c r="K152" s="255"/>
      <c r="L152" s="242"/>
      <c r="M152" s="242"/>
      <c r="N152" s="242"/>
      <c r="O152" s="218" t="s">
        <v>37</v>
      </c>
      <c r="P152" s="219"/>
      <c r="Q152" s="218" t="s">
        <v>121</v>
      </c>
      <c r="R152" s="219"/>
      <c r="S152" s="218" t="s">
        <v>139</v>
      </c>
      <c r="T152" s="219"/>
      <c r="U152" s="218" t="s">
        <v>122</v>
      </c>
      <c r="V152" s="219"/>
      <c r="W152" s="218" t="s">
        <v>138</v>
      </c>
      <c r="X152" s="219"/>
      <c r="Y152" s="218" t="s">
        <v>27</v>
      </c>
      <c r="Z152" s="219"/>
      <c r="AA152" s="218" t="s">
        <v>97</v>
      </c>
      <c r="AB152" s="219"/>
      <c r="AC152" s="218" t="s">
        <v>47</v>
      </c>
      <c r="AD152" s="219"/>
      <c r="AE152" s="241"/>
      <c r="AF152" s="283"/>
      <c r="AG152" s="304"/>
    </row>
    <row r="153" spans="2:33" s="4" customFormat="1" ht="27.75" customHeight="1" thickBot="1">
      <c r="B153" s="293"/>
      <c r="C153" s="300"/>
      <c r="D153" s="255"/>
      <c r="E153" s="255"/>
      <c r="F153" s="255"/>
      <c r="G153" s="242"/>
      <c r="H153" s="242"/>
      <c r="I153" s="252"/>
      <c r="J153" s="255"/>
      <c r="K153" s="255"/>
      <c r="L153" s="242"/>
      <c r="M153" s="242"/>
      <c r="N153" s="242"/>
      <c r="O153" s="220"/>
      <c r="P153" s="221"/>
      <c r="Q153" s="220"/>
      <c r="R153" s="221"/>
      <c r="S153" s="220"/>
      <c r="T153" s="221"/>
      <c r="U153" s="220"/>
      <c r="V153" s="221"/>
      <c r="W153" s="220"/>
      <c r="X153" s="221"/>
      <c r="Y153" s="220"/>
      <c r="Z153" s="221"/>
      <c r="AA153" s="220"/>
      <c r="AB153" s="221"/>
      <c r="AC153" s="220"/>
      <c r="AD153" s="221"/>
      <c r="AE153" s="242"/>
      <c r="AF153" s="284"/>
      <c r="AG153" s="304"/>
    </row>
    <row r="154" spans="2:33" s="4" customFormat="1" ht="27.75" customHeight="1">
      <c r="B154" s="293"/>
      <c r="C154" s="300"/>
      <c r="D154" s="255"/>
      <c r="E154" s="255"/>
      <c r="F154" s="255"/>
      <c r="G154" s="242"/>
      <c r="H154" s="242"/>
      <c r="I154" s="252"/>
      <c r="J154" s="255"/>
      <c r="K154" s="255"/>
      <c r="L154" s="242"/>
      <c r="M154" s="242"/>
      <c r="N154" s="242"/>
      <c r="O154" s="220"/>
      <c r="P154" s="221"/>
      <c r="Q154" s="220"/>
      <c r="R154" s="221"/>
      <c r="S154" s="220"/>
      <c r="T154" s="221"/>
      <c r="U154" s="220"/>
      <c r="V154" s="221"/>
      <c r="W154" s="220"/>
      <c r="X154" s="221"/>
      <c r="Y154" s="220"/>
      <c r="Z154" s="221"/>
      <c r="AA154" s="220"/>
      <c r="AB154" s="221"/>
      <c r="AC154" s="220"/>
      <c r="AD154" s="221"/>
      <c r="AE154" s="242"/>
      <c r="AF154" s="269" t="s">
        <v>8</v>
      </c>
      <c r="AG154" s="270"/>
    </row>
    <row r="155" spans="2:33" s="4" customFormat="1" ht="27.75" customHeight="1">
      <c r="B155" s="293"/>
      <c r="C155" s="300"/>
      <c r="D155" s="255"/>
      <c r="E155" s="255"/>
      <c r="F155" s="255"/>
      <c r="G155" s="242"/>
      <c r="H155" s="242"/>
      <c r="I155" s="252"/>
      <c r="J155" s="255"/>
      <c r="K155" s="255"/>
      <c r="L155" s="242"/>
      <c r="M155" s="242"/>
      <c r="N155" s="242"/>
      <c r="O155" s="220"/>
      <c r="P155" s="221"/>
      <c r="Q155" s="220"/>
      <c r="R155" s="221"/>
      <c r="S155" s="220"/>
      <c r="T155" s="221"/>
      <c r="U155" s="220"/>
      <c r="V155" s="221"/>
      <c r="W155" s="220"/>
      <c r="X155" s="221"/>
      <c r="Y155" s="220"/>
      <c r="Z155" s="221"/>
      <c r="AA155" s="220"/>
      <c r="AB155" s="221"/>
      <c r="AC155" s="220"/>
      <c r="AD155" s="221"/>
      <c r="AE155" s="242"/>
      <c r="AF155" s="271"/>
      <c r="AG155" s="272"/>
    </row>
    <row r="156" spans="2:33" s="4" customFormat="1" ht="27.75" customHeight="1">
      <c r="B156" s="293"/>
      <c r="C156" s="300"/>
      <c r="D156" s="255"/>
      <c r="E156" s="255"/>
      <c r="F156" s="255"/>
      <c r="G156" s="242"/>
      <c r="H156" s="242"/>
      <c r="I156" s="252"/>
      <c r="J156" s="255"/>
      <c r="K156" s="255"/>
      <c r="L156" s="242"/>
      <c r="M156" s="242"/>
      <c r="N156" s="242"/>
      <c r="O156" s="220"/>
      <c r="P156" s="221"/>
      <c r="Q156" s="220"/>
      <c r="R156" s="221"/>
      <c r="S156" s="220"/>
      <c r="T156" s="221"/>
      <c r="U156" s="220"/>
      <c r="V156" s="221"/>
      <c r="W156" s="220"/>
      <c r="X156" s="221"/>
      <c r="Y156" s="220"/>
      <c r="Z156" s="221"/>
      <c r="AA156" s="220"/>
      <c r="AB156" s="221"/>
      <c r="AC156" s="220"/>
      <c r="AD156" s="221"/>
      <c r="AE156" s="242"/>
      <c r="AF156" s="271"/>
      <c r="AG156" s="272"/>
    </row>
    <row r="157" spans="2:33" s="4" customFormat="1" ht="27.75" customHeight="1">
      <c r="B157" s="293"/>
      <c r="C157" s="300"/>
      <c r="D157" s="255"/>
      <c r="E157" s="255"/>
      <c r="F157" s="255"/>
      <c r="G157" s="242"/>
      <c r="H157" s="242"/>
      <c r="I157" s="252"/>
      <c r="J157" s="255"/>
      <c r="K157" s="255"/>
      <c r="L157" s="242"/>
      <c r="M157" s="242"/>
      <c r="N157" s="242"/>
      <c r="O157" s="220"/>
      <c r="P157" s="221"/>
      <c r="Q157" s="220"/>
      <c r="R157" s="221"/>
      <c r="S157" s="220"/>
      <c r="T157" s="221"/>
      <c r="U157" s="220"/>
      <c r="V157" s="221"/>
      <c r="W157" s="220"/>
      <c r="X157" s="221"/>
      <c r="Y157" s="220"/>
      <c r="Z157" s="221"/>
      <c r="AA157" s="220"/>
      <c r="AB157" s="221"/>
      <c r="AC157" s="220"/>
      <c r="AD157" s="221"/>
      <c r="AE157" s="242"/>
      <c r="AF157" s="271"/>
      <c r="AG157" s="272"/>
    </row>
    <row r="158" spans="2:33" s="4" customFormat="1" ht="27.75" customHeight="1">
      <c r="B158" s="293"/>
      <c r="C158" s="300"/>
      <c r="D158" s="255"/>
      <c r="E158" s="255"/>
      <c r="F158" s="255"/>
      <c r="G158" s="242"/>
      <c r="H158" s="242"/>
      <c r="I158" s="252"/>
      <c r="J158" s="255"/>
      <c r="K158" s="255"/>
      <c r="L158" s="242"/>
      <c r="M158" s="242"/>
      <c r="N158" s="242"/>
      <c r="O158" s="220"/>
      <c r="P158" s="221"/>
      <c r="Q158" s="220"/>
      <c r="R158" s="221"/>
      <c r="S158" s="220"/>
      <c r="T158" s="221"/>
      <c r="U158" s="220"/>
      <c r="V158" s="221"/>
      <c r="W158" s="220"/>
      <c r="X158" s="221"/>
      <c r="Y158" s="220"/>
      <c r="Z158" s="221"/>
      <c r="AA158" s="220"/>
      <c r="AB158" s="221"/>
      <c r="AC158" s="220"/>
      <c r="AD158" s="221"/>
      <c r="AE158" s="242"/>
      <c r="AF158" s="271"/>
      <c r="AG158" s="272"/>
    </row>
    <row r="159" spans="2:33" s="5" customFormat="1" ht="27.75" customHeight="1">
      <c r="B159" s="301"/>
      <c r="C159" s="302"/>
      <c r="D159" s="256"/>
      <c r="E159" s="256"/>
      <c r="F159" s="256"/>
      <c r="G159" s="243"/>
      <c r="H159" s="243"/>
      <c r="I159" s="253"/>
      <c r="J159" s="256"/>
      <c r="K159" s="256"/>
      <c r="L159" s="243"/>
      <c r="M159" s="243"/>
      <c r="N159" s="243"/>
      <c r="O159" s="222"/>
      <c r="P159" s="223"/>
      <c r="Q159" s="222"/>
      <c r="R159" s="223"/>
      <c r="S159" s="222"/>
      <c r="T159" s="223"/>
      <c r="U159" s="222"/>
      <c r="V159" s="223"/>
      <c r="W159" s="222"/>
      <c r="X159" s="223"/>
      <c r="Y159" s="222"/>
      <c r="Z159" s="223"/>
      <c r="AA159" s="222"/>
      <c r="AB159" s="223"/>
      <c r="AC159" s="222"/>
      <c r="AD159" s="223"/>
      <c r="AE159" s="243"/>
      <c r="AF159" s="271"/>
      <c r="AG159" s="272"/>
    </row>
    <row r="160" spans="2:33" s="7" customFormat="1" ht="21.75" customHeight="1" thickBot="1">
      <c r="B160" s="56" t="s">
        <v>1</v>
      </c>
      <c r="C160" s="56" t="s">
        <v>2</v>
      </c>
      <c r="D160" s="57"/>
      <c r="E160" s="57" t="s">
        <v>14</v>
      </c>
      <c r="F160" s="57" t="s">
        <v>14</v>
      </c>
      <c r="G160" s="57"/>
      <c r="H160" s="57"/>
      <c r="I160" s="57" t="s">
        <v>21</v>
      </c>
      <c r="J160" s="57" t="s">
        <v>21</v>
      </c>
      <c r="K160" s="57" t="s">
        <v>21</v>
      </c>
      <c r="L160" s="57" t="s">
        <v>21</v>
      </c>
      <c r="M160" s="57" t="s">
        <v>21</v>
      </c>
      <c r="N160" s="57" t="s">
        <v>21</v>
      </c>
      <c r="O160" s="208" t="s">
        <v>20</v>
      </c>
      <c r="P160" s="210"/>
      <c r="Q160" s="208" t="s">
        <v>20</v>
      </c>
      <c r="R160" s="210"/>
      <c r="S160" s="208" t="s">
        <v>20</v>
      </c>
      <c r="T160" s="210"/>
      <c r="U160" s="208" t="s">
        <v>22</v>
      </c>
      <c r="V160" s="210"/>
      <c r="W160" s="208" t="s">
        <v>20</v>
      </c>
      <c r="X160" s="210"/>
      <c r="Y160" s="208" t="s">
        <v>20</v>
      </c>
      <c r="Z160" s="210"/>
      <c r="AA160" s="208" t="s">
        <v>20</v>
      </c>
      <c r="AB160" s="210"/>
      <c r="AC160" s="208" t="s">
        <v>14</v>
      </c>
      <c r="AD160" s="210"/>
      <c r="AE160" s="57"/>
      <c r="AF160" s="271"/>
      <c r="AG160" s="272"/>
    </row>
    <row r="161" spans="1:33" s="4" customFormat="1" ht="21.75" customHeight="1">
      <c r="A161" s="30">
        <v>1</v>
      </c>
      <c r="B161" s="77"/>
      <c r="C161" s="113"/>
      <c r="D161" s="39"/>
      <c r="E161" s="24"/>
      <c r="F161" s="24"/>
      <c r="G161" s="24"/>
      <c r="H161" s="24"/>
      <c r="I161" s="24"/>
      <c r="J161" s="24"/>
      <c r="K161" s="24"/>
      <c r="L161" s="24"/>
      <c r="M161" s="24"/>
      <c r="N161" s="61"/>
      <c r="O161" s="227" t="s">
        <v>59</v>
      </c>
      <c r="P161" s="227" t="s">
        <v>92</v>
      </c>
      <c r="Q161" s="227" t="s">
        <v>59</v>
      </c>
      <c r="R161" s="227" t="s">
        <v>92</v>
      </c>
      <c r="S161" s="227" t="s">
        <v>59</v>
      </c>
      <c r="T161" s="227" t="s">
        <v>92</v>
      </c>
      <c r="U161" s="227" t="s">
        <v>59</v>
      </c>
      <c r="V161" s="227" t="s">
        <v>92</v>
      </c>
      <c r="W161" s="227" t="s">
        <v>59</v>
      </c>
      <c r="X161" s="227" t="s">
        <v>92</v>
      </c>
      <c r="Y161" s="227" t="s">
        <v>59</v>
      </c>
      <c r="Z161" s="227" t="s">
        <v>92</v>
      </c>
      <c r="AA161" s="227" t="s">
        <v>59</v>
      </c>
      <c r="AB161" s="227" t="s">
        <v>92</v>
      </c>
      <c r="AC161" s="265" t="s">
        <v>59</v>
      </c>
      <c r="AD161" s="265" t="s">
        <v>92</v>
      </c>
      <c r="AE161" s="227"/>
      <c r="AF161" s="271"/>
      <c r="AG161" s="272"/>
    </row>
    <row r="162" spans="1:33" s="4" customFormat="1" ht="21.75" customHeight="1">
      <c r="A162" s="30">
        <v>2</v>
      </c>
      <c r="B162" s="230" t="s">
        <v>36</v>
      </c>
      <c r="C162" s="231"/>
      <c r="D162" s="231"/>
      <c r="E162" s="231"/>
      <c r="F162" s="231"/>
      <c r="G162" s="231"/>
      <c r="H162" s="231"/>
      <c r="I162" s="232"/>
      <c r="J162" s="24"/>
      <c r="K162" s="24"/>
      <c r="L162" s="24"/>
      <c r="M162" s="24"/>
      <c r="N162" s="61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66"/>
      <c r="AD162" s="266"/>
      <c r="AE162" s="228"/>
      <c r="AF162" s="271"/>
      <c r="AG162" s="272"/>
    </row>
    <row r="163" spans="1:33" s="4" customFormat="1" ht="21.75" customHeight="1">
      <c r="A163" s="30">
        <v>3</v>
      </c>
      <c r="B163" s="77" t="s">
        <v>48</v>
      </c>
      <c r="C163" s="38"/>
      <c r="D163" s="39"/>
      <c r="E163" s="24"/>
      <c r="F163" s="66"/>
      <c r="G163" s="24"/>
      <c r="H163" s="24"/>
      <c r="I163" s="24"/>
      <c r="J163" s="24"/>
      <c r="K163" s="24"/>
      <c r="L163" s="24"/>
      <c r="M163" s="24"/>
      <c r="N163" s="61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71"/>
      <c r="AG163" s="272"/>
    </row>
    <row r="164" spans="1:33" s="4" customFormat="1" ht="21.75" customHeight="1">
      <c r="A164" s="30">
        <v>4</v>
      </c>
      <c r="B164" s="38">
        <v>419345.18</v>
      </c>
      <c r="C164" s="38">
        <v>419594.13</v>
      </c>
      <c r="D164" s="39" t="s">
        <v>16</v>
      </c>
      <c r="E164" s="24">
        <f aca="true" t="shared" si="92" ref="E164:E169">C164-B164</f>
        <v>248.95000000001164</v>
      </c>
      <c r="F164" s="66">
        <v>10</v>
      </c>
      <c r="G164" s="105"/>
      <c r="H164" s="105"/>
      <c r="I164" s="24">
        <f aca="true" t="shared" si="93" ref="I164:I169">IF(G164=0,ROUND($E164*$F164,2),ROUND($E164*$F164*$G164,2))</f>
        <v>2489.5</v>
      </c>
      <c r="J164" s="24"/>
      <c r="K164" s="24"/>
      <c r="L164" s="24"/>
      <c r="M164" s="24">
        <f>IF($H164=0,ROUND($E164*(M$220/12),2),ROUND($E164*$H164*(M$220/12),2))</f>
        <v>414.92</v>
      </c>
      <c r="N164" s="61"/>
      <c r="O164" s="24">
        <f>ROUND(((($I164)*(O$220/12))/27)*O$222,2)</f>
        <v>48.41</v>
      </c>
      <c r="P164" s="24">
        <f>ROUND(((($I164)*(P$220/12))/27)*P$222,2)</f>
        <v>32.27</v>
      </c>
      <c r="Q164" s="24"/>
      <c r="R164" s="24"/>
      <c r="S164" s="24">
        <f>ROUND(((($I164+$M164)*(S$220/12))/27)*S$222,2)</f>
        <v>48.41</v>
      </c>
      <c r="T164" s="24">
        <f>ROUND(((($I164+$M164)*(T$220/12))/27)*T$222,2)</f>
        <v>32.27</v>
      </c>
      <c r="U164" s="24">
        <f>ROUND(((($I164/9)*U$220)*3)*U$222,2)</f>
        <v>27.38</v>
      </c>
      <c r="V164" s="24">
        <f>ROUND(((($I164/9)*V$220)*3)*V$222,2)</f>
        <v>18.26</v>
      </c>
      <c r="W164" s="24">
        <f aca="true" t="shared" si="94" ref="W164:Z165">ROUND((($I164*(W$220/12))/27)*W$222,2)</f>
        <v>6.92</v>
      </c>
      <c r="X164" s="24">
        <f t="shared" si="94"/>
        <v>4.61</v>
      </c>
      <c r="Y164" s="24">
        <f t="shared" si="94"/>
        <v>8.07</v>
      </c>
      <c r="Z164" s="24">
        <f t="shared" si="94"/>
        <v>5.38</v>
      </c>
      <c r="AA164" s="24"/>
      <c r="AB164" s="24"/>
      <c r="AC164" s="24">
        <f>IF($H164=0,$E164*AC$222,ROUND($E164*$H164*AC$222,2))</f>
        <v>149.37000000000697</v>
      </c>
      <c r="AD164" s="24">
        <f>IF($H164=0,$E164*AD$222,ROUND($E164*$H164*AD$222,2))</f>
        <v>99.58000000000466</v>
      </c>
      <c r="AE164" s="24"/>
      <c r="AF164" s="271"/>
      <c r="AG164" s="272"/>
    </row>
    <row r="165" spans="1:33" s="4" customFormat="1" ht="21.75" customHeight="1">
      <c r="A165" s="30">
        <v>5</v>
      </c>
      <c r="B165" s="38">
        <f>C164</f>
        <v>419594.13</v>
      </c>
      <c r="C165" s="38">
        <v>419744.64</v>
      </c>
      <c r="D165" s="39" t="s">
        <v>16</v>
      </c>
      <c r="E165" s="24">
        <f t="shared" si="92"/>
        <v>150.5100000000093</v>
      </c>
      <c r="F165" s="66">
        <f>ROUND((10+9.8315)/2,2)</f>
        <v>9.92</v>
      </c>
      <c r="G165" s="105"/>
      <c r="H165" s="105"/>
      <c r="I165" s="24">
        <f t="shared" si="93"/>
        <v>1493.06</v>
      </c>
      <c r="J165" s="24"/>
      <c r="K165" s="24"/>
      <c r="L165" s="24"/>
      <c r="M165" s="24">
        <f>IF($H165=0,ROUND($E165*(M$220/12),2),ROUND($E165*$H165*(M$220/12),2))</f>
        <v>250.85</v>
      </c>
      <c r="N165" s="61"/>
      <c r="O165" s="24">
        <f>ROUND(((($I165)*(O$220/12))/27)*O$222,2)</f>
        <v>29.03</v>
      </c>
      <c r="P165" s="24">
        <f>ROUND(((($I165)*(P$220/12))/27)*P$222,2)</f>
        <v>19.35</v>
      </c>
      <c r="Q165" s="24"/>
      <c r="R165" s="24"/>
      <c r="S165" s="24">
        <f>ROUND(((($I165+$M165)*(S$220/12))/27)*S$222,2)</f>
        <v>29.07</v>
      </c>
      <c r="T165" s="24">
        <f>ROUND(((($I165+$M165)*(T$220/12))/27)*T$222,2)</f>
        <v>19.38</v>
      </c>
      <c r="U165" s="24">
        <f>ROUND(((($I165/9)*U$220)*3)*U$222,2)</f>
        <v>16.42</v>
      </c>
      <c r="V165" s="24">
        <f>ROUND(((($I165/9)*V$220)*3)*V$222,2)</f>
        <v>10.95</v>
      </c>
      <c r="W165" s="24">
        <f t="shared" si="94"/>
        <v>4.15</v>
      </c>
      <c r="X165" s="24">
        <f t="shared" si="94"/>
        <v>2.76</v>
      </c>
      <c r="Y165" s="24">
        <f t="shared" si="94"/>
        <v>4.84</v>
      </c>
      <c r="Z165" s="24">
        <f t="shared" si="94"/>
        <v>3.23</v>
      </c>
      <c r="AA165" s="24"/>
      <c r="AB165" s="24"/>
      <c r="AC165" s="24">
        <f>IF($H165=0,$E165*AC$222,ROUND($E165*$H165*AC$222,2))</f>
        <v>90.30600000000558</v>
      </c>
      <c r="AD165" s="24">
        <f>IF($H165=0,$E165*AD$222,ROUND($E165*$H165*AD$222,2))</f>
        <v>60.20400000000373</v>
      </c>
      <c r="AE165" s="24"/>
      <c r="AF165" s="271"/>
      <c r="AG165" s="272"/>
    </row>
    <row r="166" spans="1:33" s="4" customFormat="1" ht="21.75" customHeight="1">
      <c r="A166" s="30">
        <v>6</v>
      </c>
      <c r="B166" s="38">
        <f>C165</f>
        <v>419744.64</v>
      </c>
      <c r="C166" s="38">
        <v>419798.56</v>
      </c>
      <c r="D166" s="39" t="s">
        <v>16</v>
      </c>
      <c r="E166" s="24">
        <f t="shared" si="92"/>
        <v>53.9199999999837</v>
      </c>
      <c r="F166" s="66">
        <f>ROUND((9.8315+9.9758)/2,2)</f>
        <v>9.9</v>
      </c>
      <c r="G166" s="105"/>
      <c r="H166" s="105"/>
      <c r="I166" s="24">
        <f t="shared" si="93"/>
        <v>533.81</v>
      </c>
      <c r="J166" s="24"/>
      <c r="K166" s="24">
        <f>IF($H166=0,ROUND($E166*(K$220/12),2),ROUND($E166*$H166*(K$220/12),2))</f>
        <v>17.97</v>
      </c>
      <c r="L166" s="24">
        <f>IF($H166=0,ROUND($E166*(L$220/12),2),ROUND($E166*$H166*(L$220/12),2))</f>
        <v>26.96</v>
      </c>
      <c r="M166" s="24">
        <f>IF($H166=0,ROUND($E166*(M$220/12),2),ROUND($E166*$H166*(M$220/12),2))</f>
        <v>89.87</v>
      </c>
      <c r="N166" s="61"/>
      <c r="O166" s="24">
        <f>ROUND((((($I166+$M166+$L166+$K166)*(O$221/12))+(($I166+$M166+$L166+$K166+$L166)*(O$221/12)))/27)*O$222,2)</f>
        <v>13.26</v>
      </c>
      <c r="P166" s="24">
        <f>ROUND((((($I166+$M166+$L166+$K166)*(P$221/12))+(($I166+$M166+$L166+$K166+$L166)*(P$221/12)))/27)*P$222,2)</f>
        <v>8.84</v>
      </c>
      <c r="Q166" s="24"/>
      <c r="R166" s="24"/>
      <c r="S166" s="24">
        <f>ROUND(((($I166+$M166+$L166+$K166+$L166+$L166)*(S$220/12))/27)*S$222,2)</f>
        <v>12.04</v>
      </c>
      <c r="T166" s="24">
        <f>ROUND(((($I166+$M166+$L166+$K166+$L166+$L166)*(T$220/12))/27)*T$222,2)</f>
        <v>8.03</v>
      </c>
      <c r="U166" s="24">
        <f>ROUND((((($I166+$M166+$L166)/9)*U$220)+((($I166+$M166+$L166+$K166)/9)*U$220)+((($I166+$M166+$L166+$K166+$L166)/9)*U$220))*U$222,2)</f>
        <v>7.39</v>
      </c>
      <c r="V166" s="24">
        <f>ROUND((((($I166+$M166+$L166)/9)*V$220)+((($I166+$M166+$L166+$K166)/9)*V$220)+((($I166+$M166+$L166+$K166+$L166)/9)*V$220))*V$222,2)</f>
        <v>4.93</v>
      </c>
      <c r="W166" s="24">
        <f>ROUND((($I166*(W$145/12))/27)*W$148,2)</f>
        <v>1.48</v>
      </c>
      <c r="X166" s="24">
        <f>ROUND((($I166*(X$145/12))/27)*X$148,2)</f>
        <v>0.99</v>
      </c>
      <c r="Y166" s="24">
        <f>ROUND(((($I166+$M166+$L166)*(Y$220/12))/27)*Y$222,2)</f>
        <v>2.11</v>
      </c>
      <c r="Z166" s="24">
        <f>ROUND(((($I166+$M166+$L166)*(Z$220/12))/27)*Z$222,2)</f>
        <v>1.41</v>
      </c>
      <c r="AA166" s="24"/>
      <c r="AB166" s="24"/>
      <c r="AC166" s="24"/>
      <c r="AD166" s="24"/>
      <c r="AE166" s="24"/>
      <c r="AF166" s="271"/>
      <c r="AG166" s="272"/>
    </row>
    <row r="167" spans="1:33" s="4" customFormat="1" ht="21.75" customHeight="1">
      <c r="A167" s="30">
        <v>7</v>
      </c>
      <c r="B167" s="38">
        <f>C166</f>
        <v>419798.56</v>
      </c>
      <c r="C167" s="38">
        <v>420064.05</v>
      </c>
      <c r="D167" s="39" t="s">
        <v>16</v>
      </c>
      <c r="E167" s="24">
        <f t="shared" si="92"/>
        <v>265.4899999999907</v>
      </c>
      <c r="F167" s="66">
        <f>ROUND((9.9758+9.9554)/2,2)</f>
        <v>9.97</v>
      </c>
      <c r="G167" s="24"/>
      <c r="H167" s="24"/>
      <c r="I167" s="24">
        <f t="shared" si="93"/>
        <v>2646.94</v>
      </c>
      <c r="J167" s="24"/>
      <c r="K167" s="24"/>
      <c r="L167" s="24"/>
      <c r="M167" s="24"/>
      <c r="N167" s="61"/>
      <c r="O167" s="24">
        <f aca="true" t="shared" si="95" ref="O167:P169">ROUND(((($I167)*(O$220/12))/27)*O$222,2)</f>
        <v>51.47</v>
      </c>
      <c r="P167" s="24">
        <f t="shared" si="95"/>
        <v>34.31</v>
      </c>
      <c r="Q167" s="24"/>
      <c r="R167" s="24"/>
      <c r="S167" s="24">
        <f>ROUND(((($I167)*(S$220/12))/27)*S$222,2)</f>
        <v>44.12</v>
      </c>
      <c r="T167" s="24">
        <f>ROUND(((($I167)*(T$220/12))/27)*T$222,2)</f>
        <v>29.41</v>
      </c>
      <c r="U167" s="24">
        <f aca="true" t="shared" si="96" ref="U167:V169">ROUND(((($I167/9)*U$220)*3)*U$222,2)</f>
        <v>29.12</v>
      </c>
      <c r="V167" s="24">
        <f t="shared" si="96"/>
        <v>19.41</v>
      </c>
      <c r="W167" s="24">
        <f aca="true" t="shared" si="97" ref="W167:Z169">ROUND((($I167*(W$220/12))/27)*W$222,2)</f>
        <v>7.35</v>
      </c>
      <c r="X167" s="24">
        <f t="shared" si="97"/>
        <v>4.9</v>
      </c>
      <c r="Y167" s="24">
        <f t="shared" si="97"/>
        <v>8.58</v>
      </c>
      <c r="Z167" s="24">
        <f t="shared" si="97"/>
        <v>5.72</v>
      </c>
      <c r="AA167" s="24"/>
      <c r="AB167" s="24"/>
      <c r="AC167" s="24"/>
      <c r="AD167" s="24"/>
      <c r="AE167" s="24"/>
      <c r="AF167" s="271"/>
      <c r="AG167" s="272"/>
    </row>
    <row r="168" spans="1:33" s="4" customFormat="1" ht="21.75" customHeight="1">
      <c r="A168" s="30">
        <v>8</v>
      </c>
      <c r="B168" s="38">
        <f>C167</f>
        <v>420064.05</v>
      </c>
      <c r="C168" s="46">
        <v>420089.05</v>
      </c>
      <c r="D168" s="39" t="s">
        <v>16</v>
      </c>
      <c r="E168" s="24">
        <f t="shared" si="92"/>
        <v>25</v>
      </c>
      <c r="F168" s="66">
        <f>ROUND((9.9554+13)/2,2)</f>
        <v>11.48</v>
      </c>
      <c r="G168" s="24"/>
      <c r="H168" s="24"/>
      <c r="I168" s="24">
        <f t="shared" si="93"/>
        <v>287</v>
      </c>
      <c r="J168" s="24"/>
      <c r="K168" s="24"/>
      <c r="L168" s="24"/>
      <c r="M168" s="24">
        <f>IF($H168=0,ROUND($E168*(M$220/12),2),ROUND($E168*$H168*(M$220/12),2))</f>
        <v>41.67</v>
      </c>
      <c r="N168" s="61"/>
      <c r="O168" s="24">
        <f t="shared" si="95"/>
        <v>5.58</v>
      </c>
      <c r="P168" s="24">
        <f t="shared" si="95"/>
        <v>3.72</v>
      </c>
      <c r="Q168" s="24"/>
      <c r="R168" s="24"/>
      <c r="S168" s="24">
        <f>ROUND(((($I168+$M168)*(S$220/12))/27)*S$222,2)</f>
        <v>5.48</v>
      </c>
      <c r="T168" s="24">
        <f>ROUND(((($I168+$M168)*(T$220/12))/27)*T$222,2)</f>
        <v>3.65</v>
      </c>
      <c r="U168" s="24">
        <f t="shared" si="96"/>
        <v>3.16</v>
      </c>
      <c r="V168" s="24">
        <f t="shared" si="96"/>
        <v>2.1</v>
      </c>
      <c r="W168" s="24">
        <f t="shared" si="97"/>
        <v>0.8</v>
      </c>
      <c r="X168" s="24">
        <f t="shared" si="97"/>
        <v>0.53</v>
      </c>
      <c r="Y168" s="24">
        <f t="shared" si="97"/>
        <v>0.93</v>
      </c>
      <c r="Z168" s="24">
        <f t="shared" si="97"/>
        <v>0.62</v>
      </c>
      <c r="AA168" s="24"/>
      <c r="AB168" s="24"/>
      <c r="AC168" s="24">
        <f>IF($H168=0,$E168*AC$222,ROUND($E168*$H168*AC$222,2))</f>
        <v>15</v>
      </c>
      <c r="AD168" s="24">
        <f>IF($H168=0,$E168*AD$222,ROUND($E168*$H168*AD$222,2))</f>
        <v>10</v>
      </c>
      <c r="AE168" s="24"/>
      <c r="AF168" s="271"/>
      <c r="AG168" s="272"/>
    </row>
    <row r="169" spans="1:33" s="4" customFormat="1" ht="21.75" customHeight="1">
      <c r="A169" s="30">
        <v>9</v>
      </c>
      <c r="B169" s="38">
        <f>C168</f>
        <v>420089.05</v>
      </c>
      <c r="C169" s="38">
        <v>420528.94</v>
      </c>
      <c r="D169" s="39" t="s">
        <v>16</v>
      </c>
      <c r="E169" s="24">
        <f t="shared" si="92"/>
        <v>439.89000000001397</v>
      </c>
      <c r="F169" s="24">
        <v>13</v>
      </c>
      <c r="G169" s="24"/>
      <c r="H169" s="24"/>
      <c r="I169" s="24">
        <f t="shared" si="93"/>
        <v>5718.57</v>
      </c>
      <c r="J169" s="24"/>
      <c r="K169" s="24"/>
      <c r="L169" s="24"/>
      <c r="M169" s="24">
        <f>IF($H169=0,ROUND($E169*(M$220/12),2),ROUND($E169*$H169*(M$220/12),2))</f>
        <v>733.15</v>
      </c>
      <c r="N169" s="61"/>
      <c r="O169" s="24">
        <f t="shared" si="95"/>
        <v>111.19</v>
      </c>
      <c r="P169" s="24">
        <f t="shared" si="95"/>
        <v>74.13</v>
      </c>
      <c r="Q169" s="24"/>
      <c r="R169" s="24"/>
      <c r="S169" s="24">
        <f>ROUND(((($I169+$M169)*(S$220/12))/27)*S$222,2)</f>
        <v>107.53</v>
      </c>
      <c r="T169" s="24">
        <f>ROUND(((($I169+$M169)*(T$220/12))/27)*T$222,2)</f>
        <v>71.69</v>
      </c>
      <c r="U169" s="24">
        <f t="shared" si="96"/>
        <v>62.9</v>
      </c>
      <c r="V169" s="24">
        <f t="shared" si="96"/>
        <v>41.94</v>
      </c>
      <c r="W169" s="24">
        <f t="shared" si="97"/>
        <v>15.88</v>
      </c>
      <c r="X169" s="24">
        <f t="shared" si="97"/>
        <v>10.59</v>
      </c>
      <c r="Y169" s="24">
        <f t="shared" si="97"/>
        <v>18.53</v>
      </c>
      <c r="Z169" s="24">
        <f t="shared" si="97"/>
        <v>12.35</v>
      </c>
      <c r="AA169" s="24"/>
      <c r="AB169" s="24"/>
      <c r="AC169" s="24">
        <f>IF($H169=0,$E169*AC$222,ROUND($E169*$H169*AC$222,2))</f>
        <v>263.9340000000084</v>
      </c>
      <c r="AD169" s="24">
        <f>IF($H169=0,$E169*AD$222,ROUND($E169*$H169*AD$222,2))</f>
        <v>175.9560000000056</v>
      </c>
      <c r="AE169" s="24"/>
      <c r="AF169" s="271"/>
      <c r="AG169" s="272"/>
    </row>
    <row r="170" spans="1:33" s="4" customFormat="1" ht="21.75" customHeight="1">
      <c r="A170" s="30">
        <v>10</v>
      </c>
      <c r="B170" s="38"/>
      <c r="C170" s="46"/>
      <c r="D170" s="39"/>
      <c r="E170" s="24"/>
      <c r="F170" s="24"/>
      <c r="G170" s="24"/>
      <c r="H170" s="24"/>
      <c r="I170" s="24"/>
      <c r="J170" s="24"/>
      <c r="K170" s="24"/>
      <c r="L170" s="24"/>
      <c r="M170" s="24"/>
      <c r="N170" s="61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71"/>
      <c r="AG170" s="272"/>
    </row>
    <row r="171" spans="1:33" s="16" customFormat="1" ht="21.75" customHeight="1">
      <c r="A171" s="30">
        <v>11</v>
      </c>
      <c r="B171" s="230" t="s">
        <v>91</v>
      </c>
      <c r="C171" s="231"/>
      <c r="D171" s="231"/>
      <c r="E171" s="231"/>
      <c r="F171" s="231"/>
      <c r="G171" s="231"/>
      <c r="H171" s="231"/>
      <c r="I171" s="232"/>
      <c r="J171" s="24"/>
      <c r="K171" s="24"/>
      <c r="L171" s="24"/>
      <c r="M171" s="24"/>
      <c r="N171" s="61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71"/>
      <c r="AG171" s="272"/>
    </row>
    <row r="172" spans="1:33" s="16" customFormat="1" ht="21.75" customHeight="1">
      <c r="A172" s="30">
        <v>12</v>
      </c>
      <c r="B172" s="77" t="s">
        <v>24</v>
      </c>
      <c r="C172" s="38"/>
      <c r="D172" s="39"/>
      <c r="E172" s="24"/>
      <c r="F172" s="66"/>
      <c r="G172" s="24"/>
      <c r="H172" s="24"/>
      <c r="I172" s="24"/>
      <c r="J172" s="24"/>
      <c r="K172" s="24"/>
      <c r="L172" s="24"/>
      <c r="M172" s="24"/>
      <c r="N172" s="61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71"/>
      <c r="AG172" s="272"/>
    </row>
    <row r="173" spans="1:33" s="16" customFormat="1" ht="21.75" customHeight="1">
      <c r="A173" s="30">
        <v>13</v>
      </c>
      <c r="B173" s="38">
        <v>18604.59</v>
      </c>
      <c r="C173" s="46">
        <v>18756</v>
      </c>
      <c r="D173" s="39" t="s">
        <v>17</v>
      </c>
      <c r="E173" s="24">
        <f>C173-B173</f>
        <v>151.40999999999985</v>
      </c>
      <c r="F173" s="213" t="s">
        <v>13</v>
      </c>
      <c r="G173" s="214"/>
      <c r="H173" s="214"/>
      <c r="I173" s="215"/>
      <c r="J173" s="24">
        <v>1408.86</v>
      </c>
      <c r="K173" s="24"/>
      <c r="L173" s="24"/>
      <c r="M173" s="24">
        <f>IF($H173=0,ROUND($E173*(M$220/12),2),ROUND($E173*$H173*(M$220/12),2))</f>
        <v>252.35</v>
      </c>
      <c r="N173" s="61"/>
      <c r="O173" s="24">
        <f>ROUND(((($J173)*(O$220/12))/27)*O$222,2)</f>
        <v>27.39</v>
      </c>
      <c r="P173" s="24">
        <f>ROUND(((($J173)*(P$220/12))/27)*P$222,2)</f>
        <v>18.26</v>
      </c>
      <c r="Q173" s="24"/>
      <c r="R173" s="24"/>
      <c r="S173" s="24">
        <f>ROUND(((($J173+$M173)*(S$220/12))/27)*S$222,2)</f>
        <v>27.69</v>
      </c>
      <c r="T173" s="24">
        <f>ROUND(((($J173+$M173)*(T$220/12))/27)*T$222,2)</f>
        <v>18.46</v>
      </c>
      <c r="U173" s="24">
        <f>ROUND(((($J173/9)*U$220)*3)*U$222,2)</f>
        <v>15.5</v>
      </c>
      <c r="V173" s="24">
        <f>ROUND(((($J173/9)*V$220)*3)*V$222,2)</f>
        <v>10.33</v>
      </c>
      <c r="W173" s="24">
        <f aca="true" t="shared" si="98" ref="W173:Z174">ROUND((($J173*(W$220/12))/27)*W$222,2)</f>
        <v>3.91</v>
      </c>
      <c r="X173" s="24">
        <f t="shared" si="98"/>
        <v>2.61</v>
      </c>
      <c r="Y173" s="24">
        <f t="shared" si="98"/>
        <v>4.57</v>
      </c>
      <c r="Z173" s="24">
        <f t="shared" si="98"/>
        <v>3.04</v>
      </c>
      <c r="AA173" s="24"/>
      <c r="AB173" s="24"/>
      <c r="AC173" s="24">
        <f>IF($H173=0,$E173*AC$222,ROUND($E173*$H173*AC$222,2))</f>
        <v>90.8459999999999</v>
      </c>
      <c r="AD173" s="24">
        <f>IF($H173=0,$E173*AD$222,ROUND($E173*$H173*AD$222,2))</f>
        <v>60.56399999999994</v>
      </c>
      <c r="AE173" s="24"/>
      <c r="AF173" s="271"/>
      <c r="AG173" s="272"/>
    </row>
    <row r="174" spans="1:33" s="16" customFormat="1" ht="21.75" customHeight="1">
      <c r="A174" s="30">
        <v>14</v>
      </c>
      <c r="B174" s="38">
        <v>18446.44</v>
      </c>
      <c r="C174" s="38">
        <v>18807.13</v>
      </c>
      <c r="D174" s="39" t="s">
        <v>16</v>
      </c>
      <c r="E174" s="213" t="s">
        <v>13</v>
      </c>
      <c r="F174" s="214"/>
      <c r="G174" s="214"/>
      <c r="H174" s="214"/>
      <c r="I174" s="215"/>
      <c r="J174" s="24">
        <v>3891.88</v>
      </c>
      <c r="K174" s="24"/>
      <c r="L174" s="24"/>
      <c r="M174" s="24"/>
      <c r="N174" s="61"/>
      <c r="O174" s="24">
        <f>ROUND(((($J174)*(O$220/12))/27)*O$222,2)</f>
        <v>75.68</v>
      </c>
      <c r="P174" s="24">
        <f>ROUND(((($J174)*(P$220/12))/27)*P$222,2)</f>
        <v>50.45</v>
      </c>
      <c r="Q174" s="24"/>
      <c r="R174" s="24"/>
      <c r="S174" s="24">
        <f>ROUND(((($J174)*(S$220/12))/27)*S$222,2)</f>
        <v>64.86</v>
      </c>
      <c r="T174" s="24">
        <f>ROUND(((($J174)*(T$220/12))/27)*T$222,2)</f>
        <v>43.24</v>
      </c>
      <c r="U174" s="24">
        <f>ROUND(((($J174/9)*U$220)*3)*U$222,2)</f>
        <v>42.81</v>
      </c>
      <c r="V174" s="24">
        <f>ROUND(((($J174/9)*V$220)*3)*V$222,2)</f>
        <v>28.54</v>
      </c>
      <c r="W174" s="24">
        <f t="shared" si="98"/>
        <v>10.81</v>
      </c>
      <c r="X174" s="24">
        <f t="shared" si="98"/>
        <v>7.21</v>
      </c>
      <c r="Y174" s="24">
        <f t="shared" si="98"/>
        <v>12.61</v>
      </c>
      <c r="Z174" s="24">
        <f t="shared" si="98"/>
        <v>8.41</v>
      </c>
      <c r="AA174" s="24"/>
      <c r="AB174" s="24"/>
      <c r="AC174" s="24"/>
      <c r="AD174" s="24"/>
      <c r="AE174" s="24"/>
      <c r="AF174" s="271"/>
      <c r="AG174" s="272"/>
    </row>
    <row r="175" spans="1:33" s="4" customFormat="1" ht="21.75" customHeight="1">
      <c r="A175" s="30">
        <v>15</v>
      </c>
      <c r="B175" s="38"/>
      <c r="C175" s="38"/>
      <c r="D175" s="39"/>
      <c r="E175" s="24"/>
      <c r="F175" s="24"/>
      <c r="G175" s="24"/>
      <c r="H175" s="24"/>
      <c r="I175" s="24"/>
      <c r="J175" s="24"/>
      <c r="K175" s="24"/>
      <c r="L175" s="24"/>
      <c r="M175" s="24"/>
      <c r="N175" s="61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71"/>
      <c r="AG175" s="272"/>
    </row>
    <row r="176" spans="1:33" s="4" customFormat="1" ht="21.75" customHeight="1">
      <c r="A176" s="30">
        <v>16</v>
      </c>
      <c r="B176" s="230" t="s">
        <v>41</v>
      </c>
      <c r="C176" s="231"/>
      <c r="D176" s="231"/>
      <c r="E176" s="231"/>
      <c r="F176" s="231"/>
      <c r="G176" s="231"/>
      <c r="H176" s="231"/>
      <c r="I176" s="232"/>
      <c r="J176" s="24"/>
      <c r="K176" s="24"/>
      <c r="L176" s="24"/>
      <c r="M176" s="24"/>
      <c r="N176" s="61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71"/>
      <c r="AG176" s="272"/>
    </row>
    <row r="177" spans="1:33" s="4" customFormat="1" ht="21.75" customHeight="1">
      <c r="A177" s="30">
        <v>17</v>
      </c>
      <c r="B177" s="67" t="s">
        <v>23</v>
      </c>
      <c r="C177" s="38"/>
      <c r="D177" s="39"/>
      <c r="E177" s="24"/>
      <c r="F177" s="24"/>
      <c r="G177" s="66"/>
      <c r="H177" s="24"/>
      <c r="I177" s="24"/>
      <c r="J177" s="24"/>
      <c r="K177" s="24"/>
      <c r="L177" s="24"/>
      <c r="M177" s="24"/>
      <c r="N177" s="61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71"/>
      <c r="AG177" s="272"/>
    </row>
    <row r="178" spans="1:33" s="4" customFormat="1" ht="21.75" customHeight="1">
      <c r="A178" s="30">
        <v>18</v>
      </c>
      <c r="B178" s="38">
        <v>25286.4</v>
      </c>
      <c r="C178" s="38">
        <v>25400.38</v>
      </c>
      <c r="D178" s="39" t="s">
        <v>17</v>
      </c>
      <c r="E178" s="24">
        <f aca="true" t="shared" si="99" ref="E178:E184">C178-B178</f>
        <v>113.97999999999956</v>
      </c>
      <c r="F178" s="24">
        <v>24</v>
      </c>
      <c r="G178" s="24"/>
      <c r="H178" s="24"/>
      <c r="I178" s="24">
        <f aca="true" t="shared" si="100" ref="I178:I203">IF(G178=0,ROUND($E178*$F178,2),ROUND($E178*$F178*$G178,2))</f>
        <v>2735.52</v>
      </c>
      <c r="J178" s="24"/>
      <c r="K178" s="24"/>
      <c r="L178" s="24"/>
      <c r="M178" s="24"/>
      <c r="N178" s="61"/>
      <c r="O178" s="24">
        <f aca="true" t="shared" si="101" ref="O178:R181">ROUND(((($I178)*(O$220/12))/27)*O$223,2)</f>
        <v>44.33</v>
      </c>
      <c r="P178" s="24">
        <f t="shared" si="101"/>
        <v>44.33</v>
      </c>
      <c r="Q178" s="24">
        <f t="shared" si="101"/>
        <v>25.33</v>
      </c>
      <c r="R178" s="24">
        <f t="shared" si="101"/>
        <v>25.33</v>
      </c>
      <c r="S178" s="24"/>
      <c r="T178" s="24"/>
      <c r="U178" s="24">
        <f aca="true" t="shared" si="102" ref="U178:V181">ROUND(((($I178/9)*U$220)*3)*U$223,2)</f>
        <v>25.08</v>
      </c>
      <c r="V178" s="24">
        <f t="shared" si="102"/>
        <v>25.08</v>
      </c>
      <c r="W178" s="24">
        <f aca="true" t="shared" si="103" ref="W178:X181">ROUND((($I178*(W$220/12))/27)*W$223,2)</f>
        <v>6.33</v>
      </c>
      <c r="X178" s="24">
        <f t="shared" si="103"/>
        <v>6.33</v>
      </c>
      <c r="Y178" s="24">
        <f aca="true" t="shared" si="104" ref="Y178:Z181">ROUND(((($I178)*(Y$220/12))/27)*Y$223,2)</f>
        <v>7.39</v>
      </c>
      <c r="Z178" s="24">
        <f t="shared" si="104"/>
        <v>7.39</v>
      </c>
      <c r="AA178" s="24">
        <f aca="true" t="shared" si="105" ref="AA178:AB181">Y178+W178</f>
        <v>13.719999999999999</v>
      </c>
      <c r="AB178" s="24">
        <f t="shared" si="105"/>
        <v>13.719999999999999</v>
      </c>
      <c r="AC178" s="24"/>
      <c r="AD178" s="24"/>
      <c r="AE178" s="24"/>
      <c r="AF178" s="271"/>
      <c r="AG178" s="272"/>
    </row>
    <row r="179" spans="1:33" s="4" customFormat="1" ht="21.75" customHeight="1">
      <c r="A179" s="30">
        <v>19</v>
      </c>
      <c r="B179" s="38">
        <v>25400.38</v>
      </c>
      <c r="C179" s="46">
        <v>26434.96</v>
      </c>
      <c r="D179" s="39" t="s">
        <v>17</v>
      </c>
      <c r="E179" s="24">
        <f t="shared" si="99"/>
        <v>1034.579999999998</v>
      </c>
      <c r="F179" s="24">
        <v>24</v>
      </c>
      <c r="G179" s="105">
        <f>ROUND((3819.7186+($F179/2))/3819.7186,4)</f>
        <v>1.0031</v>
      </c>
      <c r="H179" s="105"/>
      <c r="I179" s="24">
        <f t="shared" si="100"/>
        <v>24906.89</v>
      </c>
      <c r="J179" s="24"/>
      <c r="K179" s="24"/>
      <c r="L179" s="24"/>
      <c r="M179" s="24"/>
      <c r="N179" s="61"/>
      <c r="O179" s="24">
        <f t="shared" si="101"/>
        <v>403.58</v>
      </c>
      <c r="P179" s="24">
        <f t="shared" si="101"/>
        <v>403.58</v>
      </c>
      <c r="Q179" s="24">
        <f t="shared" si="101"/>
        <v>230.62</v>
      </c>
      <c r="R179" s="24">
        <f t="shared" si="101"/>
        <v>230.62</v>
      </c>
      <c r="S179" s="24"/>
      <c r="T179" s="24"/>
      <c r="U179" s="24">
        <f t="shared" si="102"/>
        <v>228.31</v>
      </c>
      <c r="V179" s="24">
        <f t="shared" si="102"/>
        <v>228.31</v>
      </c>
      <c r="W179" s="24">
        <f t="shared" si="103"/>
        <v>57.65</v>
      </c>
      <c r="X179" s="24">
        <f t="shared" si="103"/>
        <v>57.65</v>
      </c>
      <c r="Y179" s="24">
        <f t="shared" si="104"/>
        <v>67.26</v>
      </c>
      <c r="Z179" s="24">
        <f t="shared" si="104"/>
        <v>67.26</v>
      </c>
      <c r="AA179" s="24">
        <f t="shared" si="105"/>
        <v>124.91</v>
      </c>
      <c r="AB179" s="24">
        <f t="shared" si="105"/>
        <v>124.91</v>
      </c>
      <c r="AC179" s="24"/>
      <c r="AD179" s="24"/>
      <c r="AE179" s="24"/>
      <c r="AF179" s="271"/>
      <c r="AG179" s="272"/>
    </row>
    <row r="180" spans="1:33" s="4" customFormat="1" ht="21.75" customHeight="1">
      <c r="A180" s="30">
        <v>20</v>
      </c>
      <c r="B180" s="38">
        <f>C179</f>
        <v>26434.96</v>
      </c>
      <c r="C180" s="46">
        <v>26634.96</v>
      </c>
      <c r="D180" s="39" t="s">
        <v>17</v>
      </c>
      <c r="E180" s="24">
        <f t="shared" si="99"/>
        <v>200</v>
      </c>
      <c r="F180" s="24">
        <v>24</v>
      </c>
      <c r="G180" s="105">
        <f>ROUND((((3819.7186+($F180/2))/3819.7186)+((636.6198+($F180/2))/636.6198))/2,4)</f>
        <v>1.011</v>
      </c>
      <c r="H180" s="105"/>
      <c r="I180" s="24">
        <f t="shared" si="100"/>
        <v>4852.8</v>
      </c>
      <c r="J180" s="24"/>
      <c r="K180" s="24"/>
      <c r="L180" s="24"/>
      <c r="M180" s="24"/>
      <c r="N180" s="61"/>
      <c r="O180" s="24">
        <f t="shared" si="101"/>
        <v>78.63</v>
      </c>
      <c r="P180" s="24">
        <f t="shared" si="101"/>
        <v>78.63</v>
      </c>
      <c r="Q180" s="24">
        <f t="shared" si="101"/>
        <v>44.93</v>
      </c>
      <c r="R180" s="24">
        <f t="shared" si="101"/>
        <v>44.93</v>
      </c>
      <c r="S180" s="24"/>
      <c r="T180" s="24"/>
      <c r="U180" s="24">
        <f t="shared" si="102"/>
        <v>44.48</v>
      </c>
      <c r="V180" s="24">
        <f t="shared" si="102"/>
        <v>44.48</v>
      </c>
      <c r="W180" s="24">
        <f t="shared" si="103"/>
        <v>11.23</v>
      </c>
      <c r="X180" s="24">
        <f t="shared" si="103"/>
        <v>11.23</v>
      </c>
      <c r="Y180" s="24">
        <f t="shared" si="104"/>
        <v>13.11</v>
      </c>
      <c r="Z180" s="24">
        <f t="shared" si="104"/>
        <v>13.11</v>
      </c>
      <c r="AA180" s="24">
        <f t="shared" si="105"/>
        <v>24.34</v>
      </c>
      <c r="AB180" s="24">
        <f t="shared" si="105"/>
        <v>24.34</v>
      </c>
      <c r="AC180" s="24"/>
      <c r="AD180" s="24"/>
      <c r="AE180" s="24"/>
      <c r="AF180" s="271"/>
      <c r="AG180" s="272"/>
    </row>
    <row r="181" spans="1:33" s="4" customFormat="1" ht="21.75" customHeight="1">
      <c r="A181" s="30">
        <v>21</v>
      </c>
      <c r="B181" s="38">
        <f>C180</f>
        <v>26634.96</v>
      </c>
      <c r="C181" s="38">
        <v>27102.18</v>
      </c>
      <c r="D181" s="39" t="s">
        <v>17</v>
      </c>
      <c r="E181" s="24">
        <f t="shared" si="99"/>
        <v>467.22000000000116</v>
      </c>
      <c r="F181" s="24">
        <v>24</v>
      </c>
      <c r="G181" s="105">
        <f>ROUND((636.6198+($F181/2))/636.6198,4)</f>
        <v>1.0188</v>
      </c>
      <c r="H181" s="24"/>
      <c r="I181" s="24">
        <f t="shared" si="100"/>
        <v>11424.09</v>
      </c>
      <c r="J181" s="24"/>
      <c r="K181" s="24"/>
      <c r="L181" s="24"/>
      <c r="M181" s="24"/>
      <c r="N181" s="61"/>
      <c r="O181" s="24">
        <f t="shared" si="101"/>
        <v>185.11</v>
      </c>
      <c r="P181" s="24">
        <f t="shared" si="101"/>
        <v>185.11</v>
      </c>
      <c r="Q181" s="24">
        <f t="shared" si="101"/>
        <v>105.78</v>
      </c>
      <c r="R181" s="24">
        <f t="shared" si="101"/>
        <v>105.78</v>
      </c>
      <c r="S181" s="24"/>
      <c r="T181" s="24"/>
      <c r="U181" s="24">
        <f t="shared" si="102"/>
        <v>104.72</v>
      </c>
      <c r="V181" s="24">
        <f t="shared" si="102"/>
        <v>104.72</v>
      </c>
      <c r="W181" s="24">
        <f t="shared" si="103"/>
        <v>26.44</v>
      </c>
      <c r="X181" s="24">
        <f t="shared" si="103"/>
        <v>26.44</v>
      </c>
      <c r="Y181" s="24">
        <f t="shared" si="104"/>
        <v>30.85</v>
      </c>
      <c r="Z181" s="24">
        <f t="shared" si="104"/>
        <v>30.85</v>
      </c>
      <c r="AA181" s="24">
        <f t="shared" si="105"/>
        <v>57.290000000000006</v>
      </c>
      <c r="AB181" s="24">
        <f t="shared" si="105"/>
        <v>57.290000000000006</v>
      </c>
      <c r="AC181" s="24"/>
      <c r="AD181" s="24"/>
      <c r="AE181" s="24"/>
      <c r="AF181" s="271"/>
      <c r="AG181" s="272"/>
    </row>
    <row r="182" spans="1:33" s="4" customFormat="1" ht="21.75" customHeight="1">
      <c r="A182" s="30">
        <v>22</v>
      </c>
      <c r="B182" s="38"/>
      <c r="C182" s="38"/>
      <c r="D182" s="39"/>
      <c r="E182" s="24"/>
      <c r="F182" s="24"/>
      <c r="G182" s="90"/>
      <c r="H182" s="24"/>
      <c r="I182" s="24"/>
      <c r="J182" s="24"/>
      <c r="K182" s="24"/>
      <c r="L182" s="24"/>
      <c r="M182" s="24"/>
      <c r="N182" s="61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71"/>
      <c r="AG182" s="272"/>
    </row>
    <row r="183" spans="1:33" s="4" customFormat="1" ht="21.75" customHeight="1">
      <c r="A183" s="30">
        <v>23</v>
      </c>
      <c r="B183" s="38">
        <f>C181</f>
        <v>27102.18</v>
      </c>
      <c r="C183" s="38">
        <v>27246.34</v>
      </c>
      <c r="D183" s="39" t="s">
        <v>17</v>
      </c>
      <c r="E183" s="24">
        <f t="shared" si="99"/>
        <v>144.15999999999985</v>
      </c>
      <c r="F183" s="24">
        <v>24</v>
      </c>
      <c r="G183" s="105">
        <f>ROUND((11459.1559+($F183/2))/11459.1559,4)</f>
        <v>1.001</v>
      </c>
      <c r="H183" s="24"/>
      <c r="I183" s="24">
        <f t="shared" si="100"/>
        <v>3463.3</v>
      </c>
      <c r="J183" s="24"/>
      <c r="K183" s="24"/>
      <c r="L183" s="24"/>
      <c r="M183" s="24"/>
      <c r="N183" s="61"/>
      <c r="O183" s="24">
        <f aca="true" t="shared" si="106" ref="O183:R186">ROUND(((($I183)*(O$220/12))/27)*O$223,2)</f>
        <v>56.12</v>
      </c>
      <c r="P183" s="24">
        <f t="shared" si="106"/>
        <v>56.12</v>
      </c>
      <c r="Q183" s="24">
        <f t="shared" si="106"/>
        <v>32.07</v>
      </c>
      <c r="R183" s="24">
        <f t="shared" si="106"/>
        <v>32.07</v>
      </c>
      <c r="S183" s="24"/>
      <c r="T183" s="24"/>
      <c r="U183" s="24">
        <f aca="true" t="shared" si="107" ref="U183:V186">ROUND(((($I183/9)*U$220)*3)*U$223,2)</f>
        <v>31.75</v>
      </c>
      <c r="V183" s="24">
        <f t="shared" si="107"/>
        <v>31.75</v>
      </c>
      <c r="W183" s="24">
        <f aca="true" t="shared" si="108" ref="W183:X186">ROUND((($I183*(W$220/12))/27)*W$223,2)</f>
        <v>8.02</v>
      </c>
      <c r="X183" s="24">
        <f t="shared" si="108"/>
        <v>8.02</v>
      </c>
      <c r="Y183" s="24">
        <f aca="true" t="shared" si="109" ref="Y183:Z186">ROUND(((($I183)*(Y$220/12))/27)*Y$223,2)</f>
        <v>9.35</v>
      </c>
      <c r="Z183" s="24">
        <f t="shared" si="109"/>
        <v>9.35</v>
      </c>
      <c r="AA183" s="24">
        <f aca="true" t="shared" si="110" ref="AA183:AB186">Y183+W183</f>
        <v>17.369999999999997</v>
      </c>
      <c r="AB183" s="24">
        <f t="shared" si="110"/>
        <v>17.369999999999997</v>
      </c>
      <c r="AC183" s="24"/>
      <c r="AD183" s="24"/>
      <c r="AE183" s="24"/>
      <c r="AF183" s="271"/>
      <c r="AG183" s="272"/>
    </row>
    <row r="184" spans="1:33" s="4" customFormat="1" ht="21.75" customHeight="1">
      <c r="A184" s="30">
        <v>24</v>
      </c>
      <c r="B184" s="38">
        <f>C183</f>
        <v>27246.34</v>
      </c>
      <c r="C184" s="38">
        <v>27378.43</v>
      </c>
      <c r="D184" s="39" t="s">
        <v>17</v>
      </c>
      <c r="E184" s="24">
        <f t="shared" si="99"/>
        <v>132.09000000000015</v>
      </c>
      <c r="F184" s="24">
        <v>24</v>
      </c>
      <c r="G184" s="105">
        <f>ROUND((716.1972+($F184/2))/716.1972,4)</f>
        <v>1.0168</v>
      </c>
      <c r="H184" s="24"/>
      <c r="I184" s="24">
        <f t="shared" si="100"/>
        <v>3223.42</v>
      </c>
      <c r="J184" s="24"/>
      <c r="K184" s="24"/>
      <c r="L184" s="24"/>
      <c r="M184" s="24"/>
      <c r="N184" s="61"/>
      <c r="O184" s="24">
        <f t="shared" si="106"/>
        <v>52.23</v>
      </c>
      <c r="P184" s="24">
        <f t="shared" si="106"/>
        <v>52.23</v>
      </c>
      <c r="Q184" s="24">
        <f t="shared" si="106"/>
        <v>29.85</v>
      </c>
      <c r="R184" s="24">
        <f t="shared" si="106"/>
        <v>29.85</v>
      </c>
      <c r="S184" s="24"/>
      <c r="T184" s="24"/>
      <c r="U184" s="24">
        <f t="shared" si="107"/>
        <v>29.55</v>
      </c>
      <c r="V184" s="24">
        <f t="shared" si="107"/>
        <v>29.55</v>
      </c>
      <c r="W184" s="24">
        <f t="shared" si="108"/>
        <v>7.46</v>
      </c>
      <c r="X184" s="24">
        <f t="shared" si="108"/>
        <v>7.46</v>
      </c>
      <c r="Y184" s="24">
        <f t="shared" si="109"/>
        <v>8.71</v>
      </c>
      <c r="Z184" s="24">
        <f t="shared" si="109"/>
        <v>8.71</v>
      </c>
      <c r="AA184" s="24">
        <f t="shared" si="110"/>
        <v>16.17</v>
      </c>
      <c r="AB184" s="24">
        <f t="shared" si="110"/>
        <v>16.17</v>
      </c>
      <c r="AC184" s="24"/>
      <c r="AD184" s="24"/>
      <c r="AE184" s="24"/>
      <c r="AF184" s="271"/>
      <c r="AG184" s="272"/>
    </row>
    <row r="185" spans="1:33" s="4" customFormat="1" ht="21.75" customHeight="1">
      <c r="A185" s="30">
        <v>25</v>
      </c>
      <c r="B185" s="38">
        <v>25286.4</v>
      </c>
      <c r="C185" s="38">
        <v>25400.38</v>
      </c>
      <c r="D185" s="39" t="s">
        <v>16</v>
      </c>
      <c r="E185" s="24">
        <f>C185-B185</f>
        <v>113.97999999999956</v>
      </c>
      <c r="F185" s="66">
        <f>ROUND((0+12)/2,2)</f>
        <v>6</v>
      </c>
      <c r="G185" s="66"/>
      <c r="H185" s="24"/>
      <c r="I185" s="24">
        <f t="shared" si="100"/>
        <v>683.88</v>
      </c>
      <c r="J185" s="24"/>
      <c r="K185" s="24"/>
      <c r="L185" s="24"/>
      <c r="M185" s="24"/>
      <c r="N185" s="61"/>
      <c r="O185" s="24">
        <f t="shared" si="106"/>
        <v>11.08</v>
      </c>
      <c r="P185" s="24">
        <f t="shared" si="106"/>
        <v>11.08</v>
      </c>
      <c r="Q185" s="24">
        <f t="shared" si="106"/>
        <v>6.33</v>
      </c>
      <c r="R185" s="24">
        <f t="shared" si="106"/>
        <v>6.33</v>
      </c>
      <c r="S185" s="24"/>
      <c r="T185" s="24"/>
      <c r="U185" s="24">
        <f t="shared" si="107"/>
        <v>6.27</v>
      </c>
      <c r="V185" s="24">
        <f t="shared" si="107"/>
        <v>6.27</v>
      </c>
      <c r="W185" s="24">
        <f t="shared" si="108"/>
        <v>1.58</v>
      </c>
      <c r="X185" s="24">
        <f t="shared" si="108"/>
        <v>1.58</v>
      </c>
      <c r="Y185" s="24">
        <f t="shared" si="109"/>
        <v>1.85</v>
      </c>
      <c r="Z185" s="24">
        <f t="shared" si="109"/>
        <v>1.85</v>
      </c>
      <c r="AA185" s="24">
        <f t="shared" si="110"/>
        <v>3.43</v>
      </c>
      <c r="AB185" s="24">
        <f t="shared" si="110"/>
        <v>3.43</v>
      </c>
      <c r="AC185" s="24"/>
      <c r="AD185" s="24"/>
      <c r="AE185" s="24"/>
      <c r="AF185" s="271"/>
      <c r="AG185" s="272"/>
    </row>
    <row r="186" spans="1:33" s="4" customFormat="1" ht="21.75" customHeight="1">
      <c r="A186" s="30">
        <v>26</v>
      </c>
      <c r="B186" s="38">
        <f>C185</f>
        <v>25400.38</v>
      </c>
      <c r="C186" s="38">
        <v>25713.02</v>
      </c>
      <c r="D186" s="39" t="s">
        <v>16</v>
      </c>
      <c r="E186" s="24">
        <f>C186-B186</f>
        <v>312.6399999999994</v>
      </c>
      <c r="F186" s="66">
        <v>12</v>
      </c>
      <c r="G186" s="105">
        <f>ROUND((3819.7186-($F186/2))/3819.7186,4)</f>
        <v>0.9984</v>
      </c>
      <c r="H186" s="24"/>
      <c r="I186" s="24">
        <f t="shared" si="100"/>
        <v>3745.68</v>
      </c>
      <c r="J186" s="24"/>
      <c r="K186" s="24"/>
      <c r="L186" s="24"/>
      <c r="M186" s="24"/>
      <c r="N186" s="61"/>
      <c r="O186" s="24">
        <f t="shared" si="106"/>
        <v>60.69</v>
      </c>
      <c r="P186" s="24">
        <f t="shared" si="106"/>
        <v>60.69</v>
      </c>
      <c r="Q186" s="24">
        <f t="shared" si="106"/>
        <v>34.68</v>
      </c>
      <c r="R186" s="24">
        <f t="shared" si="106"/>
        <v>34.68</v>
      </c>
      <c r="S186" s="24"/>
      <c r="T186" s="24"/>
      <c r="U186" s="24">
        <f t="shared" si="107"/>
        <v>34.34</v>
      </c>
      <c r="V186" s="24">
        <f t="shared" si="107"/>
        <v>34.34</v>
      </c>
      <c r="W186" s="24">
        <f t="shared" si="108"/>
        <v>8.67</v>
      </c>
      <c r="X186" s="24">
        <f t="shared" si="108"/>
        <v>8.67</v>
      </c>
      <c r="Y186" s="24">
        <f t="shared" si="109"/>
        <v>10.12</v>
      </c>
      <c r="Z186" s="24">
        <f t="shared" si="109"/>
        <v>10.12</v>
      </c>
      <c r="AA186" s="24">
        <f t="shared" si="110"/>
        <v>18.79</v>
      </c>
      <c r="AB186" s="24">
        <f t="shared" si="110"/>
        <v>18.79</v>
      </c>
      <c r="AC186" s="24"/>
      <c r="AD186" s="24"/>
      <c r="AE186" s="24"/>
      <c r="AF186" s="271"/>
      <c r="AG186" s="272"/>
    </row>
    <row r="187" spans="1:33" s="4" customFormat="1" ht="21.75" customHeight="1">
      <c r="A187" s="30">
        <v>27</v>
      </c>
      <c r="B187" s="38"/>
      <c r="C187" s="38"/>
      <c r="D187" s="39"/>
      <c r="E187" s="24"/>
      <c r="F187" s="24"/>
      <c r="G187" s="105"/>
      <c r="H187" s="105"/>
      <c r="I187" s="24"/>
      <c r="J187" s="24"/>
      <c r="K187" s="24"/>
      <c r="L187" s="24"/>
      <c r="M187" s="24"/>
      <c r="N187" s="61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71"/>
      <c r="AG187" s="272"/>
    </row>
    <row r="188" spans="1:33" s="4" customFormat="1" ht="21.75" customHeight="1">
      <c r="A188" s="30">
        <v>28</v>
      </c>
      <c r="B188" s="38">
        <v>26434.96</v>
      </c>
      <c r="C188" s="38">
        <v>26634.96</v>
      </c>
      <c r="D188" s="39" t="s">
        <v>16</v>
      </c>
      <c r="E188" s="24">
        <f>C188-B188</f>
        <v>200</v>
      </c>
      <c r="F188" s="66">
        <f>ROUND((0+4.5)/2,2)</f>
        <v>2.25</v>
      </c>
      <c r="G188" s="105">
        <f>ROUND((((3819.7186-($F188/2))/3819.7186)+((636.6198-($F188/2))/636.6198))/2,4)</f>
        <v>0.999</v>
      </c>
      <c r="H188" s="24"/>
      <c r="I188" s="24">
        <f>IF(G188=0,ROUND($E188*$F188,2),ROUND($E188*$F188*$G188,2))</f>
        <v>449.55</v>
      </c>
      <c r="J188" s="24"/>
      <c r="K188" s="24"/>
      <c r="L188" s="24"/>
      <c r="M188" s="24"/>
      <c r="N188" s="61"/>
      <c r="O188" s="24">
        <f aca="true" t="shared" si="111" ref="O188:R191">ROUND(((($I188)*(O$220/12))/27)*O$223,2)</f>
        <v>7.28</v>
      </c>
      <c r="P188" s="24">
        <f t="shared" si="111"/>
        <v>7.28</v>
      </c>
      <c r="Q188" s="24">
        <f t="shared" si="111"/>
        <v>4.16</v>
      </c>
      <c r="R188" s="24">
        <f t="shared" si="111"/>
        <v>4.16</v>
      </c>
      <c r="S188" s="24"/>
      <c r="T188" s="24"/>
      <c r="U188" s="24">
        <f aca="true" t="shared" si="112" ref="U188:V191">ROUND(((($I188/9)*U$220)*3)*U$223,2)</f>
        <v>4.12</v>
      </c>
      <c r="V188" s="24">
        <f t="shared" si="112"/>
        <v>4.12</v>
      </c>
      <c r="W188" s="24">
        <f aca="true" t="shared" si="113" ref="W188:X191">ROUND((($I188*(W$220/12))/27)*W$223,2)</f>
        <v>1.04</v>
      </c>
      <c r="X188" s="24">
        <f t="shared" si="113"/>
        <v>1.04</v>
      </c>
      <c r="Y188" s="24">
        <f aca="true" t="shared" si="114" ref="Y188:Z191">ROUND(((($I188)*(Y$220/12))/27)*Y$223,2)</f>
        <v>1.21</v>
      </c>
      <c r="Z188" s="24">
        <f t="shared" si="114"/>
        <v>1.21</v>
      </c>
      <c r="AA188" s="24">
        <f aca="true" t="shared" si="115" ref="AA188:AB191">Y188+W188</f>
        <v>2.25</v>
      </c>
      <c r="AB188" s="24">
        <f t="shared" si="115"/>
        <v>2.25</v>
      </c>
      <c r="AC188" s="24"/>
      <c r="AD188" s="24"/>
      <c r="AE188" s="24"/>
      <c r="AF188" s="271"/>
      <c r="AG188" s="272"/>
    </row>
    <row r="189" spans="1:33" s="4" customFormat="1" ht="21.75" customHeight="1">
      <c r="A189" s="30">
        <v>29</v>
      </c>
      <c r="B189" s="38">
        <f>C188</f>
        <v>26634.96</v>
      </c>
      <c r="C189" s="38">
        <v>26978.1</v>
      </c>
      <c r="D189" s="39" t="s">
        <v>16</v>
      </c>
      <c r="E189" s="24">
        <f>C189-B189</f>
        <v>343.1399999999994</v>
      </c>
      <c r="F189" s="66">
        <v>4.5</v>
      </c>
      <c r="G189" s="105">
        <f>ROUND((636.6198-($F189/2))/636.6198,4)</f>
        <v>0.9965</v>
      </c>
      <c r="H189" s="24"/>
      <c r="I189" s="24">
        <f>IF(G189=0,ROUND($E189*$F189,2),ROUND($E189*$F189*$G189,2))</f>
        <v>1538.73</v>
      </c>
      <c r="J189" s="24"/>
      <c r="K189" s="24"/>
      <c r="L189" s="24"/>
      <c r="M189" s="24"/>
      <c r="N189" s="61"/>
      <c r="O189" s="24">
        <f t="shared" si="111"/>
        <v>24.93</v>
      </c>
      <c r="P189" s="24">
        <f t="shared" si="111"/>
        <v>24.93</v>
      </c>
      <c r="Q189" s="24">
        <f t="shared" si="111"/>
        <v>14.25</v>
      </c>
      <c r="R189" s="24">
        <f t="shared" si="111"/>
        <v>14.25</v>
      </c>
      <c r="S189" s="24"/>
      <c r="T189" s="24"/>
      <c r="U189" s="24">
        <f t="shared" si="112"/>
        <v>14.11</v>
      </c>
      <c r="V189" s="24">
        <f t="shared" si="112"/>
        <v>14.11</v>
      </c>
      <c r="W189" s="24">
        <f t="shared" si="113"/>
        <v>3.56</v>
      </c>
      <c r="X189" s="24">
        <f t="shared" si="113"/>
        <v>3.56</v>
      </c>
      <c r="Y189" s="24">
        <f t="shared" si="114"/>
        <v>4.16</v>
      </c>
      <c r="Z189" s="24">
        <f t="shared" si="114"/>
        <v>4.16</v>
      </c>
      <c r="AA189" s="24">
        <f t="shared" si="115"/>
        <v>7.720000000000001</v>
      </c>
      <c r="AB189" s="24">
        <f t="shared" si="115"/>
        <v>7.720000000000001</v>
      </c>
      <c r="AC189" s="24"/>
      <c r="AD189" s="24"/>
      <c r="AE189" s="24"/>
      <c r="AF189" s="271"/>
      <c r="AG189" s="272"/>
    </row>
    <row r="190" spans="1:33" s="4" customFormat="1" ht="21.75" customHeight="1">
      <c r="A190" s="30">
        <v>30</v>
      </c>
      <c r="B190" s="38">
        <f>C189</f>
        <v>26978.1</v>
      </c>
      <c r="C190" s="38">
        <v>27102.18</v>
      </c>
      <c r="D190" s="39" t="s">
        <v>16</v>
      </c>
      <c r="E190" s="24">
        <f>C190-B190</f>
        <v>124.08000000000175</v>
      </c>
      <c r="F190" s="66">
        <f>ROUND((4.5+2.0948)/2,2)</f>
        <v>3.3</v>
      </c>
      <c r="G190" s="105">
        <f>ROUND((636.6198-($F190/2))/636.6198,4)</f>
        <v>0.9974</v>
      </c>
      <c r="H190" s="105"/>
      <c r="I190" s="24">
        <f>IF(G190=0,ROUND($E190*$F190,2),ROUND($E190*$F190*$G190,2))</f>
        <v>408.4</v>
      </c>
      <c r="J190" s="24"/>
      <c r="K190" s="24"/>
      <c r="L190" s="24"/>
      <c r="M190" s="24"/>
      <c r="N190" s="61"/>
      <c r="O190" s="24">
        <f t="shared" si="111"/>
        <v>6.62</v>
      </c>
      <c r="P190" s="24">
        <f t="shared" si="111"/>
        <v>6.62</v>
      </c>
      <c r="Q190" s="24">
        <f t="shared" si="111"/>
        <v>3.78</v>
      </c>
      <c r="R190" s="24">
        <f t="shared" si="111"/>
        <v>3.78</v>
      </c>
      <c r="S190" s="24"/>
      <c r="T190" s="24"/>
      <c r="U190" s="24">
        <f t="shared" si="112"/>
        <v>3.74</v>
      </c>
      <c r="V190" s="24">
        <f t="shared" si="112"/>
        <v>3.74</v>
      </c>
      <c r="W190" s="24">
        <f t="shared" si="113"/>
        <v>0.95</v>
      </c>
      <c r="X190" s="24">
        <f t="shared" si="113"/>
        <v>0.95</v>
      </c>
      <c r="Y190" s="24">
        <f t="shared" si="114"/>
        <v>1.1</v>
      </c>
      <c r="Z190" s="24">
        <f t="shared" si="114"/>
        <v>1.1</v>
      </c>
      <c r="AA190" s="24">
        <f t="shared" si="115"/>
        <v>2.05</v>
      </c>
      <c r="AB190" s="24">
        <f t="shared" si="115"/>
        <v>2.05</v>
      </c>
      <c r="AC190" s="24"/>
      <c r="AD190" s="24"/>
      <c r="AE190" s="24"/>
      <c r="AF190" s="271"/>
      <c r="AG190" s="272"/>
    </row>
    <row r="191" spans="1:33" s="4" customFormat="1" ht="21.75" customHeight="1">
      <c r="A191" s="30">
        <v>31</v>
      </c>
      <c r="B191" s="38">
        <f>C190</f>
        <v>27102.18</v>
      </c>
      <c r="C191" s="38">
        <v>27178.1</v>
      </c>
      <c r="D191" s="39" t="s">
        <v>16</v>
      </c>
      <c r="E191" s="24">
        <f>C191-B191</f>
        <v>75.91999999999825</v>
      </c>
      <c r="F191" s="66">
        <f>ROUND((2.0948+0)/2,2)</f>
        <v>1.05</v>
      </c>
      <c r="G191" s="105">
        <f>ROUND((11459.1559-($F191/2))/11459.1559,4)</f>
        <v>1</v>
      </c>
      <c r="H191" s="105"/>
      <c r="I191" s="24">
        <f>IF(G191=0,ROUND($E191*$F191,2),ROUND($E191*$F191*$G191,2))</f>
        <v>79.72</v>
      </c>
      <c r="J191" s="24"/>
      <c r="K191" s="24"/>
      <c r="L191" s="24"/>
      <c r="M191" s="24"/>
      <c r="N191" s="61"/>
      <c r="O191" s="24">
        <f t="shared" si="111"/>
        <v>1.29</v>
      </c>
      <c r="P191" s="24">
        <f t="shared" si="111"/>
        <v>1.29</v>
      </c>
      <c r="Q191" s="24">
        <f t="shared" si="111"/>
        <v>0.74</v>
      </c>
      <c r="R191" s="24">
        <f t="shared" si="111"/>
        <v>0.74</v>
      </c>
      <c r="S191" s="24"/>
      <c r="T191" s="24"/>
      <c r="U191" s="24">
        <f t="shared" si="112"/>
        <v>0.73</v>
      </c>
      <c r="V191" s="24">
        <f t="shared" si="112"/>
        <v>0.73</v>
      </c>
      <c r="W191" s="24">
        <f t="shared" si="113"/>
        <v>0.18</v>
      </c>
      <c r="X191" s="24">
        <f t="shared" si="113"/>
        <v>0.18</v>
      </c>
      <c r="Y191" s="24">
        <f t="shared" si="114"/>
        <v>0.22</v>
      </c>
      <c r="Z191" s="24">
        <f t="shared" si="114"/>
        <v>0.22</v>
      </c>
      <c r="AA191" s="24">
        <f t="shared" si="115"/>
        <v>0.4</v>
      </c>
      <c r="AB191" s="24">
        <f t="shared" si="115"/>
        <v>0.4</v>
      </c>
      <c r="AC191" s="24"/>
      <c r="AD191" s="24"/>
      <c r="AE191" s="24"/>
      <c r="AF191" s="271"/>
      <c r="AG191" s="272"/>
    </row>
    <row r="192" spans="1:33" s="4" customFormat="1" ht="21.75" customHeight="1">
      <c r="A192" s="30">
        <v>32</v>
      </c>
      <c r="B192" s="114"/>
      <c r="C192" s="38"/>
      <c r="D192" s="39"/>
      <c r="E192" s="24"/>
      <c r="F192" s="24"/>
      <c r="G192" s="66"/>
      <c r="H192" s="24"/>
      <c r="I192" s="24"/>
      <c r="J192" s="24"/>
      <c r="K192" s="24"/>
      <c r="L192" s="24"/>
      <c r="M192" s="24"/>
      <c r="N192" s="61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71"/>
      <c r="AG192" s="272"/>
    </row>
    <row r="193" spans="1:33" s="4" customFormat="1" ht="21.75" customHeight="1">
      <c r="A193" s="30">
        <v>33</v>
      </c>
      <c r="B193" s="67" t="s">
        <v>24</v>
      </c>
      <c r="C193" s="46"/>
      <c r="D193" s="39"/>
      <c r="E193" s="24"/>
      <c r="F193" s="24"/>
      <c r="G193" s="66"/>
      <c r="H193" s="24"/>
      <c r="I193" s="24"/>
      <c r="J193" s="24"/>
      <c r="K193" s="24"/>
      <c r="L193" s="24"/>
      <c r="M193" s="24"/>
      <c r="N193" s="61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71"/>
      <c r="AG193" s="272"/>
    </row>
    <row r="194" spans="1:33" s="4" customFormat="1" ht="21.75" customHeight="1">
      <c r="A194" s="30">
        <v>34</v>
      </c>
      <c r="B194" s="38">
        <v>71395.1</v>
      </c>
      <c r="C194" s="46">
        <v>71420.1</v>
      </c>
      <c r="D194" s="39" t="s">
        <v>17</v>
      </c>
      <c r="E194" s="24">
        <f aca="true" t="shared" si="116" ref="E194:E203">C194-B194</f>
        <v>25</v>
      </c>
      <c r="F194" s="24">
        <v>10</v>
      </c>
      <c r="G194" s="105"/>
      <c r="H194" s="24"/>
      <c r="I194" s="24">
        <f t="shared" si="100"/>
        <v>250</v>
      </c>
      <c r="J194" s="24"/>
      <c r="K194" s="24"/>
      <c r="L194" s="24"/>
      <c r="M194" s="24">
        <f>IF($H194=0,ROUND($E194*(M$220/12),2),ROUND($E194*$H194*(M$220/12),2))</f>
        <v>41.67</v>
      </c>
      <c r="N194" s="61"/>
      <c r="O194" s="24">
        <f>ROUND(((($I194)*(O$220/12))/27)*O$223,2)</f>
        <v>4.05</v>
      </c>
      <c r="P194" s="24">
        <f>ROUND(((($I194)*(P$220/12))/27)*P$223,2)</f>
        <v>4.05</v>
      </c>
      <c r="Q194" s="24">
        <f>ROUND(((($I194+$M194)*(Q$220/12))*O$223)/27,2)</f>
        <v>2.7</v>
      </c>
      <c r="R194" s="24">
        <f>ROUND(((($I194+$M194)*(R$220/12))*P$223)/27,2)</f>
        <v>2.7</v>
      </c>
      <c r="S194" s="24"/>
      <c r="T194" s="24"/>
      <c r="U194" s="24">
        <f>ROUND(((($I194/9)*U$220)*3)*U$223,2)</f>
        <v>2.29</v>
      </c>
      <c r="V194" s="24">
        <f>ROUND(((($I194/9)*V$220)*3)*V$223,2)</f>
        <v>2.29</v>
      </c>
      <c r="W194" s="24">
        <f>ROUND((($I194*(W$220/12))/27)*W$223,2)</f>
        <v>0.58</v>
      </c>
      <c r="X194" s="24">
        <f>ROUND((($I194*(X$220/12))/27)*X$223,2)</f>
        <v>0.58</v>
      </c>
      <c r="Y194" s="24">
        <f>ROUND(((($I194)*(Y$220/12))/27)*Y$223,2)</f>
        <v>0.68</v>
      </c>
      <c r="Z194" s="24">
        <f>ROUND(((($I194)*(Z$220/12))/27)*Z$223,2)</f>
        <v>0.68</v>
      </c>
      <c r="AA194" s="24"/>
      <c r="AB194" s="24"/>
      <c r="AC194" s="24">
        <f>IF($H194=0,$E194*AC$223,ROUND($E194*$H194*AC$223,2))</f>
        <v>12.5</v>
      </c>
      <c r="AD194" s="24">
        <f>IF($H194=0,$E194*AD$223,ROUND($E194*$H194*AD$223,2))</f>
        <v>12.5</v>
      </c>
      <c r="AE194" s="24"/>
      <c r="AF194" s="271"/>
      <c r="AG194" s="272"/>
    </row>
    <row r="195" spans="1:33" s="4" customFormat="1" ht="21.75" customHeight="1">
      <c r="A195" s="30">
        <v>35</v>
      </c>
      <c r="B195" s="38">
        <v>71420.1</v>
      </c>
      <c r="C195" s="46">
        <v>71509.28</v>
      </c>
      <c r="D195" s="39" t="s">
        <v>17</v>
      </c>
      <c r="E195" s="24">
        <f t="shared" si="116"/>
        <v>89.17999999999302</v>
      </c>
      <c r="F195" s="24"/>
      <c r="G195" s="105"/>
      <c r="H195" s="24"/>
      <c r="I195" s="24"/>
      <c r="J195" s="24"/>
      <c r="K195" s="24"/>
      <c r="L195" s="24"/>
      <c r="M195" s="24"/>
      <c r="N195" s="61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>
        <f>IF($H195=0,$E195*AC$223,ROUND($E195*$H195*AC$223,2))</f>
        <v>44.58999999999651</v>
      </c>
      <c r="AD195" s="24">
        <f>IF($H195=0,$E195*AD$223,ROUND($E195*$H195*AD$223,2))</f>
        <v>44.58999999999651</v>
      </c>
      <c r="AE195" s="24"/>
      <c r="AF195" s="271"/>
      <c r="AG195" s="272"/>
    </row>
    <row r="196" spans="1:33" s="4" customFormat="1" ht="21.75" customHeight="1">
      <c r="A196" s="30">
        <v>36</v>
      </c>
      <c r="B196" s="38">
        <v>25866.99</v>
      </c>
      <c r="C196" s="46">
        <v>26434.96</v>
      </c>
      <c r="D196" s="39" t="s">
        <v>17</v>
      </c>
      <c r="E196" s="24">
        <f t="shared" si="116"/>
        <v>567.9699999999975</v>
      </c>
      <c r="F196" s="24">
        <v>4</v>
      </c>
      <c r="G196" s="105">
        <f>ROUND((3819.7186+24+($F196/2))/3819.7186,4)</f>
        <v>1.0068</v>
      </c>
      <c r="H196" s="105">
        <f>ROUND((3819.7186+24+($F196))/3819.7186,4)</f>
        <v>1.0073</v>
      </c>
      <c r="I196" s="24">
        <f t="shared" si="100"/>
        <v>2287.33</v>
      </c>
      <c r="J196" s="24"/>
      <c r="K196" s="24">
        <f aca="true" t="shared" si="117" ref="K196:L199">IF($H196=0,ROUND($E196*(K$220/12),2),ROUND($E196*$H196*(K$220/12),2))</f>
        <v>190.71</v>
      </c>
      <c r="L196" s="24">
        <f t="shared" si="117"/>
        <v>286.06</v>
      </c>
      <c r="M196" s="24"/>
      <c r="N196" s="61"/>
      <c r="O196" s="24">
        <f aca="true" t="shared" si="118" ref="O196:P199">ROUND((((($I196+$K196)*(O$221/12))+(($I196+$K196+$L196)*(O$221/12)))*O$223)/27,2)</f>
        <v>42.47</v>
      </c>
      <c r="P196" s="24">
        <f t="shared" si="118"/>
        <v>42.47</v>
      </c>
      <c r="Q196" s="24">
        <f aca="true" t="shared" si="119" ref="Q196:R199">ROUND(((($I196+$K196+$L196+$L196)*(Q$220/12))*Q$223)/27,2)</f>
        <v>28.24</v>
      </c>
      <c r="R196" s="24">
        <f t="shared" si="119"/>
        <v>28.24</v>
      </c>
      <c r="S196" s="24"/>
      <c r="T196" s="24"/>
      <c r="U196" s="24">
        <f aca="true" t="shared" si="120" ref="U196:V199">ROUND(((($I196/9)*U$220)+((($I196+$K196)/9)*U$220)+((($I196+$K196+$L196)/9)*U$220)*U$223),2)</f>
        <v>37.57</v>
      </c>
      <c r="V196" s="24">
        <f t="shared" si="120"/>
        <v>37.57</v>
      </c>
      <c r="W196" s="24">
        <f aca="true" t="shared" si="121" ref="W196:Z199">ROUND((($I196*(W$220/12))/27)*W$223,2)</f>
        <v>5.29</v>
      </c>
      <c r="X196" s="24">
        <f t="shared" si="121"/>
        <v>5.29</v>
      </c>
      <c r="Y196" s="24">
        <f t="shared" si="121"/>
        <v>6.18</v>
      </c>
      <c r="Z196" s="24">
        <f t="shared" si="121"/>
        <v>6.18</v>
      </c>
      <c r="AA196" s="24"/>
      <c r="AB196" s="24"/>
      <c r="AC196" s="24"/>
      <c r="AD196" s="24"/>
      <c r="AE196" s="24"/>
      <c r="AF196" s="271"/>
      <c r="AG196" s="272"/>
    </row>
    <row r="197" spans="1:33" s="4" customFormat="1" ht="21.75" customHeight="1">
      <c r="A197" s="30">
        <v>37</v>
      </c>
      <c r="B197" s="38">
        <f aca="true" t="shared" si="122" ref="B197:B203">C196</f>
        <v>26434.96</v>
      </c>
      <c r="C197" s="46">
        <v>26634.96</v>
      </c>
      <c r="D197" s="39" t="s">
        <v>17</v>
      </c>
      <c r="E197" s="24">
        <f t="shared" si="116"/>
        <v>200</v>
      </c>
      <c r="F197" s="24">
        <v>4</v>
      </c>
      <c r="G197" s="105">
        <f>ROUND((((3819.7186+24+($F197/2))/3819.7186)+((636.6198+24+($F197/2))/636.6198))/2,4)</f>
        <v>1.0238</v>
      </c>
      <c r="H197" s="105">
        <f>ROUND((((3819.7186+24+($F197))/3819.7186)+((636.6198+24+($F197))/636.6198))/2,4)</f>
        <v>1.0257</v>
      </c>
      <c r="I197" s="24">
        <f t="shared" si="100"/>
        <v>819.04</v>
      </c>
      <c r="J197" s="24"/>
      <c r="K197" s="24">
        <f t="shared" si="117"/>
        <v>68.38</v>
      </c>
      <c r="L197" s="24">
        <f t="shared" si="117"/>
        <v>102.57</v>
      </c>
      <c r="M197" s="24"/>
      <c r="N197" s="61"/>
      <c r="O197" s="24">
        <f t="shared" si="118"/>
        <v>15.21</v>
      </c>
      <c r="P197" s="24">
        <f t="shared" si="118"/>
        <v>15.21</v>
      </c>
      <c r="Q197" s="24">
        <f t="shared" si="119"/>
        <v>10.12</v>
      </c>
      <c r="R197" s="24">
        <f t="shared" si="119"/>
        <v>10.12</v>
      </c>
      <c r="S197" s="24"/>
      <c r="T197" s="24"/>
      <c r="U197" s="24">
        <f t="shared" si="120"/>
        <v>13.45</v>
      </c>
      <c r="V197" s="24">
        <f t="shared" si="120"/>
        <v>13.45</v>
      </c>
      <c r="W197" s="24">
        <f t="shared" si="121"/>
        <v>1.9</v>
      </c>
      <c r="X197" s="24">
        <f t="shared" si="121"/>
        <v>1.9</v>
      </c>
      <c r="Y197" s="24">
        <f t="shared" si="121"/>
        <v>2.21</v>
      </c>
      <c r="Z197" s="24">
        <f t="shared" si="121"/>
        <v>2.21</v>
      </c>
      <c r="AA197" s="24"/>
      <c r="AB197" s="24"/>
      <c r="AC197" s="24"/>
      <c r="AD197" s="24"/>
      <c r="AE197" s="24"/>
      <c r="AF197" s="271"/>
      <c r="AG197" s="272"/>
    </row>
    <row r="198" spans="1:33" s="4" customFormat="1" ht="21.75" customHeight="1" thickBot="1">
      <c r="A198" s="30">
        <v>39</v>
      </c>
      <c r="B198" s="38">
        <f t="shared" si="122"/>
        <v>26634.96</v>
      </c>
      <c r="C198" s="38">
        <v>27102.18</v>
      </c>
      <c r="D198" s="39" t="s">
        <v>17</v>
      </c>
      <c r="E198" s="24">
        <f t="shared" si="116"/>
        <v>467.22000000000116</v>
      </c>
      <c r="F198" s="24">
        <v>4</v>
      </c>
      <c r="G198" s="105">
        <f>ROUND((636.6198+24+($F198/2))/636.6198,4)</f>
        <v>1.0408</v>
      </c>
      <c r="H198" s="105">
        <f>ROUND((636.6198+24+($F198))/636.6198,4)</f>
        <v>1.044</v>
      </c>
      <c r="I198" s="24">
        <f t="shared" si="100"/>
        <v>1945.13</v>
      </c>
      <c r="J198" s="24"/>
      <c r="K198" s="24">
        <f t="shared" si="117"/>
        <v>162.59</v>
      </c>
      <c r="L198" s="24">
        <f t="shared" si="117"/>
        <v>243.89</v>
      </c>
      <c r="M198" s="24"/>
      <c r="N198" s="61"/>
      <c r="O198" s="24">
        <f t="shared" si="118"/>
        <v>36.13</v>
      </c>
      <c r="P198" s="24">
        <f t="shared" si="118"/>
        <v>36.13</v>
      </c>
      <c r="Q198" s="24">
        <f t="shared" si="119"/>
        <v>24.03</v>
      </c>
      <c r="R198" s="24">
        <f t="shared" si="119"/>
        <v>24.03</v>
      </c>
      <c r="S198" s="24"/>
      <c r="T198" s="24"/>
      <c r="U198" s="24">
        <f t="shared" si="120"/>
        <v>31.95</v>
      </c>
      <c r="V198" s="24">
        <f t="shared" si="120"/>
        <v>31.95</v>
      </c>
      <c r="W198" s="24">
        <f t="shared" si="121"/>
        <v>4.5</v>
      </c>
      <c r="X198" s="24">
        <f t="shared" si="121"/>
        <v>4.5</v>
      </c>
      <c r="Y198" s="24">
        <f t="shared" si="121"/>
        <v>5.25</v>
      </c>
      <c r="Z198" s="24">
        <f t="shared" si="121"/>
        <v>5.25</v>
      </c>
      <c r="AA198" s="24"/>
      <c r="AB198" s="24"/>
      <c r="AC198" s="24"/>
      <c r="AD198" s="24"/>
      <c r="AE198" s="24"/>
      <c r="AF198" s="271"/>
      <c r="AG198" s="272"/>
    </row>
    <row r="199" spans="1:33" s="4" customFormat="1" ht="21.75" customHeight="1">
      <c r="A199" s="30">
        <v>40</v>
      </c>
      <c r="B199" s="38">
        <f t="shared" si="122"/>
        <v>27102.18</v>
      </c>
      <c r="C199" s="38">
        <v>27182.9</v>
      </c>
      <c r="D199" s="39" t="s">
        <v>17</v>
      </c>
      <c r="E199" s="24">
        <f t="shared" si="116"/>
        <v>80.72000000000116</v>
      </c>
      <c r="F199" s="24">
        <v>4</v>
      </c>
      <c r="G199" s="105">
        <f>ROUND((11459.1559+24+($F199/2))/11459.1559,4)</f>
        <v>1.0023</v>
      </c>
      <c r="H199" s="105">
        <f>ROUND((11459.1559+24+($F199))/11459.1559,4)</f>
        <v>1.0024</v>
      </c>
      <c r="I199" s="24">
        <f t="shared" si="100"/>
        <v>323.62</v>
      </c>
      <c r="J199" s="24"/>
      <c r="K199" s="24">
        <f t="shared" si="117"/>
        <v>26.97</v>
      </c>
      <c r="L199" s="24">
        <f t="shared" si="117"/>
        <v>40.46</v>
      </c>
      <c r="M199" s="24"/>
      <c r="N199" s="61"/>
      <c r="O199" s="24">
        <f t="shared" si="118"/>
        <v>6.01</v>
      </c>
      <c r="P199" s="24">
        <f t="shared" si="118"/>
        <v>6.01</v>
      </c>
      <c r="Q199" s="24">
        <f t="shared" si="119"/>
        <v>4</v>
      </c>
      <c r="R199" s="24">
        <f t="shared" si="119"/>
        <v>4</v>
      </c>
      <c r="S199" s="24"/>
      <c r="T199" s="24"/>
      <c r="U199" s="24">
        <f t="shared" si="120"/>
        <v>5.32</v>
      </c>
      <c r="V199" s="24">
        <f t="shared" si="120"/>
        <v>5.32</v>
      </c>
      <c r="W199" s="24">
        <f t="shared" si="121"/>
        <v>0.75</v>
      </c>
      <c r="X199" s="24">
        <f t="shared" si="121"/>
        <v>0.75</v>
      </c>
      <c r="Y199" s="24">
        <f t="shared" si="121"/>
        <v>0.87</v>
      </c>
      <c r="Z199" s="24">
        <f t="shared" si="121"/>
        <v>0.87</v>
      </c>
      <c r="AA199" s="24"/>
      <c r="AB199" s="24"/>
      <c r="AC199" s="24"/>
      <c r="AD199" s="24"/>
      <c r="AE199" s="24"/>
      <c r="AF199" s="269" t="s">
        <v>39</v>
      </c>
      <c r="AG199" s="270"/>
    </row>
    <row r="200" spans="1:33" s="4" customFormat="1" ht="21.75" customHeight="1">
      <c r="A200" s="30">
        <v>41</v>
      </c>
      <c r="B200" s="38">
        <f t="shared" si="122"/>
        <v>27182.9</v>
      </c>
      <c r="C200" s="38">
        <v>27201</v>
      </c>
      <c r="D200" s="39" t="s">
        <v>17</v>
      </c>
      <c r="E200" s="24">
        <f t="shared" si="116"/>
        <v>18.099999999998545</v>
      </c>
      <c r="F200" s="24">
        <v>4</v>
      </c>
      <c r="G200" s="105">
        <f>ROUND((11459.1559+24+($F200/2))/11459.1559,4)</f>
        <v>1.0023</v>
      </c>
      <c r="H200" s="105">
        <f>ROUND((11459.1559+24+($F200))/11459.1559,4)</f>
        <v>1.0024</v>
      </c>
      <c r="I200" s="24">
        <f t="shared" si="100"/>
        <v>72.57</v>
      </c>
      <c r="J200" s="24"/>
      <c r="K200" s="24"/>
      <c r="L200" s="24"/>
      <c r="M200" s="24">
        <f>IF($H200=0,ROUND($E200*(M$220/12),2),ROUND($E200*$H200*(M$220/12),2))</f>
        <v>30.24</v>
      </c>
      <c r="N200" s="61"/>
      <c r="O200" s="24">
        <f>ROUND(((($I200)*(O$220/12))/27)*O$223,2)</f>
        <v>1.18</v>
      </c>
      <c r="P200" s="24">
        <f>ROUND(((($I200)*(P$220/12))/27)*P$223,2)</f>
        <v>1.18</v>
      </c>
      <c r="Q200" s="24">
        <f>ROUND(((($I200+$M200)*(Q$220/12))*O$223)/27,2)</f>
        <v>0.95</v>
      </c>
      <c r="R200" s="24">
        <f>ROUND(((($I200+$M200)*(R$220/12))*P$223)/27,2)</f>
        <v>0.95</v>
      </c>
      <c r="S200" s="24"/>
      <c r="T200" s="24"/>
      <c r="U200" s="24">
        <f>ROUND(((($I200/9)*U$220)*3)*U$223,2)</f>
        <v>0.67</v>
      </c>
      <c r="V200" s="24">
        <f>ROUND(((($I200/9)*V$220)*3)*V$223,2)</f>
        <v>0.67</v>
      </c>
      <c r="W200" s="24">
        <f aca="true" t="shared" si="123" ref="W200:X203">ROUND((($I200*(W$220/12))/27)*W$223,2)</f>
        <v>0.17</v>
      </c>
      <c r="X200" s="24">
        <f t="shared" si="123"/>
        <v>0.17</v>
      </c>
      <c r="Y200" s="24">
        <f>ROUND(((($I200)*(Y$220/12))/27)*Y$223,2)</f>
        <v>0.2</v>
      </c>
      <c r="Z200" s="24">
        <f>ROUND(((($I200)*(Z$220/12))/27)*Z$223,2)</f>
        <v>0.2</v>
      </c>
      <c r="AA200" s="24"/>
      <c r="AB200" s="24"/>
      <c r="AC200" s="24">
        <f>IF($H200=0,$E200*AC$223,ROUND($E200*$H200*AC$223,2))</f>
        <v>9.07</v>
      </c>
      <c r="AD200" s="24">
        <f>IF($H200=0,$E200*AD$223,ROUND($E200*$H200*AD$223,2))</f>
        <v>9.07</v>
      </c>
      <c r="AE200" s="24"/>
      <c r="AF200" s="271"/>
      <c r="AG200" s="272"/>
    </row>
    <row r="201" spans="1:33" s="4" customFormat="1" ht="21.75" customHeight="1">
      <c r="A201" s="30">
        <v>42</v>
      </c>
      <c r="B201" s="38">
        <f t="shared" si="122"/>
        <v>27201</v>
      </c>
      <c r="C201" s="38">
        <v>27246.34</v>
      </c>
      <c r="D201" s="39" t="s">
        <v>17</v>
      </c>
      <c r="E201" s="24">
        <f t="shared" si="116"/>
        <v>45.340000000000146</v>
      </c>
      <c r="F201" s="24">
        <v>4</v>
      </c>
      <c r="G201" s="105">
        <f>ROUND((11459.1559+24+($F201/2))/11459.1559,4)</f>
        <v>1.0023</v>
      </c>
      <c r="H201" s="105">
        <f>ROUND((11459.1559+24+($F201))/11459.1559,4)</f>
        <v>1.0024</v>
      </c>
      <c r="I201" s="24">
        <f t="shared" si="100"/>
        <v>181.78</v>
      </c>
      <c r="J201" s="24"/>
      <c r="K201" s="24">
        <f aca="true" t="shared" si="124" ref="K201:L203">IF($H201=0,ROUND($E201*(K$220/12),2),ROUND($E201*$H201*(K$220/12),2))</f>
        <v>15.15</v>
      </c>
      <c r="L201" s="24">
        <f t="shared" si="124"/>
        <v>22.72</v>
      </c>
      <c r="M201" s="24">
        <f>IF($H201=0,ROUND($E201*(M$220/12),2),ROUND($E201*$H201*(M$220/12),2))</f>
        <v>75.75</v>
      </c>
      <c r="N201" s="61"/>
      <c r="O201" s="24">
        <f>ROUND((((($I201+$M201+$L201+$K201)*(O$220/12))+(($I201+$M201+$L201+$K201+$L201)*(O$220/12)))/27)*O$223,2)</f>
        <v>9.94</v>
      </c>
      <c r="P201" s="24">
        <f>ROUND((((($I201+$M201+$L201+$K201)*(P$220/12))+(($I201+$M201+$L201+$K201+$L201)*(P$220/12)))/27)*P$223,2)</f>
        <v>9.94</v>
      </c>
      <c r="Q201" s="24">
        <f>ROUND(((($I201+$M201+$L201+K201+$L201+$L201)*(Q$220/12))*Q$223)/27,2)</f>
        <v>3.16</v>
      </c>
      <c r="R201" s="24">
        <f>ROUND(((($I201+$M201+$L201+L201+$L201+$L201)*(R$220/12))*R$223)/27,2)</f>
        <v>3.23</v>
      </c>
      <c r="S201" s="24"/>
      <c r="T201" s="24"/>
      <c r="U201" s="24">
        <f>ROUND((((($I201+$M201+$L201)/9)*U$220)+((($I201+$M201+$L201+$K201)/9)*U$220)+((($I201+$M201+$L201+$K201+$L201)/9)*U$220))*U$223,2)</f>
        <v>2.73</v>
      </c>
      <c r="V201" s="24">
        <f>ROUND((((($I201+$M201+$L201)/9)*V$220)+((($I201+$M201+$L201+$K201)/9)*V$220)+((($I201+$M201+$L201+$K201+$L201)/9)*V$220))*V$223,2)</f>
        <v>2.73</v>
      </c>
      <c r="W201" s="24">
        <f t="shared" si="123"/>
        <v>0.42</v>
      </c>
      <c r="X201" s="24">
        <f t="shared" si="123"/>
        <v>0.42</v>
      </c>
      <c r="Y201" s="24">
        <f>ROUND(((($I201+$M201+$L201)*(Y$220/12))/27)*Y$223,2)</f>
        <v>0.76</v>
      </c>
      <c r="Z201" s="24">
        <f>ROUND(((($I201+$M201+$L201)*(Z$220/12))/27)*Z$223,2)</f>
        <v>0.76</v>
      </c>
      <c r="AA201" s="24"/>
      <c r="AB201" s="24"/>
      <c r="AC201" s="24"/>
      <c r="AD201" s="24"/>
      <c r="AE201" s="24"/>
      <c r="AF201" s="271"/>
      <c r="AG201" s="272"/>
    </row>
    <row r="202" spans="1:33" s="4" customFormat="1" ht="21.75" customHeight="1">
      <c r="A202" s="30">
        <v>43</v>
      </c>
      <c r="B202" s="38">
        <f t="shared" si="122"/>
        <v>27246.34</v>
      </c>
      <c r="C202" s="38">
        <v>27250</v>
      </c>
      <c r="D202" s="39" t="s">
        <v>17</v>
      </c>
      <c r="E202" s="24">
        <f t="shared" si="116"/>
        <v>3.6599999999998545</v>
      </c>
      <c r="F202" s="24">
        <v>4</v>
      </c>
      <c r="G202" s="105">
        <f>ROUND((716.1972+24+($F202/2))/716.1972,4)</f>
        <v>1.0363</v>
      </c>
      <c r="H202" s="105">
        <f>ROUND((716.1972+24+($F202))/716.1972,4)</f>
        <v>1.0391</v>
      </c>
      <c r="I202" s="24">
        <f t="shared" si="100"/>
        <v>15.17</v>
      </c>
      <c r="J202" s="24"/>
      <c r="K202" s="24">
        <f t="shared" si="124"/>
        <v>1.27</v>
      </c>
      <c r="L202" s="24">
        <f t="shared" si="124"/>
        <v>1.9</v>
      </c>
      <c r="M202" s="24">
        <f>IF($H202=0,ROUND($E202*(M$220/12),2),ROUND($E202*$H202*(M$220/12),2))</f>
        <v>6.34</v>
      </c>
      <c r="N202" s="61"/>
      <c r="O202" s="24">
        <f>ROUND((((($I202+$M202+$L202+$K202)*(O$220/12))+(($I202+$M202+$L202+$K202+$L202)*(O$220/12)))/27)*O$223,2)</f>
        <v>0.83</v>
      </c>
      <c r="P202" s="24">
        <f>ROUND((((($I202+$M202+$L202+$K202)*(P$220/12))+(($I202+$M202+$L202+$K202+$L202)*(P$220/12)))/27)*P$223,2)</f>
        <v>0.83</v>
      </c>
      <c r="Q202" s="24">
        <f>ROUND(((($I202+$M202+$L202+K202+$L202+$L202)*(Q$220/12))*Q$223)/27,2)</f>
        <v>0.26</v>
      </c>
      <c r="R202" s="24">
        <f>ROUND(((($I202+$M202+$L202+L202+$L202+$L202)*(R$220/12))*R$223)/27,2)</f>
        <v>0.27</v>
      </c>
      <c r="S202" s="24"/>
      <c r="T202" s="24"/>
      <c r="U202" s="24">
        <f>ROUND((((($I202+$M202+$L202)/9)*U$220)+((($I202+$M202+$L202+$K202)/9)*U$220)+((($I202+$M202+$L202+$K202+$L202)/9)*U$220))*U$223,2)</f>
        <v>0.23</v>
      </c>
      <c r="V202" s="24">
        <f>ROUND((((($I202+$M202+$L202)/9)*V$220)+((($I202+$M202+$L202+$K202)/9)*V$220)+((($I202+$M202+$L202+$K202+$L202)/9)*V$220))*V$223,2)</f>
        <v>0.23</v>
      </c>
      <c r="W202" s="24">
        <f t="shared" si="123"/>
        <v>0.04</v>
      </c>
      <c r="X202" s="24">
        <f t="shared" si="123"/>
        <v>0.04</v>
      </c>
      <c r="Y202" s="24">
        <f>ROUND(((($I202+$M202+$L202)*(Y$220/12))/27)*Y$223,2)</f>
        <v>0.06</v>
      </c>
      <c r="Z202" s="24">
        <f>ROUND(((($I202+$M202+$L202)*(Z$220/12))/27)*Z$223,2)</f>
        <v>0.06</v>
      </c>
      <c r="AA202" s="24"/>
      <c r="AB202" s="24"/>
      <c r="AC202" s="24"/>
      <c r="AD202" s="24"/>
      <c r="AE202" s="24"/>
      <c r="AF202" s="271"/>
      <c r="AG202" s="272"/>
    </row>
    <row r="203" spans="1:33" s="4" customFormat="1" ht="21.75" customHeight="1">
      <c r="A203" s="30">
        <v>44</v>
      </c>
      <c r="B203" s="38">
        <f t="shared" si="122"/>
        <v>27250</v>
      </c>
      <c r="C203" s="38">
        <v>27398</v>
      </c>
      <c r="D203" s="39" t="s">
        <v>17</v>
      </c>
      <c r="E203" s="24">
        <f t="shared" si="116"/>
        <v>148</v>
      </c>
      <c r="F203" s="24">
        <v>4</v>
      </c>
      <c r="G203" s="105">
        <f>ROUND((716.1972+24+($F203/2))/716.1972,4)</f>
        <v>1.0363</v>
      </c>
      <c r="H203" s="105">
        <f>ROUND((716.1972+24+($F203))/716.1972,4)</f>
        <v>1.0391</v>
      </c>
      <c r="I203" s="24">
        <f t="shared" si="100"/>
        <v>613.49</v>
      </c>
      <c r="J203" s="24"/>
      <c r="K203" s="24">
        <f t="shared" si="124"/>
        <v>51.26</v>
      </c>
      <c r="L203" s="24">
        <f t="shared" si="124"/>
        <v>76.89</v>
      </c>
      <c r="M203" s="24"/>
      <c r="N203" s="61"/>
      <c r="O203" s="24">
        <f>ROUND((((($I203+$K203)*(O$221/12))+(($I203+$K203+$L203)*(O$221/12)))*O$223)/27,2)</f>
        <v>11.39</v>
      </c>
      <c r="P203" s="24">
        <f>ROUND((((($I203+$K203)*(P$221/12))+(($I203+$K203+$L203)*(P$221/12)))*P$223)/27,2)</f>
        <v>11.39</v>
      </c>
      <c r="Q203" s="24">
        <f>ROUND(((($I203+$K203+$L203+$L203)*(Q$220/12))*Q$223)/27,2)</f>
        <v>7.58</v>
      </c>
      <c r="R203" s="24">
        <f>ROUND(((($I203+$K203+$L203+$L203)*(R$220/12))*R$223)/27,2)</f>
        <v>7.58</v>
      </c>
      <c r="S203" s="24"/>
      <c r="T203" s="24"/>
      <c r="U203" s="24">
        <f>ROUND(((($I203/9)*U$220)+((($I203+$K203)/9)*U$220)+((($I203+$K203+$L203)/9)*U$220)*U$223),2)</f>
        <v>10.08</v>
      </c>
      <c r="V203" s="24">
        <f>ROUND(((($I203/9)*V$220)+((($I203+$K203)/9)*V$220)+((($I203+$K203+$L203)/9)*V$220)*V$223),2)</f>
        <v>10.08</v>
      </c>
      <c r="W203" s="24">
        <f t="shared" si="123"/>
        <v>1.42</v>
      </c>
      <c r="X203" s="24">
        <f t="shared" si="123"/>
        <v>1.42</v>
      </c>
      <c r="Y203" s="24">
        <f>ROUND((($I203*(Y$220/12))/27)*Y$223,2)</f>
        <v>1.66</v>
      </c>
      <c r="Z203" s="24">
        <f>ROUND((($I203*(Z$220/12))/27)*Z$223,2)</f>
        <v>1.66</v>
      </c>
      <c r="AA203" s="24"/>
      <c r="AB203" s="24"/>
      <c r="AC203" s="24"/>
      <c r="AD203" s="24"/>
      <c r="AE203" s="24"/>
      <c r="AF203" s="271"/>
      <c r="AG203" s="272"/>
    </row>
    <row r="204" spans="1:33" s="4" customFormat="1" ht="21.75" customHeight="1">
      <c r="A204" s="30">
        <v>45</v>
      </c>
      <c r="B204" s="38"/>
      <c r="C204" s="46"/>
      <c r="D204" s="39"/>
      <c r="E204" s="24"/>
      <c r="F204" s="24"/>
      <c r="G204" s="105"/>
      <c r="H204" s="105"/>
      <c r="I204" s="24"/>
      <c r="J204" s="24"/>
      <c r="K204" s="24"/>
      <c r="L204" s="24"/>
      <c r="M204" s="24"/>
      <c r="N204" s="61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71"/>
      <c r="AG204" s="272"/>
    </row>
    <row r="205" spans="1:33" s="4" customFormat="1" ht="21.75" customHeight="1">
      <c r="A205" s="30">
        <v>46</v>
      </c>
      <c r="B205" s="38">
        <v>25286.4</v>
      </c>
      <c r="C205" s="46">
        <v>25386.4</v>
      </c>
      <c r="D205" s="39" t="s">
        <v>16</v>
      </c>
      <c r="E205" s="24">
        <f>C205-B205</f>
        <v>100</v>
      </c>
      <c r="F205" s="66">
        <f>ROUND((14+10)/2,2)</f>
        <v>12</v>
      </c>
      <c r="G205" s="105"/>
      <c r="H205" s="105"/>
      <c r="I205" s="24">
        <f>IF(G205=0,ROUND($E205*$F205,2),ROUND($E205*$F205*$G205,2))</f>
        <v>1200</v>
      </c>
      <c r="J205" s="24"/>
      <c r="K205" s="24"/>
      <c r="L205" s="24"/>
      <c r="M205" s="24"/>
      <c r="N205" s="61"/>
      <c r="O205" s="24">
        <f aca="true" t="shared" si="125" ref="O205:R207">ROUND(((($I205)*(O$220/12))/27)*O$223,2)</f>
        <v>19.44</v>
      </c>
      <c r="P205" s="24">
        <f t="shared" si="125"/>
        <v>19.44</v>
      </c>
      <c r="Q205" s="24">
        <f t="shared" si="125"/>
        <v>11.11</v>
      </c>
      <c r="R205" s="24">
        <f t="shared" si="125"/>
        <v>11.11</v>
      </c>
      <c r="S205" s="24"/>
      <c r="T205" s="24"/>
      <c r="U205" s="24">
        <f aca="true" t="shared" si="126" ref="U205:V207">ROUND(((($I205/9)*U$220)*3)*U$223,2)</f>
        <v>11</v>
      </c>
      <c r="V205" s="24">
        <f t="shared" si="126"/>
        <v>11</v>
      </c>
      <c r="W205" s="24">
        <f aca="true" t="shared" si="127" ref="W205:X207">ROUND((($I205*(W$220/12))/27)*W$223,2)</f>
        <v>2.78</v>
      </c>
      <c r="X205" s="24">
        <f t="shared" si="127"/>
        <v>2.78</v>
      </c>
      <c r="Y205" s="24">
        <f aca="true" t="shared" si="128" ref="Y205:Z207">ROUND(((($I205)*(Y$220/12))/27)*Y$223,2)</f>
        <v>3.24</v>
      </c>
      <c r="Z205" s="24">
        <f t="shared" si="128"/>
        <v>3.24</v>
      </c>
      <c r="AA205" s="24"/>
      <c r="AB205" s="24"/>
      <c r="AC205" s="24"/>
      <c r="AD205" s="24"/>
      <c r="AE205" s="24"/>
      <c r="AF205" s="271"/>
      <c r="AG205" s="272"/>
    </row>
    <row r="206" spans="1:33" s="4" customFormat="1" ht="21.75" customHeight="1">
      <c r="A206" s="30">
        <v>47</v>
      </c>
      <c r="B206" s="38">
        <f>C205</f>
        <v>25386.4</v>
      </c>
      <c r="C206" s="46">
        <v>25400.38</v>
      </c>
      <c r="D206" s="39" t="s">
        <v>16</v>
      </c>
      <c r="E206" s="24">
        <f>C206-B206</f>
        <v>13.979999999999563</v>
      </c>
      <c r="F206" s="24">
        <v>10</v>
      </c>
      <c r="G206" s="105"/>
      <c r="H206" s="105"/>
      <c r="I206" s="24">
        <f>IF(G206=0,ROUND($E206*$F206,2),ROUND($E206*$F206*$G206,2))</f>
        <v>139.8</v>
      </c>
      <c r="J206" s="24"/>
      <c r="K206" s="24"/>
      <c r="L206" s="24"/>
      <c r="M206" s="24"/>
      <c r="N206" s="61"/>
      <c r="O206" s="24">
        <f t="shared" si="125"/>
        <v>2.27</v>
      </c>
      <c r="P206" s="24">
        <f t="shared" si="125"/>
        <v>2.27</v>
      </c>
      <c r="Q206" s="24">
        <f t="shared" si="125"/>
        <v>1.29</v>
      </c>
      <c r="R206" s="24">
        <f t="shared" si="125"/>
        <v>1.29</v>
      </c>
      <c r="S206" s="24"/>
      <c r="T206" s="24"/>
      <c r="U206" s="24">
        <f t="shared" si="126"/>
        <v>1.28</v>
      </c>
      <c r="V206" s="24">
        <f t="shared" si="126"/>
        <v>1.28</v>
      </c>
      <c r="W206" s="24">
        <f t="shared" si="127"/>
        <v>0.32</v>
      </c>
      <c r="X206" s="24">
        <f t="shared" si="127"/>
        <v>0.32</v>
      </c>
      <c r="Y206" s="24">
        <f t="shared" si="128"/>
        <v>0.38</v>
      </c>
      <c r="Z206" s="24">
        <f t="shared" si="128"/>
        <v>0.38</v>
      </c>
      <c r="AA206" s="24"/>
      <c r="AB206" s="24"/>
      <c r="AC206" s="24"/>
      <c r="AD206" s="24"/>
      <c r="AE206" s="24"/>
      <c r="AF206" s="271"/>
      <c r="AG206" s="272"/>
    </row>
    <row r="207" spans="1:33" s="4" customFormat="1" ht="21.75" customHeight="1">
      <c r="A207" s="30">
        <v>48</v>
      </c>
      <c r="B207" s="38">
        <f>C206</f>
        <v>25400.38</v>
      </c>
      <c r="C207" s="38">
        <v>25713.02</v>
      </c>
      <c r="D207" s="39" t="s">
        <v>16</v>
      </c>
      <c r="E207" s="24">
        <f>C207-B207</f>
        <v>312.6399999999994</v>
      </c>
      <c r="F207" s="24">
        <v>10</v>
      </c>
      <c r="G207" s="105">
        <f>ROUND((3819.7186-($F207/2))/3819.7186,4)</f>
        <v>0.9987</v>
      </c>
      <c r="H207" s="105"/>
      <c r="I207" s="24">
        <f>IF(G207=0,ROUND($E207*$F207,2),ROUND($E207*$F207*$G207,2))</f>
        <v>3122.34</v>
      </c>
      <c r="J207" s="24"/>
      <c r="K207" s="24"/>
      <c r="L207" s="24"/>
      <c r="M207" s="24"/>
      <c r="N207" s="61"/>
      <c r="O207" s="24">
        <f t="shared" si="125"/>
        <v>50.59</v>
      </c>
      <c r="P207" s="24">
        <f t="shared" si="125"/>
        <v>50.59</v>
      </c>
      <c r="Q207" s="24">
        <f t="shared" si="125"/>
        <v>28.91</v>
      </c>
      <c r="R207" s="24">
        <f t="shared" si="125"/>
        <v>28.91</v>
      </c>
      <c r="S207" s="24"/>
      <c r="T207" s="24"/>
      <c r="U207" s="24">
        <f t="shared" si="126"/>
        <v>28.62</v>
      </c>
      <c r="V207" s="24">
        <f t="shared" si="126"/>
        <v>28.62</v>
      </c>
      <c r="W207" s="24">
        <f t="shared" si="127"/>
        <v>7.23</v>
      </c>
      <c r="X207" s="24">
        <f t="shared" si="127"/>
        <v>7.23</v>
      </c>
      <c r="Y207" s="24">
        <f t="shared" si="128"/>
        <v>8.43</v>
      </c>
      <c r="Z207" s="24">
        <f t="shared" si="128"/>
        <v>8.43</v>
      </c>
      <c r="AA207" s="24"/>
      <c r="AB207" s="24"/>
      <c r="AC207" s="24"/>
      <c r="AD207" s="24"/>
      <c r="AE207" s="24"/>
      <c r="AF207" s="271"/>
      <c r="AG207" s="272"/>
    </row>
    <row r="208" spans="1:33" s="4" customFormat="1" ht="21.75" customHeight="1">
      <c r="A208" s="30">
        <v>49</v>
      </c>
      <c r="B208" s="38"/>
      <c r="C208" s="38"/>
      <c r="D208" s="39"/>
      <c r="E208" s="24"/>
      <c r="F208" s="24"/>
      <c r="G208" s="105"/>
      <c r="H208" s="105"/>
      <c r="I208" s="24"/>
      <c r="J208" s="24"/>
      <c r="K208" s="24"/>
      <c r="L208" s="24"/>
      <c r="M208" s="24"/>
      <c r="N208" s="61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71"/>
      <c r="AG208" s="272"/>
    </row>
    <row r="209" spans="1:33" s="4" customFormat="1" ht="21.75" customHeight="1">
      <c r="A209" s="30">
        <v>50</v>
      </c>
      <c r="B209" s="38">
        <v>26086.4</v>
      </c>
      <c r="C209" s="38">
        <v>26434.96</v>
      </c>
      <c r="D209" s="39" t="s">
        <v>16</v>
      </c>
      <c r="E209" s="24">
        <f>C209-B209</f>
        <v>348.5599999999977</v>
      </c>
      <c r="F209" s="24">
        <v>12</v>
      </c>
      <c r="G209" s="105">
        <f>ROUND((3819.7186-($F209/2))/3819.7186,4)</f>
        <v>0.9984</v>
      </c>
      <c r="H209" s="105">
        <f>ROUND((3819.7186-($F209))/3819.7186,4)</f>
        <v>0.9969</v>
      </c>
      <c r="I209" s="24">
        <f>IF(G209=0,ROUND($E209*$F209,2),ROUND($E209*$F209*$G209,2))</f>
        <v>4176.03</v>
      </c>
      <c r="J209" s="24"/>
      <c r="K209" s="24">
        <f aca="true" t="shared" si="129" ref="K209:L211">IF($H209=0,ROUND($E209*(K$220/12),2),ROUND($E209*$H209*(K$220/12),2))</f>
        <v>115.83</v>
      </c>
      <c r="L209" s="24">
        <f t="shared" si="129"/>
        <v>173.74</v>
      </c>
      <c r="M209" s="24"/>
      <c r="N209" s="61"/>
      <c r="O209" s="24">
        <f aca="true" t="shared" si="130" ref="O209:P211">ROUND((((($I209+$K209)*(O$221/12))+(($I209+$K209+$L209)*(O$221/12)))*O$223)/27,2)</f>
        <v>70.95</v>
      </c>
      <c r="P209" s="24">
        <f t="shared" si="130"/>
        <v>70.95</v>
      </c>
      <c r="Q209" s="24">
        <f aca="true" t="shared" si="131" ref="Q209:R211">ROUND(((($I209+$K209+$L209+$L209)*(Q$220/12))*Q$223)/27,2)</f>
        <v>42.96</v>
      </c>
      <c r="R209" s="24">
        <f t="shared" si="131"/>
        <v>42.96</v>
      </c>
      <c r="S209" s="24"/>
      <c r="T209" s="24"/>
      <c r="U209" s="24">
        <f aca="true" t="shared" si="132" ref="U209:V211">ROUND(((($I209/9)*U$220)+((($I209+$K209)/9)*U$220)+((($I209+$K209)/9)*U$220))*U$223,2)</f>
        <v>38.99</v>
      </c>
      <c r="V209" s="24">
        <f t="shared" si="132"/>
        <v>38.99</v>
      </c>
      <c r="W209" s="24">
        <f aca="true" t="shared" si="133" ref="W209:X213">ROUND((($I209*(W$220/12))/27)*W$223,2)</f>
        <v>9.67</v>
      </c>
      <c r="X209" s="24">
        <f t="shared" si="133"/>
        <v>9.67</v>
      </c>
      <c r="Y209" s="24">
        <f aca="true" t="shared" si="134" ref="Y209:Z211">ROUND((($I209*(Y$220/12))/27)*Y$223,2)</f>
        <v>11.28</v>
      </c>
      <c r="Z209" s="24">
        <f t="shared" si="134"/>
        <v>11.28</v>
      </c>
      <c r="AA209" s="24"/>
      <c r="AB209" s="24"/>
      <c r="AC209" s="24"/>
      <c r="AD209" s="24"/>
      <c r="AE209" s="24"/>
      <c r="AF209" s="271"/>
      <c r="AG209" s="272"/>
    </row>
    <row r="210" spans="1:33" s="4" customFormat="1" ht="21.75" customHeight="1">
      <c r="A210" s="30">
        <v>51</v>
      </c>
      <c r="B210" s="38">
        <f>C209</f>
        <v>26434.96</v>
      </c>
      <c r="C210" s="38">
        <v>26560</v>
      </c>
      <c r="D210" s="39" t="s">
        <v>16</v>
      </c>
      <c r="E210" s="24">
        <f>C210-B210</f>
        <v>125.04000000000087</v>
      </c>
      <c r="F210" s="24">
        <v>12</v>
      </c>
      <c r="G210" s="105">
        <f>ROUND((((3819.7186-2.25-($F210/2))/3819.7186)+((636.6198-2.25-($F210/2))/636.6198))/2,4)</f>
        <v>0.9924</v>
      </c>
      <c r="H210" s="105">
        <f>ROUND((((3819.7186-2.25-($F210))/3819.7186)+((636.6198-2.25-($F210))/636.6198))/2,4)</f>
        <v>0.9869</v>
      </c>
      <c r="I210" s="24">
        <f>IF(G210=0,ROUND($E210*$F210,2),ROUND($E210*$F210*$G210,2))</f>
        <v>1489.08</v>
      </c>
      <c r="J210" s="24"/>
      <c r="K210" s="24">
        <f t="shared" si="129"/>
        <v>41.13</v>
      </c>
      <c r="L210" s="24">
        <f t="shared" si="129"/>
        <v>61.7</v>
      </c>
      <c r="M210" s="24"/>
      <c r="N210" s="61"/>
      <c r="O210" s="24">
        <f t="shared" si="130"/>
        <v>25.29</v>
      </c>
      <c r="P210" s="24">
        <f t="shared" si="130"/>
        <v>25.29</v>
      </c>
      <c r="Q210" s="24">
        <f t="shared" si="131"/>
        <v>15.31</v>
      </c>
      <c r="R210" s="24">
        <f t="shared" si="131"/>
        <v>15.31</v>
      </c>
      <c r="S210" s="24"/>
      <c r="T210" s="24"/>
      <c r="U210" s="24">
        <f t="shared" si="132"/>
        <v>13.9</v>
      </c>
      <c r="V210" s="24">
        <f t="shared" si="132"/>
        <v>13.9</v>
      </c>
      <c r="W210" s="24">
        <f t="shared" si="133"/>
        <v>3.45</v>
      </c>
      <c r="X210" s="24">
        <f t="shared" si="133"/>
        <v>3.45</v>
      </c>
      <c r="Y210" s="24">
        <f t="shared" si="134"/>
        <v>4.02</v>
      </c>
      <c r="Z210" s="24">
        <f t="shared" si="134"/>
        <v>4.02</v>
      </c>
      <c r="AA210" s="24"/>
      <c r="AB210" s="24"/>
      <c r="AC210" s="24"/>
      <c r="AD210" s="24"/>
      <c r="AE210" s="24"/>
      <c r="AF210" s="271"/>
      <c r="AG210" s="272"/>
    </row>
    <row r="211" spans="1:33" s="4" customFormat="1" ht="21.75" customHeight="1">
      <c r="A211" s="30">
        <v>52</v>
      </c>
      <c r="B211" s="38">
        <f>C210</f>
        <v>26560</v>
      </c>
      <c r="C211" s="38">
        <v>26610</v>
      </c>
      <c r="D211" s="39" t="s">
        <v>16</v>
      </c>
      <c r="E211" s="24">
        <f>C211-B211</f>
        <v>50</v>
      </c>
      <c r="F211" s="66">
        <f>ROUND((12+14)/2,2)</f>
        <v>13</v>
      </c>
      <c r="G211" s="105">
        <f>ROUND((((3819.7186-2.25-($F211/2))/3819.7186)+((636.6198-2.25-($F211/2))/636.6198))/2,4)</f>
        <v>0.992</v>
      </c>
      <c r="H211" s="105">
        <f>ROUND((((3819.7186-2.25-($F211))/3819.7186)+((636.6198-2.25-($F211))/636.6198))/2,4)</f>
        <v>0.986</v>
      </c>
      <c r="I211" s="24">
        <f>IF(G211=0,ROUND($E211*$F211,2),ROUND($E211*$F211*$G211,2))</f>
        <v>644.8</v>
      </c>
      <c r="J211" s="24"/>
      <c r="K211" s="24">
        <f t="shared" si="129"/>
        <v>16.43</v>
      </c>
      <c r="L211" s="24">
        <f t="shared" si="129"/>
        <v>24.65</v>
      </c>
      <c r="M211" s="24"/>
      <c r="N211" s="61"/>
      <c r="O211" s="24">
        <f t="shared" si="130"/>
        <v>10.91</v>
      </c>
      <c r="P211" s="24">
        <f t="shared" si="130"/>
        <v>10.91</v>
      </c>
      <c r="Q211" s="24">
        <f t="shared" si="131"/>
        <v>6.58</v>
      </c>
      <c r="R211" s="24">
        <f t="shared" si="131"/>
        <v>6.58</v>
      </c>
      <c r="S211" s="24"/>
      <c r="T211" s="24"/>
      <c r="U211" s="24">
        <f t="shared" si="132"/>
        <v>6.01</v>
      </c>
      <c r="V211" s="24">
        <f t="shared" si="132"/>
        <v>6.01</v>
      </c>
      <c r="W211" s="24">
        <f t="shared" si="133"/>
        <v>1.49</v>
      </c>
      <c r="X211" s="24">
        <f t="shared" si="133"/>
        <v>1.49</v>
      </c>
      <c r="Y211" s="24">
        <f t="shared" si="134"/>
        <v>1.74</v>
      </c>
      <c r="Z211" s="24">
        <f t="shared" si="134"/>
        <v>1.74</v>
      </c>
      <c r="AA211" s="24"/>
      <c r="AB211" s="24"/>
      <c r="AC211" s="24"/>
      <c r="AD211" s="24"/>
      <c r="AE211" s="24"/>
      <c r="AF211" s="271"/>
      <c r="AG211" s="272"/>
    </row>
    <row r="212" spans="1:33" s="4" customFormat="1" ht="21.75" customHeight="1">
      <c r="A212" s="30">
        <v>53</v>
      </c>
      <c r="B212" s="38">
        <f>C211</f>
        <v>26610</v>
      </c>
      <c r="C212" s="38">
        <v>26634.96</v>
      </c>
      <c r="D212" s="39" t="s">
        <v>16</v>
      </c>
      <c r="E212" s="24">
        <f>C212-B212</f>
        <v>24.959999999999127</v>
      </c>
      <c r="F212" s="24">
        <v>14</v>
      </c>
      <c r="G212" s="105">
        <f>ROUND((((3819.7186-2.25-($F212/2))/3819.7186)+((636.6198-2.25-($F212/2))/636.6198))/2,4)</f>
        <v>0.9915</v>
      </c>
      <c r="H212" s="105">
        <f>ROUND((((3819.7186-2.25-($F212))/3819.7186)+((636.6198-2.25-($F212))/636.6198))/2,4)</f>
        <v>0.9851</v>
      </c>
      <c r="I212" s="24">
        <f>IF(G212=0,ROUND($E212*$F212,2),ROUND($E212*$F212*$G212,2))</f>
        <v>346.47</v>
      </c>
      <c r="J212" s="24"/>
      <c r="K212" s="24"/>
      <c r="L212" s="24"/>
      <c r="M212" s="24">
        <f>IF($H212=0,ROUND($E212*(M$220/12),2),ROUND($E212*$H212*(M$220/12),2))</f>
        <v>40.98</v>
      </c>
      <c r="N212" s="61"/>
      <c r="O212" s="24">
        <f>ROUND(((($I212)*(O$220/12))/27)*O$223,2)</f>
        <v>5.61</v>
      </c>
      <c r="P212" s="24">
        <f>ROUND(((($I212)*(P$220/12))/27)*P$223,2)</f>
        <v>5.61</v>
      </c>
      <c r="Q212" s="24">
        <f>ROUND(((($I212+$M212)*(Q$220/12))*O$223)/27,2)</f>
        <v>3.59</v>
      </c>
      <c r="R212" s="24">
        <f>ROUND(((($I212+$M212)*(R$220/12))*P$223)/27,2)</f>
        <v>3.59</v>
      </c>
      <c r="S212" s="24"/>
      <c r="T212" s="24"/>
      <c r="U212" s="24">
        <f>ROUND(((($I212/9)*U$220)*3)*U$223,2)</f>
        <v>3.18</v>
      </c>
      <c r="V212" s="24">
        <f>ROUND(((($I212/9)*V$220)*3)*V$223,2)</f>
        <v>3.18</v>
      </c>
      <c r="W212" s="24">
        <f t="shared" si="133"/>
        <v>0.8</v>
      </c>
      <c r="X212" s="24">
        <f t="shared" si="133"/>
        <v>0.8</v>
      </c>
      <c r="Y212" s="24">
        <f>ROUND(((($I212)*(Y$220/12))/27)*Y$223,2)</f>
        <v>0.94</v>
      </c>
      <c r="Z212" s="24">
        <f>ROUND(((($I212)*(Z$220/12))/27)*Z$223,2)</f>
        <v>0.94</v>
      </c>
      <c r="AA212" s="24"/>
      <c r="AB212" s="24"/>
      <c r="AC212" s="24">
        <f>IF($H212=0,$E212*AC$223,ROUND($E212*$H212*AC$223,2))</f>
        <v>12.29</v>
      </c>
      <c r="AD212" s="24">
        <f>IF($H212=0,$E212*AD$223,ROUND($E212*$H212*AD$223,2))</f>
        <v>12.29</v>
      </c>
      <c r="AE212" s="24"/>
      <c r="AF212" s="273"/>
      <c r="AG212" s="272"/>
    </row>
    <row r="213" spans="1:33" s="4" customFormat="1" ht="21.75" customHeight="1">
      <c r="A213" s="30">
        <v>54</v>
      </c>
      <c r="B213" s="38">
        <f>C212</f>
        <v>26634.96</v>
      </c>
      <c r="C213" s="38">
        <v>26978.1</v>
      </c>
      <c r="D213" s="39" t="s">
        <v>16</v>
      </c>
      <c r="E213" s="24">
        <f>C213-B213</f>
        <v>343.1399999999994</v>
      </c>
      <c r="F213" s="24">
        <v>14</v>
      </c>
      <c r="G213" s="105">
        <f>ROUND((636.6198-4.5-($F213/2))/636.6198,4)</f>
        <v>0.9819</v>
      </c>
      <c r="H213" s="105">
        <f>ROUND((636.6198-4.5-($F213))/636.6198,4)</f>
        <v>0.9709</v>
      </c>
      <c r="I213" s="24">
        <f>IF(G213=0,ROUND($E213*$F213,2),ROUND($E213*$F213*$G213,2))</f>
        <v>4717.01</v>
      </c>
      <c r="J213" s="24"/>
      <c r="K213" s="24"/>
      <c r="L213" s="24"/>
      <c r="M213" s="24">
        <f>IF($H213=0,ROUND($E213*(M$220/12),2),ROUND($E213*$H213*(M$220/12),2))</f>
        <v>555.26</v>
      </c>
      <c r="N213" s="61"/>
      <c r="O213" s="24">
        <f>ROUND(((($I213)*(O$220/12))/27)*O$223,2)</f>
        <v>76.43</v>
      </c>
      <c r="P213" s="24">
        <f>ROUND(((($I213)*(P$220/12))/27)*P$223,2)</f>
        <v>76.43</v>
      </c>
      <c r="Q213" s="24">
        <f>ROUND(((($I213+$M213)*(Q$220/12))*O$223)/27,2)</f>
        <v>48.82</v>
      </c>
      <c r="R213" s="24">
        <f>ROUND(((($I213+$M213)*(R$220/12))*P$223)/27,2)</f>
        <v>48.82</v>
      </c>
      <c r="S213" s="24"/>
      <c r="T213" s="24"/>
      <c r="U213" s="24">
        <f>ROUND(((($I213/9)*U$220)*3)*U$223,2)</f>
        <v>43.24</v>
      </c>
      <c r="V213" s="24">
        <f>ROUND(((($I213/9)*V$220)*3)*V$223,2)</f>
        <v>43.24</v>
      </c>
      <c r="W213" s="24">
        <f t="shared" si="133"/>
        <v>10.92</v>
      </c>
      <c r="X213" s="24">
        <f t="shared" si="133"/>
        <v>10.92</v>
      </c>
      <c r="Y213" s="24">
        <f>ROUND(((($I213)*(Y$220/12))/27)*Y$223,2)</f>
        <v>12.74</v>
      </c>
      <c r="Z213" s="24">
        <f>ROUND(((($I213)*(Z$220/12))/27)*Z$223,2)</f>
        <v>12.74</v>
      </c>
      <c r="AA213" s="24"/>
      <c r="AB213" s="24"/>
      <c r="AC213" s="24">
        <f>IF($H213=0,$E213*AC$223,ROUND($E213*$H213*AC$223,2))</f>
        <v>166.58</v>
      </c>
      <c r="AD213" s="24">
        <f>IF($H213=0,$E213*AD$223,ROUND($E213*$H213*AD$223,2))</f>
        <v>166.58</v>
      </c>
      <c r="AE213" s="24"/>
      <c r="AF213" s="273"/>
      <c r="AG213" s="272"/>
    </row>
    <row r="214" spans="1:33" s="4" customFormat="1" ht="21.75" customHeight="1" thickBot="1">
      <c r="A214" s="30">
        <v>55</v>
      </c>
      <c r="B214" s="77"/>
      <c r="C214" s="91"/>
      <c r="D214" s="39"/>
      <c r="E214" s="24"/>
      <c r="F214" s="107"/>
      <c r="G214" s="90"/>
      <c r="H214" s="24"/>
      <c r="I214" s="24"/>
      <c r="J214" s="24"/>
      <c r="K214" s="24"/>
      <c r="L214" s="24"/>
      <c r="M214" s="24"/>
      <c r="N214" s="61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74"/>
      <c r="AG214" s="275"/>
    </row>
    <row r="215" spans="2:33" s="1" customFormat="1" ht="46.5" customHeight="1">
      <c r="B215" s="233" t="s">
        <v>15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5"/>
      <c r="O215" s="211">
        <f aca="true" t="shared" si="135" ref="O215:AE215">IF(SUM(O161:O214)=0," ",ROUNDUP(SUM(O161:O214),0))</f>
        <v>1683</v>
      </c>
      <c r="P215" s="211">
        <f t="shared" si="135"/>
        <v>1562</v>
      </c>
      <c r="Q215" s="211">
        <f t="shared" si="135"/>
        <v>773</v>
      </c>
      <c r="R215" s="211">
        <f t="shared" si="135"/>
        <v>773</v>
      </c>
      <c r="S215" s="211">
        <f t="shared" si="135"/>
        <v>340</v>
      </c>
      <c r="T215" s="211">
        <f t="shared" si="135"/>
        <v>227</v>
      </c>
      <c r="U215" s="211">
        <f t="shared" si="135"/>
        <v>983</v>
      </c>
      <c r="V215" s="211">
        <f t="shared" si="135"/>
        <v>915</v>
      </c>
      <c r="W215" s="211">
        <f t="shared" si="135"/>
        <v>237</v>
      </c>
      <c r="X215" s="211">
        <f t="shared" si="135"/>
        <v>220</v>
      </c>
      <c r="Y215" s="211">
        <f t="shared" si="135"/>
        <v>277</v>
      </c>
      <c r="Z215" s="211">
        <f t="shared" si="135"/>
        <v>257</v>
      </c>
      <c r="AA215" s="211">
        <f t="shared" si="135"/>
        <v>289</v>
      </c>
      <c r="AB215" s="211">
        <f t="shared" si="135"/>
        <v>289</v>
      </c>
      <c r="AC215" s="211">
        <f t="shared" si="135"/>
        <v>855</v>
      </c>
      <c r="AD215" s="211">
        <f t="shared" si="135"/>
        <v>652</v>
      </c>
      <c r="AE215" s="211" t="str">
        <f t="shared" si="135"/>
        <v> </v>
      </c>
      <c r="AF215" s="279">
        <v>5</v>
      </c>
      <c r="AG215" s="280"/>
    </row>
    <row r="216" spans="2:33" s="1" customFormat="1" ht="46.5" customHeight="1" thickBot="1">
      <c r="B216" s="236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8"/>
      <c r="O216" s="250"/>
      <c r="P216" s="250"/>
      <c r="Q216" s="250"/>
      <c r="R216" s="250"/>
      <c r="S216" s="212"/>
      <c r="T216" s="212"/>
      <c r="U216" s="250"/>
      <c r="V216" s="250"/>
      <c r="W216" s="212"/>
      <c r="X216" s="212"/>
      <c r="Y216" s="250"/>
      <c r="Z216" s="250"/>
      <c r="AA216" s="212"/>
      <c r="AB216" s="212"/>
      <c r="AC216" s="212"/>
      <c r="AD216" s="212"/>
      <c r="AE216" s="212"/>
      <c r="AF216" s="276">
        <f>$AF$68</f>
        <v>18</v>
      </c>
      <c r="AG216" s="277"/>
    </row>
    <row r="217" spans="1:34" ht="36" customHeight="1">
      <c r="A217" s="10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T217"/>
      <c r="U217" s="49"/>
      <c r="V217" s="85"/>
      <c r="W217" s="49"/>
      <c r="X217" s="49"/>
      <c r="Y217" s="85"/>
      <c r="Z217" s="49"/>
      <c r="AC217" s="49"/>
      <c r="AD217" s="49"/>
      <c r="AF217" s="49"/>
      <c r="AG217" s="49"/>
      <c r="AH217" s="11"/>
    </row>
    <row r="218" spans="2:33" ht="12.75"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T218"/>
      <c r="U218" s="49"/>
      <c r="V218" s="85"/>
      <c r="W218" s="49"/>
      <c r="X218" s="49"/>
      <c r="Y218" s="85"/>
      <c r="Z218" s="49"/>
      <c r="AC218" s="49"/>
      <c r="AD218" s="49"/>
      <c r="AF218" s="49"/>
      <c r="AG218" s="49"/>
    </row>
    <row r="219" spans="2:33" ht="12.75"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T219"/>
      <c r="U219" s="49"/>
      <c r="V219" s="85"/>
      <c r="W219" s="85"/>
      <c r="X219" s="85"/>
      <c r="Y219" s="85"/>
      <c r="Z219" s="49"/>
      <c r="AA219" s="85"/>
      <c r="AB219" s="49"/>
      <c r="AC219" s="49"/>
      <c r="AD219" s="49"/>
      <c r="AF219" s="49"/>
      <c r="AG219" s="49"/>
    </row>
    <row r="220" spans="2:33" ht="15.75">
      <c r="B220" s="224" t="s">
        <v>7</v>
      </c>
      <c r="C220" s="225"/>
      <c r="D220" s="225"/>
      <c r="E220" s="225"/>
      <c r="F220" s="225"/>
      <c r="G220" s="226"/>
      <c r="H220" s="53"/>
      <c r="I220" s="53"/>
      <c r="J220" s="53"/>
      <c r="K220" s="53">
        <v>4</v>
      </c>
      <c r="L220" s="53">
        <v>6</v>
      </c>
      <c r="M220" s="53">
        <v>20</v>
      </c>
      <c r="N220" s="53">
        <v>28</v>
      </c>
      <c r="O220" s="53">
        <v>10.5</v>
      </c>
      <c r="P220" s="53">
        <v>10.5</v>
      </c>
      <c r="Q220" s="101">
        <v>6</v>
      </c>
      <c r="R220" s="53">
        <v>6</v>
      </c>
      <c r="S220" s="101">
        <v>9</v>
      </c>
      <c r="T220" s="101">
        <v>9</v>
      </c>
      <c r="U220" s="94">
        <v>0.055</v>
      </c>
      <c r="V220" s="93">
        <v>0.055</v>
      </c>
      <c r="W220" s="101">
        <v>1.5</v>
      </c>
      <c r="X220" s="101">
        <v>1.5</v>
      </c>
      <c r="Y220" s="53">
        <v>1.75</v>
      </c>
      <c r="Z220" s="53">
        <v>1.75</v>
      </c>
      <c r="AA220" s="53">
        <v>1.75</v>
      </c>
      <c r="AB220" s="53">
        <v>1.75</v>
      </c>
      <c r="AC220" s="53"/>
      <c r="AD220" s="53"/>
      <c r="AF220" s="49"/>
      <c r="AG220" s="49"/>
    </row>
    <row r="221" spans="2:33" ht="15"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96">
        <f>O220/2</f>
        <v>5.25</v>
      </c>
      <c r="P221" s="96">
        <f>P220/2</f>
        <v>5.25</v>
      </c>
      <c r="Q221" s="53"/>
      <c r="R221" s="53"/>
      <c r="S221" s="49"/>
      <c r="T221" s="49"/>
      <c r="U221" s="85"/>
      <c r="V221" s="49"/>
      <c r="W221" s="49"/>
      <c r="X221" s="49"/>
      <c r="Y221" s="49"/>
      <c r="Z221" s="49"/>
      <c r="AA221" s="49"/>
      <c r="AB221" s="49"/>
      <c r="AC221" s="49"/>
      <c r="AD221" s="49"/>
      <c r="AF221" s="49"/>
      <c r="AG221" s="49"/>
    </row>
    <row r="222" spans="2:33" ht="15">
      <c r="B222" s="49"/>
      <c r="C222" s="49"/>
      <c r="D222" s="49"/>
      <c r="E222" s="49"/>
      <c r="F222" s="49"/>
      <c r="G222" s="49"/>
      <c r="H222" s="49"/>
      <c r="I222" s="49"/>
      <c r="J222" s="49"/>
      <c r="K222" s="297" t="s">
        <v>62</v>
      </c>
      <c r="L222" s="298"/>
      <c r="M222" s="298"/>
      <c r="N222" s="298"/>
      <c r="O222" s="122">
        <v>0.6</v>
      </c>
      <c r="P222" s="122">
        <v>0.4</v>
      </c>
      <c r="Q222" s="122">
        <f>$O222</f>
        <v>0.6</v>
      </c>
      <c r="R222" s="122">
        <f>$P222</f>
        <v>0.4</v>
      </c>
      <c r="S222" s="122">
        <f>$O222</f>
        <v>0.6</v>
      </c>
      <c r="T222" s="122">
        <f>$P222</f>
        <v>0.4</v>
      </c>
      <c r="U222" s="122">
        <f>$O222</f>
        <v>0.6</v>
      </c>
      <c r="V222" s="122">
        <f>$P222</f>
        <v>0.4</v>
      </c>
      <c r="W222" s="122">
        <f>$O222</f>
        <v>0.6</v>
      </c>
      <c r="X222" s="122">
        <f>$P222</f>
        <v>0.4</v>
      </c>
      <c r="Y222" s="122">
        <f>$O222</f>
        <v>0.6</v>
      </c>
      <c r="Z222" s="122">
        <f>$P222</f>
        <v>0.4</v>
      </c>
      <c r="AA222" s="122">
        <f>$O222</f>
        <v>0.6</v>
      </c>
      <c r="AB222" s="122">
        <f>$P222</f>
        <v>0.4</v>
      </c>
      <c r="AC222" s="122">
        <f>$O222</f>
        <v>0.6</v>
      </c>
      <c r="AD222" s="122">
        <f>$P222</f>
        <v>0.4</v>
      </c>
      <c r="AF222" s="49"/>
      <c r="AG222" s="49"/>
    </row>
    <row r="223" spans="2:33" ht="15">
      <c r="B223" s="49"/>
      <c r="C223" s="49"/>
      <c r="D223" s="49"/>
      <c r="E223" s="49"/>
      <c r="F223" s="49"/>
      <c r="G223" s="49"/>
      <c r="H223" s="49"/>
      <c r="I223" s="49"/>
      <c r="J223" s="49"/>
      <c r="K223" s="297" t="s">
        <v>63</v>
      </c>
      <c r="L223" s="298"/>
      <c r="M223" s="298"/>
      <c r="N223" s="298"/>
      <c r="O223" s="122">
        <v>0.5</v>
      </c>
      <c r="P223" s="122">
        <v>0.5</v>
      </c>
      <c r="Q223" s="122">
        <f>$O223</f>
        <v>0.5</v>
      </c>
      <c r="R223" s="122">
        <f>$P223</f>
        <v>0.5</v>
      </c>
      <c r="S223" s="122">
        <f>$O223</f>
        <v>0.5</v>
      </c>
      <c r="T223" s="122">
        <f>$P223</f>
        <v>0.5</v>
      </c>
      <c r="U223" s="122">
        <f>$O223</f>
        <v>0.5</v>
      </c>
      <c r="V223" s="122">
        <f>$P223</f>
        <v>0.5</v>
      </c>
      <c r="W223" s="122">
        <f>$O223</f>
        <v>0.5</v>
      </c>
      <c r="X223" s="122">
        <f>$P223</f>
        <v>0.5</v>
      </c>
      <c r="Y223" s="122">
        <f>$O223</f>
        <v>0.5</v>
      </c>
      <c r="Z223" s="122">
        <f>$P223</f>
        <v>0.5</v>
      </c>
      <c r="AA223" s="122">
        <f>$O223</f>
        <v>0.5</v>
      </c>
      <c r="AB223" s="122">
        <f>$P223</f>
        <v>0.5</v>
      </c>
      <c r="AC223" s="122">
        <f>$O223</f>
        <v>0.5</v>
      </c>
      <c r="AD223" s="122">
        <f>$P223</f>
        <v>0.5</v>
      </c>
      <c r="AF223" s="49"/>
      <c r="AG223" s="49"/>
    </row>
    <row r="224" spans="2:33" ht="12.75"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T224"/>
      <c r="U224" s="85"/>
      <c r="V224" s="49"/>
      <c r="W224" s="49"/>
      <c r="X224" s="49"/>
      <c r="Y224" s="49"/>
      <c r="Z224" s="49"/>
      <c r="AC224" s="49"/>
      <c r="AD224" s="49"/>
      <c r="AF224" s="49"/>
      <c r="AG224" s="49"/>
    </row>
    <row r="225" spans="2:34" s="3" customFormat="1" ht="36" customHeight="1" thickBot="1">
      <c r="B225" s="54" t="s">
        <v>12</v>
      </c>
      <c r="C225" s="55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229">
        <v>5</v>
      </c>
      <c r="P225" s="229"/>
      <c r="Q225" s="229">
        <v>7</v>
      </c>
      <c r="R225" s="229"/>
      <c r="S225" s="229">
        <v>2</v>
      </c>
      <c r="T225" s="229"/>
      <c r="U225" s="229">
        <v>1</v>
      </c>
      <c r="V225" s="229"/>
      <c r="Y225" s="229">
        <v>3</v>
      </c>
      <c r="Z225" s="229"/>
      <c r="AC225" s="257">
        <v>20</v>
      </c>
      <c r="AD225" s="257"/>
      <c r="AF225" s="98"/>
      <c r="AG225" s="98"/>
      <c r="AH225" s="13"/>
    </row>
    <row r="226" spans="2:33" s="4" customFormat="1" ht="21.75" customHeight="1">
      <c r="B226" s="233" t="s">
        <v>0</v>
      </c>
      <c r="C226" s="299"/>
      <c r="D226" s="251" t="s">
        <v>3</v>
      </c>
      <c r="E226" s="251" t="s">
        <v>4</v>
      </c>
      <c r="F226" s="251" t="s">
        <v>5</v>
      </c>
      <c r="G226" s="254" t="s">
        <v>43</v>
      </c>
      <c r="H226" s="254" t="s">
        <v>45</v>
      </c>
      <c r="I226" s="251" t="s">
        <v>6</v>
      </c>
      <c r="J226" s="254" t="s">
        <v>26</v>
      </c>
      <c r="K226" s="254" t="s">
        <v>19</v>
      </c>
      <c r="L226" s="254" t="s">
        <v>46</v>
      </c>
      <c r="M226" s="254" t="s">
        <v>61</v>
      </c>
      <c r="N226" s="254" t="s">
        <v>44</v>
      </c>
      <c r="O226" s="216">
        <v>302</v>
      </c>
      <c r="P226" s="217"/>
      <c r="Q226" s="216">
        <v>304</v>
      </c>
      <c r="R226" s="217"/>
      <c r="S226" s="216">
        <v>407</v>
      </c>
      <c r="T226" s="217"/>
      <c r="U226" s="216">
        <v>442</v>
      </c>
      <c r="V226" s="217"/>
      <c r="W226" s="216">
        <v>442</v>
      </c>
      <c r="X226" s="217"/>
      <c r="Y226" s="216">
        <v>442</v>
      </c>
      <c r="Z226" s="217"/>
      <c r="AA226" s="216">
        <v>442</v>
      </c>
      <c r="AB226" s="217"/>
      <c r="AC226" s="216">
        <v>609</v>
      </c>
      <c r="AD226" s="217"/>
      <c r="AE226" s="58"/>
      <c r="AF226" s="282" t="s">
        <v>38</v>
      </c>
      <c r="AG226" s="282" t="s">
        <v>58</v>
      </c>
    </row>
    <row r="227" spans="2:33" s="4" customFormat="1" ht="27.75" customHeight="1">
      <c r="B227" s="293"/>
      <c r="C227" s="300"/>
      <c r="D227" s="255"/>
      <c r="E227" s="255"/>
      <c r="F227" s="255"/>
      <c r="G227" s="242"/>
      <c r="H227" s="242"/>
      <c r="I227" s="252"/>
      <c r="J227" s="255"/>
      <c r="K227" s="255"/>
      <c r="L227" s="242"/>
      <c r="M227" s="242"/>
      <c r="N227" s="242"/>
      <c r="O227" s="218" t="s">
        <v>37</v>
      </c>
      <c r="P227" s="219"/>
      <c r="Q227" s="218" t="s">
        <v>121</v>
      </c>
      <c r="R227" s="219"/>
      <c r="S227" s="218" t="s">
        <v>122</v>
      </c>
      <c r="T227" s="219"/>
      <c r="U227" s="218" t="s">
        <v>138</v>
      </c>
      <c r="V227" s="219"/>
      <c r="W227" s="218" t="s">
        <v>150</v>
      </c>
      <c r="X227" s="219"/>
      <c r="Y227" s="218" t="s">
        <v>27</v>
      </c>
      <c r="Z227" s="219"/>
      <c r="AA227" s="218" t="s">
        <v>97</v>
      </c>
      <c r="AB227" s="219"/>
      <c r="AC227" s="218" t="s">
        <v>47</v>
      </c>
      <c r="AD227" s="219"/>
      <c r="AE227" s="241"/>
      <c r="AF227" s="283"/>
      <c r="AG227" s="304"/>
    </row>
    <row r="228" spans="2:33" s="4" customFormat="1" ht="27.75" customHeight="1" thickBot="1">
      <c r="B228" s="293"/>
      <c r="C228" s="300"/>
      <c r="D228" s="255"/>
      <c r="E228" s="255"/>
      <c r="F228" s="255"/>
      <c r="G228" s="242"/>
      <c r="H228" s="242"/>
      <c r="I228" s="252"/>
      <c r="J228" s="255"/>
      <c r="K228" s="255"/>
      <c r="L228" s="242"/>
      <c r="M228" s="242"/>
      <c r="N228" s="242"/>
      <c r="O228" s="220"/>
      <c r="P228" s="221"/>
      <c r="Q228" s="220"/>
      <c r="R228" s="221"/>
      <c r="S228" s="220"/>
      <c r="T228" s="221"/>
      <c r="U228" s="220"/>
      <c r="V228" s="221"/>
      <c r="W228" s="220"/>
      <c r="X228" s="221"/>
      <c r="Y228" s="220"/>
      <c r="Z228" s="221"/>
      <c r="AA228" s="220"/>
      <c r="AB228" s="221"/>
      <c r="AC228" s="220"/>
      <c r="AD228" s="221"/>
      <c r="AE228" s="242"/>
      <c r="AF228" s="284"/>
      <c r="AG228" s="304"/>
    </row>
    <row r="229" spans="2:33" s="4" customFormat="1" ht="27.75" customHeight="1">
      <c r="B229" s="293"/>
      <c r="C229" s="300"/>
      <c r="D229" s="255"/>
      <c r="E229" s="255"/>
      <c r="F229" s="255"/>
      <c r="G229" s="242"/>
      <c r="H229" s="242"/>
      <c r="I229" s="252"/>
      <c r="J229" s="255"/>
      <c r="K229" s="255"/>
      <c r="L229" s="242"/>
      <c r="M229" s="242"/>
      <c r="N229" s="242"/>
      <c r="O229" s="220"/>
      <c r="P229" s="221"/>
      <c r="Q229" s="220"/>
      <c r="R229" s="221"/>
      <c r="S229" s="220"/>
      <c r="T229" s="221"/>
      <c r="U229" s="220"/>
      <c r="V229" s="221"/>
      <c r="W229" s="220"/>
      <c r="X229" s="221"/>
      <c r="Y229" s="220"/>
      <c r="Z229" s="221"/>
      <c r="AA229" s="220"/>
      <c r="AB229" s="221"/>
      <c r="AC229" s="220"/>
      <c r="AD229" s="221"/>
      <c r="AE229" s="242"/>
      <c r="AF229" s="269" t="s">
        <v>8</v>
      </c>
      <c r="AG229" s="270"/>
    </row>
    <row r="230" spans="2:33" s="4" customFormat="1" ht="27.75" customHeight="1">
      <c r="B230" s="293"/>
      <c r="C230" s="300"/>
      <c r="D230" s="255"/>
      <c r="E230" s="255"/>
      <c r="F230" s="255"/>
      <c r="G230" s="242"/>
      <c r="H230" s="242"/>
      <c r="I230" s="252"/>
      <c r="J230" s="255"/>
      <c r="K230" s="255"/>
      <c r="L230" s="242"/>
      <c r="M230" s="242"/>
      <c r="N230" s="242"/>
      <c r="O230" s="220"/>
      <c r="P230" s="221"/>
      <c r="Q230" s="220"/>
      <c r="R230" s="221"/>
      <c r="S230" s="220"/>
      <c r="T230" s="221"/>
      <c r="U230" s="220"/>
      <c r="V230" s="221"/>
      <c r="W230" s="220"/>
      <c r="X230" s="221"/>
      <c r="Y230" s="220"/>
      <c r="Z230" s="221"/>
      <c r="AA230" s="220"/>
      <c r="AB230" s="221"/>
      <c r="AC230" s="220"/>
      <c r="AD230" s="221"/>
      <c r="AE230" s="242"/>
      <c r="AF230" s="271"/>
      <c r="AG230" s="272"/>
    </row>
    <row r="231" spans="2:33" s="4" customFormat="1" ht="27.75" customHeight="1">
      <c r="B231" s="293"/>
      <c r="C231" s="300"/>
      <c r="D231" s="255"/>
      <c r="E231" s="255"/>
      <c r="F231" s="255"/>
      <c r="G231" s="242"/>
      <c r="H231" s="242"/>
      <c r="I231" s="252"/>
      <c r="J231" s="255"/>
      <c r="K231" s="255"/>
      <c r="L231" s="242"/>
      <c r="M231" s="242"/>
      <c r="N231" s="242"/>
      <c r="O231" s="220"/>
      <c r="P231" s="221"/>
      <c r="Q231" s="220"/>
      <c r="R231" s="221"/>
      <c r="S231" s="220"/>
      <c r="T231" s="221"/>
      <c r="U231" s="220"/>
      <c r="V231" s="221"/>
      <c r="W231" s="220"/>
      <c r="X231" s="221"/>
      <c r="Y231" s="220"/>
      <c r="Z231" s="221"/>
      <c r="AA231" s="220"/>
      <c r="AB231" s="221"/>
      <c r="AC231" s="220"/>
      <c r="AD231" s="221"/>
      <c r="AE231" s="242"/>
      <c r="AF231" s="271"/>
      <c r="AG231" s="272"/>
    </row>
    <row r="232" spans="2:33" s="4" customFormat="1" ht="27.75" customHeight="1">
      <c r="B232" s="293"/>
      <c r="C232" s="300"/>
      <c r="D232" s="255"/>
      <c r="E232" s="255"/>
      <c r="F232" s="255"/>
      <c r="G232" s="242"/>
      <c r="H232" s="242"/>
      <c r="I232" s="252"/>
      <c r="J232" s="255"/>
      <c r="K232" s="255"/>
      <c r="L232" s="242"/>
      <c r="M232" s="242"/>
      <c r="N232" s="242"/>
      <c r="O232" s="220"/>
      <c r="P232" s="221"/>
      <c r="Q232" s="220"/>
      <c r="R232" s="221"/>
      <c r="S232" s="220"/>
      <c r="T232" s="221"/>
      <c r="U232" s="220"/>
      <c r="V232" s="221"/>
      <c r="W232" s="220"/>
      <c r="X232" s="221"/>
      <c r="Y232" s="220"/>
      <c r="Z232" s="221"/>
      <c r="AA232" s="220"/>
      <c r="AB232" s="221"/>
      <c r="AC232" s="220"/>
      <c r="AD232" s="221"/>
      <c r="AE232" s="242"/>
      <c r="AF232" s="271"/>
      <c r="AG232" s="272"/>
    </row>
    <row r="233" spans="2:33" s="4" customFormat="1" ht="27.75" customHeight="1">
      <c r="B233" s="293"/>
      <c r="C233" s="300"/>
      <c r="D233" s="255"/>
      <c r="E233" s="255"/>
      <c r="F233" s="255"/>
      <c r="G233" s="242"/>
      <c r="H233" s="242"/>
      <c r="I233" s="252"/>
      <c r="J233" s="255"/>
      <c r="K233" s="255"/>
      <c r="L233" s="242"/>
      <c r="M233" s="242"/>
      <c r="N233" s="242"/>
      <c r="O233" s="220"/>
      <c r="P233" s="221"/>
      <c r="Q233" s="220"/>
      <c r="R233" s="221"/>
      <c r="S233" s="220"/>
      <c r="T233" s="221"/>
      <c r="U233" s="220"/>
      <c r="V233" s="221"/>
      <c r="W233" s="220"/>
      <c r="X233" s="221"/>
      <c r="Y233" s="220"/>
      <c r="Z233" s="221"/>
      <c r="AA233" s="220"/>
      <c r="AB233" s="221"/>
      <c r="AC233" s="220"/>
      <c r="AD233" s="221"/>
      <c r="AE233" s="242"/>
      <c r="AF233" s="271"/>
      <c r="AG233" s="272"/>
    </row>
    <row r="234" spans="2:33" s="5" customFormat="1" ht="27.75" customHeight="1">
      <c r="B234" s="301"/>
      <c r="C234" s="302"/>
      <c r="D234" s="256"/>
      <c r="E234" s="256"/>
      <c r="F234" s="256"/>
      <c r="G234" s="243"/>
      <c r="H234" s="243"/>
      <c r="I234" s="253"/>
      <c r="J234" s="256"/>
      <c r="K234" s="256"/>
      <c r="L234" s="243"/>
      <c r="M234" s="243"/>
      <c r="N234" s="243"/>
      <c r="O234" s="222"/>
      <c r="P234" s="223"/>
      <c r="Q234" s="222"/>
      <c r="R234" s="223"/>
      <c r="S234" s="222"/>
      <c r="T234" s="223"/>
      <c r="U234" s="222"/>
      <c r="V234" s="223"/>
      <c r="W234" s="222"/>
      <c r="X234" s="223"/>
      <c r="Y234" s="222"/>
      <c r="Z234" s="223"/>
      <c r="AA234" s="222"/>
      <c r="AB234" s="223"/>
      <c r="AC234" s="222"/>
      <c r="AD234" s="223"/>
      <c r="AE234" s="243"/>
      <c r="AF234" s="271"/>
      <c r="AG234" s="272"/>
    </row>
    <row r="235" spans="2:33" s="7" customFormat="1" ht="21.75" customHeight="1" thickBot="1">
      <c r="B235" s="56" t="s">
        <v>1</v>
      </c>
      <c r="C235" s="56" t="s">
        <v>2</v>
      </c>
      <c r="D235" s="57"/>
      <c r="E235" s="57" t="s">
        <v>14</v>
      </c>
      <c r="F235" s="57" t="s">
        <v>14</v>
      </c>
      <c r="G235" s="57"/>
      <c r="H235" s="57"/>
      <c r="I235" s="57" t="s">
        <v>21</v>
      </c>
      <c r="J235" s="57" t="s">
        <v>21</v>
      </c>
      <c r="K235" s="57" t="s">
        <v>21</v>
      </c>
      <c r="L235" s="57" t="s">
        <v>21</v>
      </c>
      <c r="M235" s="57" t="s">
        <v>21</v>
      </c>
      <c r="N235" s="57" t="s">
        <v>21</v>
      </c>
      <c r="O235" s="208" t="s">
        <v>20</v>
      </c>
      <c r="P235" s="210"/>
      <c r="Q235" s="208" t="s">
        <v>20</v>
      </c>
      <c r="R235" s="210"/>
      <c r="S235" s="208" t="s">
        <v>22</v>
      </c>
      <c r="T235" s="210"/>
      <c r="U235" s="208" t="s">
        <v>20</v>
      </c>
      <c r="V235" s="210"/>
      <c r="W235" s="208" t="s">
        <v>20</v>
      </c>
      <c r="X235" s="210"/>
      <c r="Y235" s="208" t="s">
        <v>20</v>
      </c>
      <c r="Z235" s="210"/>
      <c r="AA235" s="208" t="s">
        <v>20</v>
      </c>
      <c r="AB235" s="210"/>
      <c r="AC235" s="208" t="s">
        <v>14</v>
      </c>
      <c r="AD235" s="210"/>
      <c r="AE235" s="57"/>
      <c r="AF235" s="271"/>
      <c r="AG235" s="272"/>
    </row>
    <row r="236" spans="1:33" s="4" customFormat="1" ht="21.75" customHeight="1">
      <c r="A236" s="30">
        <v>1</v>
      </c>
      <c r="B236" s="77"/>
      <c r="C236" s="113"/>
      <c r="D236" s="39"/>
      <c r="E236" s="24"/>
      <c r="F236" s="24"/>
      <c r="G236" s="24"/>
      <c r="H236" s="24"/>
      <c r="I236" s="24"/>
      <c r="J236" s="24"/>
      <c r="K236" s="24"/>
      <c r="L236" s="24"/>
      <c r="M236" s="24"/>
      <c r="N236" s="61"/>
      <c r="O236" s="227" t="s">
        <v>59</v>
      </c>
      <c r="P236" s="227" t="s">
        <v>92</v>
      </c>
      <c r="Q236" s="227" t="s">
        <v>59</v>
      </c>
      <c r="R236" s="227" t="s">
        <v>92</v>
      </c>
      <c r="S236" s="227" t="s">
        <v>59</v>
      </c>
      <c r="T236" s="227" t="s">
        <v>92</v>
      </c>
      <c r="U236" s="227" t="s">
        <v>59</v>
      </c>
      <c r="V236" s="227" t="s">
        <v>92</v>
      </c>
      <c r="W236" s="227" t="s">
        <v>59</v>
      </c>
      <c r="X236" s="227" t="s">
        <v>92</v>
      </c>
      <c r="Y236" s="227" t="s">
        <v>59</v>
      </c>
      <c r="Z236" s="227" t="s">
        <v>92</v>
      </c>
      <c r="AA236" s="227" t="s">
        <v>59</v>
      </c>
      <c r="AB236" s="227" t="s">
        <v>92</v>
      </c>
      <c r="AC236" s="265" t="s">
        <v>59</v>
      </c>
      <c r="AD236" s="265" t="s">
        <v>92</v>
      </c>
      <c r="AE236" s="227"/>
      <c r="AF236" s="271"/>
      <c r="AG236" s="272"/>
    </row>
    <row r="237" spans="1:33" s="4" customFormat="1" ht="21.75" customHeight="1">
      <c r="A237" s="30">
        <v>2</v>
      </c>
      <c r="B237" s="230" t="s">
        <v>41</v>
      </c>
      <c r="C237" s="231"/>
      <c r="D237" s="231"/>
      <c r="E237" s="231"/>
      <c r="F237" s="231"/>
      <c r="G237" s="231"/>
      <c r="H237" s="231"/>
      <c r="I237" s="232"/>
      <c r="J237" s="24"/>
      <c r="K237" s="24"/>
      <c r="L237" s="24"/>
      <c r="M237" s="24"/>
      <c r="N237" s="61"/>
      <c r="O237" s="228"/>
      <c r="P237" s="228"/>
      <c r="Q237" s="228"/>
      <c r="R237" s="228"/>
      <c r="S237" s="228"/>
      <c r="T237" s="228"/>
      <c r="U237" s="228"/>
      <c r="V237" s="228"/>
      <c r="W237" s="228"/>
      <c r="X237" s="228"/>
      <c r="Y237" s="228"/>
      <c r="Z237" s="228"/>
      <c r="AA237" s="228"/>
      <c r="AB237" s="228"/>
      <c r="AC237" s="266"/>
      <c r="AD237" s="266"/>
      <c r="AE237" s="228"/>
      <c r="AF237" s="271"/>
      <c r="AG237" s="272"/>
    </row>
    <row r="238" spans="1:33" s="4" customFormat="1" ht="21.75" customHeight="1">
      <c r="A238" s="30">
        <v>3</v>
      </c>
      <c r="B238" s="77" t="s">
        <v>48</v>
      </c>
      <c r="C238" s="38"/>
      <c r="D238" s="39"/>
      <c r="E238" s="24"/>
      <c r="F238" s="107"/>
      <c r="G238" s="90"/>
      <c r="H238" s="24"/>
      <c r="I238" s="24"/>
      <c r="J238" s="24"/>
      <c r="K238" s="24"/>
      <c r="L238" s="24"/>
      <c r="M238" s="24"/>
      <c r="N238" s="61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71"/>
      <c r="AG238" s="272"/>
    </row>
    <row r="239" spans="1:33" s="4" customFormat="1" ht="21.75" customHeight="1">
      <c r="A239" s="30">
        <v>4</v>
      </c>
      <c r="B239" s="38">
        <v>26978.1</v>
      </c>
      <c r="C239" s="38">
        <v>27080</v>
      </c>
      <c r="D239" s="39" t="s">
        <v>16</v>
      </c>
      <c r="E239" s="24">
        <f>C239-B239</f>
        <v>101.90000000000146</v>
      </c>
      <c r="F239" s="24">
        <v>14</v>
      </c>
      <c r="G239" s="105">
        <f>ROUND((636.6198-2.25-($F239/2))/636.6198,4)</f>
        <v>0.9855</v>
      </c>
      <c r="H239" s="105">
        <f>ROUND((636.6198-2.25-($F239))/636.6198,4)</f>
        <v>0.9745</v>
      </c>
      <c r="I239" s="24">
        <f>IF(G239=0,ROUND($E239*$F239,2),ROUND($E239*$F239*$G239,2))</f>
        <v>1405.91</v>
      </c>
      <c r="J239" s="24"/>
      <c r="K239" s="24"/>
      <c r="L239" s="24"/>
      <c r="M239" s="24">
        <f>IF($H239=0,ROUND($E239*(M$295/12),2),ROUND($E239*$H239*(M$295/12),2))</f>
        <v>165.5</v>
      </c>
      <c r="N239" s="61"/>
      <c r="O239" s="24">
        <f>ROUND(((($I239)*(O$295/12))/27)*O$297,2)</f>
        <v>22.78</v>
      </c>
      <c r="P239" s="24">
        <f>ROUND(((($I239)*(P$295/12))/27)*P$297,2)</f>
        <v>22.78</v>
      </c>
      <c r="Q239" s="24">
        <f>ROUND(((($I239+$M239)*(Q$295/12))/27)*Q$297,2)</f>
        <v>14.55</v>
      </c>
      <c r="R239" s="24">
        <f>ROUND(((($I239+$M239)*(R$295/12))/27)*R$297,2)</f>
        <v>14.55</v>
      </c>
      <c r="S239" s="24">
        <f>ROUND(((($I239/9)*S$295)*3)*S$297,2)</f>
        <v>12.89</v>
      </c>
      <c r="T239" s="24">
        <f>ROUND(((($I239/9)*T$295)*3)*T$297,2)</f>
        <v>12.89</v>
      </c>
      <c r="U239" s="24">
        <f aca="true" t="shared" si="136" ref="U239:Z239">ROUND((($I239*(U$295/12))/27)*U$297,2)</f>
        <v>3.25</v>
      </c>
      <c r="V239" s="24">
        <f t="shared" si="136"/>
        <v>3.25</v>
      </c>
      <c r="W239" s="24"/>
      <c r="X239" s="24"/>
      <c r="Y239" s="24">
        <f t="shared" si="136"/>
        <v>3.8</v>
      </c>
      <c r="Z239" s="24">
        <f t="shared" si="136"/>
        <v>3.8</v>
      </c>
      <c r="AA239" s="24"/>
      <c r="AB239" s="24"/>
      <c r="AC239" s="24">
        <f>IF($H239=0,$E239*AC$297,ROUND($E239*$H239*AC$297,2))</f>
        <v>49.65</v>
      </c>
      <c r="AD239" s="24">
        <f>IF($H239=0,$E239*AD$297,ROUND($E239*$H239*AD$297,2))</f>
        <v>49.65</v>
      </c>
      <c r="AE239" s="24"/>
      <c r="AF239" s="271"/>
      <c r="AG239" s="272"/>
    </row>
    <row r="240" spans="1:33" s="4" customFormat="1" ht="21.75" customHeight="1">
      <c r="A240" s="30">
        <v>5</v>
      </c>
      <c r="B240" s="38">
        <f>C239</f>
        <v>27080</v>
      </c>
      <c r="C240" s="38">
        <v>27085</v>
      </c>
      <c r="D240" s="39" t="s">
        <v>16</v>
      </c>
      <c r="E240" s="24">
        <f>C240-B240</f>
        <v>5</v>
      </c>
      <c r="F240" s="24">
        <v>14</v>
      </c>
      <c r="G240" s="105">
        <f>ROUND((636.6198-2.25-($F240/2))/636.6198,4)</f>
        <v>0.9855</v>
      </c>
      <c r="H240" s="105">
        <f>ROUND((636.6198-2.25-($F240))/636.6198,4)</f>
        <v>0.9745</v>
      </c>
      <c r="I240" s="24">
        <f>IF(G240=0,ROUND($E240*$F240,2),ROUND($E240*$F240*$G240,2))</f>
        <v>68.99</v>
      </c>
      <c r="J240" s="24"/>
      <c r="K240" s="24">
        <f aca="true" t="shared" si="137" ref="K240:L243">IF($H240=0,ROUND($E240*(K$295/12),2),ROUND($E240*$H240*(K$295/12),2))</f>
        <v>1.62</v>
      </c>
      <c r="L240" s="24">
        <f t="shared" si="137"/>
        <v>2.44</v>
      </c>
      <c r="M240" s="24">
        <f>IF($H240=0,ROUND($E240*(M$295/12),2),ROUND($E240*$H240*(M$295/12),2))</f>
        <v>8.12</v>
      </c>
      <c r="N240" s="61"/>
      <c r="O240" s="24">
        <f aca="true" t="shared" si="138" ref="O240:P243">ROUND((((($I240+$M240+$L240+$K240)*(O$296/12))+(($I240+$M240+$L240+$K240+$L240)*(O$296/12)))/27)*O$297,2)</f>
        <v>1.34</v>
      </c>
      <c r="P240" s="24">
        <f t="shared" si="138"/>
        <v>1.34</v>
      </c>
      <c r="Q240" s="24">
        <f aca="true" t="shared" si="139" ref="Q240:R243">ROUND(((($I240+$M240+$L240+$K240+$L240+$L240)*(Q$295/12))/27)*Q$297,2)</f>
        <v>0.8</v>
      </c>
      <c r="R240" s="24">
        <f t="shared" si="139"/>
        <v>0.8</v>
      </c>
      <c r="S240" s="24">
        <f>ROUND((((($I240+$M240+$L240)/9)*S$295)+((($I240+$M240+$L240+$K240)/9)*S$295)+((($I240+$M240+$L240+$K240+$L240)/9)*S$295))*S$297,2)</f>
        <v>0.75</v>
      </c>
      <c r="T240" s="24">
        <f>ROUND((((($I240+$M240+$L240)/9)*T$295)+((($I240+$M240+$L240+$K240)/9)*T$295)+((($I240+$M240+$L240+$K240+$L240)/9)*T$295))*T$297,2)</f>
        <v>0.75</v>
      </c>
      <c r="U240" s="24">
        <f aca="true" t="shared" si="140" ref="U240:V243">ROUND((($I240*(U$295/12))/27)*U$297,2)</f>
        <v>0.16</v>
      </c>
      <c r="V240" s="24">
        <f t="shared" si="140"/>
        <v>0.16</v>
      </c>
      <c r="W240" s="24"/>
      <c r="X240" s="24"/>
      <c r="Y240" s="24">
        <f aca="true" t="shared" si="141" ref="Y240:Z243">ROUND(((($I240+$M240+$L240)*(Y$295/12))/27)*Y$297,2)</f>
        <v>0.21</v>
      </c>
      <c r="Z240" s="24">
        <f t="shared" si="141"/>
        <v>0.21</v>
      </c>
      <c r="AA240" s="24"/>
      <c r="AB240" s="24"/>
      <c r="AC240" s="24"/>
      <c r="AD240" s="24"/>
      <c r="AE240" s="24"/>
      <c r="AF240" s="271"/>
      <c r="AG240" s="272"/>
    </row>
    <row r="241" spans="1:33" s="4" customFormat="1" ht="21.75" customHeight="1">
      <c r="A241" s="30">
        <v>6</v>
      </c>
      <c r="B241" s="38">
        <f>C240</f>
        <v>27085</v>
      </c>
      <c r="C241" s="38">
        <v>27102.18</v>
      </c>
      <c r="D241" s="39" t="s">
        <v>16</v>
      </c>
      <c r="E241" s="24">
        <f>C241-B241</f>
        <v>17.18000000000029</v>
      </c>
      <c r="F241" s="66">
        <f>ROUND((14+13.3128)/2,2)</f>
        <v>13.66</v>
      </c>
      <c r="G241" s="105">
        <f>ROUND((636.6198-2.25-($F241/2))/636.6198,4)</f>
        <v>0.9857</v>
      </c>
      <c r="H241" s="105">
        <f>ROUND((636.6198-2.25-($F241))/636.6198,4)</f>
        <v>0.975</v>
      </c>
      <c r="I241" s="24">
        <f>IF(G241=0,ROUND($E241*$F241,2),ROUND($E241*$F241*$G241,2))</f>
        <v>231.32</v>
      </c>
      <c r="J241" s="24"/>
      <c r="K241" s="24">
        <f t="shared" si="137"/>
        <v>5.58</v>
      </c>
      <c r="L241" s="24">
        <f t="shared" si="137"/>
        <v>8.38</v>
      </c>
      <c r="M241" s="24">
        <f>IF($H241=0,ROUND($E241*(M$295/12),2),ROUND($E241*$H241*(M$295/12),2))</f>
        <v>27.92</v>
      </c>
      <c r="N241" s="61"/>
      <c r="O241" s="24">
        <f t="shared" si="138"/>
        <v>4.49</v>
      </c>
      <c r="P241" s="24">
        <f t="shared" si="138"/>
        <v>4.49</v>
      </c>
      <c r="Q241" s="24">
        <f t="shared" si="139"/>
        <v>2.68</v>
      </c>
      <c r="R241" s="24">
        <f t="shared" si="139"/>
        <v>2.68</v>
      </c>
      <c r="S241" s="24">
        <f aca="true" t="shared" si="142" ref="S241:T248">ROUND((((($I241+$M241+$L241)/9)*S$295)+((($I241+$M241+$L241+$K241)/9)*S$295)+((($I241+$M241+$L241+$K241+$L241)/9)*S$295))*S$297,2)</f>
        <v>2.51</v>
      </c>
      <c r="T241" s="24">
        <f t="shared" si="142"/>
        <v>2.51</v>
      </c>
      <c r="U241" s="24">
        <f t="shared" si="140"/>
        <v>0.54</v>
      </c>
      <c r="V241" s="24">
        <f t="shared" si="140"/>
        <v>0.54</v>
      </c>
      <c r="W241" s="24"/>
      <c r="X241" s="24"/>
      <c r="Y241" s="24">
        <f t="shared" si="141"/>
        <v>0.72</v>
      </c>
      <c r="Z241" s="24">
        <f t="shared" si="141"/>
        <v>0.72</v>
      </c>
      <c r="AA241" s="24"/>
      <c r="AB241" s="24"/>
      <c r="AC241" s="24"/>
      <c r="AD241" s="24"/>
      <c r="AE241" s="24"/>
      <c r="AF241" s="271"/>
      <c r="AG241" s="272"/>
    </row>
    <row r="242" spans="1:33" s="4" customFormat="1" ht="21.75" customHeight="1">
      <c r="A242" s="30">
        <v>7</v>
      </c>
      <c r="B242" s="38">
        <f>C241</f>
        <v>27102.18</v>
      </c>
      <c r="C242" s="38">
        <v>27135</v>
      </c>
      <c r="D242" s="39" t="s">
        <v>16</v>
      </c>
      <c r="E242" s="24">
        <f>C242-B242</f>
        <v>32.81999999999971</v>
      </c>
      <c r="F242" s="66">
        <f>ROUND((13.3128+12)/2,2)</f>
        <v>12.66</v>
      </c>
      <c r="G242" s="105">
        <f>ROUND((11459.1559-2.25-($F242/2))/11459.1559,4)</f>
        <v>0.9993</v>
      </c>
      <c r="H242" s="105">
        <f>ROUND((11459.1559-2.25-($F242))/11459.1559,4)</f>
        <v>0.9987</v>
      </c>
      <c r="I242" s="24">
        <f aca="true" t="shared" si="143" ref="I242:I248">IF(G242=0,ROUND($E242*$F242,2),ROUND($E242*$F242*$G242,2))</f>
        <v>415.21</v>
      </c>
      <c r="J242" s="24"/>
      <c r="K242" s="24">
        <f t="shared" si="137"/>
        <v>10.93</v>
      </c>
      <c r="L242" s="24">
        <f t="shared" si="137"/>
        <v>16.39</v>
      </c>
      <c r="M242" s="24">
        <f>IF($H242=0,ROUND($E242*(M$295/12),2),ROUND($E242*$H242*(M$295/12),2))</f>
        <v>54.63</v>
      </c>
      <c r="N242" s="61"/>
      <c r="O242" s="24">
        <f t="shared" si="138"/>
        <v>8.19</v>
      </c>
      <c r="P242" s="24">
        <f t="shared" si="138"/>
        <v>8.19</v>
      </c>
      <c r="Q242" s="24">
        <f t="shared" si="139"/>
        <v>4.91</v>
      </c>
      <c r="R242" s="24">
        <f t="shared" si="139"/>
        <v>4.91</v>
      </c>
      <c r="S242" s="24">
        <f t="shared" si="142"/>
        <v>4.57</v>
      </c>
      <c r="T242" s="24">
        <f t="shared" si="142"/>
        <v>4.57</v>
      </c>
      <c r="U242" s="24">
        <f t="shared" si="140"/>
        <v>0.96</v>
      </c>
      <c r="V242" s="24">
        <f t="shared" si="140"/>
        <v>0.96</v>
      </c>
      <c r="W242" s="24"/>
      <c r="X242" s="24"/>
      <c r="Y242" s="24">
        <f t="shared" si="141"/>
        <v>1.31</v>
      </c>
      <c r="Z242" s="24">
        <f t="shared" si="141"/>
        <v>1.31</v>
      </c>
      <c r="AA242" s="24"/>
      <c r="AB242" s="24"/>
      <c r="AC242" s="24"/>
      <c r="AD242" s="24"/>
      <c r="AE242" s="24"/>
      <c r="AF242" s="271"/>
      <c r="AG242" s="272"/>
    </row>
    <row r="243" spans="1:33" s="4" customFormat="1" ht="21.75" customHeight="1">
      <c r="A243" s="30">
        <v>8</v>
      </c>
      <c r="B243" s="38">
        <f>C242</f>
        <v>27135</v>
      </c>
      <c r="C243" s="38">
        <v>27178.1</v>
      </c>
      <c r="D243" s="39" t="s">
        <v>16</v>
      </c>
      <c r="E243" s="24">
        <f>C243-B243</f>
        <v>43.099999999998545</v>
      </c>
      <c r="F243" s="24">
        <v>12</v>
      </c>
      <c r="G243" s="105">
        <f>ROUND((11459.1559-2.25-($F243/2))/11459.1559,4)</f>
        <v>0.9993</v>
      </c>
      <c r="H243" s="105">
        <f>ROUND((11459.1559-2.25-($F243))/11459.1559,4)</f>
        <v>0.9988</v>
      </c>
      <c r="I243" s="24">
        <f t="shared" si="143"/>
        <v>516.84</v>
      </c>
      <c r="J243" s="24"/>
      <c r="K243" s="24">
        <f t="shared" si="137"/>
        <v>14.35</v>
      </c>
      <c r="L243" s="24">
        <f t="shared" si="137"/>
        <v>21.52</v>
      </c>
      <c r="M243" s="24">
        <f>IF($H243=0,ROUND($E243*(M$295/12),2),ROUND($E243*$H243*(M$295/12),2))</f>
        <v>71.75</v>
      </c>
      <c r="N243" s="61"/>
      <c r="O243" s="24">
        <f t="shared" si="138"/>
        <v>10.29</v>
      </c>
      <c r="P243" s="24">
        <f t="shared" si="138"/>
        <v>10.29</v>
      </c>
      <c r="Q243" s="24">
        <f t="shared" si="139"/>
        <v>6.18</v>
      </c>
      <c r="R243" s="24">
        <f t="shared" si="139"/>
        <v>6.18</v>
      </c>
      <c r="S243" s="24">
        <f t="shared" si="142"/>
        <v>5.75</v>
      </c>
      <c r="T243" s="24">
        <f t="shared" si="142"/>
        <v>5.75</v>
      </c>
      <c r="U243" s="24">
        <f t="shared" si="140"/>
        <v>1.2</v>
      </c>
      <c r="V243" s="24">
        <f t="shared" si="140"/>
        <v>1.2</v>
      </c>
      <c r="W243" s="24"/>
      <c r="X243" s="24"/>
      <c r="Y243" s="24">
        <f t="shared" si="141"/>
        <v>1.65</v>
      </c>
      <c r="Z243" s="24">
        <f t="shared" si="141"/>
        <v>1.65</v>
      </c>
      <c r="AA243" s="24"/>
      <c r="AB243" s="24"/>
      <c r="AC243" s="24"/>
      <c r="AD243" s="24"/>
      <c r="AE243" s="24"/>
      <c r="AF243" s="271"/>
      <c r="AG243" s="272"/>
    </row>
    <row r="244" spans="1:33" s="4" customFormat="1" ht="21.75" customHeight="1">
      <c r="A244" s="30">
        <v>9</v>
      </c>
      <c r="B244" s="38"/>
      <c r="C244" s="38"/>
      <c r="D244" s="39"/>
      <c r="E244" s="24"/>
      <c r="F244" s="24"/>
      <c r="G244" s="24"/>
      <c r="H244" s="24"/>
      <c r="I244" s="24"/>
      <c r="J244" s="24"/>
      <c r="K244" s="24"/>
      <c r="L244" s="24"/>
      <c r="M244" s="24"/>
      <c r="N244" s="61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71"/>
      <c r="AG244" s="272"/>
    </row>
    <row r="245" spans="1:33" s="4" customFormat="1" ht="21.75" customHeight="1">
      <c r="A245" s="30">
        <v>10</v>
      </c>
      <c r="B245" s="38">
        <f>C243</f>
        <v>27178.1</v>
      </c>
      <c r="C245" s="38">
        <v>27246.34</v>
      </c>
      <c r="D245" s="39" t="s">
        <v>16</v>
      </c>
      <c r="E245" s="24">
        <f>C245-B245</f>
        <v>68.2400000000016</v>
      </c>
      <c r="F245" s="24">
        <v>12</v>
      </c>
      <c r="G245" s="105">
        <f>ROUND((11459.1559-($F245/2))/11459.1559,4)</f>
        <v>0.9995</v>
      </c>
      <c r="H245" s="105">
        <f>ROUND((11459.1559-($F245))/11459.1559,4)</f>
        <v>0.999</v>
      </c>
      <c r="I245" s="24">
        <f t="shared" si="143"/>
        <v>818.47</v>
      </c>
      <c r="J245" s="24"/>
      <c r="K245" s="24">
        <f aca="true" t="shared" si="144" ref="K245:M248">IF($H245=0,ROUND($E245*(K$295/12),2),ROUND($E245*$H245*(K$295/12),2))</f>
        <v>22.72</v>
      </c>
      <c r="L245" s="24">
        <f t="shared" si="144"/>
        <v>34.09</v>
      </c>
      <c r="M245" s="24">
        <f t="shared" si="144"/>
        <v>113.62</v>
      </c>
      <c r="N245" s="61"/>
      <c r="O245" s="24">
        <f aca="true" t="shared" si="145" ref="O245:P248">ROUND((((($I245+$M245+$L245+$K245)*(O$296/12))+(($I245+$M245+$L245+$K245+$L245)*(O$296/12)))/27)*O$297,2)</f>
        <v>16.3</v>
      </c>
      <c r="P245" s="24">
        <f t="shared" si="145"/>
        <v>16.3</v>
      </c>
      <c r="Q245" s="24">
        <f aca="true" t="shared" si="146" ref="Q245:R248">ROUND(((($I245+$M245+$L245+$K245+$L245+$L245)*(Q$295/12))/27)*Q$297,2)</f>
        <v>9.79</v>
      </c>
      <c r="R245" s="24">
        <f t="shared" si="146"/>
        <v>9.79</v>
      </c>
      <c r="S245" s="24">
        <f t="shared" si="142"/>
        <v>9.1</v>
      </c>
      <c r="T245" s="24">
        <f t="shared" si="142"/>
        <v>9.1</v>
      </c>
      <c r="U245" s="24">
        <f aca="true" t="shared" si="147" ref="U245:V248">ROUND((($I245*(U$295/12))/27)*U$297,2)</f>
        <v>1.89</v>
      </c>
      <c r="V245" s="24">
        <f t="shared" si="147"/>
        <v>1.89</v>
      </c>
      <c r="W245" s="24"/>
      <c r="X245" s="24"/>
      <c r="Y245" s="24">
        <f aca="true" t="shared" si="148" ref="Y245:Z248">ROUND(((($I245+$M245+$L245)*(Y$295/12))/27)*Y$297,2)</f>
        <v>2.61</v>
      </c>
      <c r="Z245" s="24">
        <f t="shared" si="148"/>
        <v>2.61</v>
      </c>
      <c r="AA245" s="24"/>
      <c r="AB245" s="24"/>
      <c r="AC245" s="24"/>
      <c r="AD245" s="24"/>
      <c r="AE245" s="24"/>
      <c r="AF245" s="271"/>
      <c r="AG245" s="272"/>
    </row>
    <row r="246" spans="1:33" s="4" customFormat="1" ht="21.75" customHeight="1">
      <c r="A246" s="30">
        <v>11</v>
      </c>
      <c r="B246" s="38">
        <f>C245</f>
        <v>27246.34</v>
      </c>
      <c r="C246" s="38">
        <v>27246.93</v>
      </c>
      <c r="D246" s="39" t="s">
        <v>16</v>
      </c>
      <c r="E246" s="24">
        <f>C246-B246</f>
        <v>0.5900000000001455</v>
      </c>
      <c r="F246" s="24">
        <v>12</v>
      </c>
      <c r="G246" s="105">
        <f>ROUND((716.1972-($F246/2))/716.1972,4)</f>
        <v>0.9916</v>
      </c>
      <c r="H246" s="105">
        <f>ROUND((716.1972-($F246))/716.1972,4)</f>
        <v>0.9832</v>
      </c>
      <c r="I246" s="24">
        <f t="shared" si="143"/>
        <v>7.02</v>
      </c>
      <c r="J246" s="24"/>
      <c r="K246" s="24">
        <f t="shared" si="144"/>
        <v>0.19</v>
      </c>
      <c r="L246" s="24">
        <f t="shared" si="144"/>
        <v>0.29</v>
      </c>
      <c r="M246" s="24">
        <f t="shared" si="144"/>
        <v>0.97</v>
      </c>
      <c r="N246" s="61"/>
      <c r="O246" s="24">
        <f t="shared" si="145"/>
        <v>0.14</v>
      </c>
      <c r="P246" s="24">
        <f t="shared" si="145"/>
        <v>0.14</v>
      </c>
      <c r="Q246" s="24">
        <f t="shared" si="146"/>
        <v>0.08</v>
      </c>
      <c r="R246" s="24">
        <f t="shared" si="146"/>
        <v>0.08</v>
      </c>
      <c r="S246" s="24">
        <f t="shared" si="142"/>
        <v>0.08</v>
      </c>
      <c r="T246" s="24">
        <f t="shared" si="142"/>
        <v>0.08</v>
      </c>
      <c r="U246" s="24">
        <f t="shared" si="147"/>
        <v>0.02</v>
      </c>
      <c r="V246" s="24">
        <f t="shared" si="147"/>
        <v>0.02</v>
      </c>
      <c r="W246" s="24"/>
      <c r="X246" s="24"/>
      <c r="Y246" s="24">
        <f t="shared" si="148"/>
        <v>0.02</v>
      </c>
      <c r="Z246" s="24">
        <f t="shared" si="148"/>
        <v>0.02</v>
      </c>
      <c r="AA246" s="24"/>
      <c r="AB246" s="24"/>
      <c r="AC246" s="24"/>
      <c r="AD246" s="24"/>
      <c r="AE246" s="24"/>
      <c r="AF246" s="271"/>
      <c r="AG246" s="272"/>
    </row>
    <row r="247" spans="1:33" s="4" customFormat="1" ht="21.75" customHeight="1">
      <c r="A247" s="30">
        <v>12</v>
      </c>
      <c r="B247" s="38">
        <f>C246</f>
        <v>27246.93</v>
      </c>
      <c r="C247" s="38">
        <v>27305.93</v>
      </c>
      <c r="D247" s="39" t="s">
        <v>16</v>
      </c>
      <c r="E247" s="24">
        <f>C247-B247</f>
        <v>59</v>
      </c>
      <c r="F247" s="66">
        <f>ROUND((12+15.5)/2,2)</f>
        <v>13.75</v>
      </c>
      <c r="G247" s="105">
        <f>ROUND((716.1972-($F247/2))/716.1972,4)</f>
        <v>0.9904</v>
      </c>
      <c r="H247" s="105">
        <f>ROUND((716.1972-($F247))/716.1972,4)</f>
        <v>0.9808</v>
      </c>
      <c r="I247" s="24">
        <f t="shared" si="143"/>
        <v>803.46</v>
      </c>
      <c r="J247" s="24"/>
      <c r="K247" s="24">
        <f t="shared" si="144"/>
        <v>19.29</v>
      </c>
      <c r="L247" s="24">
        <f t="shared" si="144"/>
        <v>28.93</v>
      </c>
      <c r="M247" s="24">
        <f t="shared" si="144"/>
        <v>96.45</v>
      </c>
      <c r="N247" s="61"/>
      <c r="O247" s="24">
        <f t="shared" si="145"/>
        <v>15.6</v>
      </c>
      <c r="P247" s="24">
        <f t="shared" si="145"/>
        <v>15.6</v>
      </c>
      <c r="Q247" s="24">
        <f t="shared" si="146"/>
        <v>9.31</v>
      </c>
      <c r="R247" s="24">
        <f t="shared" si="146"/>
        <v>9.31</v>
      </c>
      <c r="S247" s="24">
        <f t="shared" si="142"/>
        <v>8.72</v>
      </c>
      <c r="T247" s="24">
        <f t="shared" si="142"/>
        <v>8.72</v>
      </c>
      <c r="U247" s="24">
        <f t="shared" si="147"/>
        <v>1.86</v>
      </c>
      <c r="V247" s="24">
        <f t="shared" si="147"/>
        <v>1.86</v>
      </c>
      <c r="W247" s="24"/>
      <c r="X247" s="24"/>
      <c r="Y247" s="24">
        <f t="shared" si="148"/>
        <v>2.51</v>
      </c>
      <c r="Z247" s="24">
        <f t="shared" si="148"/>
        <v>2.51</v>
      </c>
      <c r="AA247" s="24"/>
      <c r="AB247" s="24"/>
      <c r="AC247" s="24"/>
      <c r="AD247" s="24"/>
      <c r="AE247" s="24"/>
      <c r="AF247" s="271"/>
      <c r="AG247" s="272"/>
    </row>
    <row r="248" spans="1:33" s="4" customFormat="1" ht="21.75" customHeight="1">
      <c r="A248" s="30">
        <v>13</v>
      </c>
      <c r="B248" s="38">
        <f>C247</f>
        <v>27305.93</v>
      </c>
      <c r="C248" s="46">
        <v>27356.18</v>
      </c>
      <c r="D248" s="39" t="s">
        <v>16</v>
      </c>
      <c r="E248" s="24">
        <f>C248-B248</f>
        <v>50.25</v>
      </c>
      <c r="F248" s="66">
        <f>ROUND((15.5+11.9)/2,2)</f>
        <v>13.7</v>
      </c>
      <c r="G248" s="105">
        <f>ROUND((716.1972-($F248/2))/716.1972,4)</f>
        <v>0.9904</v>
      </c>
      <c r="H248" s="105">
        <f>ROUND((716.1972-($F248))/716.1972,4)</f>
        <v>0.9809</v>
      </c>
      <c r="I248" s="24">
        <f t="shared" si="143"/>
        <v>681.82</v>
      </c>
      <c r="J248" s="24"/>
      <c r="K248" s="24">
        <f t="shared" si="144"/>
        <v>16.43</v>
      </c>
      <c r="L248" s="24">
        <f t="shared" si="144"/>
        <v>24.65</v>
      </c>
      <c r="M248" s="24">
        <f t="shared" si="144"/>
        <v>82.15</v>
      </c>
      <c r="N248" s="61"/>
      <c r="O248" s="24">
        <f t="shared" si="145"/>
        <v>13.24</v>
      </c>
      <c r="P248" s="24">
        <f t="shared" si="145"/>
        <v>13.24</v>
      </c>
      <c r="Q248" s="24">
        <f t="shared" si="146"/>
        <v>7.91</v>
      </c>
      <c r="R248" s="24">
        <f t="shared" si="146"/>
        <v>7.91</v>
      </c>
      <c r="S248" s="24">
        <f t="shared" si="142"/>
        <v>7.4</v>
      </c>
      <c r="T248" s="24">
        <f t="shared" si="142"/>
        <v>7.4</v>
      </c>
      <c r="U248" s="24">
        <f t="shared" si="147"/>
        <v>1.58</v>
      </c>
      <c r="V248" s="24">
        <f t="shared" si="147"/>
        <v>1.58</v>
      </c>
      <c r="W248" s="24"/>
      <c r="X248" s="24"/>
      <c r="Y248" s="24">
        <f t="shared" si="148"/>
        <v>2.13</v>
      </c>
      <c r="Z248" s="24">
        <f t="shared" si="148"/>
        <v>2.13</v>
      </c>
      <c r="AA248" s="24"/>
      <c r="AB248" s="24"/>
      <c r="AC248" s="24"/>
      <c r="AD248" s="24"/>
      <c r="AE248" s="24"/>
      <c r="AF248" s="271"/>
      <c r="AG248" s="272"/>
    </row>
    <row r="249" spans="1:33" s="4" customFormat="1" ht="21.75" customHeight="1">
      <c r="A249" s="30">
        <v>14</v>
      </c>
      <c r="B249" s="38"/>
      <c r="C249" s="38"/>
      <c r="D249" s="39"/>
      <c r="E249" s="24"/>
      <c r="F249" s="107"/>
      <c r="G249" s="90"/>
      <c r="H249" s="24"/>
      <c r="I249" s="24"/>
      <c r="J249" s="24"/>
      <c r="K249" s="24"/>
      <c r="L249" s="24"/>
      <c r="M249" s="24"/>
      <c r="N249" s="61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71"/>
      <c r="AG249" s="272"/>
    </row>
    <row r="250" spans="1:33" s="4" customFormat="1" ht="21.75" customHeight="1">
      <c r="A250" s="30">
        <v>15</v>
      </c>
      <c r="B250" s="230" t="s">
        <v>50</v>
      </c>
      <c r="C250" s="231"/>
      <c r="D250" s="231"/>
      <c r="E250" s="231"/>
      <c r="F250" s="231"/>
      <c r="G250" s="231"/>
      <c r="H250" s="231"/>
      <c r="I250" s="232"/>
      <c r="J250" s="24"/>
      <c r="K250" s="24"/>
      <c r="L250" s="24"/>
      <c r="M250" s="24"/>
      <c r="N250" s="61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71"/>
      <c r="AG250" s="272"/>
    </row>
    <row r="251" spans="1:33" s="4" customFormat="1" ht="21.75" customHeight="1">
      <c r="A251" s="30">
        <v>16</v>
      </c>
      <c r="B251" s="67" t="s">
        <v>23</v>
      </c>
      <c r="C251" s="38"/>
      <c r="D251" s="39"/>
      <c r="E251" s="24"/>
      <c r="F251" s="107"/>
      <c r="G251" s="90"/>
      <c r="H251" s="24"/>
      <c r="I251" s="24"/>
      <c r="J251" s="24"/>
      <c r="K251" s="24"/>
      <c r="L251" s="24"/>
      <c r="M251" s="24"/>
      <c r="N251" s="61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71"/>
      <c r="AG251" s="272"/>
    </row>
    <row r="252" spans="1:33" s="4" customFormat="1" ht="21.75" customHeight="1">
      <c r="A252" s="30">
        <v>17</v>
      </c>
      <c r="B252" s="38">
        <v>500323.96</v>
      </c>
      <c r="C252" s="38">
        <v>500466.41</v>
      </c>
      <c r="D252" s="39" t="s">
        <v>17</v>
      </c>
      <c r="E252" s="24">
        <f>C252-B252</f>
        <v>142.44999999995343</v>
      </c>
      <c r="F252" s="66">
        <f>ROUND((12+16)/2,2)</f>
        <v>14</v>
      </c>
      <c r="G252" s="105">
        <f>ROUND((1527.8875+($F252/2))/1527.8875,4)</f>
        <v>1.0046</v>
      </c>
      <c r="H252" s="105"/>
      <c r="I252" s="24">
        <f>IF(G252=0,ROUND($E252*$F252,2),ROUND($E252*$F252*$G252,2))</f>
        <v>2003.47</v>
      </c>
      <c r="J252" s="24"/>
      <c r="K252" s="24"/>
      <c r="L252" s="24"/>
      <c r="M252" s="24"/>
      <c r="N252" s="61"/>
      <c r="O252" s="24"/>
      <c r="P252" s="24">
        <f>ROUND((($I252)*(P$295/12))/27,2)</f>
        <v>64.93</v>
      </c>
      <c r="Q252" s="24"/>
      <c r="R252" s="24">
        <f>ROUND((($I252)*(R$295/12))/27,2)</f>
        <v>37.1</v>
      </c>
      <c r="S252" s="24"/>
      <c r="T252" s="24">
        <f>ROUND((($I252/9)*T$295)*3,2)</f>
        <v>36.73</v>
      </c>
      <c r="U252" s="24"/>
      <c r="V252" s="24">
        <f>ROUND(($I252*(V$295/12))/27,2)</f>
        <v>9.28</v>
      </c>
      <c r="W252" s="24"/>
      <c r="X252" s="24"/>
      <c r="Y252" s="24"/>
      <c r="Z252" s="24">
        <f>ROUND(($I252*(Z$295/12))/27,2)</f>
        <v>10.82</v>
      </c>
      <c r="AA252" s="24"/>
      <c r="AB252" s="24">
        <f>SUM($U252:$X252)+SUM($Y252:$Z252)</f>
        <v>20.1</v>
      </c>
      <c r="AC252" s="24"/>
      <c r="AD252" s="24"/>
      <c r="AE252" s="24"/>
      <c r="AF252" s="271"/>
      <c r="AG252" s="272"/>
    </row>
    <row r="253" spans="1:33" s="4" customFormat="1" ht="21.75" customHeight="1">
      <c r="A253" s="30">
        <v>18</v>
      </c>
      <c r="B253" s="38">
        <f>C252</f>
        <v>500466.41</v>
      </c>
      <c r="C253" s="38">
        <v>500694.28</v>
      </c>
      <c r="D253" s="39" t="s">
        <v>17</v>
      </c>
      <c r="E253" s="24">
        <f>C253-B253</f>
        <v>227.87000000005355</v>
      </c>
      <c r="F253" s="24">
        <v>16</v>
      </c>
      <c r="G253" s="105">
        <f>ROUND((1527.8875+($F253/2))/1527.8875,4)</f>
        <v>1.0052</v>
      </c>
      <c r="H253" s="24"/>
      <c r="I253" s="24">
        <f>IF(G253=0,ROUND($E253*$F253,2),ROUND($E253*$F253*$G253,2))</f>
        <v>3664.88</v>
      </c>
      <c r="J253" s="24"/>
      <c r="K253" s="24"/>
      <c r="L253" s="24"/>
      <c r="M253" s="24"/>
      <c r="N253" s="61"/>
      <c r="O253" s="24"/>
      <c r="P253" s="24">
        <f>ROUND((($I253)*(P$295/12))/27,2)</f>
        <v>118.77</v>
      </c>
      <c r="Q253" s="24"/>
      <c r="R253" s="24">
        <f>ROUND((($I253)*(R$295/12))/27,2)</f>
        <v>67.87</v>
      </c>
      <c r="S253" s="24"/>
      <c r="T253" s="24">
        <f>ROUND((($I253/9)*T$295)*3,2)</f>
        <v>67.19</v>
      </c>
      <c r="U253" s="24"/>
      <c r="V253" s="24">
        <f>ROUND(($I253*(V$295/12))/27,2)</f>
        <v>16.97</v>
      </c>
      <c r="W253" s="24"/>
      <c r="X253" s="24"/>
      <c r="Y253" s="24"/>
      <c r="Z253" s="24">
        <f>ROUND(($I253*(Z$295/12))/27,2)</f>
        <v>19.79</v>
      </c>
      <c r="AA253" s="24"/>
      <c r="AB253" s="24">
        <f>SUM($U253:$X253)+SUM($Y253:$Z253)</f>
        <v>36.76</v>
      </c>
      <c r="AC253" s="24"/>
      <c r="AD253" s="24"/>
      <c r="AE253" s="24"/>
      <c r="AF253" s="271"/>
      <c r="AG253" s="272"/>
    </row>
    <row r="254" spans="1:33" s="4" customFormat="1" ht="21.75" customHeight="1">
      <c r="A254" s="30">
        <v>19</v>
      </c>
      <c r="B254" s="38">
        <f>C253</f>
        <v>500694.28</v>
      </c>
      <c r="C254" s="38">
        <v>500772.64</v>
      </c>
      <c r="D254" s="39" t="s">
        <v>17</v>
      </c>
      <c r="E254" s="24">
        <f>C254-B254</f>
        <v>78.35999999998603</v>
      </c>
      <c r="F254" s="24">
        <v>16</v>
      </c>
      <c r="G254" s="105">
        <f>ROUND((1527.8875+($F254/2))/1527.8875,4)</f>
        <v>1.0052</v>
      </c>
      <c r="H254" s="24"/>
      <c r="I254" s="24">
        <f>IF(G254=0,ROUND($E254*$F254,2),ROUND($E254*$F254*$G254,2))</f>
        <v>1260.28</v>
      </c>
      <c r="J254" s="24"/>
      <c r="K254" s="24"/>
      <c r="L254" s="24"/>
      <c r="M254" s="24"/>
      <c r="N254" s="61"/>
      <c r="O254" s="24"/>
      <c r="P254" s="24">
        <f>ROUND((($I254)*(P$295/12))/27,2)</f>
        <v>40.84</v>
      </c>
      <c r="Q254" s="24"/>
      <c r="R254" s="24">
        <f>ROUND((($I254)*(R$295/12))/27,2)</f>
        <v>23.34</v>
      </c>
      <c r="S254" s="24"/>
      <c r="T254" s="24">
        <f>ROUND((($I254/9)*T$295)*3,2)</f>
        <v>23.11</v>
      </c>
      <c r="U254" s="24"/>
      <c r="V254" s="24"/>
      <c r="W254" s="24"/>
      <c r="X254" s="24">
        <f>ROUND(($I254*(X$295/12))/27,2)</f>
        <v>5.83</v>
      </c>
      <c r="Y254" s="24"/>
      <c r="Z254" s="24">
        <f>ROUND(($I254*(Z$295/12))/27,2)</f>
        <v>6.81</v>
      </c>
      <c r="AA254" s="24"/>
      <c r="AB254" s="24">
        <f>SUM($U254:$X254)+SUM($Y254:$Z254)</f>
        <v>12.64</v>
      </c>
      <c r="AC254" s="24"/>
      <c r="AD254" s="24"/>
      <c r="AE254" s="24"/>
      <c r="AF254" s="271"/>
      <c r="AG254" s="272"/>
    </row>
    <row r="255" spans="1:33" s="4" customFormat="1" ht="21.75" customHeight="1">
      <c r="A255" s="30">
        <v>20</v>
      </c>
      <c r="B255" s="38">
        <f aca="true" t="shared" si="149" ref="B255:B264">C254</f>
        <v>500772.64</v>
      </c>
      <c r="C255" s="38">
        <v>501218.1</v>
      </c>
      <c r="D255" s="39" t="s">
        <v>17</v>
      </c>
      <c r="E255" s="24">
        <f>C255-B255</f>
        <v>445.45999999996275</v>
      </c>
      <c r="F255" s="24">
        <v>16</v>
      </c>
      <c r="G255" s="105"/>
      <c r="H255" s="24"/>
      <c r="I255" s="24">
        <f>IF(G255=0,ROUND($E255*$F255,2),ROUND($E255*$F255*$G255,2))</f>
        <v>7127.36</v>
      </c>
      <c r="J255" s="24"/>
      <c r="K255" s="24"/>
      <c r="L255" s="24"/>
      <c r="M255" s="24"/>
      <c r="N255" s="61"/>
      <c r="O255" s="24"/>
      <c r="P255" s="24">
        <f>ROUND((($I255)*(P$295/12))/27,2)</f>
        <v>230.98</v>
      </c>
      <c r="Q255" s="24"/>
      <c r="R255" s="24">
        <f>ROUND((($I255)*(R$295/12))/27,2)</f>
        <v>131.99</v>
      </c>
      <c r="S255" s="24"/>
      <c r="T255" s="24">
        <f>ROUND((($I255/9)*T$295)*3,2)</f>
        <v>130.67</v>
      </c>
      <c r="U255" s="24"/>
      <c r="V255" s="24"/>
      <c r="W255" s="24"/>
      <c r="X255" s="24">
        <f>ROUND(($I255*(X$295/12))/27,2)</f>
        <v>33</v>
      </c>
      <c r="Y255" s="24"/>
      <c r="Z255" s="24">
        <f>ROUND(($I255*(Z$295/12))/27,2)</f>
        <v>38.5</v>
      </c>
      <c r="AA255" s="24"/>
      <c r="AB255" s="24">
        <f>SUM($U255:$X255)+SUM($Y255:$Z255)</f>
        <v>71.5</v>
      </c>
      <c r="AC255" s="24"/>
      <c r="AD255" s="24"/>
      <c r="AE255" s="24"/>
      <c r="AF255" s="271"/>
      <c r="AG255" s="272"/>
    </row>
    <row r="256" spans="1:33" s="16" customFormat="1" ht="21.75" customHeight="1">
      <c r="A256" s="30">
        <v>21</v>
      </c>
      <c r="B256" s="38">
        <f t="shared" si="149"/>
        <v>501218.1</v>
      </c>
      <c r="C256" s="38">
        <v>501506.97</v>
      </c>
      <c r="D256" s="39" t="s">
        <v>17</v>
      </c>
      <c r="E256" s="24">
        <f>C256-B256</f>
        <v>288.86999999999534</v>
      </c>
      <c r="F256" s="24">
        <v>16</v>
      </c>
      <c r="G256" s="105">
        <f>ROUND((505.551+($F256/2))/505.551,4)</f>
        <v>1.0158</v>
      </c>
      <c r="H256" s="24"/>
      <c r="I256" s="24">
        <f>IF(G256=0,ROUND($E256*$F256,2),ROUND($E256*$F256*$G256,2))</f>
        <v>4694.95</v>
      </c>
      <c r="J256" s="24"/>
      <c r="K256" s="24"/>
      <c r="L256" s="24"/>
      <c r="M256" s="24"/>
      <c r="N256" s="61"/>
      <c r="O256" s="24"/>
      <c r="P256" s="24">
        <f>ROUND((($I256)*(P$295/12))/27,2)</f>
        <v>152.15</v>
      </c>
      <c r="Q256" s="24"/>
      <c r="R256" s="24">
        <f>ROUND((($I256)*(R$295/12))/27,2)</f>
        <v>86.94</v>
      </c>
      <c r="S256" s="24"/>
      <c r="T256" s="24">
        <f>ROUND((($I256/9)*T$295)*3,2)</f>
        <v>86.07</v>
      </c>
      <c r="U256" s="24"/>
      <c r="V256" s="24"/>
      <c r="W256" s="24"/>
      <c r="X256" s="24">
        <f>ROUND(($I256*(X$295/12))/27,2)</f>
        <v>21.74</v>
      </c>
      <c r="Y256" s="24"/>
      <c r="Z256" s="24">
        <f>ROUND(($I256*(Z$295/12))/27,2)</f>
        <v>25.36</v>
      </c>
      <c r="AA256" s="24"/>
      <c r="AB256" s="24">
        <f>SUM($U256:$X256)+SUM($Y256:$Z256)</f>
        <v>47.099999999999994</v>
      </c>
      <c r="AC256" s="24"/>
      <c r="AD256" s="24"/>
      <c r="AE256" s="24"/>
      <c r="AF256" s="271"/>
      <c r="AG256" s="272"/>
    </row>
    <row r="257" spans="1:33" s="16" customFormat="1" ht="21.75" customHeight="1">
      <c r="A257" s="30">
        <v>22</v>
      </c>
      <c r="B257" s="38"/>
      <c r="C257" s="38"/>
      <c r="D257" s="39"/>
      <c r="E257" s="24"/>
      <c r="F257" s="24"/>
      <c r="G257" s="90"/>
      <c r="H257" s="24"/>
      <c r="I257" s="24"/>
      <c r="J257" s="24"/>
      <c r="K257" s="24"/>
      <c r="L257" s="24"/>
      <c r="M257" s="24"/>
      <c r="N257" s="61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71"/>
      <c r="AG257" s="272"/>
    </row>
    <row r="258" spans="1:33" s="16" customFormat="1" ht="21.75" customHeight="1">
      <c r="A258" s="30">
        <v>23</v>
      </c>
      <c r="B258" s="67" t="s">
        <v>24</v>
      </c>
      <c r="C258" s="38"/>
      <c r="D258" s="39"/>
      <c r="E258" s="24"/>
      <c r="F258" s="107"/>
      <c r="G258" s="90"/>
      <c r="H258" s="24"/>
      <c r="I258" s="24"/>
      <c r="J258" s="24"/>
      <c r="K258" s="24"/>
      <c r="L258" s="24"/>
      <c r="M258" s="24"/>
      <c r="N258" s="61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71"/>
      <c r="AG258" s="272"/>
    </row>
    <row r="259" spans="1:33" s="16" customFormat="1" ht="21.75" customHeight="1">
      <c r="A259" s="30">
        <v>24</v>
      </c>
      <c r="B259" s="38">
        <v>500694.28</v>
      </c>
      <c r="C259" s="38">
        <v>500772.64</v>
      </c>
      <c r="D259" s="39" t="s">
        <v>17</v>
      </c>
      <c r="E259" s="24">
        <f>C259-B259</f>
        <v>78.35999999998603</v>
      </c>
      <c r="F259" s="24">
        <v>4</v>
      </c>
      <c r="G259" s="105">
        <f>ROUND((1527.8875+12+($F259/2))/1527.8875,4)</f>
        <v>1.0092</v>
      </c>
      <c r="H259" s="105">
        <f>ROUND((1527.8875+12+($F259))/1527.8875,4)</f>
        <v>1.0105</v>
      </c>
      <c r="I259" s="24">
        <f>IF(G259=0,ROUND($E259*$F259,2),ROUND($E259*$F259*$G259,2))</f>
        <v>316.32</v>
      </c>
      <c r="J259" s="24"/>
      <c r="K259" s="24">
        <f aca="true" t="shared" si="150" ref="K259:L261">IF($H259=0,ROUND($E259*(K$295/12),2),ROUND($E259*$H259*(K$295/12),2))</f>
        <v>26.39</v>
      </c>
      <c r="L259" s="24">
        <f t="shared" si="150"/>
        <v>39.59</v>
      </c>
      <c r="M259" s="24"/>
      <c r="N259" s="61"/>
      <c r="O259" s="24"/>
      <c r="P259" s="24">
        <f>ROUND(((($I259+$K259)*(P$296/12))+(($I259+$K259+$L259)*(P$296/12)))/27,2)</f>
        <v>11.75</v>
      </c>
      <c r="Q259" s="24"/>
      <c r="R259" s="24">
        <f>ROUND((($I259+$K259+$L259+$L259)*(R$220/12))/27,2)</f>
        <v>7.81</v>
      </c>
      <c r="S259" s="24"/>
      <c r="T259" s="24">
        <f>ROUND(((($I259/9)*V$220)+((($I259+$K259)/9)*V$220)+((($I259+$K259+$L259)/9)*V$220)),2)</f>
        <v>6.36</v>
      </c>
      <c r="U259" s="24"/>
      <c r="V259" s="24"/>
      <c r="W259" s="24"/>
      <c r="X259" s="24">
        <f>ROUND(($I259*(T$220/12))/27,2)</f>
        <v>8.79</v>
      </c>
      <c r="Y259" s="24"/>
      <c r="Z259" s="24">
        <f>ROUND(($I259*(Z$220/12))/27,2)</f>
        <v>1.71</v>
      </c>
      <c r="AA259" s="24"/>
      <c r="AB259" s="24"/>
      <c r="AC259" s="24"/>
      <c r="AD259" s="24"/>
      <c r="AE259" s="24"/>
      <c r="AF259" s="271"/>
      <c r="AG259" s="272"/>
    </row>
    <row r="260" spans="1:33" s="4" customFormat="1" ht="21.75" customHeight="1">
      <c r="A260" s="30">
        <v>25</v>
      </c>
      <c r="B260" s="38">
        <f t="shared" si="149"/>
        <v>500772.64</v>
      </c>
      <c r="C260" s="38">
        <v>501218.1</v>
      </c>
      <c r="D260" s="39" t="s">
        <v>17</v>
      </c>
      <c r="E260" s="24">
        <f>C260-B260</f>
        <v>445.45999999996275</v>
      </c>
      <c r="F260" s="24">
        <v>4</v>
      </c>
      <c r="G260" s="105"/>
      <c r="H260" s="105"/>
      <c r="I260" s="24">
        <f>IF(G260=0,ROUND($E260*$F260,2),ROUND($E260*$F260*$G260,2))</f>
        <v>1781.84</v>
      </c>
      <c r="J260" s="24"/>
      <c r="K260" s="24">
        <f t="shared" si="150"/>
        <v>148.49</v>
      </c>
      <c r="L260" s="24">
        <f t="shared" si="150"/>
        <v>222.73</v>
      </c>
      <c r="M260" s="24"/>
      <c r="N260" s="61"/>
      <c r="O260" s="24"/>
      <c r="P260" s="24">
        <f>ROUND(((($I260+$K260)*(P$296/12))+(($I260+$K260+$L260)*(P$296/12)))/27,2)</f>
        <v>66.17</v>
      </c>
      <c r="Q260" s="24"/>
      <c r="R260" s="24">
        <f>ROUND((($I260+$K260+$L260+$L260)*(R$220/12))/27,2)</f>
        <v>44</v>
      </c>
      <c r="S260" s="24"/>
      <c r="T260" s="24">
        <f>ROUND(((($I260/9)*V$220)+((($I260+$K260)/9)*V$220)+((($I260+$K260+$L260)/9)*V$220)),2)</f>
        <v>35.84</v>
      </c>
      <c r="U260" s="24"/>
      <c r="V260" s="24"/>
      <c r="W260" s="24"/>
      <c r="X260" s="24">
        <f>ROUND(($I260*(T$220/12))/27,2)</f>
        <v>49.5</v>
      </c>
      <c r="Y260" s="24"/>
      <c r="Z260" s="24">
        <f>ROUND(($I260*(Z$220/12))/27,2)</f>
        <v>9.62</v>
      </c>
      <c r="AA260" s="24"/>
      <c r="AB260" s="24"/>
      <c r="AC260" s="24"/>
      <c r="AD260" s="24"/>
      <c r="AE260" s="24"/>
      <c r="AF260" s="271"/>
      <c r="AG260" s="272"/>
    </row>
    <row r="261" spans="1:33" s="4" customFormat="1" ht="21.75" customHeight="1">
      <c r="A261" s="30">
        <v>26</v>
      </c>
      <c r="B261" s="38">
        <f t="shared" si="149"/>
        <v>501218.1</v>
      </c>
      <c r="C261" s="38">
        <v>501507.72</v>
      </c>
      <c r="D261" s="39" t="s">
        <v>17</v>
      </c>
      <c r="E261" s="24">
        <f>C261-B261</f>
        <v>289.61999999999534</v>
      </c>
      <c r="F261" s="24">
        <v>4</v>
      </c>
      <c r="G261" s="105">
        <f>ROUND((505.551+12+($F261/2))/505.551,4)</f>
        <v>1.0277</v>
      </c>
      <c r="H261" s="105">
        <f>ROUND((505.551+12+($F261))/505.551,4)</f>
        <v>1.0316</v>
      </c>
      <c r="I261" s="24">
        <f>IF(G261=0,ROUND($E261*$F261,2),ROUND($E261*$F261*$G261,2))</f>
        <v>1190.57</v>
      </c>
      <c r="J261" s="24"/>
      <c r="K261" s="24">
        <f t="shared" si="150"/>
        <v>99.59</v>
      </c>
      <c r="L261" s="24">
        <f t="shared" si="150"/>
        <v>149.39</v>
      </c>
      <c r="M261" s="24"/>
      <c r="N261" s="61"/>
      <c r="O261" s="24"/>
      <c r="P261" s="24">
        <f>ROUND(((($I261+$K261)*(P$296/12))+(($I261+$K261+$L261)*(P$296/12)))/27,2)</f>
        <v>44.23</v>
      </c>
      <c r="Q261" s="24"/>
      <c r="R261" s="24">
        <f>ROUND((($I261+$K261+$L261+$L261)*(R$220/12))/27,2)</f>
        <v>29.42</v>
      </c>
      <c r="S261" s="24"/>
      <c r="T261" s="24">
        <f>ROUND(((($I261/9)*V$220)+((($I261+$K261)/9)*V$220)+((($I261+$K261+$L261)/9)*V$220)),2)</f>
        <v>23.96</v>
      </c>
      <c r="U261" s="24"/>
      <c r="V261" s="24"/>
      <c r="W261" s="24"/>
      <c r="X261" s="24">
        <f>ROUND(($I261*(T$220/12))/27,2)</f>
        <v>33.07</v>
      </c>
      <c r="Y261" s="24"/>
      <c r="Z261" s="24">
        <f>ROUND(($I261*(Z$220/12))/27,2)</f>
        <v>6.43</v>
      </c>
      <c r="AA261" s="24"/>
      <c r="AB261" s="24"/>
      <c r="AC261" s="24"/>
      <c r="AD261" s="24"/>
      <c r="AE261" s="24"/>
      <c r="AF261" s="271"/>
      <c r="AG261" s="272"/>
    </row>
    <row r="262" spans="1:33" s="4" customFormat="1" ht="21.75" customHeight="1">
      <c r="A262" s="30">
        <v>27</v>
      </c>
      <c r="B262" s="38"/>
      <c r="C262" s="38"/>
      <c r="D262" s="39"/>
      <c r="E262" s="24"/>
      <c r="F262" s="66"/>
      <c r="G262" s="105"/>
      <c r="H262" s="105"/>
      <c r="I262" s="24"/>
      <c r="J262" s="24"/>
      <c r="K262" s="24"/>
      <c r="L262" s="24"/>
      <c r="M262" s="24"/>
      <c r="N262" s="61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71"/>
      <c r="AG262" s="272"/>
    </row>
    <row r="263" spans="1:33" s="4" customFormat="1" ht="21.75" customHeight="1">
      <c r="A263" s="30">
        <v>28</v>
      </c>
      <c r="B263" s="38">
        <v>500323.96</v>
      </c>
      <c r="C263" s="38">
        <v>500450</v>
      </c>
      <c r="D263" s="39" t="s">
        <v>16</v>
      </c>
      <c r="E263" s="24">
        <f aca="true" t="shared" si="151" ref="E263:E272">C263-B263</f>
        <v>126.03999999997905</v>
      </c>
      <c r="F263" s="24">
        <v>10</v>
      </c>
      <c r="G263" s="105">
        <f>ROUND((1527.8875-($F263/2))/1527.8875,4)</f>
        <v>0.9967</v>
      </c>
      <c r="H263" s="105">
        <f>ROUND((1527.8875-($F263))/1527.8875,4)</f>
        <v>0.9935</v>
      </c>
      <c r="I263" s="24">
        <f aca="true" t="shared" si="152" ref="I263:I272">IF(G263=0,ROUND($E263*$F263,2),ROUND($E263*$F263*$G263,2))</f>
        <v>1256.24</v>
      </c>
      <c r="J263" s="24"/>
      <c r="K263" s="24"/>
      <c r="L263" s="24"/>
      <c r="M263" s="24"/>
      <c r="N263" s="61"/>
      <c r="O263" s="24"/>
      <c r="P263" s="24">
        <f>ROUND((($I263)*(P$295/12))/27,2)</f>
        <v>40.71</v>
      </c>
      <c r="Q263" s="24"/>
      <c r="R263" s="24">
        <f>ROUND((($I263)*(R$295/12))/27,2)</f>
        <v>23.26</v>
      </c>
      <c r="S263" s="24"/>
      <c r="T263" s="24">
        <f>ROUND((($I263/9)*V$220)*3,2)</f>
        <v>23.03</v>
      </c>
      <c r="U263" s="24"/>
      <c r="V263" s="24">
        <f>ROUND(($I263*(X$220/12))/27,2)</f>
        <v>5.82</v>
      </c>
      <c r="W263" s="24"/>
      <c r="X263" s="24"/>
      <c r="Y263" s="24"/>
      <c r="Z263" s="24">
        <f>ROUND(($I263*(Z$220/12))/27,2)</f>
        <v>6.79</v>
      </c>
      <c r="AA263" s="24"/>
      <c r="AB263" s="24"/>
      <c r="AC263" s="24"/>
      <c r="AD263" s="24"/>
      <c r="AE263" s="24"/>
      <c r="AF263" s="271"/>
      <c r="AG263" s="272"/>
    </row>
    <row r="264" spans="1:33" s="4" customFormat="1" ht="21.75" customHeight="1">
      <c r="A264" s="30">
        <v>29</v>
      </c>
      <c r="B264" s="38">
        <f t="shared" si="149"/>
        <v>500450</v>
      </c>
      <c r="C264" s="38">
        <v>500466.41</v>
      </c>
      <c r="D264" s="39" t="s">
        <v>16</v>
      </c>
      <c r="E264" s="24">
        <f t="shared" si="151"/>
        <v>16.40999999997439</v>
      </c>
      <c r="F264" s="24">
        <v>10</v>
      </c>
      <c r="G264" s="105">
        <f>ROUND((1527.8875-($F264/2))/1527.8875,4)</f>
        <v>0.9967</v>
      </c>
      <c r="H264" s="105">
        <f>ROUND((1527.8875-($F264))/1527.8875,4)</f>
        <v>0.9935</v>
      </c>
      <c r="I264" s="24">
        <f t="shared" si="152"/>
        <v>163.56</v>
      </c>
      <c r="J264" s="24"/>
      <c r="K264" s="24">
        <f aca="true" t="shared" si="153" ref="K264:L267">IF($H264=0,ROUND($E264*(K$295/12),2),ROUND($E264*$H264*(K$295/12),2))</f>
        <v>5.43</v>
      </c>
      <c r="L264" s="24">
        <f t="shared" si="153"/>
        <v>8.15</v>
      </c>
      <c r="M264" s="24"/>
      <c r="N264" s="61"/>
      <c r="O264" s="24"/>
      <c r="P264" s="24">
        <f>ROUND(((($I264+$K264)*(P$296/12))+(($I264+$K264+$L264)*(P$296/12)))/27,2)</f>
        <v>5.61</v>
      </c>
      <c r="Q264" s="24"/>
      <c r="R264" s="24">
        <f aca="true" t="shared" si="154" ref="R264:R270">ROUND((($I264+$K264+$L264+$L264)*(R$220/12))/27,2)</f>
        <v>3.43</v>
      </c>
      <c r="S264" s="24"/>
      <c r="T264" s="24">
        <f>ROUND(((($I264/9)*V$220)+((($I264+$K264)/9)*V$220)+((($I264+$K264+$L264)/9)*V$220)),2)</f>
        <v>3.11</v>
      </c>
      <c r="U264" s="24"/>
      <c r="V264" s="24">
        <f>ROUND(($I264*(X$220/12))/27,2)</f>
        <v>0.76</v>
      </c>
      <c r="W264" s="24"/>
      <c r="X264" s="24"/>
      <c r="Y264" s="24"/>
      <c r="Z264" s="24">
        <f>ROUND(($I264*(Z$220/12))/27,2)</f>
        <v>0.88</v>
      </c>
      <c r="AA264" s="24"/>
      <c r="AB264" s="24"/>
      <c r="AC264" s="24"/>
      <c r="AD264" s="24"/>
      <c r="AE264" s="24"/>
      <c r="AF264" s="271"/>
      <c r="AG264" s="272"/>
    </row>
    <row r="265" spans="1:33" s="4" customFormat="1" ht="21.75" customHeight="1">
      <c r="A265" s="30">
        <v>30</v>
      </c>
      <c r="B265" s="38">
        <f>C264</f>
        <v>500466.41</v>
      </c>
      <c r="C265" s="38">
        <v>500694.28</v>
      </c>
      <c r="D265" s="39" t="s">
        <v>16</v>
      </c>
      <c r="E265" s="24">
        <f t="shared" si="151"/>
        <v>227.87000000005355</v>
      </c>
      <c r="F265" s="24">
        <v>10</v>
      </c>
      <c r="G265" s="105">
        <f>ROUND((1527.8875-($F265/2))/1527.8875,4)</f>
        <v>0.9967</v>
      </c>
      <c r="H265" s="105">
        <f>ROUND((1527.8875-($F265))/1527.8875,4)</f>
        <v>0.9935</v>
      </c>
      <c r="I265" s="24">
        <f t="shared" si="152"/>
        <v>2271.18</v>
      </c>
      <c r="J265" s="24"/>
      <c r="K265" s="24">
        <f t="shared" si="153"/>
        <v>75.46</v>
      </c>
      <c r="L265" s="24">
        <f t="shared" si="153"/>
        <v>113.19</v>
      </c>
      <c r="M265" s="24"/>
      <c r="N265" s="61"/>
      <c r="O265" s="24"/>
      <c r="P265" s="24">
        <f>ROUND(((($I265+$K265)*(P$296/12))+(($I265+$K265+$L265)*(P$296/12)))/27,2)</f>
        <v>77.88</v>
      </c>
      <c r="Q265" s="24"/>
      <c r="R265" s="24">
        <f t="shared" si="154"/>
        <v>47.65</v>
      </c>
      <c r="S265" s="24"/>
      <c r="T265" s="24">
        <f>ROUND(((($I265/9)*V$220)+((($I265+$K265)/9)*V$220)+((($I265+$K265+$L265)/9)*V$220)),2)</f>
        <v>43.25</v>
      </c>
      <c r="U265" s="24"/>
      <c r="V265" s="24">
        <f>ROUND(($I265*(X$220/12))/27,2)</f>
        <v>10.51</v>
      </c>
      <c r="W265" s="24"/>
      <c r="X265" s="24"/>
      <c r="Y265" s="24"/>
      <c r="Z265" s="24">
        <f>ROUND(($I265*(Z$220/12))/27,2)</f>
        <v>12.27</v>
      </c>
      <c r="AA265" s="24"/>
      <c r="AB265" s="24"/>
      <c r="AC265" s="24"/>
      <c r="AD265" s="24"/>
      <c r="AE265" s="24"/>
      <c r="AF265" s="271"/>
      <c r="AG265" s="272"/>
    </row>
    <row r="266" spans="1:33" s="4" customFormat="1" ht="21.75" customHeight="1">
      <c r="A266" s="30">
        <v>31</v>
      </c>
      <c r="B266" s="38">
        <f>C265</f>
        <v>500694.28</v>
      </c>
      <c r="C266" s="38">
        <v>500744.28</v>
      </c>
      <c r="D266" s="39" t="s">
        <v>16</v>
      </c>
      <c r="E266" s="24">
        <f t="shared" si="151"/>
        <v>50</v>
      </c>
      <c r="F266" s="66">
        <f>ROUND((10+8)/2,2)</f>
        <v>9</v>
      </c>
      <c r="G266" s="105">
        <f>ROUND((1527.8875-($F266/2))/1527.8875,4)</f>
        <v>0.9971</v>
      </c>
      <c r="H266" s="105">
        <f>ROUND((1527.8875-($F266))/1527.8875,4)</f>
        <v>0.9941</v>
      </c>
      <c r="I266" s="24">
        <f t="shared" si="152"/>
        <v>448.7</v>
      </c>
      <c r="J266" s="24"/>
      <c r="K266" s="24">
        <f t="shared" si="153"/>
        <v>16.57</v>
      </c>
      <c r="L266" s="24">
        <f t="shared" si="153"/>
        <v>24.85</v>
      </c>
      <c r="M266" s="24"/>
      <c r="N266" s="61"/>
      <c r="O266" s="24"/>
      <c r="P266" s="24">
        <f>ROUND(((($I266+$K266)*(P$296/12))+(($I266+$K266+$L266)*(P$296/12)))/27,2)</f>
        <v>15.48</v>
      </c>
      <c r="Q266" s="24"/>
      <c r="R266" s="24">
        <f t="shared" si="154"/>
        <v>9.54</v>
      </c>
      <c r="S266" s="24"/>
      <c r="T266" s="24">
        <f>ROUND(((($I266/9)*V$220)+((($I266+$K266)/9)*V$220)+((($I266+$K266+$L266)/9)*V$220)),2)</f>
        <v>8.58</v>
      </c>
      <c r="U266" s="24"/>
      <c r="V266" s="24"/>
      <c r="W266" s="24"/>
      <c r="X266" s="24">
        <f>ROUND(($I266*(T$220/12))/27,2)</f>
        <v>12.46</v>
      </c>
      <c r="Y266" s="24"/>
      <c r="Z266" s="24">
        <f>ROUND(($I266*(Z$220/12))/27,2)</f>
        <v>2.42</v>
      </c>
      <c r="AA266" s="24"/>
      <c r="AB266" s="24"/>
      <c r="AC266" s="24"/>
      <c r="AD266" s="24"/>
      <c r="AE266" s="24"/>
      <c r="AF266" s="271"/>
      <c r="AG266" s="272"/>
    </row>
    <row r="267" spans="1:33" s="4" customFormat="1" ht="21.75" customHeight="1">
      <c r="A267" s="30">
        <v>32</v>
      </c>
      <c r="B267" s="38">
        <f>C266</f>
        <v>500744.28</v>
      </c>
      <c r="C267" s="38">
        <v>500772.64</v>
      </c>
      <c r="D267" s="39" t="s">
        <v>16</v>
      </c>
      <c r="E267" s="24">
        <f t="shared" si="151"/>
        <v>28.35999999998603</v>
      </c>
      <c r="F267" s="24">
        <v>8</v>
      </c>
      <c r="G267" s="105">
        <f>ROUND((1527.8875-($F267/2))/1527.8875,4)</f>
        <v>0.9974</v>
      </c>
      <c r="H267" s="105">
        <f>ROUND((1527.8875-($F267))/1527.8875,4)</f>
        <v>0.9948</v>
      </c>
      <c r="I267" s="24">
        <f t="shared" si="152"/>
        <v>226.29</v>
      </c>
      <c r="J267" s="24"/>
      <c r="K267" s="24">
        <f t="shared" si="153"/>
        <v>9.4</v>
      </c>
      <c r="L267" s="24">
        <f t="shared" si="153"/>
        <v>14.11</v>
      </c>
      <c r="M267" s="24"/>
      <c r="N267" s="61"/>
      <c r="O267" s="24"/>
      <c r="P267" s="24">
        <f>ROUND(((($I267+$K267)*(P$296/12))+(($I267+$K267+$L267)*(P$296/12)))/27,2)</f>
        <v>7.87</v>
      </c>
      <c r="Q267" s="24"/>
      <c r="R267" s="24">
        <f t="shared" si="154"/>
        <v>4.89</v>
      </c>
      <c r="S267" s="24"/>
      <c r="T267" s="24">
        <f>ROUND(((($I267/9)*V$220)+((($I267+$K267)/9)*V$220)+((($I267+$K267+$L267)/9)*V$220)),2)</f>
        <v>4.35</v>
      </c>
      <c r="U267" s="24"/>
      <c r="V267" s="24"/>
      <c r="W267" s="24"/>
      <c r="X267" s="24">
        <f>ROUND(($I267*(T$220/12))/27,2)</f>
        <v>6.29</v>
      </c>
      <c r="Y267" s="24"/>
      <c r="Z267" s="24">
        <f>ROUND(($I267*(Z$220/12))/27,2)</f>
        <v>1.22</v>
      </c>
      <c r="AA267" s="24"/>
      <c r="AB267" s="24"/>
      <c r="AC267" s="24"/>
      <c r="AD267" s="24"/>
      <c r="AE267" s="24"/>
      <c r="AF267" s="271"/>
      <c r="AG267" s="272"/>
    </row>
    <row r="268" spans="1:33" s="4" customFormat="1" ht="21.75" customHeight="1">
      <c r="A268" s="30">
        <v>33</v>
      </c>
      <c r="B268" s="38"/>
      <c r="C268" s="38"/>
      <c r="D268" s="39"/>
      <c r="E268" s="24"/>
      <c r="F268" s="24"/>
      <c r="G268" s="105"/>
      <c r="H268" s="24"/>
      <c r="I268" s="24"/>
      <c r="J268" s="24"/>
      <c r="K268" s="24"/>
      <c r="L268" s="24"/>
      <c r="M268" s="24"/>
      <c r="N268" s="61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71"/>
      <c r="AG268" s="272"/>
    </row>
    <row r="269" spans="1:33" s="4" customFormat="1" ht="21.75" customHeight="1">
      <c r="A269" s="30">
        <v>34</v>
      </c>
      <c r="B269" s="38">
        <f>C267</f>
        <v>500772.64</v>
      </c>
      <c r="C269" s="38">
        <v>501218.1</v>
      </c>
      <c r="D269" s="39" t="s">
        <v>16</v>
      </c>
      <c r="E269" s="24">
        <f t="shared" si="151"/>
        <v>445.45999999996275</v>
      </c>
      <c r="F269" s="24">
        <v>8</v>
      </c>
      <c r="G269" s="105"/>
      <c r="H269" s="24"/>
      <c r="I269" s="24">
        <f t="shared" si="152"/>
        <v>3563.68</v>
      </c>
      <c r="J269" s="24"/>
      <c r="K269" s="24">
        <f>IF($H269=0,ROUND($E269*(K$295/12),2),ROUND($E269*$H269*(K$295/12),2))</f>
        <v>148.49</v>
      </c>
      <c r="L269" s="24">
        <f>IF($H269=0,ROUND($E269*(L$295/12),2),ROUND($E269*$H269*(L$295/12),2))</f>
        <v>222.73</v>
      </c>
      <c r="M269" s="24"/>
      <c r="N269" s="61"/>
      <c r="O269" s="24"/>
      <c r="P269" s="24">
        <f>ROUND(((($I269+$K269)*(P$296/12))+(($I269+$K269+$L269)*(P$296/12)))/27,2)</f>
        <v>123.91</v>
      </c>
      <c r="Q269" s="24"/>
      <c r="R269" s="24">
        <f t="shared" si="154"/>
        <v>76.99</v>
      </c>
      <c r="S269" s="24"/>
      <c r="T269" s="24">
        <f>ROUND(((($I269/9)*V$220)+((($I269+$K269)/9)*V$220)+((($I269+$K269+$L269)/9)*V$220)),2)</f>
        <v>68.51</v>
      </c>
      <c r="U269" s="24"/>
      <c r="V269" s="24"/>
      <c r="W269" s="24"/>
      <c r="X269" s="24">
        <f>ROUND(($I269*(T$220/12))/27,2)</f>
        <v>98.99</v>
      </c>
      <c r="Y269" s="24"/>
      <c r="Z269" s="24">
        <f>ROUND(($I269*(Z$220/12))/27,2)</f>
        <v>19.25</v>
      </c>
      <c r="AA269" s="24"/>
      <c r="AB269" s="24"/>
      <c r="AC269" s="24"/>
      <c r="AD269" s="24"/>
      <c r="AE269" s="24"/>
      <c r="AF269" s="271"/>
      <c r="AG269" s="272"/>
    </row>
    <row r="270" spans="1:33" s="4" customFormat="1" ht="21.75" customHeight="1">
      <c r="A270" s="30">
        <v>35</v>
      </c>
      <c r="B270" s="38">
        <f>C269</f>
        <v>501218.1</v>
      </c>
      <c r="C270" s="38">
        <v>501390</v>
      </c>
      <c r="D270" s="39" t="s">
        <v>16</v>
      </c>
      <c r="E270" s="24">
        <f t="shared" si="151"/>
        <v>171.90000000002328</v>
      </c>
      <c r="F270" s="24">
        <v>8</v>
      </c>
      <c r="G270" s="105">
        <f>ROUND((505.551-($F270/2))/505.551,4)</f>
        <v>0.9921</v>
      </c>
      <c r="H270" s="105">
        <f>ROUND((505.551-($F270))/505.551,4)</f>
        <v>0.9842</v>
      </c>
      <c r="I270" s="24">
        <f t="shared" si="152"/>
        <v>1364.34</v>
      </c>
      <c r="J270" s="24"/>
      <c r="K270" s="24">
        <f>IF($H270=0,ROUND($E270*(K$295/12),2),ROUND($E270*$H270*(K$295/12),2))</f>
        <v>56.39</v>
      </c>
      <c r="L270" s="24">
        <f>IF($H270=0,ROUND($E270*(L$295/12),2),ROUND($E270*$H270*(L$295/12),2))</f>
        <v>84.59</v>
      </c>
      <c r="M270" s="24"/>
      <c r="N270" s="61"/>
      <c r="O270" s="24"/>
      <c r="P270" s="24">
        <f>ROUND(((($I270+$K270)*(P$296/12))+(($I270+$K270+$L270)*(P$296/12)))/27,2)</f>
        <v>47.41</v>
      </c>
      <c r="Q270" s="24"/>
      <c r="R270" s="24">
        <f t="shared" si="154"/>
        <v>29.44</v>
      </c>
      <c r="S270" s="24"/>
      <c r="T270" s="24">
        <f>ROUND(((($I270/9)*V$220)+((($I270+$K270)/9)*V$220)+((($I270+$K270+$L270)/9)*V$220)),2)</f>
        <v>26.22</v>
      </c>
      <c r="U270" s="24"/>
      <c r="V270" s="24"/>
      <c r="W270" s="24"/>
      <c r="X270" s="24">
        <f>ROUND(($I270*(T$220/12))/27,2)</f>
        <v>37.9</v>
      </c>
      <c r="Y270" s="24"/>
      <c r="Z270" s="24">
        <f>ROUND(($I270*(Z$220/12))/27,2)</f>
        <v>7.37</v>
      </c>
      <c r="AA270" s="24"/>
      <c r="AB270" s="24"/>
      <c r="AC270" s="24"/>
      <c r="AD270" s="24"/>
      <c r="AE270" s="24"/>
      <c r="AF270" s="271"/>
      <c r="AG270" s="272"/>
    </row>
    <row r="271" spans="1:33" s="4" customFormat="1" ht="21.75" customHeight="1">
      <c r="A271" s="30">
        <v>36</v>
      </c>
      <c r="B271" s="38">
        <f>C270</f>
        <v>501390</v>
      </c>
      <c r="C271" s="38">
        <v>501434.17</v>
      </c>
      <c r="D271" s="39" t="s">
        <v>16</v>
      </c>
      <c r="E271" s="24">
        <f t="shared" si="151"/>
        <v>44.1699999999837</v>
      </c>
      <c r="F271" s="24">
        <v>8</v>
      </c>
      <c r="G271" s="105">
        <f>ROUND((505.551-($F271/2))/505.551,4)</f>
        <v>0.9921</v>
      </c>
      <c r="H271" s="105">
        <f>ROUND((505.551-($F271))/505.551,4)</f>
        <v>0.9842</v>
      </c>
      <c r="I271" s="24">
        <f t="shared" si="152"/>
        <v>350.57</v>
      </c>
      <c r="J271" s="24"/>
      <c r="K271" s="24"/>
      <c r="L271" s="24"/>
      <c r="M271" s="24">
        <f>IF($H271=0,ROUND($E271*(M$295/12),2),ROUND($E271*$H271*(M$295/12),2))</f>
        <v>72.45</v>
      </c>
      <c r="N271" s="61"/>
      <c r="O271" s="24"/>
      <c r="P271" s="24">
        <f>ROUND((($I271)*(P$295/12))/27,2)</f>
        <v>11.36</v>
      </c>
      <c r="Q271" s="24"/>
      <c r="R271" s="24">
        <f>ROUND((($I271+$L271+$M271)*(R$295/12))/27,2)</f>
        <v>7.83</v>
      </c>
      <c r="S271" s="24"/>
      <c r="T271" s="24">
        <f>ROUND((($I271/9)*V$220)*3,2)</f>
        <v>6.43</v>
      </c>
      <c r="U271" s="24"/>
      <c r="V271" s="24"/>
      <c r="W271" s="24"/>
      <c r="X271" s="24">
        <f>ROUND(($I271*(X$295/12))/27,2)</f>
        <v>1.62</v>
      </c>
      <c r="Y271" s="24"/>
      <c r="Z271" s="24">
        <f>ROUND(($I271*(Z$295/12))/27,2)</f>
        <v>1.89</v>
      </c>
      <c r="AA271" s="24"/>
      <c r="AB271" s="24"/>
      <c r="AC271" s="24"/>
      <c r="AD271" s="24">
        <f>IF($H271=0,$E271,ROUND($E271*$H271,2))</f>
        <v>43.47</v>
      </c>
      <c r="AE271" s="24"/>
      <c r="AF271" s="271"/>
      <c r="AG271" s="272"/>
    </row>
    <row r="272" spans="1:33" s="4" customFormat="1" ht="21.75" customHeight="1">
      <c r="A272" s="30">
        <v>37</v>
      </c>
      <c r="B272" s="38">
        <f>C271</f>
        <v>501434.17</v>
      </c>
      <c r="C272" s="38">
        <v>501505.98</v>
      </c>
      <c r="D272" s="39" t="s">
        <v>16</v>
      </c>
      <c r="E272" s="24">
        <f t="shared" si="151"/>
        <v>71.80999999999767</v>
      </c>
      <c r="F272" s="24">
        <v>8</v>
      </c>
      <c r="G272" s="105">
        <f>ROUND((505.551-($F272/2))/505.551,4)</f>
        <v>0.9921</v>
      </c>
      <c r="H272" s="105">
        <f>ROUND((505.551-($F272))/505.551,4)</f>
        <v>0.9842</v>
      </c>
      <c r="I272" s="24">
        <f t="shared" si="152"/>
        <v>569.94</v>
      </c>
      <c r="J272" s="24"/>
      <c r="K272" s="24">
        <f>IF($H272=0,ROUND($E272*(K$295/12),2),ROUND($E272*$H272*(K$295/12),2))</f>
        <v>23.56</v>
      </c>
      <c r="L272" s="24">
        <f>IF($H272=0,ROUND($E272*(L$295/12),2),ROUND($E272*$H272*(L$295/12),2))</f>
        <v>35.34</v>
      </c>
      <c r="M272" s="24">
        <f>IF($H272=0,ROUND($E272*(M$295/12),2),ROUND($E272*$H272*(M$295/12),2))</f>
        <v>117.79</v>
      </c>
      <c r="N272" s="61"/>
      <c r="O272" s="24"/>
      <c r="P272" s="24">
        <f>ROUND(((($I272+$M272+$L272+$K272)*(P$296/12))+(($I272+$M272+$L272+$K272+$L272)*(P$296/12)))/27,2)</f>
        <v>24.77</v>
      </c>
      <c r="Q272" s="24"/>
      <c r="R272" s="24">
        <f>ROUND((($I272+$M272+$L272+$K272+$L272+$L272)*(R$295/12))/27,2)</f>
        <v>15.14</v>
      </c>
      <c r="S272" s="24"/>
      <c r="T272" s="24">
        <f>ROUND((((($I272+$M272+$L272)/9)*T$295)+((($I272+$M272+$L272+$K272)/9)*T$295)+((($I272+$M272+$L272+$K272+$L272)/9)*T$295)),2)</f>
        <v>13.76</v>
      </c>
      <c r="U272" s="24"/>
      <c r="V272" s="24"/>
      <c r="W272" s="24"/>
      <c r="X272" s="24">
        <f>ROUND(($I272*(X$295/12))/27,2)</f>
        <v>2.64</v>
      </c>
      <c r="Y272" s="24"/>
      <c r="Z272" s="24">
        <f>ROUND((($I272+$M272+$L272)*(Z$295/12))/27,2)</f>
        <v>3.91</v>
      </c>
      <c r="AA272" s="24"/>
      <c r="AB272" s="24"/>
      <c r="AC272" s="24"/>
      <c r="AD272" s="24"/>
      <c r="AE272" s="24"/>
      <c r="AF272" s="271"/>
      <c r="AG272" s="272"/>
    </row>
    <row r="273" spans="1:33" s="4" customFormat="1" ht="21.75" customHeight="1" thickBot="1">
      <c r="A273" s="30">
        <v>38</v>
      </c>
      <c r="B273" s="38"/>
      <c r="C273" s="38"/>
      <c r="D273" s="39"/>
      <c r="E273" s="24"/>
      <c r="F273" s="107"/>
      <c r="G273" s="90"/>
      <c r="H273" s="24"/>
      <c r="I273" s="24"/>
      <c r="J273" s="24"/>
      <c r="K273" s="24"/>
      <c r="L273" s="24"/>
      <c r="M273" s="24"/>
      <c r="N273" s="61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81"/>
      <c r="AG273" s="275"/>
    </row>
    <row r="274" spans="1:33" s="4" customFormat="1" ht="21.75" customHeight="1">
      <c r="A274" s="30">
        <v>39</v>
      </c>
      <c r="B274" s="230" t="s">
        <v>42</v>
      </c>
      <c r="C274" s="231"/>
      <c r="D274" s="231"/>
      <c r="E274" s="231"/>
      <c r="F274" s="231"/>
      <c r="G274" s="231"/>
      <c r="H274" s="231"/>
      <c r="I274" s="232"/>
      <c r="J274" s="24"/>
      <c r="K274" s="24"/>
      <c r="L274" s="24"/>
      <c r="M274" s="24"/>
      <c r="N274" s="61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69" t="s">
        <v>39</v>
      </c>
      <c r="AG274" s="270"/>
    </row>
    <row r="275" spans="1:33" s="4" customFormat="1" ht="21.75" customHeight="1">
      <c r="A275" s="30">
        <v>40</v>
      </c>
      <c r="B275" s="67" t="s">
        <v>23</v>
      </c>
      <c r="C275" s="38"/>
      <c r="D275" s="39"/>
      <c r="E275" s="24"/>
      <c r="F275" s="107"/>
      <c r="G275" s="90"/>
      <c r="H275" s="24"/>
      <c r="I275" s="24"/>
      <c r="J275" s="24"/>
      <c r="K275" s="24"/>
      <c r="L275" s="24"/>
      <c r="M275" s="24"/>
      <c r="N275" s="61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71"/>
      <c r="AG275" s="272"/>
    </row>
    <row r="276" spans="1:33" s="4" customFormat="1" ht="21.75" customHeight="1">
      <c r="A276" s="30">
        <v>41</v>
      </c>
      <c r="B276" s="38">
        <v>300016.87</v>
      </c>
      <c r="C276" s="38">
        <v>300246.97</v>
      </c>
      <c r="D276" s="39" t="s">
        <v>17</v>
      </c>
      <c r="E276" s="24">
        <f>C276-B276</f>
        <v>230.09999999997672</v>
      </c>
      <c r="F276" s="66">
        <f>ROUND((12+16)/2,2)</f>
        <v>14</v>
      </c>
      <c r="G276" s="105">
        <f>ROUND((7639.4373+($F276/2))/7639.4373,4)</f>
        <v>1.0009</v>
      </c>
      <c r="H276" s="24"/>
      <c r="I276" s="24">
        <f>IF(G276=0,ROUND($E276*$F276,2),ROUND($E276*$F276*$G276,2))</f>
        <v>3224.3</v>
      </c>
      <c r="J276" s="24"/>
      <c r="K276" s="24"/>
      <c r="L276" s="24"/>
      <c r="M276" s="24"/>
      <c r="N276" s="61"/>
      <c r="O276" s="24">
        <f>ROUND((($I276)*(O$295/12))/27,2)</f>
        <v>104.49</v>
      </c>
      <c r="P276" s="24"/>
      <c r="Q276" s="24">
        <f>ROUND((($I276)*(Q$295/12))/27,2)</f>
        <v>59.71</v>
      </c>
      <c r="R276" s="24"/>
      <c r="S276" s="24">
        <f>ROUND((($I276/9)*S$295)*3,2)</f>
        <v>59.11</v>
      </c>
      <c r="T276" s="24"/>
      <c r="U276" s="24"/>
      <c r="V276" s="24"/>
      <c r="W276" s="24">
        <f>ROUND(($I276*(W$295/12))/27,2)</f>
        <v>14.93</v>
      </c>
      <c r="X276" s="24"/>
      <c r="Y276" s="24">
        <f>ROUND(($I276*(Y$295/12))/27,2)</f>
        <v>17.42</v>
      </c>
      <c r="Z276" s="24"/>
      <c r="AA276" s="24">
        <f>SUM($U276:$X276)+SUM($Y276:$Z276)</f>
        <v>32.35</v>
      </c>
      <c r="AB276" s="24"/>
      <c r="AC276" s="24"/>
      <c r="AD276" s="24"/>
      <c r="AE276" s="24"/>
      <c r="AF276" s="271"/>
      <c r="AG276" s="272"/>
    </row>
    <row r="277" spans="1:33" s="4" customFormat="1" ht="21.75" customHeight="1">
      <c r="A277" s="30">
        <v>42</v>
      </c>
      <c r="B277" s="38">
        <f>C276</f>
        <v>300246.97</v>
      </c>
      <c r="C277" s="38">
        <v>300288.88</v>
      </c>
      <c r="D277" s="39" t="s">
        <v>17</v>
      </c>
      <c r="E277" s="24">
        <f>C277-B277</f>
        <v>41.910000000032596</v>
      </c>
      <c r="F277" s="66">
        <v>16</v>
      </c>
      <c r="G277" s="105">
        <f>ROUND((7639.4373+($F277/2))/7639.4373,4)</f>
        <v>1.001</v>
      </c>
      <c r="H277" s="24"/>
      <c r="I277" s="24">
        <f>IF(G277=0,ROUND($E277*$F277,2),ROUND($E277*$F277*$G277,2))</f>
        <v>671.23</v>
      </c>
      <c r="J277" s="24"/>
      <c r="K277" s="24"/>
      <c r="L277" s="24"/>
      <c r="M277" s="24"/>
      <c r="N277" s="61"/>
      <c r="O277" s="24">
        <f>ROUND((($I277)*(O$295/12))/27,2)</f>
        <v>21.75</v>
      </c>
      <c r="P277" s="24"/>
      <c r="Q277" s="24">
        <f>ROUND((($I277)*(Q$295/12))/27,2)</f>
        <v>12.43</v>
      </c>
      <c r="R277" s="24"/>
      <c r="S277" s="24">
        <f>ROUND((($I277/9)*S$295)*3,2)</f>
        <v>12.31</v>
      </c>
      <c r="T277" s="24"/>
      <c r="U277" s="24"/>
      <c r="V277" s="24"/>
      <c r="W277" s="24">
        <f>ROUND(($I277*(W$295/12))/27,2)</f>
        <v>3.11</v>
      </c>
      <c r="X277" s="24"/>
      <c r="Y277" s="24">
        <f>ROUND(($I277*(Y$295/12))/27,2)</f>
        <v>3.63</v>
      </c>
      <c r="Z277" s="24"/>
      <c r="AA277" s="24">
        <f>SUM($U277:$X277)+SUM($Y277:$Z277)</f>
        <v>6.74</v>
      </c>
      <c r="AB277" s="24"/>
      <c r="AC277" s="24"/>
      <c r="AD277" s="24"/>
      <c r="AE277" s="24"/>
      <c r="AF277" s="271"/>
      <c r="AG277" s="272"/>
    </row>
    <row r="278" spans="1:33" s="4" customFormat="1" ht="21.75" customHeight="1">
      <c r="A278" s="30">
        <v>43</v>
      </c>
      <c r="B278" s="38">
        <f>C277</f>
        <v>300288.88</v>
      </c>
      <c r="C278" s="38">
        <v>300413.88</v>
      </c>
      <c r="D278" s="39" t="s">
        <v>17</v>
      </c>
      <c r="E278" s="24">
        <f>C278-B278</f>
        <v>125</v>
      </c>
      <c r="F278" s="24">
        <v>16</v>
      </c>
      <c r="G278" s="105">
        <f>ROUND((((1527.8875+($F278/2))/1527.8875)+((487.6237+($F278/2))/487.6237))/2,4)</f>
        <v>1.0108</v>
      </c>
      <c r="H278" s="24"/>
      <c r="I278" s="24">
        <f>IF(G278=0,ROUND($E278*$F278,2),ROUND($E278*$F278*$G278,2))</f>
        <v>2021.6</v>
      </c>
      <c r="J278" s="24"/>
      <c r="K278" s="24"/>
      <c r="L278" s="24"/>
      <c r="M278" s="24"/>
      <c r="N278" s="61"/>
      <c r="O278" s="24">
        <f>ROUND((($I278)*(O$295/12))/27,2)</f>
        <v>65.51</v>
      </c>
      <c r="P278" s="24"/>
      <c r="Q278" s="24">
        <f>ROUND((($I278)*(Q$295/12))/27,2)</f>
        <v>37.44</v>
      </c>
      <c r="R278" s="24"/>
      <c r="S278" s="24">
        <f>ROUND((($I278/9)*S$295)*3,2)</f>
        <v>37.06</v>
      </c>
      <c r="T278" s="24"/>
      <c r="U278" s="24"/>
      <c r="V278" s="24"/>
      <c r="W278" s="24">
        <f>ROUND(($I278*(W$295/12))/27,2)</f>
        <v>9.36</v>
      </c>
      <c r="X278" s="24"/>
      <c r="Y278" s="24">
        <f>ROUND(($I278*(Y$295/12))/27,2)</f>
        <v>10.92</v>
      </c>
      <c r="Z278" s="24"/>
      <c r="AA278" s="24">
        <f>SUM($U278:$X278)+SUM($Y278:$Z278)</f>
        <v>20.28</v>
      </c>
      <c r="AB278" s="24"/>
      <c r="AC278" s="24"/>
      <c r="AD278" s="24"/>
      <c r="AE278" s="24"/>
      <c r="AF278" s="271"/>
      <c r="AG278" s="272"/>
    </row>
    <row r="279" spans="1:33" s="4" customFormat="1" ht="21.75" customHeight="1">
      <c r="A279" s="30">
        <v>44</v>
      </c>
      <c r="B279" s="38">
        <f>C278</f>
        <v>300413.88</v>
      </c>
      <c r="C279" s="38">
        <v>300782.91</v>
      </c>
      <c r="D279" s="39" t="s">
        <v>17</v>
      </c>
      <c r="E279" s="24">
        <f>C279-B279</f>
        <v>369.02999999996973</v>
      </c>
      <c r="F279" s="24">
        <v>16</v>
      </c>
      <c r="G279" s="105">
        <f>ROUND((487.6237+($F279/2))/487.6237,4)</f>
        <v>1.0164</v>
      </c>
      <c r="H279" s="24"/>
      <c r="I279" s="24">
        <f>IF(G279=0,ROUND($E279*$F279,2),ROUND($E279*$F279*$G279,2))</f>
        <v>6001.31</v>
      </c>
      <c r="J279" s="24"/>
      <c r="K279" s="24"/>
      <c r="L279" s="24"/>
      <c r="M279" s="24"/>
      <c r="N279" s="61"/>
      <c r="O279" s="24">
        <f>ROUND((($I279)*(O$295/12))/27,2)</f>
        <v>194.49</v>
      </c>
      <c r="P279" s="24"/>
      <c r="Q279" s="24">
        <f>ROUND((($I279)*(Q$295/12))/27,2)</f>
        <v>111.14</v>
      </c>
      <c r="R279" s="24"/>
      <c r="S279" s="24">
        <f>ROUND((($I279/9)*S$295)*3,2)</f>
        <v>110.02</v>
      </c>
      <c r="T279" s="24"/>
      <c r="U279" s="24"/>
      <c r="V279" s="24"/>
      <c r="W279" s="24">
        <f>ROUND(($I279*(W$295/12))/27,2)</f>
        <v>27.78</v>
      </c>
      <c r="X279" s="24"/>
      <c r="Y279" s="24">
        <f>ROUND(($I279*(Y$295/12))/27,2)</f>
        <v>32.41</v>
      </c>
      <c r="Z279" s="24"/>
      <c r="AA279" s="24">
        <f>SUM($U279:$X279)+SUM($Y279:$Z279)</f>
        <v>60.19</v>
      </c>
      <c r="AB279" s="24"/>
      <c r="AC279" s="24"/>
      <c r="AD279" s="24"/>
      <c r="AE279" s="24"/>
      <c r="AF279" s="271"/>
      <c r="AG279" s="272"/>
    </row>
    <row r="280" spans="1:33" s="4" customFormat="1" ht="21.75" customHeight="1">
      <c r="A280" s="30">
        <v>45</v>
      </c>
      <c r="B280" s="38">
        <f>C279</f>
        <v>300782.91</v>
      </c>
      <c r="C280" s="38">
        <v>300900</v>
      </c>
      <c r="D280" s="39" t="s">
        <v>17</v>
      </c>
      <c r="E280" s="24">
        <f>C280-B280</f>
        <v>117.09000000002561</v>
      </c>
      <c r="F280" s="24">
        <v>16</v>
      </c>
      <c r="G280" s="105"/>
      <c r="H280" s="24"/>
      <c r="I280" s="24">
        <f>IF(G280=0,ROUND($E280*$F280,2),ROUND($E280*$F280*$G280,2))</f>
        <v>1873.44</v>
      </c>
      <c r="J280" s="24"/>
      <c r="K280" s="24"/>
      <c r="L280" s="24"/>
      <c r="M280" s="24"/>
      <c r="N280" s="61"/>
      <c r="O280" s="24">
        <f>ROUND((($I280)*(O$295/12))/27,2)</f>
        <v>60.71</v>
      </c>
      <c r="P280" s="24"/>
      <c r="Q280" s="24">
        <f>ROUND((($I280)*(Q$295/12))/27,2)</f>
        <v>34.69</v>
      </c>
      <c r="R280" s="24"/>
      <c r="S280" s="24">
        <f>ROUND((($I280/9)*S$295)*3,2)</f>
        <v>34.35</v>
      </c>
      <c r="T280" s="24"/>
      <c r="U280" s="24"/>
      <c r="V280" s="24"/>
      <c r="W280" s="24">
        <f>ROUND(($I280*(W$295/12))/27,2)</f>
        <v>8.67</v>
      </c>
      <c r="X280" s="24"/>
      <c r="Y280" s="24">
        <f>ROUND(($I280*(Y$295/12))/27,2)</f>
        <v>10.12</v>
      </c>
      <c r="Z280" s="24"/>
      <c r="AA280" s="24">
        <f>SUM($U280:$X280)+SUM($Y280:$Z280)</f>
        <v>18.79</v>
      </c>
      <c r="AB280" s="24"/>
      <c r="AC280" s="24"/>
      <c r="AD280" s="24"/>
      <c r="AE280" s="24"/>
      <c r="AF280" s="271"/>
      <c r="AG280" s="272"/>
    </row>
    <row r="281" spans="1:33" s="4" customFormat="1" ht="21.75" customHeight="1">
      <c r="A281" s="30">
        <v>46</v>
      </c>
      <c r="B281" s="38"/>
      <c r="C281" s="38"/>
      <c r="D281" s="39"/>
      <c r="E281" s="24"/>
      <c r="F281" s="24"/>
      <c r="G281" s="66"/>
      <c r="H281" s="24"/>
      <c r="I281" s="24"/>
      <c r="J281" s="24"/>
      <c r="K281" s="24"/>
      <c r="L281" s="24"/>
      <c r="M281" s="24"/>
      <c r="N281" s="61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71"/>
      <c r="AG281" s="272"/>
    </row>
    <row r="282" spans="1:33" s="4" customFormat="1" ht="21.75" customHeight="1">
      <c r="A282" s="30">
        <v>47</v>
      </c>
      <c r="B282" s="67" t="s">
        <v>24</v>
      </c>
      <c r="C282" s="38"/>
      <c r="D282" s="39"/>
      <c r="E282" s="24"/>
      <c r="F282" s="24"/>
      <c r="G282" s="66"/>
      <c r="H282" s="24"/>
      <c r="I282" s="24"/>
      <c r="J282" s="24"/>
      <c r="K282" s="24"/>
      <c r="L282" s="24"/>
      <c r="M282" s="24"/>
      <c r="N282" s="61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71"/>
      <c r="AG282" s="272"/>
    </row>
    <row r="283" spans="1:33" s="4" customFormat="1" ht="21.75" customHeight="1">
      <c r="A283" s="30">
        <v>48</v>
      </c>
      <c r="B283" s="38">
        <v>300435.94</v>
      </c>
      <c r="C283" s="38">
        <v>300782.91</v>
      </c>
      <c r="D283" s="39" t="s">
        <v>17</v>
      </c>
      <c r="E283" s="24">
        <f>C283-B283</f>
        <v>346.96999999997206</v>
      </c>
      <c r="F283" s="24">
        <v>4</v>
      </c>
      <c r="G283" s="105">
        <f>ROUND((487.6237+16+($F283/2))/487.6237,4)</f>
        <v>1.0369</v>
      </c>
      <c r="H283" s="105">
        <f>ROUND((487.6237+16+($F283))/487.6237,4)</f>
        <v>1.041</v>
      </c>
      <c r="I283" s="24">
        <f>IF(G283=0,ROUND($E283*$F283,2),ROUND($E283*$F283*$G283,2))</f>
        <v>1439.09</v>
      </c>
      <c r="J283" s="24"/>
      <c r="K283" s="24">
        <f aca="true" t="shared" si="155" ref="K283:L285">IF($H283=0,ROUND($E283*(K$295/12),2),ROUND($E283*$H283*(K$295/12),2))</f>
        <v>120.4</v>
      </c>
      <c r="L283" s="24">
        <f t="shared" si="155"/>
        <v>180.6</v>
      </c>
      <c r="M283" s="24"/>
      <c r="N283" s="61"/>
      <c r="O283" s="24">
        <f>ROUND(((($I283+$K283)*(O$296/12))+(($I283+$K283+$L283)*(O$296/12)))/27,2)</f>
        <v>53.47</v>
      </c>
      <c r="P283" s="24"/>
      <c r="Q283" s="24">
        <f>ROUND((($I283+$K283+$L283+$L283)*(Q$220/12))/27,2)</f>
        <v>35.57</v>
      </c>
      <c r="R283" s="24"/>
      <c r="S283" s="24">
        <f>ROUND(((($I283/9)*U$220)+((($I283+$K283)/9)*U$220)+((($I283+$K283+$L283)/9)*U$220)),2)</f>
        <v>28.96</v>
      </c>
      <c r="T283" s="24"/>
      <c r="U283" s="24"/>
      <c r="V283" s="24"/>
      <c r="W283" s="24">
        <f>ROUND(($I283*(S$220/12))/27,2)</f>
        <v>39.97</v>
      </c>
      <c r="X283" s="24"/>
      <c r="Y283" s="24">
        <f>ROUND(($I283*(Y$220/12))/27,2)</f>
        <v>7.77</v>
      </c>
      <c r="Z283" s="24"/>
      <c r="AA283" s="24"/>
      <c r="AB283" s="24"/>
      <c r="AC283" s="24"/>
      <c r="AD283" s="24"/>
      <c r="AE283" s="24"/>
      <c r="AF283" s="271"/>
      <c r="AG283" s="272"/>
    </row>
    <row r="284" spans="1:33" s="4" customFormat="1" ht="21.75" customHeight="1">
      <c r="A284" s="30">
        <v>49</v>
      </c>
      <c r="B284" s="38">
        <f>C283</f>
        <v>300782.91</v>
      </c>
      <c r="C284" s="46">
        <v>300875</v>
      </c>
      <c r="D284" s="39" t="s">
        <v>17</v>
      </c>
      <c r="E284" s="24">
        <f>C284-B284</f>
        <v>92.09000000002561</v>
      </c>
      <c r="F284" s="24">
        <v>4</v>
      </c>
      <c r="G284" s="105"/>
      <c r="H284" s="24"/>
      <c r="I284" s="24">
        <f>IF(G284=0,ROUND($E284*$F284,2),ROUND($E284*$F284*$G284,2))</f>
        <v>368.36</v>
      </c>
      <c r="J284" s="24"/>
      <c r="K284" s="24">
        <f t="shared" si="155"/>
        <v>30.7</v>
      </c>
      <c r="L284" s="24">
        <f t="shared" si="155"/>
        <v>46.05</v>
      </c>
      <c r="M284" s="24"/>
      <c r="N284" s="61"/>
      <c r="O284" s="24">
        <f>ROUND(((($I284+$K284)*(O$296/12))+(($I284+$K284+$L284)*(O$296/12)))/27,2)</f>
        <v>13.68</v>
      </c>
      <c r="P284" s="24"/>
      <c r="Q284" s="24">
        <f>ROUND((($I284+$K284+$L284+$L284)*(Q$220/12))/27,2)</f>
        <v>9.1</v>
      </c>
      <c r="R284" s="24"/>
      <c r="S284" s="24">
        <f>ROUND(((($I284/9)*U$220)+((($I284+$K284)/9)*U$220)+((($I284+$K284+$L284)/9)*U$220)),2)</f>
        <v>7.41</v>
      </c>
      <c r="T284" s="24"/>
      <c r="U284" s="24"/>
      <c r="V284" s="24"/>
      <c r="W284" s="24">
        <f>ROUND(($I284*(S$220/12))/27,2)</f>
        <v>10.23</v>
      </c>
      <c r="X284" s="24"/>
      <c r="Y284" s="24">
        <f>ROUND(($I284*(Y$220/12))/27,2)</f>
        <v>1.99</v>
      </c>
      <c r="Z284" s="24"/>
      <c r="AA284" s="24"/>
      <c r="AB284" s="24"/>
      <c r="AC284" s="24"/>
      <c r="AD284" s="24"/>
      <c r="AE284" s="24"/>
      <c r="AF284" s="271"/>
      <c r="AG284" s="272"/>
    </row>
    <row r="285" spans="1:33" s="4" customFormat="1" ht="21.75" customHeight="1">
      <c r="A285" s="30">
        <v>50</v>
      </c>
      <c r="B285" s="38">
        <f>C284</f>
        <v>300875</v>
      </c>
      <c r="C285" s="46">
        <v>300900</v>
      </c>
      <c r="D285" s="39" t="s">
        <v>17</v>
      </c>
      <c r="E285" s="24">
        <f>C285-B285</f>
        <v>25</v>
      </c>
      <c r="F285" s="66">
        <f>ROUND((4+3.0796)/2,2)</f>
        <v>3.54</v>
      </c>
      <c r="G285" s="105"/>
      <c r="H285" s="24"/>
      <c r="I285" s="24">
        <f>IF(G285=0,ROUND($E285*$F285,2),ROUND($E285*$F285*$G285,2))</f>
        <v>88.5</v>
      </c>
      <c r="J285" s="24"/>
      <c r="K285" s="24">
        <f t="shared" si="155"/>
        <v>8.33</v>
      </c>
      <c r="L285" s="24">
        <f t="shared" si="155"/>
        <v>12.5</v>
      </c>
      <c r="M285" s="24"/>
      <c r="N285" s="61"/>
      <c r="O285" s="24">
        <f>ROUND(((($I285+$K285)*(O$296/12))+(($I285+$K285+$L285)*(O$296/12)))/27,2)</f>
        <v>3.34</v>
      </c>
      <c r="P285" s="24"/>
      <c r="Q285" s="24">
        <f>ROUND((($I285+$K285+$L285+$L285)*(Q$220/12))/27,2)</f>
        <v>2.26</v>
      </c>
      <c r="R285" s="24"/>
      <c r="S285" s="24">
        <f>ROUND(((($I285/9)*U$220)+((($I285+$K285)/9)*U$220)+((($I285+$K285+$L285)/9)*U$220)),2)</f>
        <v>1.8</v>
      </c>
      <c r="T285" s="24"/>
      <c r="U285" s="24"/>
      <c r="V285" s="24"/>
      <c r="W285" s="24">
        <f>ROUND(($I285*(S$220/12))/27,2)</f>
        <v>2.46</v>
      </c>
      <c r="X285" s="24"/>
      <c r="Y285" s="24">
        <f>ROUND(($I285*(Y$220/12))/27,2)</f>
        <v>0.48</v>
      </c>
      <c r="Z285" s="24"/>
      <c r="AA285" s="24"/>
      <c r="AB285" s="24"/>
      <c r="AC285" s="24"/>
      <c r="AD285" s="24"/>
      <c r="AE285" s="24"/>
      <c r="AF285" s="271"/>
      <c r="AG285" s="272"/>
    </row>
    <row r="286" spans="1:33" s="4" customFormat="1" ht="21.75" customHeight="1">
      <c r="A286" s="30">
        <v>51</v>
      </c>
      <c r="B286" s="38"/>
      <c r="C286" s="46"/>
      <c r="D286" s="39"/>
      <c r="E286" s="24"/>
      <c r="F286" s="107"/>
      <c r="G286" s="90"/>
      <c r="H286" s="24"/>
      <c r="I286" s="24"/>
      <c r="J286" s="24"/>
      <c r="K286" s="24"/>
      <c r="L286" s="24"/>
      <c r="M286" s="24"/>
      <c r="N286" s="61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71"/>
      <c r="AG286" s="272"/>
    </row>
    <row r="287" spans="1:33" s="4" customFormat="1" ht="21.75" customHeight="1">
      <c r="A287" s="30">
        <v>52</v>
      </c>
      <c r="B287" s="38"/>
      <c r="C287" s="46"/>
      <c r="D287" s="39"/>
      <c r="E287" s="24"/>
      <c r="F287" s="107"/>
      <c r="G287" s="90"/>
      <c r="H287" s="24"/>
      <c r="I287" s="24"/>
      <c r="J287" s="24"/>
      <c r="K287" s="24"/>
      <c r="L287" s="24"/>
      <c r="M287" s="24"/>
      <c r="N287" s="61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73"/>
      <c r="AG287" s="272"/>
    </row>
    <row r="288" spans="1:33" s="4" customFormat="1" ht="21.75" customHeight="1">
      <c r="A288" s="30">
        <v>53</v>
      </c>
      <c r="B288" s="38"/>
      <c r="C288" s="46"/>
      <c r="D288" s="39"/>
      <c r="E288" s="24"/>
      <c r="F288" s="107"/>
      <c r="G288" s="90"/>
      <c r="H288" s="24"/>
      <c r="I288" s="24"/>
      <c r="J288" s="24"/>
      <c r="K288" s="24"/>
      <c r="L288" s="24"/>
      <c r="M288" s="24"/>
      <c r="N288" s="61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73"/>
      <c r="AG288" s="272"/>
    </row>
    <row r="289" spans="1:33" s="4" customFormat="1" ht="21.75" customHeight="1" thickBot="1">
      <c r="A289" s="30">
        <v>54</v>
      </c>
      <c r="B289" s="38"/>
      <c r="C289" s="38"/>
      <c r="D289" s="39"/>
      <c r="E289" s="24"/>
      <c r="F289" s="108"/>
      <c r="G289" s="90"/>
      <c r="H289" s="24"/>
      <c r="I289" s="24"/>
      <c r="J289" s="24"/>
      <c r="K289" s="24"/>
      <c r="L289" s="24"/>
      <c r="M289" s="24"/>
      <c r="N289" s="61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74"/>
      <c r="AG289" s="275"/>
    </row>
    <row r="290" spans="2:33" s="1" customFormat="1" ht="46.5" customHeight="1">
      <c r="B290" s="233" t="s">
        <v>15</v>
      </c>
      <c r="C290" s="234"/>
      <c r="D290" s="234"/>
      <c r="E290" s="234"/>
      <c r="F290" s="234"/>
      <c r="G290" s="234"/>
      <c r="H290" s="234"/>
      <c r="I290" s="234"/>
      <c r="J290" s="234"/>
      <c r="K290" s="234"/>
      <c r="L290" s="234"/>
      <c r="M290" s="234"/>
      <c r="N290" s="235"/>
      <c r="O290" s="211">
        <f aca="true" t="shared" si="156" ref="O290:AD290">IF(SUM(O236:O289)=0," ",ROUNDUP(SUM(O236:O289),0))</f>
        <v>610</v>
      </c>
      <c r="P290" s="211">
        <f t="shared" si="156"/>
        <v>1178</v>
      </c>
      <c r="Q290" s="211">
        <f t="shared" si="156"/>
        <v>359</v>
      </c>
      <c r="R290" s="211">
        <f t="shared" si="156"/>
        <v>703</v>
      </c>
      <c r="S290" s="211">
        <f t="shared" si="156"/>
        <v>343</v>
      </c>
      <c r="T290" s="211">
        <f t="shared" si="156"/>
        <v>659</v>
      </c>
      <c r="U290" s="211">
        <f>IF(SUM(U236:U289)=0," ",ROUNDUP(SUM(U236:U289),0))</f>
        <v>12</v>
      </c>
      <c r="V290" s="211">
        <f>IF(SUM(V236:V289)=0," ",ROUNDUP(SUM(V236:V289),0))</f>
        <v>55</v>
      </c>
      <c r="W290" s="211">
        <f>IF(SUM(W236:W289)=0," ",ROUNDUP(SUM(W236:W289),0))</f>
        <v>117</v>
      </c>
      <c r="X290" s="211">
        <f>IF(SUM(X236:X289)=0," ",ROUNDUP(SUM(X236:X289),0))</f>
        <v>312</v>
      </c>
      <c r="Y290" s="211">
        <f t="shared" si="156"/>
        <v>100</v>
      </c>
      <c r="Z290" s="211">
        <f t="shared" si="156"/>
        <v>190</v>
      </c>
      <c r="AA290" s="211">
        <f>IF(SUM(AA236:AA289)=0," ",ROUNDUP(SUM(AA236:AA289),0))</f>
        <v>139</v>
      </c>
      <c r="AB290" s="211">
        <f>IF(SUM(AB236:AB289)=0," ",ROUNDUP(SUM(AB236:AB289),0))</f>
        <v>189</v>
      </c>
      <c r="AC290" s="211">
        <f t="shared" si="156"/>
        <v>50</v>
      </c>
      <c r="AD290" s="211">
        <f t="shared" si="156"/>
        <v>94</v>
      </c>
      <c r="AE290" s="211" t="str">
        <f>IF(SUM(AE236:AE289)=0," ",ROUNDUP(SUM(AE236:AE289),0))</f>
        <v> </v>
      </c>
      <c r="AF290" s="279">
        <v>6</v>
      </c>
      <c r="AG290" s="280"/>
    </row>
    <row r="291" spans="2:33" s="1" customFormat="1" ht="46.5" customHeight="1" thickBot="1">
      <c r="B291" s="236"/>
      <c r="C291" s="237"/>
      <c r="D291" s="237"/>
      <c r="E291" s="237"/>
      <c r="F291" s="237"/>
      <c r="G291" s="237"/>
      <c r="H291" s="237"/>
      <c r="I291" s="237"/>
      <c r="J291" s="237"/>
      <c r="K291" s="237"/>
      <c r="L291" s="237"/>
      <c r="M291" s="237"/>
      <c r="N291" s="238"/>
      <c r="O291" s="250"/>
      <c r="P291" s="250"/>
      <c r="Q291" s="250"/>
      <c r="R291" s="250"/>
      <c r="S291" s="250"/>
      <c r="T291" s="250"/>
      <c r="U291" s="212"/>
      <c r="V291" s="212"/>
      <c r="W291" s="212"/>
      <c r="X291" s="212"/>
      <c r="Y291" s="250"/>
      <c r="Z291" s="250"/>
      <c r="AA291" s="212"/>
      <c r="AB291" s="212"/>
      <c r="AC291" s="212"/>
      <c r="AD291" s="212"/>
      <c r="AE291" s="212"/>
      <c r="AF291" s="276">
        <f>$AF$68</f>
        <v>18</v>
      </c>
      <c r="AG291" s="277"/>
    </row>
    <row r="292" spans="1:34" ht="36" customHeight="1">
      <c r="A292" s="10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85"/>
      <c r="U292" s="49"/>
      <c r="V292" s="49"/>
      <c r="Y292" s="85"/>
      <c r="Z292" s="49"/>
      <c r="AC292" s="49"/>
      <c r="AD292" s="49"/>
      <c r="AF292" s="49"/>
      <c r="AG292" s="49"/>
      <c r="AH292" s="11"/>
    </row>
    <row r="293" spans="2:33" ht="12.75"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85"/>
      <c r="U293" s="49"/>
      <c r="V293" s="49"/>
      <c r="Y293" s="85"/>
      <c r="Z293" s="49"/>
      <c r="AC293" s="49"/>
      <c r="AD293" s="49"/>
      <c r="AF293" s="49"/>
      <c r="AG293" s="49"/>
    </row>
    <row r="294" spans="2:33" ht="12.75"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85"/>
      <c r="U294" s="85"/>
      <c r="V294" s="85"/>
      <c r="Y294" s="85"/>
      <c r="Z294" s="49"/>
      <c r="AA294" s="18"/>
      <c r="AB294" s="18"/>
      <c r="AC294" s="49"/>
      <c r="AD294" s="49"/>
      <c r="AF294" s="49"/>
      <c r="AG294" s="49"/>
    </row>
    <row r="295" spans="2:33" ht="15.75">
      <c r="B295" s="224" t="s">
        <v>7</v>
      </c>
      <c r="C295" s="225"/>
      <c r="D295" s="225"/>
      <c r="E295" s="225"/>
      <c r="F295" s="225"/>
      <c r="G295" s="226"/>
      <c r="H295" s="53"/>
      <c r="I295" s="53"/>
      <c r="J295" s="53"/>
      <c r="K295" s="53">
        <v>4</v>
      </c>
      <c r="L295" s="53">
        <v>6</v>
      </c>
      <c r="M295" s="53">
        <v>20</v>
      </c>
      <c r="N295" s="53">
        <v>28</v>
      </c>
      <c r="O295" s="53">
        <v>10.5</v>
      </c>
      <c r="P295" s="53">
        <v>10.5</v>
      </c>
      <c r="Q295" s="101">
        <v>6</v>
      </c>
      <c r="R295" s="53">
        <v>6</v>
      </c>
      <c r="S295" s="94">
        <v>0.055</v>
      </c>
      <c r="T295" s="93">
        <v>0.055</v>
      </c>
      <c r="U295" s="101">
        <v>1.5</v>
      </c>
      <c r="V295" s="101">
        <v>1.5</v>
      </c>
      <c r="W295" s="101">
        <v>1.5</v>
      </c>
      <c r="X295" s="101">
        <v>1.5</v>
      </c>
      <c r="Y295" s="53">
        <v>1.75</v>
      </c>
      <c r="Z295" s="53">
        <v>1.75</v>
      </c>
      <c r="AA295" s="53">
        <v>1.75</v>
      </c>
      <c r="AB295" s="53">
        <v>1.75</v>
      </c>
      <c r="AC295" s="53"/>
      <c r="AD295" s="53"/>
      <c r="AF295" s="49"/>
      <c r="AG295" s="49"/>
    </row>
    <row r="296" spans="2:33" ht="15"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96">
        <f>O295/2</f>
        <v>5.25</v>
      </c>
      <c r="P296" s="96">
        <f>P295/2</f>
        <v>5.25</v>
      </c>
      <c r="Q296" s="53"/>
      <c r="R296" s="53"/>
      <c r="S296" s="85"/>
      <c r="T296" s="49"/>
      <c r="U296" s="49"/>
      <c r="V296" s="49"/>
      <c r="Y296" s="49"/>
      <c r="Z296" s="49"/>
      <c r="AC296" s="49"/>
      <c r="AD296" s="49"/>
      <c r="AF296" s="49"/>
      <c r="AG296" s="49"/>
    </row>
    <row r="297" spans="2:33" ht="15">
      <c r="B297" s="49"/>
      <c r="C297" s="49"/>
      <c r="D297" s="49"/>
      <c r="E297" s="49"/>
      <c r="F297" s="49"/>
      <c r="G297" s="49"/>
      <c r="H297" s="49"/>
      <c r="I297" s="49"/>
      <c r="J297" s="49"/>
      <c r="K297" s="297" t="s">
        <v>63</v>
      </c>
      <c r="L297" s="298"/>
      <c r="M297" s="298"/>
      <c r="N297" s="298"/>
      <c r="O297" s="122">
        <v>0.5</v>
      </c>
      <c r="P297" s="122">
        <v>0.5</v>
      </c>
      <c r="Q297" s="122">
        <f>$O297</f>
        <v>0.5</v>
      </c>
      <c r="R297" s="122">
        <f>$P297</f>
        <v>0.5</v>
      </c>
      <c r="S297" s="122">
        <f>$O297</f>
        <v>0.5</v>
      </c>
      <c r="T297" s="122">
        <f>$P297</f>
        <v>0.5</v>
      </c>
      <c r="U297" s="122">
        <f>$O297</f>
        <v>0.5</v>
      </c>
      <c r="V297" s="122">
        <f>$P297</f>
        <v>0.5</v>
      </c>
      <c r="W297" s="122">
        <f>$O297</f>
        <v>0.5</v>
      </c>
      <c r="X297" s="122">
        <f>$P297</f>
        <v>0.5</v>
      </c>
      <c r="Y297" s="122">
        <f>$O297</f>
        <v>0.5</v>
      </c>
      <c r="Z297" s="122">
        <f>$P297</f>
        <v>0.5</v>
      </c>
      <c r="AA297" s="122">
        <f>$O297</f>
        <v>0.5</v>
      </c>
      <c r="AB297" s="122">
        <f>$P297</f>
        <v>0.5</v>
      </c>
      <c r="AC297" s="122">
        <f>$O297</f>
        <v>0.5</v>
      </c>
      <c r="AD297" s="122">
        <f>$P297</f>
        <v>0.5</v>
      </c>
      <c r="AF297" s="49"/>
      <c r="AG297" s="49"/>
    </row>
    <row r="298" spans="2:33" ht="12.75"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85"/>
      <c r="U298" s="49"/>
      <c r="V298" s="49"/>
      <c r="Y298" s="49"/>
      <c r="Z298" s="49"/>
      <c r="AC298" s="49"/>
      <c r="AD298" s="49"/>
      <c r="AF298" s="49"/>
      <c r="AG298" s="49"/>
    </row>
    <row r="299" spans="2:33" ht="12.75"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85"/>
      <c r="U299" s="49"/>
      <c r="V299" s="49"/>
      <c r="Y299" s="49"/>
      <c r="Z299" s="49"/>
      <c r="AC299" s="49"/>
      <c r="AD299" s="49"/>
      <c r="AF299" s="49"/>
      <c r="AG299" s="49"/>
    </row>
    <row r="300" spans="2:33" ht="12.75"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85"/>
      <c r="U300" s="49"/>
      <c r="V300" s="49"/>
      <c r="Y300" s="49"/>
      <c r="Z300" s="49"/>
      <c r="AC300" s="49"/>
      <c r="AD300" s="49"/>
      <c r="AF300" s="49"/>
      <c r="AG300" s="49"/>
    </row>
    <row r="301" spans="2:33" ht="12.75"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85"/>
      <c r="U301" s="49"/>
      <c r="V301" s="49"/>
      <c r="Y301" s="49"/>
      <c r="Z301" s="49"/>
      <c r="AC301" s="49"/>
      <c r="AD301" s="49"/>
      <c r="AF301" s="49"/>
      <c r="AG301" s="49"/>
    </row>
    <row r="302" spans="2:33" ht="12.75"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85"/>
      <c r="U302" s="49"/>
      <c r="V302" s="49"/>
      <c r="Y302" s="49"/>
      <c r="Z302" s="49"/>
      <c r="AC302" s="49"/>
      <c r="AD302" s="49"/>
      <c r="AF302" s="49"/>
      <c r="AG302" s="49"/>
    </row>
    <row r="303" spans="1:34" ht="36" customHeight="1" thickBot="1">
      <c r="A303" s="3"/>
      <c r="B303" s="54" t="s">
        <v>18</v>
      </c>
      <c r="C303" s="55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151"/>
      <c r="O303" s="229">
        <v>5</v>
      </c>
      <c r="P303" s="229"/>
      <c r="Q303" s="229">
        <v>7</v>
      </c>
      <c r="R303" s="229"/>
      <c r="S303" s="229">
        <v>56</v>
      </c>
      <c r="T303" s="229"/>
      <c r="U303" s="229">
        <v>2</v>
      </c>
      <c r="V303" s="229"/>
      <c r="W303" s="229">
        <v>1</v>
      </c>
      <c r="X303" s="229"/>
      <c r="AA303" s="229">
        <v>3</v>
      </c>
      <c r="AB303" s="229"/>
      <c r="AE303" s="151"/>
      <c r="AF303" s="98"/>
      <c r="AG303" s="98"/>
      <c r="AH303" s="13"/>
    </row>
    <row r="304" spans="1:34" ht="21.75" customHeight="1">
      <c r="A304" s="4"/>
      <c r="B304" s="233" t="s">
        <v>0</v>
      </c>
      <c r="C304" s="299"/>
      <c r="D304" s="251" t="s">
        <v>3</v>
      </c>
      <c r="E304" s="251" t="s">
        <v>4</v>
      </c>
      <c r="F304" s="251" t="s">
        <v>5</v>
      </c>
      <c r="G304" s="254" t="s">
        <v>43</v>
      </c>
      <c r="H304" s="254" t="s">
        <v>45</v>
      </c>
      <c r="I304" s="251" t="s">
        <v>6</v>
      </c>
      <c r="J304" s="254" t="s">
        <v>26</v>
      </c>
      <c r="K304" s="254" t="s">
        <v>19</v>
      </c>
      <c r="L304" s="254" t="s">
        <v>46</v>
      </c>
      <c r="M304" s="254" t="s">
        <v>61</v>
      </c>
      <c r="N304" s="254" t="s">
        <v>44</v>
      </c>
      <c r="O304" s="216">
        <v>302</v>
      </c>
      <c r="P304" s="217"/>
      <c r="Q304" s="216">
        <v>304</v>
      </c>
      <c r="R304" s="217"/>
      <c r="S304" s="216">
        <v>304</v>
      </c>
      <c r="T304" s="217"/>
      <c r="U304" s="216">
        <v>407</v>
      </c>
      <c r="V304" s="217"/>
      <c r="W304" s="216">
        <v>442</v>
      </c>
      <c r="X304" s="217"/>
      <c r="Y304" s="216">
        <v>442</v>
      </c>
      <c r="Z304" s="217"/>
      <c r="AA304" s="216">
        <v>442</v>
      </c>
      <c r="AB304" s="217"/>
      <c r="AC304" s="216">
        <v>442</v>
      </c>
      <c r="AD304" s="217"/>
      <c r="AE304" s="163"/>
      <c r="AF304" s="282" t="s">
        <v>38</v>
      </c>
      <c r="AG304" s="282" t="s">
        <v>58</v>
      </c>
      <c r="AH304" s="4"/>
    </row>
    <row r="305" spans="1:34" ht="27.75" customHeight="1">
      <c r="A305" s="4"/>
      <c r="B305" s="293"/>
      <c r="C305" s="300"/>
      <c r="D305" s="255"/>
      <c r="E305" s="255"/>
      <c r="F305" s="255"/>
      <c r="G305" s="242"/>
      <c r="H305" s="242"/>
      <c r="I305" s="252"/>
      <c r="J305" s="255"/>
      <c r="K305" s="255"/>
      <c r="L305" s="242"/>
      <c r="M305" s="242"/>
      <c r="N305" s="242"/>
      <c r="O305" s="218" t="s">
        <v>37</v>
      </c>
      <c r="P305" s="219"/>
      <c r="Q305" s="218" t="s">
        <v>121</v>
      </c>
      <c r="R305" s="219"/>
      <c r="S305" s="218" t="s">
        <v>139</v>
      </c>
      <c r="T305" s="219"/>
      <c r="U305" s="218" t="s">
        <v>122</v>
      </c>
      <c r="V305" s="219"/>
      <c r="W305" s="218" t="s">
        <v>138</v>
      </c>
      <c r="X305" s="219"/>
      <c r="Y305" s="218" t="s">
        <v>150</v>
      </c>
      <c r="Z305" s="219"/>
      <c r="AA305" s="218" t="s">
        <v>27</v>
      </c>
      <c r="AB305" s="219"/>
      <c r="AC305" s="218" t="s">
        <v>97</v>
      </c>
      <c r="AD305" s="219"/>
      <c r="AE305" s="219"/>
      <c r="AF305" s="283"/>
      <c r="AG305" s="304"/>
      <c r="AH305" s="4"/>
    </row>
    <row r="306" spans="1:34" ht="27.75" customHeight="1" thickBot="1">
      <c r="A306" s="4"/>
      <c r="B306" s="293"/>
      <c r="C306" s="300"/>
      <c r="D306" s="255"/>
      <c r="E306" s="255"/>
      <c r="F306" s="255"/>
      <c r="G306" s="242"/>
      <c r="H306" s="242"/>
      <c r="I306" s="252"/>
      <c r="J306" s="255"/>
      <c r="K306" s="255"/>
      <c r="L306" s="242"/>
      <c r="M306" s="242"/>
      <c r="N306" s="242"/>
      <c r="O306" s="220"/>
      <c r="P306" s="221"/>
      <c r="Q306" s="220"/>
      <c r="R306" s="221"/>
      <c r="S306" s="220"/>
      <c r="T306" s="221"/>
      <c r="U306" s="220"/>
      <c r="V306" s="221"/>
      <c r="W306" s="220"/>
      <c r="X306" s="221"/>
      <c r="Y306" s="220"/>
      <c r="Z306" s="221"/>
      <c r="AA306" s="220"/>
      <c r="AB306" s="221"/>
      <c r="AC306" s="220"/>
      <c r="AD306" s="221"/>
      <c r="AE306" s="221"/>
      <c r="AF306" s="284"/>
      <c r="AG306" s="304"/>
      <c r="AH306" s="4"/>
    </row>
    <row r="307" spans="1:34" ht="27.75" customHeight="1">
      <c r="A307" s="4"/>
      <c r="B307" s="293"/>
      <c r="C307" s="300"/>
      <c r="D307" s="255"/>
      <c r="E307" s="255"/>
      <c r="F307" s="255"/>
      <c r="G307" s="242"/>
      <c r="H307" s="242"/>
      <c r="I307" s="252"/>
      <c r="J307" s="255"/>
      <c r="K307" s="255"/>
      <c r="L307" s="242"/>
      <c r="M307" s="242"/>
      <c r="N307" s="242"/>
      <c r="O307" s="220"/>
      <c r="P307" s="221"/>
      <c r="Q307" s="220"/>
      <c r="R307" s="221"/>
      <c r="S307" s="220"/>
      <c r="T307" s="221"/>
      <c r="U307" s="220"/>
      <c r="V307" s="221"/>
      <c r="W307" s="220"/>
      <c r="X307" s="221"/>
      <c r="Y307" s="220"/>
      <c r="Z307" s="221"/>
      <c r="AA307" s="220"/>
      <c r="AB307" s="221"/>
      <c r="AC307" s="220"/>
      <c r="AD307" s="221"/>
      <c r="AE307" s="221"/>
      <c r="AF307" s="269" t="s">
        <v>8</v>
      </c>
      <c r="AG307" s="270"/>
      <c r="AH307" s="4"/>
    </row>
    <row r="308" spans="1:34" ht="27.75" customHeight="1">
      <c r="A308" s="4"/>
      <c r="B308" s="293"/>
      <c r="C308" s="300"/>
      <c r="D308" s="255"/>
      <c r="E308" s="255"/>
      <c r="F308" s="255"/>
      <c r="G308" s="242"/>
      <c r="H308" s="242"/>
      <c r="I308" s="252"/>
      <c r="J308" s="255"/>
      <c r="K308" s="255"/>
      <c r="L308" s="242"/>
      <c r="M308" s="242"/>
      <c r="N308" s="242"/>
      <c r="O308" s="220"/>
      <c r="P308" s="221"/>
      <c r="Q308" s="220"/>
      <c r="R308" s="221"/>
      <c r="S308" s="220"/>
      <c r="T308" s="221"/>
      <c r="U308" s="220"/>
      <c r="V308" s="221"/>
      <c r="W308" s="220"/>
      <c r="X308" s="221"/>
      <c r="Y308" s="220"/>
      <c r="Z308" s="221"/>
      <c r="AA308" s="220"/>
      <c r="AB308" s="221"/>
      <c r="AC308" s="220"/>
      <c r="AD308" s="221"/>
      <c r="AE308" s="221"/>
      <c r="AF308" s="271"/>
      <c r="AG308" s="272"/>
      <c r="AH308" s="4"/>
    </row>
    <row r="309" spans="1:34" ht="27.75" customHeight="1">
      <c r="A309" s="4"/>
      <c r="B309" s="293"/>
      <c r="C309" s="300"/>
      <c r="D309" s="255"/>
      <c r="E309" s="255"/>
      <c r="F309" s="255"/>
      <c r="G309" s="242"/>
      <c r="H309" s="242"/>
      <c r="I309" s="252"/>
      <c r="J309" s="255"/>
      <c r="K309" s="255"/>
      <c r="L309" s="242"/>
      <c r="M309" s="242"/>
      <c r="N309" s="242"/>
      <c r="O309" s="220"/>
      <c r="P309" s="221"/>
      <c r="Q309" s="220"/>
      <c r="R309" s="221"/>
      <c r="S309" s="220"/>
      <c r="T309" s="221"/>
      <c r="U309" s="220"/>
      <c r="V309" s="221"/>
      <c r="W309" s="220"/>
      <c r="X309" s="221"/>
      <c r="Y309" s="220"/>
      <c r="Z309" s="221"/>
      <c r="AA309" s="220"/>
      <c r="AB309" s="221"/>
      <c r="AC309" s="220"/>
      <c r="AD309" s="221"/>
      <c r="AE309" s="221"/>
      <c r="AF309" s="271"/>
      <c r="AG309" s="272"/>
      <c r="AH309" s="4"/>
    </row>
    <row r="310" spans="1:34" ht="27.75" customHeight="1">
      <c r="A310" s="4"/>
      <c r="B310" s="293"/>
      <c r="C310" s="300"/>
      <c r="D310" s="255"/>
      <c r="E310" s="255"/>
      <c r="F310" s="255"/>
      <c r="G310" s="242"/>
      <c r="H310" s="242"/>
      <c r="I310" s="252"/>
      <c r="J310" s="255"/>
      <c r="K310" s="255"/>
      <c r="L310" s="242"/>
      <c r="M310" s="242"/>
      <c r="N310" s="242"/>
      <c r="O310" s="220"/>
      <c r="P310" s="221"/>
      <c r="Q310" s="220"/>
      <c r="R310" s="221"/>
      <c r="S310" s="220"/>
      <c r="T310" s="221"/>
      <c r="U310" s="220"/>
      <c r="V310" s="221"/>
      <c r="W310" s="220"/>
      <c r="X310" s="221"/>
      <c r="Y310" s="220"/>
      <c r="Z310" s="221"/>
      <c r="AA310" s="220"/>
      <c r="AB310" s="221"/>
      <c r="AC310" s="220"/>
      <c r="AD310" s="221"/>
      <c r="AE310" s="221"/>
      <c r="AF310" s="271"/>
      <c r="AG310" s="272"/>
      <c r="AH310" s="4"/>
    </row>
    <row r="311" spans="1:34" ht="27.75" customHeight="1">
      <c r="A311" s="4"/>
      <c r="B311" s="293"/>
      <c r="C311" s="300"/>
      <c r="D311" s="255"/>
      <c r="E311" s="255"/>
      <c r="F311" s="255"/>
      <c r="G311" s="242"/>
      <c r="H311" s="242"/>
      <c r="I311" s="252"/>
      <c r="J311" s="255"/>
      <c r="K311" s="255"/>
      <c r="L311" s="242"/>
      <c r="M311" s="242"/>
      <c r="N311" s="242"/>
      <c r="O311" s="220"/>
      <c r="P311" s="221"/>
      <c r="Q311" s="220"/>
      <c r="R311" s="221"/>
      <c r="S311" s="220"/>
      <c r="T311" s="221"/>
      <c r="U311" s="220"/>
      <c r="V311" s="221"/>
      <c r="W311" s="220"/>
      <c r="X311" s="221"/>
      <c r="Y311" s="220"/>
      <c r="Z311" s="221"/>
      <c r="AA311" s="220"/>
      <c r="AB311" s="221"/>
      <c r="AC311" s="220"/>
      <c r="AD311" s="221"/>
      <c r="AE311" s="221"/>
      <c r="AF311" s="271"/>
      <c r="AG311" s="272"/>
      <c r="AH311" s="4"/>
    </row>
    <row r="312" spans="1:34" ht="27.75" customHeight="1">
      <c r="A312" s="5"/>
      <c r="B312" s="301"/>
      <c r="C312" s="302"/>
      <c r="D312" s="256"/>
      <c r="E312" s="256"/>
      <c r="F312" s="256"/>
      <c r="G312" s="243"/>
      <c r="H312" s="243"/>
      <c r="I312" s="253"/>
      <c r="J312" s="256"/>
      <c r="K312" s="256"/>
      <c r="L312" s="243"/>
      <c r="M312" s="243"/>
      <c r="N312" s="243"/>
      <c r="O312" s="222"/>
      <c r="P312" s="223"/>
      <c r="Q312" s="222"/>
      <c r="R312" s="223"/>
      <c r="S312" s="222"/>
      <c r="T312" s="223"/>
      <c r="U312" s="222"/>
      <c r="V312" s="223"/>
      <c r="W312" s="222"/>
      <c r="X312" s="223"/>
      <c r="Y312" s="222"/>
      <c r="Z312" s="223"/>
      <c r="AA312" s="222"/>
      <c r="AB312" s="223"/>
      <c r="AC312" s="222"/>
      <c r="AD312" s="223"/>
      <c r="AE312" s="223"/>
      <c r="AF312" s="271"/>
      <c r="AG312" s="272"/>
      <c r="AH312" s="5"/>
    </row>
    <row r="313" spans="1:34" ht="21.75" customHeight="1" thickBot="1">
      <c r="A313" s="7"/>
      <c r="B313" s="56" t="s">
        <v>1</v>
      </c>
      <c r="C313" s="56" t="s">
        <v>2</v>
      </c>
      <c r="D313" s="57"/>
      <c r="E313" s="57" t="s">
        <v>14</v>
      </c>
      <c r="F313" s="57" t="s">
        <v>14</v>
      </c>
      <c r="G313" s="57"/>
      <c r="H313" s="57"/>
      <c r="I313" s="57" t="s">
        <v>21</v>
      </c>
      <c r="J313" s="57" t="s">
        <v>21</v>
      </c>
      <c r="K313" s="57" t="s">
        <v>21</v>
      </c>
      <c r="L313" s="57" t="s">
        <v>21</v>
      </c>
      <c r="M313" s="57" t="s">
        <v>21</v>
      </c>
      <c r="N313" s="120" t="s">
        <v>21</v>
      </c>
      <c r="O313" s="208" t="s">
        <v>20</v>
      </c>
      <c r="P313" s="210"/>
      <c r="Q313" s="208" t="s">
        <v>20</v>
      </c>
      <c r="R313" s="210"/>
      <c r="S313" s="208" t="s">
        <v>20</v>
      </c>
      <c r="T313" s="210"/>
      <c r="U313" s="208" t="s">
        <v>22</v>
      </c>
      <c r="V313" s="210"/>
      <c r="W313" s="208" t="s">
        <v>20</v>
      </c>
      <c r="X313" s="210"/>
      <c r="Y313" s="208" t="s">
        <v>20</v>
      </c>
      <c r="Z313" s="210"/>
      <c r="AA313" s="208" t="s">
        <v>20</v>
      </c>
      <c r="AB313" s="210"/>
      <c r="AC313" s="208" t="s">
        <v>20</v>
      </c>
      <c r="AD313" s="210"/>
      <c r="AE313" s="164"/>
      <c r="AF313" s="271"/>
      <c r="AG313" s="272"/>
      <c r="AH313" s="7"/>
    </row>
    <row r="314" spans="1:34" ht="21.75" customHeight="1">
      <c r="A314" s="30">
        <v>1</v>
      </c>
      <c r="B314" s="77"/>
      <c r="C314" s="113"/>
      <c r="D314" s="39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27" t="s">
        <v>59</v>
      </c>
      <c r="P314" s="227" t="s">
        <v>92</v>
      </c>
      <c r="Q314" s="227" t="s">
        <v>59</v>
      </c>
      <c r="R314" s="227" t="s">
        <v>92</v>
      </c>
      <c r="S314" s="227" t="s">
        <v>59</v>
      </c>
      <c r="T314" s="227" t="s">
        <v>92</v>
      </c>
      <c r="U314" s="227" t="s">
        <v>59</v>
      </c>
      <c r="V314" s="227" t="s">
        <v>92</v>
      </c>
      <c r="W314" s="227" t="s">
        <v>59</v>
      </c>
      <c r="X314" s="227" t="s">
        <v>92</v>
      </c>
      <c r="Y314" s="227" t="s">
        <v>59</v>
      </c>
      <c r="Z314" s="227" t="s">
        <v>92</v>
      </c>
      <c r="AA314" s="227" t="s">
        <v>59</v>
      </c>
      <c r="AB314" s="227" t="s">
        <v>92</v>
      </c>
      <c r="AC314" s="227" t="s">
        <v>59</v>
      </c>
      <c r="AD314" s="227" t="s">
        <v>92</v>
      </c>
      <c r="AE314" s="265"/>
      <c r="AF314" s="271"/>
      <c r="AG314" s="272"/>
      <c r="AH314" s="4"/>
    </row>
    <row r="315" spans="1:34" ht="21.75" customHeight="1">
      <c r="A315" s="30">
        <v>2</v>
      </c>
      <c r="B315" s="230" t="s">
        <v>42</v>
      </c>
      <c r="C315" s="231"/>
      <c r="D315" s="231"/>
      <c r="E315" s="231"/>
      <c r="F315" s="231"/>
      <c r="G315" s="231"/>
      <c r="H315" s="231"/>
      <c r="I315" s="232"/>
      <c r="J315" s="24"/>
      <c r="K315" s="24"/>
      <c r="L315" s="24"/>
      <c r="M315" s="24"/>
      <c r="N315" s="24"/>
      <c r="O315" s="228"/>
      <c r="P315" s="228"/>
      <c r="Q315" s="228"/>
      <c r="R315" s="228"/>
      <c r="S315" s="228"/>
      <c r="T315" s="228"/>
      <c r="U315" s="228"/>
      <c r="V315" s="228"/>
      <c r="W315" s="228"/>
      <c r="X315" s="228"/>
      <c r="Y315" s="228"/>
      <c r="Z315" s="228"/>
      <c r="AA315" s="228"/>
      <c r="AB315" s="228"/>
      <c r="AC315" s="228"/>
      <c r="AD315" s="228"/>
      <c r="AE315" s="266"/>
      <c r="AF315" s="271"/>
      <c r="AG315" s="272"/>
      <c r="AH315" s="4"/>
    </row>
    <row r="316" spans="1:34" ht="21.75" customHeight="1">
      <c r="A316" s="30">
        <v>3</v>
      </c>
      <c r="B316" s="77" t="s">
        <v>48</v>
      </c>
      <c r="C316" s="38"/>
      <c r="D316" s="39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61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71"/>
      <c r="AG316" s="272"/>
      <c r="AH316" s="4"/>
    </row>
    <row r="317" spans="1:34" ht="21.75" customHeight="1">
      <c r="A317" s="30">
        <v>4</v>
      </c>
      <c r="B317" s="38">
        <v>300016.87</v>
      </c>
      <c r="C317" s="38">
        <v>300288.88</v>
      </c>
      <c r="D317" s="39" t="s">
        <v>16</v>
      </c>
      <c r="E317" s="24">
        <f aca="true" t="shared" si="157" ref="E317:E325">C317-B317</f>
        <v>272.0100000000093</v>
      </c>
      <c r="F317" s="66">
        <v>10</v>
      </c>
      <c r="G317" s="105">
        <f>ROUND((7639.4373-($F317/2))/7639.4373,4)</f>
        <v>0.9993</v>
      </c>
      <c r="H317" s="105">
        <f>ROUND((7639.4373-($F317))/7639.4373,4)</f>
        <v>0.9987</v>
      </c>
      <c r="I317" s="24">
        <f aca="true" t="shared" si="158" ref="I317:I325">IF(G317=0,ROUND($E317*$F317,2),ROUND($E317*$F317*$G317,2))</f>
        <v>2718.2</v>
      </c>
      <c r="J317" s="24"/>
      <c r="K317" s="24"/>
      <c r="L317" s="24"/>
      <c r="M317" s="24"/>
      <c r="N317" s="24"/>
      <c r="O317" s="24">
        <f>ROUND(((($I317+$K317)*(O$374/12))+(($I317+$K317+$L317)*(O$374/12)))/27,2)</f>
        <v>88.09</v>
      </c>
      <c r="P317" s="24"/>
      <c r="Q317" s="24">
        <f>ROUND((($I317+$K317+$L317+$L317)*(Q$373/12))/27,2)</f>
        <v>50.34</v>
      </c>
      <c r="R317" s="24"/>
      <c r="S317" s="61"/>
      <c r="T317" s="24"/>
      <c r="U317" s="24">
        <f>ROUND((($I317/9)*U$373)*3,2)</f>
        <v>49.83</v>
      </c>
      <c r="V317" s="24"/>
      <c r="W317" s="24"/>
      <c r="X317" s="24"/>
      <c r="Y317" s="24">
        <f>ROUND(($I317*(Y$373/12))/27,2)</f>
        <v>12.58</v>
      </c>
      <c r="Z317" s="24"/>
      <c r="AA317" s="24">
        <f>ROUND(($I317*(AA$373/12))/27,2)</f>
        <v>14.68</v>
      </c>
      <c r="AB317" s="24"/>
      <c r="AC317" s="24"/>
      <c r="AD317" s="24"/>
      <c r="AE317" s="24"/>
      <c r="AF317" s="271"/>
      <c r="AG317" s="272"/>
      <c r="AH317" s="4"/>
    </row>
    <row r="318" spans="1:34" ht="21.75" customHeight="1">
      <c r="A318" s="30">
        <v>5</v>
      </c>
      <c r="B318" s="38">
        <f>C317</f>
        <v>300288.88</v>
      </c>
      <c r="C318" s="38">
        <v>300350</v>
      </c>
      <c r="D318" s="39" t="s">
        <v>16</v>
      </c>
      <c r="E318" s="24">
        <f t="shared" si="157"/>
        <v>61.11999999999534</v>
      </c>
      <c r="F318" s="66">
        <v>10</v>
      </c>
      <c r="G318" s="105">
        <f>ROUND((((1527.8875-($F318/2))/1527.8875)+((487.6237-($F318/2))/487.6237))/2,4)</f>
        <v>0.9932</v>
      </c>
      <c r="H318" s="105">
        <f>ROUND((((1527.8875-($F318))/1527.8875)+((487.6237-($F318))/487.6237))/2,4)</f>
        <v>0.9865</v>
      </c>
      <c r="I318" s="24">
        <f t="shared" si="158"/>
        <v>607.04</v>
      </c>
      <c r="J318" s="24"/>
      <c r="K318" s="24"/>
      <c r="L318" s="24"/>
      <c r="M318" s="24"/>
      <c r="N318" s="24"/>
      <c r="O318" s="24">
        <f>ROUND(((($I318+$K318)*(O$374/12))+(($I318+$K318+$L318)*(O$374/12)))/27,2)</f>
        <v>19.67</v>
      </c>
      <c r="P318" s="24"/>
      <c r="Q318" s="24">
        <f>ROUND((($I318+$K318+$L318+$L318)*(Q$373/12))/27,2)</f>
        <v>11.24</v>
      </c>
      <c r="R318" s="24"/>
      <c r="S318" s="61"/>
      <c r="T318" s="24"/>
      <c r="U318" s="24">
        <f>ROUND((($I318/9)*U$373)*3,2)</f>
        <v>11.13</v>
      </c>
      <c r="V318" s="24"/>
      <c r="W318" s="24"/>
      <c r="X318" s="24"/>
      <c r="Y318" s="24">
        <f>ROUND(($I318*(Y$373/12))/27,2)</f>
        <v>2.81</v>
      </c>
      <c r="Z318" s="24"/>
      <c r="AA318" s="24">
        <f>ROUND(($I318*(AA$373/12))/27,2)</f>
        <v>3.28</v>
      </c>
      <c r="AB318" s="24"/>
      <c r="AC318" s="24"/>
      <c r="AD318" s="24"/>
      <c r="AE318" s="24"/>
      <c r="AF318" s="271"/>
      <c r="AG318" s="272"/>
      <c r="AH318" s="4"/>
    </row>
    <row r="319" spans="1:34" ht="21.75" customHeight="1">
      <c r="A319" s="30">
        <v>6</v>
      </c>
      <c r="B319" s="38">
        <f>C318</f>
        <v>300350</v>
      </c>
      <c r="C319" s="38">
        <v>300413.88</v>
      </c>
      <c r="D319" s="39" t="s">
        <v>16</v>
      </c>
      <c r="E319" s="24">
        <f t="shared" si="157"/>
        <v>63.88000000000466</v>
      </c>
      <c r="F319" s="24">
        <v>10</v>
      </c>
      <c r="G319" s="105">
        <f>ROUND((((1527.8875-($F319/2))/1527.8875)+((487.6237-($F319/2))/487.6237))/2,4)</f>
        <v>0.9932</v>
      </c>
      <c r="H319" s="105">
        <f>ROUND((((1527.8875-($F319))/1527.8875)+((487.6237-($F319))/487.6237))/2,4)</f>
        <v>0.9865</v>
      </c>
      <c r="I319" s="24">
        <f t="shared" si="158"/>
        <v>634.46</v>
      </c>
      <c r="J319" s="24"/>
      <c r="K319" s="24">
        <f aca="true" t="shared" si="159" ref="K319:M320">IF($H319=0,ROUND($E319*(K$373/12),2),ROUND($E319*$H319*(K$373/12),2))</f>
        <v>21.01</v>
      </c>
      <c r="L319" s="24">
        <f t="shared" si="159"/>
        <v>31.51</v>
      </c>
      <c r="M319" s="24">
        <f t="shared" si="159"/>
        <v>105.03</v>
      </c>
      <c r="N319" s="24"/>
      <c r="O319" s="24">
        <f>ROUND(((($I319+$M319+$L319+$K319)*(O$374/12))+(($I319+$M319+$L319+$L319+$K319+$L319)*(O$374/12)))/27,2)</f>
        <v>26.69</v>
      </c>
      <c r="P319" s="24"/>
      <c r="Q319" s="24">
        <f>ROUND((($I319+$M319+$L319+$K319+$L319+$L319)*(Q$373/12))/27,2)</f>
        <v>15.83</v>
      </c>
      <c r="R319" s="24"/>
      <c r="S319" s="61"/>
      <c r="T319" s="24"/>
      <c r="U319" s="24">
        <f>ROUND((((($I319+$M319+$L319)/9)*U$373)+((($I319+$M319+$L319+$K319)/9)*U$373)+((($I319+$M319+$L319+$K319+$L319)/9)*U$373)),2)</f>
        <v>14.58</v>
      </c>
      <c r="V319" s="24"/>
      <c r="W319" s="24"/>
      <c r="X319" s="24"/>
      <c r="Y319" s="24">
        <f>ROUND(($I319*(W$295/12))/27,2)</f>
        <v>2.94</v>
      </c>
      <c r="Z319" s="24"/>
      <c r="AA319" s="24">
        <f>ROUND((($I319+$M319+$L319)*(AA$373/12))/27,2)</f>
        <v>4.16</v>
      </c>
      <c r="AB319" s="24"/>
      <c r="AC319" s="24"/>
      <c r="AD319" s="24"/>
      <c r="AE319" s="24"/>
      <c r="AF319" s="271"/>
      <c r="AG319" s="272"/>
      <c r="AH319" s="4"/>
    </row>
    <row r="320" spans="1:34" ht="21.75" customHeight="1">
      <c r="A320" s="30">
        <v>7</v>
      </c>
      <c r="B320" s="38">
        <f>C319</f>
        <v>300413.88</v>
      </c>
      <c r="C320" s="38">
        <v>300435.94</v>
      </c>
      <c r="D320" s="39" t="s">
        <v>16</v>
      </c>
      <c r="E320" s="24">
        <f t="shared" si="157"/>
        <v>22.05999999999767</v>
      </c>
      <c r="F320" s="24">
        <v>10</v>
      </c>
      <c r="G320" s="105">
        <f>ROUND((487.6237-($F320/2))/487.6237,4)</f>
        <v>0.9897</v>
      </c>
      <c r="H320" s="105">
        <f>ROUND((487.6237-($F320))/487.6237,4)</f>
        <v>0.9795</v>
      </c>
      <c r="I320" s="24">
        <f t="shared" si="158"/>
        <v>218.33</v>
      </c>
      <c r="J320" s="24"/>
      <c r="K320" s="24">
        <f t="shared" si="159"/>
        <v>7.2</v>
      </c>
      <c r="L320" s="24">
        <f t="shared" si="159"/>
        <v>10.8</v>
      </c>
      <c r="M320" s="24">
        <f t="shared" si="159"/>
        <v>36.01</v>
      </c>
      <c r="N320" s="24"/>
      <c r="O320" s="24">
        <f>ROUND(((($I320+$M320+$L320+$K320)*(O$374/12))+(($I320+$M320+$L320+$L320+$K320+$L320)*(O$374/12)))/27,2)</f>
        <v>9.18</v>
      </c>
      <c r="P320" s="24"/>
      <c r="Q320" s="24">
        <f>ROUND((($I320+$M320+$L320+$K320+$L320+$L320)*(Q$373/12))/27,2)</f>
        <v>5.44</v>
      </c>
      <c r="R320" s="24"/>
      <c r="S320" s="61"/>
      <c r="T320" s="24"/>
      <c r="U320" s="24">
        <f>ROUND((((($I320+$M320+$L320)/9)*U$373)+((($I320+$M320+$L320+$K320)/9)*U$373)+((($I320+$M320+$L320+$K320+$L320)/9)*U$373)),2)</f>
        <v>5.01</v>
      </c>
      <c r="V320" s="24"/>
      <c r="W320" s="24"/>
      <c r="X320" s="24"/>
      <c r="Y320" s="24">
        <f>ROUND(($I320*(W$295/12))/27,2)</f>
        <v>1.01</v>
      </c>
      <c r="Z320" s="24"/>
      <c r="AA320" s="24">
        <f>ROUND((($I320+$M320+$L320)*(AA$373/12))/27,2)</f>
        <v>1.43</v>
      </c>
      <c r="AB320" s="24"/>
      <c r="AC320" s="24"/>
      <c r="AD320" s="24"/>
      <c r="AE320" s="24"/>
      <c r="AF320" s="271"/>
      <c r="AG320" s="272"/>
      <c r="AH320" s="4"/>
    </row>
    <row r="321" spans="1:34" ht="21.75" customHeight="1">
      <c r="A321" s="30">
        <v>8</v>
      </c>
      <c r="B321" s="38">
        <f>C320</f>
        <v>300435.94</v>
      </c>
      <c r="C321" s="38">
        <v>300535.94</v>
      </c>
      <c r="D321" s="39" t="s">
        <v>16</v>
      </c>
      <c r="E321" s="24">
        <f t="shared" si="157"/>
        <v>100</v>
      </c>
      <c r="F321" s="66">
        <f>ROUND((10+6)/2,2)</f>
        <v>8</v>
      </c>
      <c r="G321" s="105">
        <f>ROUND((487.6237-($F321/2))/487.6237,4)</f>
        <v>0.9918</v>
      </c>
      <c r="H321" s="105">
        <f>ROUND((487.6237-($F321))/487.6237,4)</f>
        <v>0.9836</v>
      </c>
      <c r="I321" s="24">
        <f t="shared" si="158"/>
        <v>793.44</v>
      </c>
      <c r="J321" s="24"/>
      <c r="K321" s="24">
        <f>IF($H321=0,ROUND($E321*(K$373/12),2),ROUND($E321*$H321*(K$373/12),2))</f>
        <v>32.79</v>
      </c>
      <c r="L321" s="24">
        <f>IF($H321=0,ROUND($E321*(L$373/12),2),ROUND($E321*$H321*(L$373/12),2))</f>
        <v>49.18</v>
      </c>
      <c r="M321" s="24"/>
      <c r="N321" s="24"/>
      <c r="O321" s="24">
        <f>ROUND(((($I321+$K321)*(O$374/12))+(($I321+$K321+$L321)*(O$374/12)))/27,2)</f>
        <v>27.57</v>
      </c>
      <c r="P321" s="24"/>
      <c r="Q321" s="24">
        <f>ROUND((($I321+$K321+$L321+$L321)*(Q$373/12))/27,2)</f>
        <v>17.12</v>
      </c>
      <c r="R321" s="24"/>
      <c r="S321" s="61"/>
      <c r="T321" s="24"/>
      <c r="U321" s="24">
        <f>ROUND(((($I321/9)*U$373)+((($I321+$K321)/9)*U$373)+((($I321+$K321+$L321)/9)*U$373)),2)</f>
        <v>15.25</v>
      </c>
      <c r="V321" s="24"/>
      <c r="W321" s="24"/>
      <c r="X321" s="24"/>
      <c r="Y321" s="24">
        <f>ROUND(($I321*(Y$373/12))/27,2)</f>
        <v>3.67</v>
      </c>
      <c r="Z321" s="24"/>
      <c r="AA321" s="24">
        <f>ROUND(($I321*(AA$373/12))/27,2)</f>
        <v>4.29</v>
      </c>
      <c r="AB321" s="24"/>
      <c r="AC321" s="24"/>
      <c r="AD321" s="24"/>
      <c r="AE321" s="24"/>
      <c r="AF321" s="271"/>
      <c r="AG321" s="272"/>
      <c r="AH321" s="4"/>
    </row>
    <row r="322" spans="1:34" ht="21.75" customHeight="1">
      <c r="A322" s="30">
        <v>9</v>
      </c>
      <c r="B322" s="38"/>
      <c r="C322" s="38"/>
      <c r="D322" s="39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61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71"/>
      <c r="AG322" s="272"/>
      <c r="AH322" s="4"/>
    </row>
    <row r="323" spans="1:34" ht="21.75" customHeight="1">
      <c r="A323" s="30">
        <v>10</v>
      </c>
      <c r="B323" s="38">
        <f>C321</f>
        <v>300535.94</v>
      </c>
      <c r="C323" s="38">
        <v>300782.91</v>
      </c>
      <c r="D323" s="39" t="s">
        <v>16</v>
      </c>
      <c r="E323" s="24">
        <f t="shared" si="157"/>
        <v>246.96999999997206</v>
      </c>
      <c r="F323" s="24">
        <v>6</v>
      </c>
      <c r="G323" s="105">
        <f>ROUND((487.6237-($F323/2))/487.6237,4)</f>
        <v>0.9938</v>
      </c>
      <c r="H323" s="105">
        <f>ROUND((487.6237-($F323))/487.6237,4)</f>
        <v>0.9877</v>
      </c>
      <c r="I323" s="24">
        <f t="shared" si="158"/>
        <v>1472.63</v>
      </c>
      <c r="J323" s="24"/>
      <c r="K323" s="24">
        <f aca="true" t="shared" si="160" ref="K323:L325">IF($H323=0,ROUND($E323*(K$373/12),2),ROUND($E323*$H323*(K$373/12),2))</f>
        <v>81.31</v>
      </c>
      <c r="L323" s="24">
        <f t="shared" si="160"/>
        <v>121.97</v>
      </c>
      <c r="M323" s="24"/>
      <c r="N323" s="24"/>
      <c r="O323" s="24">
        <f>ROUND(((($I323+$K323)*(O$374/12))+(($I323+$K323+$L323)*(O$374/12)))/27,2)</f>
        <v>52.34</v>
      </c>
      <c r="P323" s="24"/>
      <c r="Q323" s="24">
        <f>ROUND((($I323+$K323+$L323+$L323)*(Q$373/12))/27,2)</f>
        <v>33.29</v>
      </c>
      <c r="R323" s="24"/>
      <c r="S323" s="61"/>
      <c r="T323" s="24"/>
      <c r="U323" s="24">
        <f>ROUND(((($I323/9)*U$373)+((($I323+$K323)/9)*U$373)+((($I323+$K323+$L323)/9)*U$373)),2)</f>
        <v>28.74</v>
      </c>
      <c r="V323" s="24"/>
      <c r="W323" s="24"/>
      <c r="X323" s="24"/>
      <c r="Y323" s="24">
        <f>ROUND(($I323*(Y$373/12))/27,2)</f>
        <v>6.82</v>
      </c>
      <c r="Z323" s="24"/>
      <c r="AA323" s="24">
        <f>ROUND(($I323*(AA$373/12))/27,2)</f>
        <v>7.95</v>
      </c>
      <c r="AB323" s="24"/>
      <c r="AC323" s="24"/>
      <c r="AD323" s="24"/>
      <c r="AE323" s="24"/>
      <c r="AF323" s="271"/>
      <c r="AG323" s="272"/>
      <c r="AH323" s="4"/>
    </row>
    <row r="324" spans="1:34" ht="21.75" customHeight="1">
      <c r="A324" s="30">
        <v>11</v>
      </c>
      <c r="B324" s="38">
        <f>C323</f>
        <v>300782.91</v>
      </c>
      <c r="C324" s="38">
        <v>300800</v>
      </c>
      <c r="D324" s="39" t="s">
        <v>16</v>
      </c>
      <c r="E324" s="24">
        <f t="shared" si="157"/>
        <v>17.09000000002561</v>
      </c>
      <c r="F324" s="24">
        <v>6</v>
      </c>
      <c r="G324" s="24"/>
      <c r="H324" s="24"/>
      <c r="I324" s="24">
        <f t="shared" si="158"/>
        <v>102.54</v>
      </c>
      <c r="J324" s="24"/>
      <c r="K324" s="24">
        <f t="shared" si="160"/>
        <v>5.7</v>
      </c>
      <c r="L324" s="24">
        <f t="shared" si="160"/>
        <v>8.55</v>
      </c>
      <c r="M324" s="24"/>
      <c r="N324" s="24"/>
      <c r="O324" s="24">
        <f>ROUND(((($I324+$K324)*(O$374/12))+(($I324+$K324+$L324)*(O$374/12)))/27,2)</f>
        <v>3.65</v>
      </c>
      <c r="P324" s="24"/>
      <c r="Q324" s="24">
        <f>ROUND((($I324+$K324+$L324+$L324)*(Q$373/12))/27,2)</f>
        <v>2.32</v>
      </c>
      <c r="R324" s="24"/>
      <c r="S324" s="61"/>
      <c r="T324" s="24"/>
      <c r="U324" s="24">
        <f>ROUND(((($I324/9)*U$373)+((($I324+$K324)/9)*U$373)+((($I324+$K324+$L324)/9)*U$373)),2)</f>
        <v>2</v>
      </c>
      <c r="V324" s="24"/>
      <c r="W324" s="24"/>
      <c r="X324" s="24"/>
      <c r="Y324" s="24">
        <f>ROUND(($I324*(Y$373/12))/27,2)</f>
        <v>0.47</v>
      </c>
      <c r="Z324" s="24"/>
      <c r="AA324" s="24">
        <f>ROUND(($I324*(AA$373/12))/27,2)</f>
        <v>0.55</v>
      </c>
      <c r="AB324" s="24"/>
      <c r="AC324" s="24"/>
      <c r="AD324" s="24"/>
      <c r="AE324" s="24"/>
      <c r="AF324" s="271"/>
      <c r="AG324" s="272"/>
      <c r="AH324" s="4"/>
    </row>
    <row r="325" spans="1:34" ht="21.75" customHeight="1">
      <c r="A325" s="30">
        <v>12</v>
      </c>
      <c r="B325" s="38">
        <f>C324</f>
        <v>300800</v>
      </c>
      <c r="C325" s="38">
        <v>300900</v>
      </c>
      <c r="D325" s="39" t="s">
        <v>16</v>
      </c>
      <c r="E325" s="24">
        <f t="shared" si="157"/>
        <v>100</v>
      </c>
      <c r="F325" s="66">
        <f>ROUND((6+9.7105)/2,2)</f>
        <v>7.86</v>
      </c>
      <c r="G325" s="24"/>
      <c r="H325" s="24"/>
      <c r="I325" s="24">
        <f t="shared" si="158"/>
        <v>786</v>
      </c>
      <c r="J325" s="24"/>
      <c r="K325" s="24">
        <f t="shared" si="160"/>
        <v>33.33</v>
      </c>
      <c r="L325" s="24">
        <f t="shared" si="160"/>
        <v>50</v>
      </c>
      <c r="M325" s="24"/>
      <c r="N325" s="24"/>
      <c r="O325" s="24">
        <f>ROUND(((($I325+$K325)*(O$374/12))+(($I325+$K325+$L325)*(O$374/12)))/27,2)</f>
        <v>27.36</v>
      </c>
      <c r="P325" s="24"/>
      <c r="Q325" s="24">
        <f>ROUND((($I325+$K325+$L325+$L325)*(Q$373/12))/27,2)</f>
        <v>17.02</v>
      </c>
      <c r="R325" s="24"/>
      <c r="S325" s="61"/>
      <c r="T325" s="24"/>
      <c r="U325" s="24">
        <f>ROUND(((($I325/9)*U$373)+((($I325+$K325)/9)*U$373)+((($I325+$K325+$L325)/9)*U$373)),2)</f>
        <v>15.12</v>
      </c>
      <c r="V325" s="24"/>
      <c r="W325" s="24"/>
      <c r="X325" s="24"/>
      <c r="Y325" s="24">
        <f>ROUND(($I325*(Y$373/12))/27,2)</f>
        <v>3.64</v>
      </c>
      <c r="Z325" s="24"/>
      <c r="AA325" s="24">
        <f>ROUND(($I325*(AA$373/12))/27,2)</f>
        <v>4.25</v>
      </c>
      <c r="AB325" s="24"/>
      <c r="AC325" s="24"/>
      <c r="AD325" s="24"/>
      <c r="AE325" s="24"/>
      <c r="AF325" s="271"/>
      <c r="AG325" s="272"/>
      <c r="AH325" s="4"/>
    </row>
    <row r="326" spans="1:34" ht="21.75" customHeight="1">
      <c r="A326" s="30">
        <v>13</v>
      </c>
      <c r="B326" s="38"/>
      <c r="C326" s="38"/>
      <c r="D326" s="39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61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71"/>
      <c r="AG326" s="272"/>
      <c r="AH326" s="4"/>
    </row>
    <row r="327" spans="1:34" ht="21.75" customHeight="1">
      <c r="A327" s="30">
        <v>14</v>
      </c>
      <c r="B327" s="230" t="s">
        <v>51</v>
      </c>
      <c r="C327" s="231"/>
      <c r="D327" s="231"/>
      <c r="E327" s="231"/>
      <c r="F327" s="231"/>
      <c r="G327" s="231"/>
      <c r="H327" s="231"/>
      <c r="I327" s="232"/>
      <c r="J327" s="24"/>
      <c r="K327" s="24"/>
      <c r="L327" s="24"/>
      <c r="M327" s="24"/>
      <c r="N327" s="24"/>
      <c r="O327" s="24"/>
      <c r="P327" s="24"/>
      <c r="Q327" s="24"/>
      <c r="R327" s="24"/>
      <c r="S327" s="61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71"/>
      <c r="AG327" s="272"/>
      <c r="AH327" s="4"/>
    </row>
    <row r="328" spans="1:34" ht="21.75" customHeight="1">
      <c r="A328" s="30">
        <v>15</v>
      </c>
      <c r="B328" s="67" t="s">
        <v>23</v>
      </c>
      <c r="C328" s="38"/>
      <c r="D328" s="39"/>
      <c r="E328" s="24"/>
      <c r="F328" s="107"/>
      <c r="G328" s="90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61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71"/>
      <c r="AG328" s="272"/>
      <c r="AH328" s="4"/>
    </row>
    <row r="329" spans="1:34" ht="21.75" customHeight="1">
      <c r="A329" s="30">
        <v>16</v>
      </c>
      <c r="B329" s="38">
        <v>502438.21</v>
      </c>
      <c r="C329" s="38">
        <v>502892.28</v>
      </c>
      <c r="D329" s="39" t="s">
        <v>17</v>
      </c>
      <c r="E329" s="24">
        <f aca="true" t="shared" si="161" ref="E329:E362">C329-B329</f>
        <v>454.070000000007</v>
      </c>
      <c r="F329" s="66">
        <f>ROUND((0+12)/2,2)</f>
        <v>6</v>
      </c>
      <c r="G329" s="105">
        <f>ROUND((4911.0668+($F329/2))/4911.0668,4)</f>
        <v>1.0006</v>
      </c>
      <c r="H329" s="24"/>
      <c r="I329" s="24">
        <f aca="true" t="shared" si="162" ref="I329:I351">IF(G329=0,ROUND($E329*$F329,2),ROUND($E329*$F329*$G329,2))</f>
        <v>2726.05</v>
      </c>
      <c r="J329" s="24"/>
      <c r="K329" s="24"/>
      <c r="L329" s="24"/>
      <c r="M329" s="24"/>
      <c r="N329" s="24"/>
      <c r="O329" s="24"/>
      <c r="P329" s="24">
        <f>ROUND((($I329)*(P$373/12))/27,2)</f>
        <v>88.34</v>
      </c>
      <c r="Q329" s="24"/>
      <c r="R329" s="24">
        <f>ROUND((($I329)*(R$373/12))/27,2)</f>
        <v>50.48</v>
      </c>
      <c r="S329" s="61"/>
      <c r="T329" s="24">
        <f>ROUND((($I329)*(T$373/12))/27,2)</f>
        <v>75.72</v>
      </c>
      <c r="U329" s="24"/>
      <c r="V329" s="24">
        <f>ROUND((($I329/9)*V$373)*3,2)</f>
        <v>49.98</v>
      </c>
      <c r="W329" s="24"/>
      <c r="X329" s="24">
        <f>ROUND(($I329*(X$373/12))/27,2)</f>
        <v>12.62</v>
      </c>
      <c r="Y329" s="24"/>
      <c r="Z329" s="24"/>
      <c r="AA329" s="24"/>
      <c r="AB329" s="24">
        <f>ROUND(($I329*(AB$373/12))/27,2)</f>
        <v>14.72</v>
      </c>
      <c r="AC329" s="24"/>
      <c r="AD329" s="24">
        <f>SUM($W329:$Z329)+SUM($AA329:$AB329)</f>
        <v>27.34</v>
      </c>
      <c r="AE329" s="24"/>
      <c r="AF329" s="271"/>
      <c r="AG329" s="272"/>
      <c r="AH329" s="4"/>
    </row>
    <row r="330" spans="1:34" ht="21.75" customHeight="1">
      <c r="A330" s="30">
        <v>17</v>
      </c>
      <c r="B330" s="38">
        <f>C329</f>
        <v>502892.28</v>
      </c>
      <c r="C330" s="38">
        <v>503035.26</v>
      </c>
      <c r="D330" s="39" t="s">
        <v>17</v>
      </c>
      <c r="E330" s="24">
        <f>C330-B330</f>
        <v>142.97999999998137</v>
      </c>
      <c r="F330" s="24">
        <v>12</v>
      </c>
      <c r="G330" s="105">
        <f>ROUND((4911.0668+($F330/2))/4911.0668,4)</f>
        <v>1.0012</v>
      </c>
      <c r="H330" s="24"/>
      <c r="I330" s="24">
        <f>IF(G330=0,ROUND($E330*$F330,2),ROUND($E330*$F330*$G330,2))</f>
        <v>1717.82</v>
      </c>
      <c r="J330" s="39"/>
      <c r="K330" s="24"/>
      <c r="L330" s="24"/>
      <c r="M330" s="24"/>
      <c r="N330" s="24"/>
      <c r="O330" s="24"/>
      <c r="P330" s="24">
        <f>ROUND((($I330)*(P$373/12))/27,2)</f>
        <v>55.67</v>
      </c>
      <c r="Q330" s="24"/>
      <c r="R330" s="24">
        <f>ROUND((($I330)*(R$373/12))/27,2)</f>
        <v>31.81</v>
      </c>
      <c r="S330" s="61"/>
      <c r="T330" s="24">
        <f>ROUND((($I330)*(T$373/12))/27,2)</f>
        <v>47.72</v>
      </c>
      <c r="U330" s="24"/>
      <c r="V330" s="24">
        <f>ROUND((($I330/9)*V$373)*3,2)</f>
        <v>31.49</v>
      </c>
      <c r="W330" s="24"/>
      <c r="X330" s="24">
        <f>ROUND(($I330*(X$373/12))/27,2)</f>
        <v>7.95</v>
      </c>
      <c r="Y330" s="24"/>
      <c r="Z330" s="24"/>
      <c r="AA330" s="24"/>
      <c r="AB330" s="24">
        <f>ROUND(($I330*(AB$373/12))/27,2)</f>
        <v>9.28</v>
      </c>
      <c r="AC330" s="24"/>
      <c r="AD330" s="24">
        <f>SUM($W330:$Z330)+SUM($AA330:$AB330)</f>
        <v>17.23</v>
      </c>
      <c r="AE330" s="24"/>
      <c r="AF330" s="271"/>
      <c r="AG330" s="272"/>
      <c r="AH330" s="4"/>
    </row>
    <row r="331" spans="1:34" ht="21.75" customHeight="1">
      <c r="A331" s="30">
        <v>18</v>
      </c>
      <c r="B331" s="38">
        <f>C330</f>
        <v>503035.26</v>
      </c>
      <c r="C331" s="38">
        <v>503134.48</v>
      </c>
      <c r="D331" s="39" t="s">
        <v>17</v>
      </c>
      <c r="E331" s="24">
        <f>C331-B331</f>
        <v>99.21999999997206</v>
      </c>
      <c r="F331" s="24">
        <v>13</v>
      </c>
      <c r="G331" s="105">
        <f>ROUND((4911.0668+($F331/2))/4911.0668,4)</f>
        <v>1.0013</v>
      </c>
      <c r="H331" s="24"/>
      <c r="I331" s="24">
        <f>IF(G331=0,ROUND($E331*$F331,2),ROUND($E331*$F331*$G331,2))</f>
        <v>1291.54</v>
      </c>
      <c r="J331" s="39"/>
      <c r="K331" s="24"/>
      <c r="L331" s="24"/>
      <c r="M331" s="24"/>
      <c r="N331" s="24"/>
      <c r="O331" s="24"/>
      <c r="P331" s="24">
        <f>ROUND((($I331)*(P$373/12))/27,2)</f>
        <v>41.86</v>
      </c>
      <c r="Q331" s="24"/>
      <c r="R331" s="24">
        <f>ROUND((($I331)*(R$373/12))/27,2)</f>
        <v>23.92</v>
      </c>
      <c r="S331" s="61"/>
      <c r="T331" s="24"/>
      <c r="U331" s="24"/>
      <c r="V331" s="24">
        <f>ROUND((($I331/9)*V$373)*3,2)</f>
        <v>23.68</v>
      </c>
      <c r="W331" s="24"/>
      <c r="X331" s="24">
        <f>ROUND(($I331*(X$373/12))/27,2)</f>
        <v>5.98</v>
      </c>
      <c r="Y331" s="24"/>
      <c r="Z331" s="24"/>
      <c r="AA331" s="24"/>
      <c r="AB331" s="24">
        <f>ROUND(($I331*(AB$373/12))/27,2)</f>
        <v>6.98</v>
      </c>
      <c r="AC331" s="24"/>
      <c r="AD331" s="24">
        <f>SUM($W331:$Z331)+SUM($AA331:$AB331)</f>
        <v>12.96</v>
      </c>
      <c r="AE331" s="24"/>
      <c r="AF331" s="271"/>
      <c r="AG331" s="272"/>
      <c r="AH331" s="4"/>
    </row>
    <row r="332" spans="1:34" ht="21.75" customHeight="1">
      <c r="A332" s="30">
        <v>19</v>
      </c>
      <c r="B332" s="38"/>
      <c r="C332" s="38"/>
      <c r="D332" s="39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61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71"/>
      <c r="AG332" s="272"/>
      <c r="AH332" s="4"/>
    </row>
    <row r="333" spans="1:34" ht="21.75" customHeight="1">
      <c r="A333" s="30">
        <v>20</v>
      </c>
      <c r="B333" s="38">
        <v>503267.33</v>
      </c>
      <c r="C333" s="38">
        <v>503497.48</v>
      </c>
      <c r="D333" s="39" t="s">
        <v>17</v>
      </c>
      <c r="E333" s="24">
        <f t="shared" si="161"/>
        <v>230.14999999996508</v>
      </c>
      <c r="F333" s="24">
        <v>12</v>
      </c>
      <c r="G333" s="105">
        <f>ROUND((4911.0668+($F333/2))/4911.0668,4)</f>
        <v>1.0012</v>
      </c>
      <c r="H333" s="24"/>
      <c r="I333" s="24">
        <f t="shared" si="162"/>
        <v>2765.11</v>
      </c>
      <c r="J333" s="24"/>
      <c r="K333" s="24"/>
      <c r="L333" s="24"/>
      <c r="M333" s="24"/>
      <c r="N333" s="24"/>
      <c r="O333" s="24"/>
      <c r="P333" s="24">
        <f>ROUND((($I333)*(P$373/12))/27,2)</f>
        <v>89.61</v>
      </c>
      <c r="Q333" s="24"/>
      <c r="R333" s="24">
        <f>ROUND((($I333)*(R$373/12))/27,2)</f>
        <v>51.21</v>
      </c>
      <c r="S333" s="61"/>
      <c r="T333" s="24"/>
      <c r="U333" s="24"/>
      <c r="V333" s="24">
        <f>ROUND((($I333/9)*V$373)*3,2)</f>
        <v>50.69</v>
      </c>
      <c r="W333" s="24"/>
      <c r="X333" s="24"/>
      <c r="Y333" s="24"/>
      <c r="Z333" s="24">
        <f>ROUND(($I333*(Z$373/12))/27,2)</f>
        <v>12.8</v>
      </c>
      <c r="AA333" s="24"/>
      <c r="AB333" s="24">
        <f>ROUND(($I333*(AB$373/12))/27,2)</f>
        <v>14.94</v>
      </c>
      <c r="AC333" s="24"/>
      <c r="AD333" s="24">
        <f>SUM($W333:$Z333)+SUM($AA333:$AB333)</f>
        <v>27.740000000000002</v>
      </c>
      <c r="AE333" s="24"/>
      <c r="AF333" s="271"/>
      <c r="AG333" s="272"/>
      <c r="AH333" s="4"/>
    </row>
    <row r="334" spans="1:34" ht="21.75" customHeight="1">
      <c r="A334" s="30">
        <v>21</v>
      </c>
      <c r="B334" s="38">
        <f>C333</f>
        <v>503497.48</v>
      </c>
      <c r="C334" s="38">
        <v>503630.43</v>
      </c>
      <c r="D334" s="39" t="s">
        <v>17</v>
      </c>
      <c r="E334" s="24">
        <f t="shared" si="161"/>
        <v>132.95000000001164</v>
      </c>
      <c r="F334" s="24">
        <v>12</v>
      </c>
      <c r="G334" s="24"/>
      <c r="H334" s="24"/>
      <c r="I334" s="24">
        <f t="shared" si="162"/>
        <v>1595.4</v>
      </c>
      <c r="J334" s="39"/>
      <c r="K334" s="24"/>
      <c r="L334" s="24"/>
      <c r="M334" s="24"/>
      <c r="N334" s="24"/>
      <c r="O334" s="24"/>
      <c r="P334" s="24">
        <f>ROUND((($I334)*(P$373/12))/27,2)</f>
        <v>51.7</v>
      </c>
      <c r="Q334" s="24"/>
      <c r="R334" s="24">
        <f>ROUND((($I334)*(R$373/12))/27,2)</f>
        <v>29.54</v>
      </c>
      <c r="S334" s="61"/>
      <c r="T334" s="24"/>
      <c r="U334" s="24"/>
      <c r="V334" s="24">
        <f>ROUND((($I334/9)*V$373)*3,2)</f>
        <v>29.25</v>
      </c>
      <c r="W334" s="24"/>
      <c r="X334" s="24"/>
      <c r="Y334" s="24"/>
      <c r="Z334" s="24">
        <f>ROUND(($I334*(Z$373/12))/27,2)</f>
        <v>7.39</v>
      </c>
      <c r="AA334" s="24"/>
      <c r="AB334" s="24">
        <f>ROUND(($I334*(AB$373/12))/27,2)</f>
        <v>8.62</v>
      </c>
      <c r="AC334" s="24"/>
      <c r="AD334" s="24">
        <f>SUM($W334:$Z334)+SUM($AA334:$AB334)</f>
        <v>16.009999999999998</v>
      </c>
      <c r="AE334" s="24"/>
      <c r="AF334" s="271"/>
      <c r="AG334" s="272"/>
      <c r="AH334" s="4"/>
    </row>
    <row r="335" spans="1:34" ht="21.75" customHeight="1">
      <c r="A335" s="30">
        <v>22</v>
      </c>
      <c r="B335" s="38">
        <f>C334</f>
        <v>503630.43</v>
      </c>
      <c r="C335" s="38">
        <v>503905.43</v>
      </c>
      <c r="D335" s="39" t="s">
        <v>17</v>
      </c>
      <c r="E335" s="24">
        <f t="shared" si="161"/>
        <v>275</v>
      </c>
      <c r="F335" s="66">
        <f>ROUND((12+16)/2,2)</f>
        <v>14</v>
      </c>
      <c r="G335" s="24"/>
      <c r="H335" s="24"/>
      <c r="I335" s="24">
        <f t="shared" si="162"/>
        <v>3850</v>
      </c>
      <c r="J335" s="24"/>
      <c r="K335" s="24"/>
      <c r="L335" s="24"/>
      <c r="M335" s="24"/>
      <c r="N335" s="24"/>
      <c r="O335" s="24"/>
      <c r="P335" s="24">
        <f>ROUND((($I335)*(P$373/12))/27,2)</f>
        <v>124.77</v>
      </c>
      <c r="Q335" s="24"/>
      <c r="R335" s="24">
        <f>ROUND((($I335)*(R$373/12))/27,2)</f>
        <v>71.3</v>
      </c>
      <c r="S335" s="61"/>
      <c r="T335" s="24"/>
      <c r="U335" s="24"/>
      <c r="V335" s="24">
        <f>ROUND((($I335/9)*V$373)*3,2)</f>
        <v>70.58</v>
      </c>
      <c r="W335" s="24"/>
      <c r="X335" s="24"/>
      <c r="Y335" s="24"/>
      <c r="Z335" s="24">
        <f>ROUND(($I335*(Z$373/12))/27,2)</f>
        <v>17.82</v>
      </c>
      <c r="AA335" s="24"/>
      <c r="AB335" s="24">
        <f>ROUND(($I335*(AB$373/12))/27,2)</f>
        <v>20.79</v>
      </c>
      <c r="AC335" s="24"/>
      <c r="AD335" s="24">
        <f>SUM($W335:$Z335)+SUM($AA335:$AB335)</f>
        <v>38.61</v>
      </c>
      <c r="AE335" s="24"/>
      <c r="AF335" s="271"/>
      <c r="AG335" s="272"/>
      <c r="AH335" s="4"/>
    </row>
    <row r="336" spans="1:34" ht="21.75" customHeight="1">
      <c r="A336" s="30">
        <v>23</v>
      </c>
      <c r="B336" s="38">
        <f>C335</f>
        <v>503905.43</v>
      </c>
      <c r="C336" s="38">
        <v>504117.78</v>
      </c>
      <c r="D336" s="39" t="s">
        <v>17</v>
      </c>
      <c r="E336" s="24">
        <f t="shared" si="161"/>
        <v>212.35000000003492</v>
      </c>
      <c r="F336" s="24">
        <v>16</v>
      </c>
      <c r="G336" s="24"/>
      <c r="H336" s="24"/>
      <c r="I336" s="24">
        <f t="shared" si="162"/>
        <v>3397.6</v>
      </c>
      <c r="J336" s="24"/>
      <c r="K336" s="24"/>
      <c r="L336" s="24"/>
      <c r="M336" s="24"/>
      <c r="N336" s="24"/>
      <c r="O336" s="24"/>
      <c r="P336" s="24">
        <f>ROUND((($I336)*(P$373/12))/27,2)</f>
        <v>110.11</v>
      </c>
      <c r="Q336" s="24"/>
      <c r="R336" s="24">
        <f>ROUND((($I336)*(R$373/12))/27,2)</f>
        <v>62.92</v>
      </c>
      <c r="S336" s="61"/>
      <c r="T336" s="24"/>
      <c r="U336" s="24"/>
      <c r="V336" s="24">
        <f>ROUND((($I336/9)*V$373)*3,2)</f>
        <v>62.29</v>
      </c>
      <c r="W336" s="24"/>
      <c r="X336" s="24"/>
      <c r="Y336" s="24"/>
      <c r="Z336" s="24">
        <f>ROUND(($I336*(Z$373/12))/27,2)</f>
        <v>15.73</v>
      </c>
      <c r="AA336" s="24"/>
      <c r="AB336" s="24">
        <f>ROUND(($I336*(AB$373/12))/27,2)</f>
        <v>18.35</v>
      </c>
      <c r="AC336" s="24"/>
      <c r="AD336" s="24">
        <f>SUM($W336:$Z336)+SUM($AA336:$AB336)</f>
        <v>34.08</v>
      </c>
      <c r="AE336" s="24"/>
      <c r="AF336" s="271"/>
      <c r="AG336" s="272"/>
      <c r="AH336" s="4"/>
    </row>
    <row r="337" spans="1:34" ht="21.75" customHeight="1">
      <c r="A337" s="30">
        <v>24</v>
      </c>
      <c r="B337" s="38">
        <f>C336</f>
        <v>504117.78</v>
      </c>
      <c r="C337" s="46">
        <v>504157.96</v>
      </c>
      <c r="D337" s="39" t="s">
        <v>17</v>
      </c>
      <c r="E337" s="24">
        <f t="shared" si="161"/>
        <v>40.179999999993015</v>
      </c>
      <c r="F337" s="24">
        <v>16</v>
      </c>
      <c r="G337" s="105">
        <f>ROUND((2291.8312-($F337/2))/2291.8312,4)</f>
        <v>0.9965</v>
      </c>
      <c r="H337" s="24"/>
      <c r="I337" s="24">
        <f t="shared" si="162"/>
        <v>640.63</v>
      </c>
      <c r="J337" s="24"/>
      <c r="K337" s="24"/>
      <c r="L337" s="24"/>
      <c r="M337" s="24"/>
      <c r="N337" s="24"/>
      <c r="O337" s="24"/>
      <c r="P337" s="24">
        <f>ROUND((($I337)*(P$373/12))/27,2)</f>
        <v>20.76</v>
      </c>
      <c r="Q337" s="24"/>
      <c r="R337" s="24">
        <f>ROUND((($I337)*(R$373/12))/27,2)</f>
        <v>11.86</v>
      </c>
      <c r="S337" s="61"/>
      <c r="T337" s="24"/>
      <c r="U337" s="24"/>
      <c r="V337" s="24">
        <f>ROUND((($I337/9)*V$373)*3,2)</f>
        <v>11.74</v>
      </c>
      <c r="W337" s="24"/>
      <c r="X337" s="24"/>
      <c r="Y337" s="24"/>
      <c r="Z337" s="24">
        <f>ROUND(($I337*(Z$373/12))/27,2)</f>
        <v>2.97</v>
      </c>
      <c r="AA337" s="24"/>
      <c r="AB337" s="24">
        <f>ROUND(($I337*(AB$373/12))/27,2)</f>
        <v>3.46</v>
      </c>
      <c r="AC337" s="24"/>
      <c r="AD337" s="24">
        <f>SUM($W337:$Z337)+SUM($AA337:$AB337)</f>
        <v>6.43</v>
      </c>
      <c r="AE337" s="24"/>
      <c r="AF337" s="271"/>
      <c r="AG337" s="272"/>
      <c r="AH337" s="4"/>
    </row>
    <row r="338" spans="1:34" ht="21.75" customHeight="1">
      <c r="A338" s="30">
        <v>25</v>
      </c>
      <c r="B338" s="38"/>
      <c r="C338" s="38"/>
      <c r="D338" s="39"/>
      <c r="E338" s="24"/>
      <c r="F338" s="24"/>
      <c r="G338" s="105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61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71"/>
      <c r="AG338" s="272"/>
      <c r="AH338" s="4"/>
    </row>
    <row r="339" spans="1:34" ht="21.75" customHeight="1">
      <c r="A339" s="30">
        <v>26</v>
      </c>
      <c r="B339" s="38">
        <v>506227.15</v>
      </c>
      <c r="C339" s="38">
        <v>506927.87</v>
      </c>
      <c r="D339" s="39" t="s">
        <v>17</v>
      </c>
      <c r="E339" s="24">
        <f t="shared" si="161"/>
        <v>700.7199999999721</v>
      </c>
      <c r="F339" s="24">
        <v>24</v>
      </c>
      <c r="G339" s="105">
        <f>ROUND((2864.789+($F339/2))/2864.789,4)</f>
        <v>1.0042</v>
      </c>
      <c r="H339" s="24"/>
      <c r="I339" s="24">
        <f t="shared" si="162"/>
        <v>16887.91</v>
      </c>
      <c r="J339" s="24"/>
      <c r="K339" s="24"/>
      <c r="L339" s="24"/>
      <c r="M339" s="24"/>
      <c r="N339" s="24"/>
      <c r="O339" s="24"/>
      <c r="P339" s="24">
        <f>ROUND((($I339)*(P$373/12))/27,2)</f>
        <v>547.29</v>
      </c>
      <c r="Q339" s="24"/>
      <c r="R339" s="24">
        <f>ROUND((($I339)*(R$373/12))/27,2)</f>
        <v>312.74</v>
      </c>
      <c r="S339" s="61"/>
      <c r="T339" s="24"/>
      <c r="U339" s="24"/>
      <c r="V339" s="24">
        <f aca="true" t="shared" si="163" ref="V339:V345">ROUND((($I339/9)*V$373)*3,2)</f>
        <v>309.61</v>
      </c>
      <c r="W339" s="24"/>
      <c r="X339" s="24"/>
      <c r="Y339" s="24"/>
      <c r="Z339" s="24">
        <f>ROUND(($I339*(Z$373/12))/27,2)</f>
        <v>78.18</v>
      </c>
      <c r="AA339" s="24"/>
      <c r="AB339" s="24">
        <f>ROUND(($I339*(AB$373/12))/27,2)</f>
        <v>91.22</v>
      </c>
      <c r="AC339" s="24"/>
      <c r="AD339" s="24">
        <f>SUM($W339:$Z339)+SUM($AA339:$AB339)</f>
        <v>169.4</v>
      </c>
      <c r="AE339" s="24"/>
      <c r="AF339" s="271"/>
      <c r="AG339" s="272"/>
      <c r="AH339" s="4"/>
    </row>
    <row r="340" spans="1:34" ht="21.75" customHeight="1">
      <c r="A340" s="30">
        <v>27</v>
      </c>
      <c r="B340" s="38">
        <f>C339</f>
        <v>506927.87</v>
      </c>
      <c r="C340" s="38">
        <v>506999.95</v>
      </c>
      <c r="D340" s="39" t="s">
        <v>17</v>
      </c>
      <c r="E340" s="24">
        <f t="shared" si="161"/>
        <v>72.0800000000163</v>
      </c>
      <c r="F340" s="24">
        <v>12</v>
      </c>
      <c r="G340" s="105">
        <f>ROUND((2864.789+($F340/2))/2864.789,4)</f>
        <v>1.0021</v>
      </c>
      <c r="H340" s="24"/>
      <c r="I340" s="24">
        <f t="shared" si="162"/>
        <v>866.78</v>
      </c>
      <c r="J340" s="39"/>
      <c r="K340" s="24"/>
      <c r="L340" s="24"/>
      <c r="M340" s="24"/>
      <c r="N340" s="24"/>
      <c r="O340" s="24"/>
      <c r="P340" s="24">
        <f>ROUND((($I340)*(P$373/12))/27,2)</f>
        <v>28.09</v>
      </c>
      <c r="Q340" s="24"/>
      <c r="R340" s="24">
        <f>ROUND((($I340)*(R$373/12))/27,2)</f>
        <v>16.05</v>
      </c>
      <c r="S340" s="61"/>
      <c r="T340" s="24"/>
      <c r="U340" s="24"/>
      <c r="V340" s="24">
        <f t="shared" si="163"/>
        <v>15.89</v>
      </c>
      <c r="W340" s="24"/>
      <c r="X340" s="24"/>
      <c r="Y340" s="24"/>
      <c r="Z340" s="24">
        <f>ROUND(($I340*(Z$373/12))/27,2)</f>
        <v>4.01</v>
      </c>
      <c r="AA340" s="24"/>
      <c r="AB340" s="24">
        <f>ROUND(($I340*(AB$373/12))/27,2)</f>
        <v>4.68</v>
      </c>
      <c r="AC340" s="24"/>
      <c r="AD340" s="24">
        <f>SUM($W340:$Z340)+SUM($AA340:$AB340)</f>
        <v>8.69</v>
      </c>
      <c r="AE340" s="24"/>
      <c r="AF340" s="271"/>
      <c r="AG340" s="272"/>
      <c r="AH340" s="4"/>
    </row>
    <row r="341" spans="1:34" ht="21.75" customHeight="1">
      <c r="A341" s="30">
        <v>28</v>
      </c>
      <c r="B341" s="38">
        <f>C340</f>
        <v>506999.95</v>
      </c>
      <c r="C341" s="46">
        <v>507116.53</v>
      </c>
      <c r="D341" s="39" t="s">
        <v>17</v>
      </c>
      <c r="E341" s="24">
        <f t="shared" si="161"/>
        <v>116.5800000000163</v>
      </c>
      <c r="F341" s="24">
        <v>12</v>
      </c>
      <c r="G341" s="105">
        <f>ROUND((3819.7186+($F341/2))/3819.7186,4)</f>
        <v>1.0016</v>
      </c>
      <c r="H341" s="24"/>
      <c r="I341" s="24">
        <f t="shared" si="162"/>
        <v>1401.2</v>
      </c>
      <c r="J341" s="39"/>
      <c r="K341" s="24"/>
      <c r="L341" s="24"/>
      <c r="M341" s="24"/>
      <c r="N341" s="24"/>
      <c r="O341" s="24"/>
      <c r="P341" s="24">
        <f>ROUND((($I341)*(P$373/12))/27,2)</f>
        <v>45.41</v>
      </c>
      <c r="Q341" s="24"/>
      <c r="R341" s="24">
        <f>ROUND((($I341)*(R$373/12))/27,2)</f>
        <v>25.95</v>
      </c>
      <c r="S341" s="61"/>
      <c r="T341" s="24"/>
      <c r="U341" s="24"/>
      <c r="V341" s="24">
        <f t="shared" si="163"/>
        <v>25.69</v>
      </c>
      <c r="W341" s="24"/>
      <c r="X341" s="24"/>
      <c r="Y341" s="24"/>
      <c r="Z341" s="24">
        <f>ROUND(($I341*(Z$373/12))/27,2)</f>
        <v>6.49</v>
      </c>
      <c r="AA341" s="24"/>
      <c r="AB341" s="24">
        <f>ROUND(($I341*(AB$373/12))/27,2)</f>
        <v>7.57</v>
      </c>
      <c r="AC341" s="24"/>
      <c r="AD341" s="24">
        <f>SUM($W341:$Z341)+SUM($AA341:$AB341)</f>
        <v>14.06</v>
      </c>
      <c r="AE341" s="24"/>
      <c r="AF341" s="271"/>
      <c r="AG341" s="272"/>
      <c r="AH341" s="4"/>
    </row>
    <row r="342" spans="1:34" ht="21.75" customHeight="1">
      <c r="A342" s="30">
        <v>29</v>
      </c>
      <c r="B342" s="38"/>
      <c r="C342" s="46"/>
      <c r="D342" s="39"/>
      <c r="E342" s="24"/>
      <c r="F342" s="24"/>
      <c r="G342" s="105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61"/>
      <c r="T342" s="24"/>
      <c r="U342" s="24"/>
      <c r="V342" s="24">
        <f t="shared" si="163"/>
        <v>0</v>
      </c>
      <c r="W342" s="24"/>
      <c r="X342" s="24"/>
      <c r="Y342" s="24"/>
      <c r="Z342" s="24"/>
      <c r="AA342" s="24"/>
      <c r="AB342" s="24"/>
      <c r="AC342" s="24"/>
      <c r="AD342" s="24"/>
      <c r="AE342" s="24"/>
      <c r="AF342" s="271"/>
      <c r="AG342" s="272"/>
      <c r="AH342" s="4"/>
    </row>
    <row r="343" spans="1:34" ht="21.75" customHeight="1">
      <c r="A343" s="30">
        <v>30</v>
      </c>
      <c r="B343" s="38">
        <v>507442.45</v>
      </c>
      <c r="C343" s="38">
        <v>507608.84</v>
      </c>
      <c r="D343" s="39" t="s">
        <v>17</v>
      </c>
      <c r="E343" s="24">
        <f t="shared" si="161"/>
        <v>166.39000000001397</v>
      </c>
      <c r="F343" s="24">
        <v>12</v>
      </c>
      <c r="G343" s="105">
        <f>ROUND((3819.7186+($F343/2))/3819.7186,4)</f>
        <v>1.0016</v>
      </c>
      <c r="H343" s="24"/>
      <c r="I343" s="24">
        <f t="shared" si="162"/>
        <v>1999.87</v>
      </c>
      <c r="J343" s="39"/>
      <c r="K343" s="24"/>
      <c r="L343" s="24"/>
      <c r="M343" s="24"/>
      <c r="N343" s="24"/>
      <c r="O343" s="24"/>
      <c r="P343" s="24">
        <f>ROUND((($I343)*(P$373/12))/27,2)</f>
        <v>64.81</v>
      </c>
      <c r="Q343" s="24"/>
      <c r="R343" s="24">
        <f>ROUND((($I343)*(R$373/12))/27,2)</f>
        <v>37.03</v>
      </c>
      <c r="S343" s="61"/>
      <c r="T343" s="24"/>
      <c r="U343" s="24"/>
      <c r="V343" s="24">
        <f t="shared" si="163"/>
        <v>36.66</v>
      </c>
      <c r="W343" s="24"/>
      <c r="X343" s="24"/>
      <c r="Y343" s="24"/>
      <c r="Z343" s="24">
        <f>ROUND(($I343*(Z$373/12))/27,2)</f>
        <v>9.26</v>
      </c>
      <c r="AA343" s="24"/>
      <c r="AB343" s="24">
        <f>ROUND(($I343*(AB$373/12))/27,2)</f>
        <v>10.8</v>
      </c>
      <c r="AC343" s="24"/>
      <c r="AD343" s="24">
        <f>SUM($W343:$Z343)+SUM($AA343:$AB343)</f>
        <v>20.060000000000002</v>
      </c>
      <c r="AE343" s="24"/>
      <c r="AF343" s="271"/>
      <c r="AG343" s="272"/>
      <c r="AH343" s="4"/>
    </row>
    <row r="344" spans="1:34" ht="21.75" customHeight="1">
      <c r="A344" s="30">
        <v>31</v>
      </c>
      <c r="B344" s="38">
        <f>C343</f>
        <v>507608.84</v>
      </c>
      <c r="C344" s="38">
        <v>507912.85</v>
      </c>
      <c r="D344" s="39" t="s">
        <v>17</v>
      </c>
      <c r="E344" s="24">
        <f t="shared" si="161"/>
        <v>304.0099999999511</v>
      </c>
      <c r="F344" s="24">
        <v>12</v>
      </c>
      <c r="G344" s="24"/>
      <c r="H344" s="24"/>
      <c r="I344" s="24">
        <f t="shared" si="162"/>
        <v>3648.12</v>
      </c>
      <c r="J344" s="24"/>
      <c r="K344" s="24"/>
      <c r="L344" s="24"/>
      <c r="M344" s="24"/>
      <c r="N344" s="24"/>
      <c r="O344" s="24"/>
      <c r="P344" s="24">
        <f>ROUND((($I344)*(P$373/12))/27,2)</f>
        <v>118.23</v>
      </c>
      <c r="Q344" s="24"/>
      <c r="R344" s="24">
        <f>ROUND((($I344)*(R$373/12))/27,2)</f>
        <v>67.56</v>
      </c>
      <c r="S344" s="61"/>
      <c r="T344" s="24"/>
      <c r="U344" s="24"/>
      <c r="V344" s="24">
        <f t="shared" si="163"/>
        <v>66.88</v>
      </c>
      <c r="W344" s="24"/>
      <c r="X344" s="24"/>
      <c r="Y344" s="24"/>
      <c r="Z344" s="24">
        <f>ROUND(($I344*(Z$373/12))/27,2)</f>
        <v>16.89</v>
      </c>
      <c r="AA344" s="24"/>
      <c r="AB344" s="24">
        <f>ROUND(($I344*(AB$373/12))/27,2)</f>
        <v>19.7</v>
      </c>
      <c r="AC344" s="24"/>
      <c r="AD344" s="24">
        <f>SUM($W344:$Z344)+SUM($AA344:$AB344)</f>
        <v>36.59</v>
      </c>
      <c r="AE344" s="24"/>
      <c r="AF344" s="271"/>
      <c r="AG344" s="272"/>
      <c r="AH344" s="4"/>
    </row>
    <row r="345" spans="1:34" ht="21.75" customHeight="1">
      <c r="A345" s="30">
        <v>32</v>
      </c>
      <c r="B345" s="38">
        <f>C344</f>
        <v>507912.85</v>
      </c>
      <c r="C345" s="38">
        <v>508013.82</v>
      </c>
      <c r="D345" s="39" t="s">
        <v>17</v>
      </c>
      <c r="E345" s="24">
        <f t="shared" si="161"/>
        <v>100.97000000003027</v>
      </c>
      <c r="F345" s="24">
        <v>12</v>
      </c>
      <c r="G345" s="105">
        <f>ROUND((1909.8596+($F345/2))/1909.8596,4)</f>
        <v>1.0031</v>
      </c>
      <c r="H345" s="24"/>
      <c r="I345" s="24">
        <f t="shared" si="162"/>
        <v>1215.4</v>
      </c>
      <c r="J345" s="24"/>
      <c r="K345" s="24"/>
      <c r="L345" s="24"/>
      <c r="M345" s="24"/>
      <c r="N345" s="24"/>
      <c r="O345" s="24"/>
      <c r="P345" s="24">
        <f>ROUND((($I345)*(P$373/12))/27,2)</f>
        <v>39.39</v>
      </c>
      <c r="Q345" s="24"/>
      <c r="R345" s="24">
        <f>ROUND((($I345)*(R$373/12))/27,2)</f>
        <v>22.51</v>
      </c>
      <c r="S345" s="61"/>
      <c r="T345" s="24"/>
      <c r="U345" s="24"/>
      <c r="V345" s="24">
        <f t="shared" si="163"/>
        <v>22.28</v>
      </c>
      <c r="W345" s="24"/>
      <c r="X345" s="24"/>
      <c r="Y345" s="24"/>
      <c r="Z345" s="24">
        <f>ROUND(($I345*(Z$373/12))/27,2)</f>
        <v>5.63</v>
      </c>
      <c r="AA345" s="24"/>
      <c r="AB345" s="24">
        <f>ROUND(($I345*(AB$373/12))/27,2)</f>
        <v>6.56</v>
      </c>
      <c r="AC345" s="24"/>
      <c r="AD345" s="24">
        <f>SUM($W345:$Z345)+SUM($AA345:$AB345)</f>
        <v>12.19</v>
      </c>
      <c r="AE345" s="24"/>
      <c r="AF345" s="271"/>
      <c r="AG345" s="272"/>
      <c r="AH345" s="4"/>
    </row>
    <row r="346" spans="1:34" ht="21.75" customHeight="1">
      <c r="A346" s="30">
        <v>33</v>
      </c>
      <c r="B346" s="38"/>
      <c r="C346" s="38"/>
      <c r="D346" s="39"/>
      <c r="E346" s="24"/>
      <c r="F346" s="24"/>
      <c r="G346" s="105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61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71"/>
      <c r="AG346" s="272"/>
      <c r="AH346" s="4"/>
    </row>
    <row r="347" spans="1:34" ht="21.75" customHeight="1">
      <c r="A347" s="30">
        <v>34</v>
      </c>
      <c r="B347" s="38">
        <v>508170.91</v>
      </c>
      <c r="C347" s="38">
        <v>508198.63</v>
      </c>
      <c r="D347" s="39" t="s">
        <v>17</v>
      </c>
      <c r="E347" s="24">
        <f t="shared" si="161"/>
        <v>27.720000000030268</v>
      </c>
      <c r="F347" s="24">
        <v>12</v>
      </c>
      <c r="G347" s="105">
        <f>ROUND((1909.8596+($F347/2))/1909.8596,4)</f>
        <v>1.0031</v>
      </c>
      <c r="H347" s="24"/>
      <c r="I347" s="24">
        <f t="shared" si="162"/>
        <v>333.67</v>
      </c>
      <c r="J347" s="24"/>
      <c r="K347" s="24"/>
      <c r="L347" s="24"/>
      <c r="M347" s="24"/>
      <c r="N347" s="24"/>
      <c r="O347" s="24"/>
      <c r="P347" s="24">
        <f>ROUND((($I347)*(P$373/12))/27,2)</f>
        <v>10.81</v>
      </c>
      <c r="Q347" s="24"/>
      <c r="R347" s="24">
        <f>ROUND((($I347)*(R$373/12))/27,2)</f>
        <v>6.18</v>
      </c>
      <c r="S347" s="61"/>
      <c r="T347" s="24"/>
      <c r="U347" s="24"/>
      <c r="V347" s="24">
        <f>ROUND((($I347/9)*V$373)*3,2)</f>
        <v>6.12</v>
      </c>
      <c r="W347" s="24"/>
      <c r="X347" s="24"/>
      <c r="Y347" s="24"/>
      <c r="Z347" s="24">
        <f>ROUND(($I347*(Z$373/12))/27,2)</f>
        <v>1.54</v>
      </c>
      <c r="AA347" s="24"/>
      <c r="AB347" s="24">
        <f>ROUND(($I347*(AB$373/12))/27,2)</f>
        <v>1.8</v>
      </c>
      <c r="AC347" s="24"/>
      <c r="AD347" s="24">
        <f>SUM($W347:$Z347)+SUM($AA347:$AB347)</f>
        <v>3.34</v>
      </c>
      <c r="AE347" s="24"/>
      <c r="AF347" s="271"/>
      <c r="AG347" s="272"/>
      <c r="AH347" s="4"/>
    </row>
    <row r="348" spans="1:34" ht="21.75" customHeight="1">
      <c r="A348" s="30">
        <v>35</v>
      </c>
      <c r="B348" s="38">
        <f>C347</f>
        <v>508198.63</v>
      </c>
      <c r="C348" s="38">
        <v>508386.06</v>
      </c>
      <c r="D348" s="39" t="s">
        <v>17</v>
      </c>
      <c r="E348" s="24">
        <f>C348-B348</f>
        <v>187.42999999999302</v>
      </c>
      <c r="F348" s="24">
        <v>12</v>
      </c>
      <c r="G348" s="24"/>
      <c r="H348" s="24"/>
      <c r="I348" s="24">
        <f>IF(G348=0,ROUND($E348*$F348,2),ROUND($E348*$F348*$G348,2))</f>
        <v>2249.16</v>
      </c>
      <c r="J348" s="24"/>
      <c r="K348" s="24"/>
      <c r="L348" s="24"/>
      <c r="M348" s="24"/>
      <c r="N348" s="24"/>
      <c r="O348" s="24"/>
      <c r="P348" s="24">
        <f>ROUND((($I348)*(P$373/12))/27,2)</f>
        <v>72.89</v>
      </c>
      <c r="Q348" s="24"/>
      <c r="R348" s="24">
        <f>ROUND((($I348)*(R$373/12))/27,2)</f>
        <v>41.65</v>
      </c>
      <c r="S348" s="61"/>
      <c r="T348" s="24"/>
      <c r="U348" s="24"/>
      <c r="V348" s="24">
        <f>ROUND((($I348/9)*V$373)*3,2)</f>
        <v>41.23</v>
      </c>
      <c r="W348" s="24"/>
      <c r="X348" s="24"/>
      <c r="Y348" s="24"/>
      <c r="Z348" s="24">
        <f>ROUND(($I348*(Z$373/12))/27,2)</f>
        <v>10.41</v>
      </c>
      <c r="AA348" s="24"/>
      <c r="AB348" s="24">
        <f>ROUND(($I348*(AB$373/12))/27,2)</f>
        <v>12.15</v>
      </c>
      <c r="AC348" s="24"/>
      <c r="AD348" s="24">
        <f>SUM($W348:$Z348)+SUM($AA348:$AB348)</f>
        <v>22.560000000000002</v>
      </c>
      <c r="AE348" s="24"/>
      <c r="AF348" s="271"/>
      <c r="AG348" s="272"/>
      <c r="AH348" s="4"/>
    </row>
    <row r="349" spans="1:34" ht="21.75" customHeight="1">
      <c r="A349" s="30">
        <v>36</v>
      </c>
      <c r="B349" s="38">
        <f>C348</f>
        <v>508386.06</v>
      </c>
      <c r="C349" s="38">
        <v>508420</v>
      </c>
      <c r="D349" s="39" t="s">
        <v>17</v>
      </c>
      <c r="E349" s="24">
        <f t="shared" si="161"/>
        <v>33.94000000000233</v>
      </c>
      <c r="F349" s="66">
        <f>ROUND((12+20.1467)/2,2)</f>
        <v>16.07</v>
      </c>
      <c r="G349" s="105"/>
      <c r="H349" s="24"/>
      <c r="I349" s="24">
        <f t="shared" si="162"/>
        <v>545.42</v>
      </c>
      <c r="J349" s="24"/>
      <c r="K349" s="24"/>
      <c r="L349" s="24"/>
      <c r="M349" s="24"/>
      <c r="N349" s="24"/>
      <c r="O349" s="24"/>
      <c r="P349" s="24">
        <f>ROUND((($I349)*(P$373/12))/27,2)</f>
        <v>17.68</v>
      </c>
      <c r="Q349" s="24"/>
      <c r="R349" s="24">
        <f>ROUND((($I349)*(R$373/12))/27,2)</f>
        <v>10.1</v>
      </c>
      <c r="S349" s="61"/>
      <c r="T349" s="24"/>
      <c r="U349" s="24"/>
      <c r="V349" s="24">
        <f>ROUND((($I349/9)*V$373)*3,2)</f>
        <v>10</v>
      </c>
      <c r="W349" s="24"/>
      <c r="X349" s="24"/>
      <c r="Y349" s="24"/>
      <c r="Z349" s="24">
        <f>ROUND(($I349*(Z$373/12))/27,2)</f>
        <v>2.53</v>
      </c>
      <c r="AA349" s="24"/>
      <c r="AB349" s="24">
        <f>ROUND(($I349*(AB$373/12))/27,2)</f>
        <v>2.95</v>
      </c>
      <c r="AC349" s="24"/>
      <c r="AD349" s="24">
        <f>SUM($W349:$Z349)+SUM($AA349:$AB349)</f>
        <v>5.48</v>
      </c>
      <c r="AE349" s="24"/>
      <c r="AF349" s="271"/>
      <c r="AG349" s="272"/>
      <c r="AH349" s="16"/>
    </row>
    <row r="350" spans="1:34" ht="21.75" customHeight="1">
      <c r="A350" s="30">
        <v>37</v>
      </c>
      <c r="B350" s="38">
        <f>C349</f>
        <v>508420</v>
      </c>
      <c r="C350" s="38">
        <v>508436.06</v>
      </c>
      <c r="D350" s="39" t="s">
        <v>17</v>
      </c>
      <c r="E350" s="24">
        <f t="shared" si="161"/>
        <v>16.05999999999767</v>
      </c>
      <c r="F350" s="66">
        <f>ROUND((20.1467+24)/2,2)</f>
        <v>22.07</v>
      </c>
      <c r="G350" s="105">
        <f>ROUND((545.6741+($F350/2))/545.6741,4)</f>
        <v>1.0202</v>
      </c>
      <c r="H350" s="24"/>
      <c r="I350" s="24">
        <f t="shared" si="162"/>
        <v>361.6</v>
      </c>
      <c r="J350" s="24"/>
      <c r="K350" s="24"/>
      <c r="L350" s="24"/>
      <c r="M350" s="24"/>
      <c r="N350" s="24"/>
      <c r="O350" s="24"/>
      <c r="P350" s="24">
        <f>ROUND((($I350)*(P$373/12))/27,2)</f>
        <v>11.72</v>
      </c>
      <c r="Q350" s="24"/>
      <c r="R350" s="24">
        <f>ROUND((($I350)*(R$373/12))/27,2)</f>
        <v>6.7</v>
      </c>
      <c r="S350" s="61"/>
      <c r="T350" s="24"/>
      <c r="U350" s="24"/>
      <c r="V350" s="24">
        <f>ROUND((($I350/9)*V$373)*3,2)</f>
        <v>6.63</v>
      </c>
      <c r="W350" s="24"/>
      <c r="X350" s="24"/>
      <c r="Y350" s="24"/>
      <c r="Z350" s="24">
        <f>ROUND(($I350*(Z$373/12))/27,2)</f>
        <v>1.67</v>
      </c>
      <c r="AA350" s="24"/>
      <c r="AB350" s="24">
        <f>ROUND(($I350*(AB$373/12))/27,2)</f>
        <v>1.95</v>
      </c>
      <c r="AC350" s="24"/>
      <c r="AD350" s="24">
        <f>SUM($W350:$Z350)+SUM($AA350:$AB350)</f>
        <v>3.62</v>
      </c>
      <c r="AE350" s="24"/>
      <c r="AF350" s="271"/>
      <c r="AG350" s="272"/>
      <c r="AH350" s="16"/>
    </row>
    <row r="351" spans="1:34" ht="21.75" customHeight="1" thickBot="1">
      <c r="A351" s="30">
        <v>38</v>
      </c>
      <c r="B351" s="38">
        <f>C350</f>
        <v>508436.06</v>
      </c>
      <c r="C351" s="38">
        <v>508456.78</v>
      </c>
      <c r="D351" s="39" t="s">
        <v>17</v>
      </c>
      <c r="E351" s="24">
        <f t="shared" si="161"/>
        <v>20.720000000030268</v>
      </c>
      <c r="F351" s="24">
        <v>24</v>
      </c>
      <c r="G351" s="105">
        <f>ROUND((545.6741+($F351/2))/545.6741,4)</f>
        <v>1.022</v>
      </c>
      <c r="H351" s="24"/>
      <c r="I351" s="24">
        <f t="shared" si="162"/>
        <v>508.22</v>
      </c>
      <c r="J351" s="24"/>
      <c r="K351" s="24"/>
      <c r="L351" s="24"/>
      <c r="M351" s="24"/>
      <c r="N351" s="24"/>
      <c r="O351" s="24"/>
      <c r="P351" s="24">
        <f>ROUND((($I351)*(P$373/12))/27,2)</f>
        <v>16.47</v>
      </c>
      <c r="Q351" s="24"/>
      <c r="R351" s="24">
        <f>ROUND((($I351)*(R$373/12))/27,2)</f>
        <v>9.41</v>
      </c>
      <c r="S351" s="61"/>
      <c r="T351" s="24"/>
      <c r="U351" s="24"/>
      <c r="V351" s="24">
        <f>ROUND((($I351/9)*V$373)*3,2)</f>
        <v>9.32</v>
      </c>
      <c r="W351" s="24"/>
      <c r="X351" s="24"/>
      <c r="Y351" s="24"/>
      <c r="Z351" s="24">
        <f>ROUND(($I351*(Z$373/12))/27,2)</f>
        <v>2.35</v>
      </c>
      <c r="AA351" s="24"/>
      <c r="AB351" s="24">
        <f>ROUND(($I351*(AB$373/12))/27,2)</f>
        <v>2.75</v>
      </c>
      <c r="AC351" s="24"/>
      <c r="AD351" s="24">
        <f>SUM($W351:$Z351)+SUM($AA351:$AB351)</f>
        <v>5.1</v>
      </c>
      <c r="AE351" s="24"/>
      <c r="AF351" s="281"/>
      <c r="AG351" s="275"/>
      <c r="AH351" s="16"/>
    </row>
    <row r="352" spans="1:34" ht="21.75" customHeight="1">
      <c r="A352" s="30">
        <v>39</v>
      </c>
      <c r="B352" s="38"/>
      <c r="C352" s="38"/>
      <c r="D352" s="39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61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69" t="s">
        <v>39</v>
      </c>
      <c r="AG352" s="270"/>
      <c r="AH352" s="16"/>
    </row>
    <row r="353" spans="1:34" ht="21.75" customHeight="1">
      <c r="A353" s="30">
        <v>40</v>
      </c>
      <c r="B353" s="38">
        <v>502438.21</v>
      </c>
      <c r="C353" s="38">
        <v>503134.48</v>
      </c>
      <c r="D353" s="39" t="s">
        <v>16</v>
      </c>
      <c r="E353" s="24">
        <f t="shared" si="161"/>
        <v>696.2699999999604</v>
      </c>
      <c r="F353" s="24">
        <v>12</v>
      </c>
      <c r="G353" s="105">
        <f>ROUND((4911.0668-($F353/2))/4911.0668,4)</f>
        <v>0.9988</v>
      </c>
      <c r="H353" s="24"/>
      <c r="I353" s="24">
        <f aca="true" t="shared" si="164" ref="I353:I366">IF(G353=0,ROUND($E353*$F353,2),ROUND($E353*$F353*$G353,2))</f>
        <v>8345.21</v>
      </c>
      <c r="J353" s="24"/>
      <c r="K353" s="24"/>
      <c r="L353" s="24"/>
      <c r="M353" s="24"/>
      <c r="N353" s="24"/>
      <c r="O353" s="24"/>
      <c r="P353" s="24">
        <f>ROUND((($I353)*(P$373/12))/27,2)</f>
        <v>270.45</v>
      </c>
      <c r="Q353" s="24"/>
      <c r="R353" s="24">
        <f>ROUND((($I353)*(R$373/12))/27,2)</f>
        <v>154.54</v>
      </c>
      <c r="S353" s="61"/>
      <c r="T353" s="24"/>
      <c r="U353" s="24"/>
      <c r="V353" s="24">
        <f>ROUND((($I353/9)*V$373)*3,2)</f>
        <v>153</v>
      </c>
      <c r="W353" s="24"/>
      <c r="X353" s="24">
        <f>ROUND(($I353*(X$373/12))/27,2)</f>
        <v>38.64</v>
      </c>
      <c r="Y353" s="24"/>
      <c r="Z353" s="24"/>
      <c r="AA353" s="24"/>
      <c r="AB353" s="24">
        <f>ROUND(($I353*(AB$373/12))/27,2)</f>
        <v>45.07</v>
      </c>
      <c r="AC353" s="24"/>
      <c r="AD353" s="24">
        <f>SUM($W353:$Z353)+SUM($AA353:$AB353)</f>
        <v>83.71000000000001</v>
      </c>
      <c r="AE353" s="24"/>
      <c r="AF353" s="271"/>
      <c r="AG353" s="272"/>
      <c r="AH353" s="16"/>
    </row>
    <row r="354" spans="1:34" ht="21.75" customHeight="1">
      <c r="A354" s="30">
        <v>41</v>
      </c>
      <c r="B354" s="38"/>
      <c r="C354" s="46"/>
      <c r="D354" s="39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61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71"/>
      <c r="AG354" s="272"/>
      <c r="AH354" s="4"/>
    </row>
    <row r="355" spans="1:34" ht="21.75" customHeight="1">
      <c r="A355" s="30">
        <v>42</v>
      </c>
      <c r="B355" s="38">
        <v>503267.33</v>
      </c>
      <c r="C355" s="38">
        <v>503483.9</v>
      </c>
      <c r="D355" s="39" t="s">
        <v>16</v>
      </c>
      <c r="E355" s="24">
        <f t="shared" si="161"/>
        <v>216.57000000000698</v>
      </c>
      <c r="F355" s="24">
        <v>12</v>
      </c>
      <c r="G355" s="105">
        <f>ROUND((4911.0668-($F355/2))/4911.0668,4)</f>
        <v>0.9988</v>
      </c>
      <c r="H355" s="24"/>
      <c r="I355" s="24">
        <f t="shared" si="164"/>
        <v>2595.72</v>
      </c>
      <c r="J355" s="24"/>
      <c r="K355" s="24"/>
      <c r="L355" s="24"/>
      <c r="M355" s="24"/>
      <c r="N355" s="24"/>
      <c r="O355" s="24"/>
      <c r="P355" s="24">
        <f>ROUND((($I355)*(P$373/12))/27,2)</f>
        <v>84.12</v>
      </c>
      <c r="Q355" s="24"/>
      <c r="R355" s="24">
        <f>ROUND((($I355)*(R$373/12))/27,2)</f>
        <v>48.07</v>
      </c>
      <c r="S355" s="61"/>
      <c r="T355" s="24"/>
      <c r="U355" s="24"/>
      <c r="V355" s="24">
        <f>ROUND((($I355/9)*V$373)*3,2)</f>
        <v>47.59</v>
      </c>
      <c r="W355" s="24"/>
      <c r="X355" s="24"/>
      <c r="Y355" s="24"/>
      <c r="Z355" s="24">
        <f>ROUND(($I355*(Z$373/12))/27,2)</f>
        <v>12.02</v>
      </c>
      <c r="AA355" s="24"/>
      <c r="AB355" s="24">
        <f>ROUND(($I355*(AB$373/12))/27,2)</f>
        <v>14.02</v>
      </c>
      <c r="AC355" s="24"/>
      <c r="AD355" s="24">
        <f>SUM($W355:$Z355)+SUM($AA355:$AB355)</f>
        <v>26.04</v>
      </c>
      <c r="AE355" s="24"/>
      <c r="AF355" s="271"/>
      <c r="AG355" s="272"/>
      <c r="AH355" s="4"/>
    </row>
    <row r="356" spans="1:34" ht="21.75" customHeight="1">
      <c r="A356" s="30">
        <v>43</v>
      </c>
      <c r="B356" s="38"/>
      <c r="C356" s="38"/>
      <c r="D356" s="39"/>
      <c r="E356" s="24"/>
      <c r="F356" s="24"/>
      <c r="G356" s="105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61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71"/>
      <c r="AG356" s="272"/>
      <c r="AH356" s="4"/>
    </row>
    <row r="357" spans="1:34" ht="21.75" customHeight="1">
      <c r="A357" s="30">
        <v>44</v>
      </c>
      <c r="B357" s="38">
        <v>506206.35</v>
      </c>
      <c r="C357" s="46">
        <v>506999.95</v>
      </c>
      <c r="D357" s="39" t="s">
        <v>16</v>
      </c>
      <c r="E357" s="24">
        <f t="shared" si="161"/>
        <v>793.6000000000349</v>
      </c>
      <c r="F357" s="24">
        <v>12</v>
      </c>
      <c r="G357" s="105">
        <f>ROUND((2864.789-($F357/2))/2864.789,4)</f>
        <v>0.9979</v>
      </c>
      <c r="H357" s="24"/>
      <c r="I357" s="24">
        <f t="shared" si="164"/>
        <v>9503.2</v>
      </c>
      <c r="J357" s="24"/>
      <c r="K357" s="24"/>
      <c r="L357" s="24"/>
      <c r="M357" s="24"/>
      <c r="N357" s="24"/>
      <c r="O357" s="24"/>
      <c r="P357" s="24">
        <f>ROUND((($I357)*(P$373/12))/27,2)</f>
        <v>307.97</v>
      </c>
      <c r="Q357" s="24"/>
      <c r="R357" s="24">
        <f>ROUND((($I357)*(R$373/12))/27,2)</f>
        <v>175.99</v>
      </c>
      <c r="S357" s="61"/>
      <c r="T357" s="24"/>
      <c r="U357" s="24"/>
      <c r="V357" s="24">
        <f>ROUND((($I357/9)*V$373)*3,2)</f>
        <v>174.23</v>
      </c>
      <c r="W357" s="24"/>
      <c r="X357" s="24"/>
      <c r="Y357" s="24"/>
      <c r="Z357" s="24">
        <f>ROUND(($I357*(Z$373/12))/27,2)</f>
        <v>44</v>
      </c>
      <c r="AA357" s="24"/>
      <c r="AB357" s="24">
        <f>ROUND(($I357*(AB$373/12))/27,2)</f>
        <v>51.33</v>
      </c>
      <c r="AC357" s="24"/>
      <c r="AD357" s="24">
        <f>SUM($W357:$Z357)+SUM($AA357:$AB357)</f>
        <v>95.33</v>
      </c>
      <c r="AE357" s="24"/>
      <c r="AF357" s="271"/>
      <c r="AG357" s="272"/>
      <c r="AH357" s="4"/>
    </row>
    <row r="358" spans="1:34" ht="21.75" customHeight="1">
      <c r="A358" s="30">
        <v>45</v>
      </c>
      <c r="B358" s="38">
        <f>C357</f>
        <v>506999.95</v>
      </c>
      <c r="C358" s="46">
        <v>507116.53</v>
      </c>
      <c r="D358" s="39" t="s">
        <v>16</v>
      </c>
      <c r="E358" s="24">
        <f t="shared" si="161"/>
        <v>116.5800000000163</v>
      </c>
      <c r="F358" s="24">
        <v>12</v>
      </c>
      <c r="G358" s="105">
        <f>ROUND((3819.7186-($F358/2))/3819.7186,4)</f>
        <v>0.9984</v>
      </c>
      <c r="H358" s="24"/>
      <c r="I358" s="24">
        <f t="shared" si="164"/>
        <v>1396.72</v>
      </c>
      <c r="J358" s="24"/>
      <c r="K358" s="24"/>
      <c r="L358" s="39"/>
      <c r="M358" s="24"/>
      <c r="N358" s="24"/>
      <c r="O358" s="24"/>
      <c r="P358" s="24">
        <f>ROUND((($I358)*(P$373/12))/27,2)</f>
        <v>45.26</v>
      </c>
      <c r="Q358" s="24"/>
      <c r="R358" s="24">
        <f>ROUND((($I358)*(R$373/12))/27,2)</f>
        <v>25.87</v>
      </c>
      <c r="S358" s="61"/>
      <c r="T358" s="24"/>
      <c r="U358" s="24"/>
      <c r="V358" s="24">
        <f>ROUND((($I358/9)*V$373)*3,2)</f>
        <v>25.61</v>
      </c>
      <c r="W358" s="24"/>
      <c r="X358" s="24"/>
      <c r="Y358" s="24"/>
      <c r="Z358" s="24">
        <f>ROUND(($I358*(Z$373/12))/27,2)</f>
        <v>6.47</v>
      </c>
      <c r="AA358" s="24"/>
      <c r="AB358" s="24">
        <f>ROUND(($I358*(AB$373/12))/27,2)</f>
        <v>7.54</v>
      </c>
      <c r="AC358" s="24"/>
      <c r="AD358" s="24">
        <f>SUM($W358:$Z358)+SUM($AA358:$AB358)</f>
        <v>14.01</v>
      </c>
      <c r="AE358" s="24"/>
      <c r="AF358" s="271"/>
      <c r="AG358" s="272"/>
      <c r="AH358" s="4"/>
    </row>
    <row r="359" spans="1:34" ht="21.75" customHeight="1">
      <c r="A359" s="30">
        <v>46</v>
      </c>
      <c r="B359" s="38"/>
      <c r="C359" s="46"/>
      <c r="D359" s="39"/>
      <c r="E359" s="24"/>
      <c r="F359" s="24"/>
      <c r="G359" s="24"/>
      <c r="H359" s="24"/>
      <c r="I359" s="24"/>
      <c r="J359" s="24"/>
      <c r="K359" s="24"/>
      <c r="L359" s="39"/>
      <c r="M359" s="24"/>
      <c r="N359" s="24"/>
      <c r="O359" s="24"/>
      <c r="P359" s="24"/>
      <c r="Q359" s="24"/>
      <c r="R359" s="24"/>
      <c r="S359" s="61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71"/>
      <c r="AG359" s="272"/>
      <c r="AH359" s="4"/>
    </row>
    <row r="360" spans="1:34" ht="21.75" customHeight="1">
      <c r="A360" s="30">
        <v>47</v>
      </c>
      <c r="B360" s="38">
        <v>507442.45</v>
      </c>
      <c r="C360" s="38">
        <v>507608.84</v>
      </c>
      <c r="D360" s="39" t="s">
        <v>16</v>
      </c>
      <c r="E360" s="24">
        <f t="shared" si="161"/>
        <v>166.39000000001397</v>
      </c>
      <c r="F360" s="24">
        <v>12</v>
      </c>
      <c r="G360" s="105">
        <f>ROUND((3819.7186-($F360/2))/3819.7186,4)</f>
        <v>0.9984</v>
      </c>
      <c r="H360" s="24"/>
      <c r="I360" s="24">
        <f t="shared" si="164"/>
        <v>1993.49</v>
      </c>
      <c r="J360" s="24"/>
      <c r="K360" s="24"/>
      <c r="L360" s="24"/>
      <c r="M360" s="24"/>
      <c r="N360" s="24"/>
      <c r="O360" s="24"/>
      <c r="P360" s="24">
        <f>ROUND((($I360)*(P$373/12))/27,2)</f>
        <v>64.6</v>
      </c>
      <c r="Q360" s="24"/>
      <c r="R360" s="24">
        <f>ROUND((($I360)*(R$373/12))/27,2)</f>
        <v>36.92</v>
      </c>
      <c r="S360" s="61"/>
      <c r="T360" s="24"/>
      <c r="U360" s="24"/>
      <c r="V360" s="24">
        <f>ROUND((($I360/9)*V$373)*3,2)</f>
        <v>36.55</v>
      </c>
      <c r="W360" s="24"/>
      <c r="X360" s="24"/>
      <c r="Y360" s="24"/>
      <c r="Z360" s="24">
        <f>ROUND(($I360*(Z$373/12))/27,2)</f>
        <v>9.23</v>
      </c>
      <c r="AA360" s="24"/>
      <c r="AB360" s="24">
        <f>ROUND(($I360*(AB$373/12))/27,2)</f>
        <v>10.77</v>
      </c>
      <c r="AC360" s="24"/>
      <c r="AD360" s="24">
        <f>SUM($W360:$Z360)+SUM($AA360:$AB360)</f>
        <v>20</v>
      </c>
      <c r="AE360" s="24"/>
      <c r="AF360" s="271"/>
      <c r="AG360" s="272"/>
      <c r="AH360" s="4"/>
    </row>
    <row r="361" spans="1:34" ht="21.75" customHeight="1">
      <c r="A361" s="30">
        <v>48</v>
      </c>
      <c r="B361" s="38">
        <f>C360</f>
        <v>507608.84</v>
      </c>
      <c r="C361" s="38">
        <v>507912.85</v>
      </c>
      <c r="D361" s="39" t="s">
        <v>16</v>
      </c>
      <c r="E361" s="24">
        <f t="shared" si="161"/>
        <v>304.0099999999511</v>
      </c>
      <c r="F361" s="24">
        <v>12</v>
      </c>
      <c r="G361" s="24"/>
      <c r="H361" s="24"/>
      <c r="I361" s="24">
        <f t="shared" si="164"/>
        <v>3648.12</v>
      </c>
      <c r="J361" s="24"/>
      <c r="K361" s="24"/>
      <c r="L361" s="24"/>
      <c r="M361" s="24"/>
      <c r="N361" s="24"/>
      <c r="O361" s="24"/>
      <c r="P361" s="24">
        <f>ROUND((($I361)*(P$373/12))/27,2)</f>
        <v>118.23</v>
      </c>
      <c r="Q361" s="24"/>
      <c r="R361" s="24">
        <f>ROUND((($I361)*(R$373/12))/27,2)</f>
        <v>67.56</v>
      </c>
      <c r="S361" s="61"/>
      <c r="T361" s="24"/>
      <c r="U361" s="24"/>
      <c r="V361" s="24">
        <f>ROUND((($I361/9)*V$373)*3,2)</f>
        <v>66.88</v>
      </c>
      <c r="W361" s="24"/>
      <c r="X361" s="24"/>
      <c r="Y361" s="24"/>
      <c r="Z361" s="24">
        <f>ROUND(($I361*(Z$373/12))/27,2)</f>
        <v>16.89</v>
      </c>
      <c r="AA361" s="24"/>
      <c r="AB361" s="24">
        <f>ROUND(($I361*(AB$373/12))/27,2)</f>
        <v>19.7</v>
      </c>
      <c r="AC361" s="24"/>
      <c r="AD361" s="24">
        <f>SUM($W361:$Z361)+SUM($AA361:$AB361)</f>
        <v>36.59</v>
      </c>
      <c r="AE361" s="24"/>
      <c r="AF361" s="271"/>
      <c r="AG361" s="272"/>
      <c r="AH361" s="4"/>
    </row>
    <row r="362" spans="1:34" ht="21.75" customHeight="1">
      <c r="A362" s="30">
        <v>49</v>
      </c>
      <c r="B362" s="38">
        <f>C361</f>
        <v>507912.85</v>
      </c>
      <c r="C362" s="38">
        <v>508013.82</v>
      </c>
      <c r="D362" s="39" t="s">
        <v>16</v>
      </c>
      <c r="E362" s="24">
        <f t="shared" si="161"/>
        <v>100.97000000003027</v>
      </c>
      <c r="F362" s="24">
        <v>12</v>
      </c>
      <c r="G362" s="105">
        <f>ROUND((1909.8596-($F362/2))/1909.8596,4)</f>
        <v>0.9969</v>
      </c>
      <c r="H362" s="24"/>
      <c r="I362" s="24">
        <f t="shared" si="164"/>
        <v>1207.88</v>
      </c>
      <c r="J362" s="24"/>
      <c r="K362" s="24"/>
      <c r="L362" s="24"/>
      <c r="M362" s="24"/>
      <c r="N362" s="24"/>
      <c r="O362" s="24"/>
      <c r="P362" s="24">
        <f>ROUND((($I362)*(P$373/12))/27,2)</f>
        <v>39.14</v>
      </c>
      <c r="Q362" s="24"/>
      <c r="R362" s="24">
        <f>ROUND((($I362)*(R$373/12))/27,2)</f>
        <v>22.37</v>
      </c>
      <c r="S362" s="61"/>
      <c r="T362" s="24"/>
      <c r="U362" s="24"/>
      <c r="V362" s="24">
        <f>ROUND((($I362/9)*V$373)*3,2)</f>
        <v>22.14</v>
      </c>
      <c r="W362" s="24"/>
      <c r="X362" s="24"/>
      <c r="Y362" s="24"/>
      <c r="Z362" s="24">
        <f>ROUND(($I362*(Z$373/12))/27,2)</f>
        <v>5.59</v>
      </c>
      <c r="AA362" s="24"/>
      <c r="AB362" s="24">
        <f>ROUND(($I362*(AB$373/12))/27,2)</f>
        <v>6.52</v>
      </c>
      <c r="AC362" s="24"/>
      <c r="AD362" s="24">
        <f>SUM($W362:$Z362)+SUM($AA362:$AB362)</f>
        <v>12.11</v>
      </c>
      <c r="AE362" s="24"/>
      <c r="AF362" s="271"/>
      <c r="AG362" s="272"/>
      <c r="AH362" s="4"/>
    </row>
    <row r="363" spans="1:34" ht="21.75" customHeight="1">
      <c r="A363" s="30">
        <v>50</v>
      </c>
      <c r="B363" s="38"/>
      <c r="C363" s="46"/>
      <c r="D363" s="39"/>
      <c r="E363" s="24"/>
      <c r="F363" s="24"/>
      <c r="G363" s="105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61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71"/>
      <c r="AG363" s="272"/>
      <c r="AH363" s="4"/>
    </row>
    <row r="364" spans="1:34" ht="21.75" customHeight="1">
      <c r="A364" s="30">
        <v>51</v>
      </c>
      <c r="B364" s="38">
        <v>508170.91</v>
      </c>
      <c r="C364" s="38">
        <v>508198.63</v>
      </c>
      <c r="D364" s="39" t="s">
        <v>16</v>
      </c>
      <c r="E364" s="24">
        <f>C364-B364</f>
        <v>27.720000000030268</v>
      </c>
      <c r="F364" s="24">
        <v>12</v>
      </c>
      <c r="G364" s="105">
        <f>ROUND((1909.8596-($F364/2))/1909.8596,4)</f>
        <v>0.9969</v>
      </c>
      <c r="H364" s="24"/>
      <c r="I364" s="24">
        <f t="shared" si="164"/>
        <v>331.61</v>
      </c>
      <c r="J364" s="24"/>
      <c r="K364" s="24"/>
      <c r="L364" s="24"/>
      <c r="M364" s="24"/>
      <c r="N364" s="24"/>
      <c r="O364" s="24"/>
      <c r="P364" s="24">
        <f>ROUND((($I364)*(P$373/12))/27,2)</f>
        <v>10.75</v>
      </c>
      <c r="Q364" s="24"/>
      <c r="R364" s="24">
        <f>ROUND((($I364)*(R$373/12))/27,2)</f>
        <v>6.14</v>
      </c>
      <c r="S364" s="61"/>
      <c r="T364" s="24"/>
      <c r="U364" s="24"/>
      <c r="V364" s="24">
        <f>ROUND((($I364/9)*V$373)*3,2)</f>
        <v>6.08</v>
      </c>
      <c r="W364" s="24"/>
      <c r="X364" s="24"/>
      <c r="Y364" s="24"/>
      <c r="Z364" s="24">
        <f>ROUND(($I364*(Z$373/12))/27,2)</f>
        <v>1.54</v>
      </c>
      <c r="AA364" s="24"/>
      <c r="AB364" s="24">
        <f>ROUND(($I364*(AB$373/12))/27,2)</f>
        <v>1.79</v>
      </c>
      <c r="AC364" s="24"/>
      <c r="AD364" s="24">
        <f>SUM($W364:$Z364)+SUM($AA364:$AB364)</f>
        <v>3.33</v>
      </c>
      <c r="AE364" s="24"/>
      <c r="AF364" s="271"/>
      <c r="AG364" s="272"/>
      <c r="AH364" s="4"/>
    </row>
    <row r="365" spans="1:34" ht="21.75" customHeight="1">
      <c r="A365" s="30">
        <v>52</v>
      </c>
      <c r="B365" s="38">
        <f>C364</f>
        <v>508198.63</v>
      </c>
      <c r="C365" s="38">
        <v>508420</v>
      </c>
      <c r="D365" s="39" t="s">
        <v>16</v>
      </c>
      <c r="E365" s="24">
        <f>C365-B365</f>
        <v>221.36999999999534</v>
      </c>
      <c r="F365" s="24">
        <v>12</v>
      </c>
      <c r="G365" s="105"/>
      <c r="H365" s="24"/>
      <c r="I365" s="24">
        <f t="shared" si="164"/>
        <v>2656.44</v>
      </c>
      <c r="J365" s="24"/>
      <c r="K365" s="24"/>
      <c r="L365" s="24"/>
      <c r="M365" s="24"/>
      <c r="N365" s="24"/>
      <c r="O365" s="24"/>
      <c r="P365" s="24">
        <f>ROUND((($I365)*(P$373/12))/27,2)</f>
        <v>86.09</v>
      </c>
      <c r="Q365" s="24"/>
      <c r="R365" s="24">
        <f>ROUND((($I365)*(R$373/12))/27,2)</f>
        <v>49.19</v>
      </c>
      <c r="S365" s="61"/>
      <c r="T365" s="24"/>
      <c r="U365" s="24"/>
      <c r="V365" s="24">
        <f>ROUND((($I365/9)*V$373)*3,2)</f>
        <v>48.7</v>
      </c>
      <c r="W365" s="24"/>
      <c r="X365" s="24"/>
      <c r="Y365" s="24"/>
      <c r="Z365" s="24">
        <f>ROUND(($I365*(Z$373/12))/27,2)</f>
        <v>12.3</v>
      </c>
      <c r="AA365" s="24"/>
      <c r="AB365" s="24">
        <f>ROUND(($I365*(AB$373/12))/27,2)</f>
        <v>14.35</v>
      </c>
      <c r="AC365" s="24"/>
      <c r="AD365" s="24">
        <f>SUM($W365:$Z365)+SUM($AA365:$AB365)</f>
        <v>26.65</v>
      </c>
      <c r="AE365" s="24"/>
      <c r="AF365" s="273"/>
      <c r="AG365" s="272"/>
      <c r="AH365" s="4"/>
    </row>
    <row r="366" spans="1:34" ht="21.75" customHeight="1">
      <c r="A366" s="30">
        <v>53</v>
      </c>
      <c r="B366" s="38">
        <f>C365</f>
        <v>508420</v>
      </c>
      <c r="C366" s="46">
        <v>508456.78</v>
      </c>
      <c r="D366" s="39" t="s">
        <v>16</v>
      </c>
      <c r="E366" s="24">
        <f>C366-B366</f>
        <v>36.78000000002794</v>
      </c>
      <c r="F366" s="24">
        <v>12</v>
      </c>
      <c r="G366" s="105">
        <f>ROUND((545.6741-($F366/2))/545.6741,4)</f>
        <v>0.989</v>
      </c>
      <c r="H366" s="24"/>
      <c r="I366" s="24">
        <f t="shared" si="164"/>
        <v>436.51</v>
      </c>
      <c r="J366" s="24"/>
      <c r="K366" s="24"/>
      <c r="L366" s="39"/>
      <c r="M366" s="24"/>
      <c r="N366" s="24"/>
      <c r="O366" s="24"/>
      <c r="P366" s="24">
        <f>ROUND((($I366)*(P$373/12))/27,2)</f>
        <v>14.15</v>
      </c>
      <c r="Q366" s="24"/>
      <c r="R366" s="24">
        <f>ROUND((($I366)*(R$373/12))/27,2)</f>
        <v>8.08</v>
      </c>
      <c r="S366" s="61"/>
      <c r="T366" s="24"/>
      <c r="U366" s="24"/>
      <c r="V366" s="24">
        <f>ROUND((($I366/9)*V$373)*3,2)</f>
        <v>8</v>
      </c>
      <c r="W366" s="24"/>
      <c r="X366" s="24"/>
      <c r="Y366" s="24"/>
      <c r="Z366" s="24">
        <f>ROUND(($I366*(Z$373/12))/27,2)</f>
        <v>2.02</v>
      </c>
      <c r="AA366" s="24"/>
      <c r="AB366" s="24">
        <f>ROUND(($I366*(AB$373/12))/27,2)</f>
        <v>2.36</v>
      </c>
      <c r="AC366" s="24"/>
      <c r="AD366" s="24">
        <f>SUM($W366:$Z366)+SUM($AA366:$AB366)</f>
        <v>4.38</v>
      </c>
      <c r="AE366" s="24"/>
      <c r="AF366" s="273"/>
      <c r="AG366" s="272"/>
      <c r="AH366" s="4"/>
    </row>
    <row r="367" spans="1:34" ht="21.75" customHeight="1" thickBot="1">
      <c r="A367" s="30">
        <v>54</v>
      </c>
      <c r="B367" s="38"/>
      <c r="C367" s="46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61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74"/>
      <c r="AG367" s="275"/>
      <c r="AH367" s="4"/>
    </row>
    <row r="368" spans="1:34" ht="46.5" customHeight="1">
      <c r="A368" s="1"/>
      <c r="B368" s="233" t="s">
        <v>15</v>
      </c>
      <c r="C368" s="234"/>
      <c r="D368" s="234"/>
      <c r="E368" s="234"/>
      <c r="F368" s="234"/>
      <c r="G368" s="234"/>
      <c r="H368" s="234"/>
      <c r="I368" s="234"/>
      <c r="J368" s="234"/>
      <c r="K368" s="234"/>
      <c r="L368" s="234"/>
      <c r="M368" s="234"/>
      <c r="N368" s="235"/>
      <c r="O368" s="211">
        <f>IF(SUM(O314:O367)=0," ",ROUNDUP(SUM(O314:O367),0))</f>
        <v>255</v>
      </c>
      <c r="P368" s="211">
        <f>IF(SUM(P314:P367)=0," ",ROUNDUP(SUM(P314:P367),0))</f>
        <v>2597</v>
      </c>
      <c r="Q368" s="211">
        <f>IF(SUM(Q314:Q367)=0," ",ROUNDUP(SUM(Q314:Q367),0))</f>
        <v>153</v>
      </c>
      <c r="R368" s="211">
        <f>IF(SUM(R314:R367)=0," ",ROUNDUP(SUM(R314:R367),0))</f>
        <v>1484</v>
      </c>
      <c r="S368" s="285"/>
      <c r="T368" s="211">
        <f aca="true" t="shared" si="165" ref="T368:AE368">IF(SUM(T314:T367)=0," ",ROUNDUP(SUM(T314:T367),0))</f>
        <v>124</v>
      </c>
      <c r="U368" s="211">
        <f t="shared" si="165"/>
        <v>142</v>
      </c>
      <c r="V368" s="211">
        <f t="shared" si="165"/>
        <v>1469</v>
      </c>
      <c r="W368" s="211" t="str">
        <f t="shared" si="165"/>
        <v> </v>
      </c>
      <c r="X368" s="211">
        <f t="shared" si="165"/>
        <v>66</v>
      </c>
      <c r="Y368" s="211">
        <f t="shared" si="165"/>
        <v>34</v>
      </c>
      <c r="Z368" s="211">
        <f t="shared" si="165"/>
        <v>306</v>
      </c>
      <c r="AA368" s="211">
        <f t="shared" si="165"/>
        <v>41</v>
      </c>
      <c r="AB368" s="211">
        <f t="shared" si="165"/>
        <v>433</v>
      </c>
      <c r="AC368" s="211" t="str">
        <f t="shared" si="165"/>
        <v> </v>
      </c>
      <c r="AD368" s="211">
        <f t="shared" si="165"/>
        <v>804</v>
      </c>
      <c r="AE368" s="211" t="str">
        <f t="shared" si="165"/>
        <v> </v>
      </c>
      <c r="AF368" s="279">
        <v>7</v>
      </c>
      <c r="AG368" s="280"/>
      <c r="AH368" s="1"/>
    </row>
    <row r="369" spans="1:34" ht="46.5" customHeight="1" thickBot="1">
      <c r="A369" s="1"/>
      <c r="B369" s="236"/>
      <c r="C369" s="237"/>
      <c r="D369" s="237"/>
      <c r="E369" s="237"/>
      <c r="F369" s="237"/>
      <c r="G369" s="237"/>
      <c r="H369" s="237"/>
      <c r="I369" s="237"/>
      <c r="J369" s="237"/>
      <c r="K369" s="237"/>
      <c r="L369" s="237"/>
      <c r="M369" s="237"/>
      <c r="N369" s="238"/>
      <c r="O369" s="250"/>
      <c r="P369" s="250"/>
      <c r="Q369" s="250"/>
      <c r="R369" s="250"/>
      <c r="S369" s="286"/>
      <c r="T369" s="212"/>
      <c r="U369" s="250"/>
      <c r="V369" s="250"/>
      <c r="W369" s="212"/>
      <c r="X369" s="212"/>
      <c r="Y369" s="212"/>
      <c r="Z369" s="212"/>
      <c r="AA369" s="250"/>
      <c r="AB369" s="250"/>
      <c r="AC369" s="212"/>
      <c r="AD369" s="212"/>
      <c r="AE369" s="212"/>
      <c r="AF369" s="276">
        <f>$AF$68</f>
        <v>18</v>
      </c>
      <c r="AG369" s="277"/>
      <c r="AH369" s="1"/>
    </row>
    <row r="370" spans="1:34" ht="12.75">
      <c r="A370" s="10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/>
      <c r="U370" s="49"/>
      <c r="V370" s="85"/>
      <c r="W370" s="49"/>
      <c r="X370" s="49"/>
      <c r="AA370" s="85"/>
      <c r="AB370" s="49"/>
      <c r="AE370" s="49"/>
      <c r="AF370" s="49"/>
      <c r="AG370" s="49"/>
      <c r="AH370" s="11"/>
    </row>
    <row r="371" spans="2:33" ht="12.75"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/>
      <c r="U371" s="49"/>
      <c r="V371" s="85"/>
      <c r="W371" s="49"/>
      <c r="X371" s="49"/>
      <c r="AA371" s="85"/>
      <c r="AB371" s="49"/>
      <c r="AE371" s="49"/>
      <c r="AF371" s="49"/>
      <c r="AG371" s="49"/>
    </row>
    <row r="372" spans="2:33" ht="12.75"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/>
      <c r="U372" s="49"/>
      <c r="V372" s="85"/>
      <c r="W372" s="49"/>
      <c r="X372" s="49"/>
      <c r="AA372" s="85"/>
      <c r="AB372" s="49"/>
      <c r="AE372" s="49"/>
      <c r="AF372" s="49"/>
      <c r="AG372" s="49"/>
    </row>
    <row r="373" spans="2:33" ht="15.75">
      <c r="B373" s="224" t="s">
        <v>7</v>
      </c>
      <c r="C373" s="224"/>
      <c r="D373" s="224"/>
      <c r="E373" s="224"/>
      <c r="F373" s="224"/>
      <c r="G373" s="224"/>
      <c r="H373" s="53"/>
      <c r="I373" s="53"/>
      <c r="J373" s="53"/>
      <c r="K373" s="53">
        <v>4</v>
      </c>
      <c r="L373" s="53">
        <v>6</v>
      </c>
      <c r="M373" s="53">
        <v>20</v>
      </c>
      <c r="N373" s="53">
        <v>28</v>
      </c>
      <c r="O373" s="53">
        <v>10.5</v>
      </c>
      <c r="P373" s="53">
        <v>10.5</v>
      </c>
      <c r="Q373" s="101">
        <v>6</v>
      </c>
      <c r="R373" s="53">
        <v>6</v>
      </c>
      <c r="S373" s="101">
        <v>9</v>
      </c>
      <c r="T373" s="101">
        <v>9</v>
      </c>
      <c r="U373" s="94">
        <v>0.055</v>
      </c>
      <c r="V373" s="93">
        <v>0.055</v>
      </c>
      <c r="W373" s="101">
        <v>1.5</v>
      </c>
      <c r="X373" s="101">
        <v>1.5</v>
      </c>
      <c r="Y373" s="101">
        <v>1.5</v>
      </c>
      <c r="Z373" s="101">
        <v>1.5</v>
      </c>
      <c r="AA373" s="53">
        <v>1.75</v>
      </c>
      <c r="AB373" s="53">
        <v>1.75</v>
      </c>
      <c r="AC373" s="101">
        <v>1.75</v>
      </c>
      <c r="AD373" s="101">
        <v>1.75</v>
      </c>
      <c r="AE373" s="53"/>
      <c r="AF373" s="49"/>
      <c r="AG373" s="49"/>
    </row>
    <row r="374" spans="2:33" ht="15"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96">
        <f>O373/2</f>
        <v>5.25</v>
      </c>
      <c r="P374" s="96">
        <f>P373/2</f>
        <v>5.25</v>
      </c>
      <c r="Q374" s="53"/>
      <c r="R374" s="53"/>
      <c r="S374" s="49"/>
      <c r="T374" s="85"/>
      <c r="U374" s="49"/>
      <c r="V374" s="49"/>
      <c r="W374" s="49"/>
      <c r="Z374" s="49"/>
      <c r="AA374" s="49"/>
      <c r="AD374" s="49"/>
      <c r="AF374" s="49"/>
      <c r="AG374" s="49"/>
    </row>
    <row r="375" spans="2:33" ht="15"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96"/>
      <c r="P375" s="49"/>
      <c r="Q375" s="49"/>
      <c r="R375" s="49"/>
      <c r="S375" s="85"/>
      <c r="T375" s="49"/>
      <c r="U375" s="49"/>
      <c r="V375" s="49"/>
      <c r="Y375" s="49"/>
      <c r="Z375" s="49"/>
      <c r="AC375" s="49"/>
      <c r="AD375" s="49"/>
      <c r="AF375" s="49"/>
      <c r="AG375" s="49"/>
    </row>
    <row r="376" spans="2:33" ht="12.75"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85"/>
      <c r="U376" s="49"/>
      <c r="V376" s="49"/>
      <c r="Y376" s="49"/>
      <c r="Z376" s="49"/>
      <c r="AC376" s="49"/>
      <c r="AD376" s="49"/>
      <c r="AF376" s="49"/>
      <c r="AG376" s="49"/>
    </row>
    <row r="377" spans="2:33" ht="15"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53"/>
      <c r="Q377" s="53"/>
      <c r="R377" s="53"/>
      <c r="S377" s="49"/>
      <c r="T377" s="85"/>
      <c r="U377" s="49"/>
      <c r="V377" s="49"/>
      <c r="Y377" s="49"/>
      <c r="Z377" s="49"/>
      <c r="AC377" s="49"/>
      <c r="AD377" s="49"/>
      <c r="AF377" s="49"/>
      <c r="AG377" s="49"/>
    </row>
    <row r="378" spans="2:33" ht="15"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53"/>
      <c r="Q378" s="53"/>
      <c r="R378" s="53"/>
      <c r="S378" s="49"/>
      <c r="T378" s="85"/>
      <c r="U378" s="49"/>
      <c r="V378" s="49"/>
      <c r="Y378" s="49"/>
      <c r="Z378" s="49"/>
      <c r="AC378" s="49"/>
      <c r="AD378" s="49"/>
      <c r="AF378" s="49"/>
      <c r="AG378" s="49"/>
    </row>
    <row r="379" spans="2:33" ht="15"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53"/>
      <c r="Q379" s="53"/>
      <c r="R379" s="53"/>
      <c r="S379" s="49"/>
      <c r="T379" s="85"/>
      <c r="U379" s="49"/>
      <c r="V379" s="49"/>
      <c r="Y379" s="49"/>
      <c r="Z379" s="49"/>
      <c r="AC379" s="49"/>
      <c r="AD379" s="49"/>
      <c r="AF379" s="49"/>
      <c r="AG379" s="49"/>
    </row>
    <row r="380" spans="1:34" ht="36" customHeight="1" thickBot="1">
      <c r="A380" s="3"/>
      <c r="B380" s="54" t="s">
        <v>35</v>
      </c>
      <c r="C380" s="55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229">
        <v>5</v>
      </c>
      <c r="P380" s="229"/>
      <c r="Q380" s="229">
        <v>7</v>
      </c>
      <c r="R380" s="229"/>
      <c r="S380" s="229">
        <v>2</v>
      </c>
      <c r="T380" s="229"/>
      <c r="U380" s="229">
        <v>1</v>
      </c>
      <c r="V380" s="229"/>
      <c r="Y380" s="229">
        <v>3</v>
      </c>
      <c r="Z380" s="229"/>
      <c r="AC380" s="162">
        <v>20</v>
      </c>
      <c r="AD380" s="162">
        <v>28</v>
      </c>
      <c r="AF380" s="98"/>
      <c r="AG380" s="98"/>
      <c r="AH380" s="13"/>
    </row>
    <row r="381" spans="1:34" ht="21.75" customHeight="1">
      <c r="A381" s="4"/>
      <c r="B381" s="233" t="s">
        <v>0</v>
      </c>
      <c r="C381" s="299"/>
      <c r="D381" s="251" t="s">
        <v>3</v>
      </c>
      <c r="E381" s="251" t="s">
        <v>4</v>
      </c>
      <c r="F381" s="251" t="s">
        <v>5</v>
      </c>
      <c r="G381" s="254" t="s">
        <v>43</v>
      </c>
      <c r="H381" s="254" t="s">
        <v>45</v>
      </c>
      <c r="I381" s="251" t="s">
        <v>6</v>
      </c>
      <c r="J381" s="254" t="s">
        <v>26</v>
      </c>
      <c r="K381" s="254" t="s">
        <v>19</v>
      </c>
      <c r="L381" s="254" t="s">
        <v>46</v>
      </c>
      <c r="M381" s="254" t="s">
        <v>61</v>
      </c>
      <c r="N381" s="254" t="s">
        <v>44</v>
      </c>
      <c r="O381" s="216">
        <v>302</v>
      </c>
      <c r="P381" s="217"/>
      <c r="Q381" s="216">
        <v>304</v>
      </c>
      <c r="R381" s="217"/>
      <c r="S381" s="216">
        <v>407</v>
      </c>
      <c r="T381" s="217"/>
      <c r="U381" s="216">
        <v>442</v>
      </c>
      <c r="V381" s="217"/>
      <c r="W381" s="216">
        <v>442</v>
      </c>
      <c r="X381" s="217"/>
      <c r="Y381" s="216">
        <v>442</v>
      </c>
      <c r="Z381" s="217"/>
      <c r="AA381" s="216"/>
      <c r="AB381" s="217"/>
      <c r="AC381" s="121">
        <v>609</v>
      </c>
      <c r="AD381" s="58">
        <v>609</v>
      </c>
      <c r="AE381" s="58"/>
      <c r="AF381" s="282" t="s">
        <v>38</v>
      </c>
      <c r="AG381" s="282" t="s">
        <v>58</v>
      </c>
      <c r="AH381" s="4"/>
    </row>
    <row r="382" spans="1:34" ht="27.75" customHeight="1">
      <c r="A382" s="4"/>
      <c r="B382" s="293"/>
      <c r="C382" s="300"/>
      <c r="D382" s="255"/>
      <c r="E382" s="255"/>
      <c r="F382" s="255"/>
      <c r="G382" s="242"/>
      <c r="H382" s="242"/>
      <c r="I382" s="252"/>
      <c r="J382" s="255"/>
      <c r="K382" s="255"/>
      <c r="L382" s="242"/>
      <c r="M382" s="242"/>
      <c r="N382" s="242"/>
      <c r="O382" s="218" t="s">
        <v>37</v>
      </c>
      <c r="P382" s="219"/>
      <c r="Q382" s="218" t="s">
        <v>121</v>
      </c>
      <c r="R382" s="219"/>
      <c r="S382" s="218" t="s">
        <v>122</v>
      </c>
      <c r="T382" s="219"/>
      <c r="U382" s="218" t="s">
        <v>138</v>
      </c>
      <c r="V382" s="219"/>
      <c r="W382" s="218" t="s">
        <v>150</v>
      </c>
      <c r="X382" s="219"/>
      <c r="Y382" s="218" t="s">
        <v>27</v>
      </c>
      <c r="Z382" s="219"/>
      <c r="AA382" s="218"/>
      <c r="AB382" s="219"/>
      <c r="AC382" s="241" t="s">
        <v>47</v>
      </c>
      <c r="AD382" s="241" t="s">
        <v>64</v>
      </c>
      <c r="AE382" s="241"/>
      <c r="AF382" s="283"/>
      <c r="AG382" s="304"/>
      <c r="AH382" s="4"/>
    </row>
    <row r="383" spans="1:34" ht="27.75" customHeight="1" thickBot="1">
      <c r="A383" s="4"/>
      <c r="B383" s="293"/>
      <c r="C383" s="300"/>
      <c r="D383" s="255"/>
      <c r="E383" s="255"/>
      <c r="F383" s="255"/>
      <c r="G383" s="242"/>
      <c r="H383" s="242"/>
      <c r="I383" s="252"/>
      <c r="J383" s="255"/>
      <c r="K383" s="255"/>
      <c r="L383" s="242"/>
      <c r="M383" s="242"/>
      <c r="N383" s="242"/>
      <c r="O383" s="220"/>
      <c r="P383" s="221"/>
      <c r="Q383" s="220"/>
      <c r="R383" s="221"/>
      <c r="S383" s="220"/>
      <c r="T383" s="221"/>
      <c r="U383" s="220"/>
      <c r="V383" s="221"/>
      <c r="W383" s="220"/>
      <c r="X383" s="221"/>
      <c r="Y383" s="220"/>
      <c r="Z383" s="221"/>
      <c r="AA383" s="220"/>
      <c r="AB383" s="221"/>
      <c r="AC383" s="242"/>
      <c r="AD383" s="242"/>
      <c r="AE383" s="242"/>
      <c r="AF383" s="284"/>
      <c r="AG383" s="304"/>
      <c r="AH383" s="4"/>
    </row>
    <row r="384" spans="1:34" ht="27.75" customHeight="1">
      <c r="A384" s="4"/>
      <c r="B384" s="293"/>
      <c r="C384" s="300"/>
      <c r="D384" s="255"/>
      <c r="E384" s="255"/>
      <c r="F384" s="255"/>
      <c r="G384" s="242"/>
      <c r="H384" s="242"/>
      <c r="I384" s="252"/>
      <c r="J384" s="255"/>
      <c r="K384" s="255"/>
      <c r="L384" s="242"/>
      <c r="M384" s="242"/>
      <c r="N384" s="242"/>
      <c r="O384" s="220"/>
      <c r="P384" s="221"/>
      <c r="Q384" s="220"/>
      <c r="R384" s="221"/>
      <c r="S384" s="220"/>
      <c r="T384" s="221"/>
      <c r="U384" s="220"/>
      <c r="V384" s="221"/>
      <c r="W384" s="220"/>
      <c r="X384" s="221"/>
      <c r="Y384" s="220"/>
      <c r="Z384" s="221"/>
      <c r="AA384" s="220"/>
      <c r="AB384" s="221"/>
      <c r="AC384" s="242"/>
      <c r="AD384" s="242"/>
      <c r="AE384" s="242"/>
      <c r="AF384" s="269" t="s">
        <v>8</v>
      </c>
      <c r="AG384" s="270"/>
      <c r="AH384" s="4"/>
    </row>
    <row r="385" spans="1:34" ht="27.75" customHeight="1">
      <c r="A385" s="4"/>
      <c r="B385" s="293"/>
      <c r="C385" s="300"/>
      <c r="D385" s="255"/>
      <c r="E385" s="255"/>
      <c r="F385" s="255"/>
      <c r="G385" s="242"/>
      <c r="H385" s="242"/>
      <c r="I385" s="252"/>
      <c r="J385" s="255"/>
      <c r="K385" s="255"/>
      <c r="L385" s="242"/>
      <c r="M385" s="242"/>
      <c r="N385" s="242"/>
      <c r="O385" s="220"/>
      <c r="P385" s="221"/>
      <c r="Q385" s="220"/>
      <c r="R385" s="221"/>
      <c r="S385" s="220"/>
      <c r="T385" s="221"/>
      <c r="U385" s="220"/>
      <c r="V385" s="221"/>
      <c r="W385" s="220"/>
      <c r="X385" s="221"/>
      <c r="Y385" s="220"/>
      <c r="Z385" s="221"/>
      <c r="AA385" s="220"/>
      <c r="AB385" s="221"/>
      <c r="AC385" s="242"/>
      <c r="AD385" s="242"/>
      <c r="AE385" s="242"/>
      <c r="AF385" s="271"/>
      <c r="AG385" s="272"/>
      <c r="AH385" s="4"/>
    </row>
    <row r="386" spans="1:34" ht="27.75" customHeight="1">
      <c r="A386" s="4"/>
      <c r="B386" s="293"/>
      <c r="C386" s="300"/>
      <c r="D386" s="255"/>
      <c r="E386" s="255"/>
      <c r="F386" s="255"/>
      <c r="G386" s="242"/>
      <c r="H386" s="242"/>
      <c r="I386" s="252"/>
      <c r="J386" s="255"/>
      <c r="K386" s="255"/>
      <c r="L386" s="242"/>
      <c r="M386" s="242"/>
      <c r="N386" s="242"/>
      <c r="O386" s="220"/>
      <c r="P386" s="221"/>
      <c r="Q386" s="220"/>
      <c r="R386" s="221"/>
      <c r="S386" s="220"/>
      <c r="T386" s="221"/>
      <c r="U386" s="220"/>
      <c r="V386" s="221"/>
      <c r="W386" s="220"/>
      <c r="X386" s="221"/>
      <c r="Y386" s="220"/>
      <c r="Z386" s="221"/>
      <c r="AA386" s="220"/>
      <c r="AB386" s="221"/>
      <c r="AC386" s="242"/>
      <c r="AD386" s="242"/>
      <c r="AE386" s="242"/>
      <c r="AF386" s="271"/>
      <c r="AG386" s="272"/>
      <c r="AH386" s="4"/>
    </row>
    <row r="387" spans="1:34" ht="27.75" customHeight="1">
      <c r="A387" s="4"/>
      <c r="B387" s="293"/>
      <c r="C387" s="300"/>
      <c r="D387" s="255"/>
      <c r="E387" s="255"/>
      <c r="F387" s="255"/>
      <c r="G387" s="242"/>
      <c r="H387" s="242"/>
      <c r="I387" s="252"/>
      <c r="J387" s="255"/>
      <c r="K387" s="255"/>
      <c r="L387" s="242"/>
      <c r="M387" s="242"/>
      <c r="N387" s="242"/>
      <c r="O387" s="220"/>
      <c r="P387" s="221"/>
      <c r="Q387" s="220"/>
      <c r="R387" s="221"/>
      <c r="S387" s="220"/>
      <c r="T387" s="221"/>
      <c r="U387" s="220"/>
      <c r="V387" s="221"/>
      <c r="W387" s="220"/>
      <c r="X387" s="221"/>
      <c r="Y387" s="220"/>
      <c r="Z387" s="221"/>
      <c r="AA387" s="220"/>
      <c r="AB387" s="221"/>
      <c r="AC387" s="242"/>
      <c r="AD387" s="242"/>
      <c r="AE387" s="242"/>
      <c r="AF387" s="271"/>
      <c r="AG387" s="272"/>
      <c r="AH387" s="4"/>
    </row>
    <row r="388" spans="1:34" ht="27.75" customHeight="1">
      <c r="A388" s="4"/>
      <c r="B388" s="293"/>
      <c r="C388" s="300"/>
      <c r="D388" s="255"/>
      <c r="E388" s="255"/>
      <c r="F388" s="255"/>
      <c r="G388" s="242"/>
      <c r="H388" s="242"/>
      <c r="I388" s="252"/>
      <c r="J388" s="255"/>
      <c r="K388" s="255"/>
      <c r="L388" s="242"/>
      <c r="M388" s="242"/>
      <c r="N388" s="242"/>
      <c r="O388" s="220"/>
      <c r="P388" s="221"/>
      <c r="Q388" s="220"/>
      <c r="R388" s="221"/>
      <c r="S388" s="220"/>
      <c r="T388" s="221"/>
      <c r="U388" s="220"/>
      <c r="V388" s="221"/>
      <c r="W388" s="220"/>
      <c r="X388" s="221"/>
      <c r="Y388" s="220"/>
      <c r="Z388" s="221"/>
      <c r="AA388" s="220"/>
      <c r="AB388" s="221"/>
      <c r="AC388" s="242"/>
      <c r="AD388" s="242"/>
      <c r="AE388" s="242"/>
      <c r="AF388" s="271"/>
      <c r="AG388" s="272"/>
      <c r="AH388" s="4"/>
    </row>
    <row r="389" spans="1:34" ht="27.75" customHeight="1">
      <c r="A389" s="5"/>
      <c r="B389" s="301"/>
      <c r="C389" s="302"/>
      <c r="D389" s="256"/>
      <c r="E389" s="256"/>
      <c r="F389" s="256"/>
      <c r="G389" s="243"/>
      <c r="H389" s="243"/>
      <c r="I389" s="253"/>
      <c r="J389" s="256"/>
      <c r="K389" s="256"/>
      <c r="L389" s="243"/>
      <c r="M389" s="243"/>
      <c r="N389" s="243"/>
      <c r="O389" s="222"/>
      <c r="P389" s="223"/>
      <c r="Q389" s="222"/>
      <c r="R389" s="223"/>
      <c r="S389" s="222"/>
      <c r="T389" s="223"/>
      <c r="U389" s="222"/>
      <c r="V389" s="223"/>
      <c r="W389" s="222"/>
      <c r="X389" s="223"/>
      <c r="Y389" s="222"/>
      <c r="Z389" s="223"/>
      <c r="AA389" s="222"/>
      <c r="AB389" s="223"/>
      <c r="AC389" s="243"/>
      <c r="AD389" s="243"/>
      <c r="AE389" s="243"/>
      <c r="AF389" s="271"/>
      <c r="AG389" s="272"/>
      <c r="AH389" s="5"/>
    </row>
    <row r="390" spans="1:34" ht="21.75" customHeight="1" thickBot="1">
      <c r="A390" s="7"/>
      <c r="B390" s="56" t="s">
        <v>1</v>
      </c>
      <c r="C390" s="56" t="s">
        <v>2</v>
      </c>
      <c r="D390" s="57"/>
      <c r="E390" s="57" t="s">
        <v>14</v>
      </c>
      <c r="F390" s="57" t="s">
        <v>14</v>
      </c>
      <c r="G390" s="57"/>
      <c r="H390" s="57"/>
      <c r="I390" s="57" t="s">
        <v>21</v>
      </c>
      <c r="J390" s="57" t="s">
        <v>21</v>
      </c>
      <c r="K390" s="57" t="s">
        <v>21</v>
      </c>
      <c r="L390" s="57" t="s">
        <v>21</v>
      </c>
      <c r="M390" s="57" t="s">
        <v>21</v>
      </c>
      <c r="N390" s="57" t="s">
        <v>21</v>
      </c>
      <c r="O390" s="208" t="s">
        <v>20</v>
      </c>
      <c r="P390" s="210"/>
      <c r="Q390" s="208" t="s">
        <v>20</v>
      </c>
      <c r="R390" s="210"/>
      <c r="S390" s="208" t="s">
        <v>22</v>
      </c>
      <c r="T390" s="210"/>
      <c r="U390" s="208" t="s">
        <v>20</v>
      </c>
      <c r="V390" s="210"/>
      <c r="W390" s="208" t="s">
        <v>20</v>
      </c>
      <c r="X390" s="210"/>
      <c r="Y390" s="208" t="s">
        <v>20</v>
      </c>
      <c r="Z390" s="210"/>
      <c r="AA390" s="208"/>
      <c r="AB390" s="210"/>
      <c r="AC390" s="120" t="s">
        <v>14</v>
      </c>
      <c r="AD390" s="120" t="s">
        <v>14</v>
      </c>
      <c r="AE390" s="57"/>
      <c r="AF390" s="271"/>
      <c r="AG390" s="272"/>
      <c r="AH390" s="7"/>
    </row>
    <row r="391" spans="1:34" ht="21.75" customHeight="1">
      <c r="A391" s="30">
        <v>1</v>
      </c>
      <c r="B391" s="87"/>
      <c r="C391" s="87"/>
      <c r="D391" s="58"/>
      <c r="E391" s="60"/>
      <c r="F391" s="60"/>
      <c r="G391" s="58"/>
      <c r="H391" s="60"/>
      <c r="I391" s="60"/>
      <c r="J391" s="59"/>
      <c r="K391" s="59"/>
      <c r="L391" s="59"/>
      <c r="M391" s="59"/>
      <c r="N391" s="88"/>
      <c r="O391" s="227" t="s">
        <v>59</v>
      </c>
      <c r="P391" s="227" t="s">
        <v>92</v>
      </c>
      <c r="Q391" s="227" t="s">
        <v>59</v>
      </c>
      <c r="R391" s="227" t="s">
        <v>92</v>
      </c>
      <c r="S391" s="227" t="s">
        <v>59</v>
      </c>
      <c r="T391" s="227" t="s">
        <v>92</v>
      </c>
      <c r="U391" s="227" t="s">
        <v>59</v>
      </c>
      <c r="V391" s="227" t="s">
        <v>92</v>
      </c>
      <c r="W391" s="227" t="s">
        <v>59</v>
      </c>
      <c r="X391" s="227" t="s">
        <v>92</v>
      </c>
      <c r="Y391" s="227" t="s">
        <v>59</v>
      </c>
      <c r="Z391" s="227" t="s">
        <v>92</v>
      </c>
      <c r="AA391" s="227"/>
      <c r="AB391" s="227"/>
      <c r="AC391" s="265" t="s">
        <v>92</v>
      </c>
      <c r="AD391" s="265" t="s">
        <v>92</v>
      </c>
      <c r="AE391" s="227"/>
      <c r="AF391" s="271"/>
      <c r="AG391" s="272"/>
      <c r="AH391" s="4"/>
    </row>
    <row r="392" spans="1:34" ht="21.75" customHeight="1">
      <c r="A392" s="30">
        <v>2</v>
      </c>
      <c r="B392" s="230" t="s">
        <v>51</v>
      </c>
      <c r="C392" s="231"/>
      <c r="D392" s="231"/>
      <c r="E392" s="231"/>
      <c r="F392" s="231"/>
      <c r="G392" s="231"/>
      <c r="H392" s="231"/>
      <c r="I392" s="232"/>
      <c r="J392" s="24"/>
      <c r="K392" s="24"/>
      <c r="L392" s="24"/>
      <c r="M392" s="24"/>
      <c r="N392" s="61"/>
      <c r="O392" s="228"/>
      <c r="P392" s="228"/>
      <c r="Q392" s="228"/>
      <c r="R392" s="228"/>
      <c r="S392" s="228"/>
      <c r="T392" s="228"/>
      <c r="U392" s="228"/>
      <c r="V392" s="228"/>
      <c r="W392" s="228"/>
      <c r="X392" s="228"/>
      <c r="Y392" s="228"/>
      <c r="Z392" s="228"/>
      <c r="AA392" s="228"/>
      <c r="AB392" s="228"/>
      <c r="AC392" s="266"/>
      <c r="AD392" s="266"/>
      <c r="AE392" s="228"/>
      <c r="AF392" s="271"/>
      <c r="AG392" s="272"/>
      <c r="AH392" s="4"/>
    </row>
    <row r="393" spans="1:34" ht="21.75" customHeight="1">
      <c r="A393" s="30">
        <v>3</v>
      </c>
      <c r="B393" s="291" t="s">
        <v>24</v>
      </c>
      <c r="C393" s="292"/>
      <c r="D393" s="39"/>
      <c r="E393" s="24"/>
      <c r="F393" s="107"/>
      <c r="G393" s="90"/>
      <c r="H393" s="24"/>
      <c r="I393" s="24"/>
      <c r="J393" s="24"/>
      <c r="K393" s="24"/>
      <c r="L393" s="24"/>
      <c r="M393" s="24"/>
      <c r="N393" s="61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71"/>
      <c r="AG393" s="272"/>
      <c r="AH393" s="4"/>
    </row>
    <row r="394" spans="1:34" ht="21.75" customHeight="1">
      <c r="A394" s="30">
        <v>4</v>
      </c>
      <c r="B394" s="38">
        <v>503265.73</v>
      </c>
      <c r="C394" s="38">
        <v>503497.48</v>
      </c>
      <c r="D394" s="39" t="s">
        <v>17</v>
      </c>
      <c r="E394" s="24">
        <f>C394-B394</f>
        <v>231.75</v>
      </c>
      <c r="F394" s="24">
        <v>10</v>
      </c>
      <c r="G394" s="105">
        <f>ROUND((4911.0668+12+($F394/2))/4911.0668,4)</f>
        <v>1.0035</v>
      </c>
      <c r="H394" s="105">
        <f>ROUND((4911.0668+12+($F394))/4911.0668,4)</f>
        <v>1.0045</v>
      </c>
      <c r="I394" s="24">
        <f>IF(G394=0,ROUND($E394*$F394,2),ROUND($E394*$F394*$G394,2))</f>
        <v>2325.61</v>
      </c>
      <c r="J394" s="24"/>
      <c r="K394" s="24"/>
      <c r="L394" s="24"/>
      <c r="M394" s="24">
        <f>IF($H394=0,ROUND($E394*(M$450/12),2),ROUND($E394*$H394*(M$450/12),2))</f>
        <v>387.99</v>
      </c>
      <c r="N394" s="61"/>
      <c r="O394" s="24"/>
      <c r="P394" s="24">
        <f>ROUND((($I394)*(P$450/12))/27,2)</f>
        <v>75.37</v>
      </c>
      <c r="Q394" s="24"/>
      <c r="R394" s="24">
        <f>ROUND((($I394+$L394+$M394)*(R$450/12))/27,2)</f>
        <v>50.25</v>
      </c>
      <c r="S394" s="24"/>
      <c r="T394" s="24">
        <f>ROUND((($I394/9)*T$450)*3,2)</f>
        <v>42.64</v>
      </c>
      <c r="U394" s="24"/>
      <c r="V394" s="24"/>
      <c r="W394" s="24"/>
      <c r="X394" s="24">
        <f>ROUND(($I394*(X$450/12))/27,2)</f>
        <v>10.77</v>
      </c>
      <c r="Y394" s="24"/>
      <c r="Z394" s="24">
        <f>ROUND(($I394*(Z$450/12))/27,2)</f>
        <v>12.56</v>
      </c>
      <c r="AA394" s="24"/>
      <c r="AB394" s="24"/>
      <c r="AC394" s="24">
        <f>IF($H394=0,$E394,ROUND($E394*$H394,2))</f>
        <v>232.79</v>
      </c>
      <c r="AD394" s="24"/>
      <c r="AE394" s="24"/>
      <c r="AF394" s="271"/>
      <c r="AG394" s="272"/>
      <c r="AH394" s="4"/>
    </row>
    <row r="395" spans="1:34" ht="21.75" customHeight="1">
      <c r="A395" s="30">
        <v>5</v>
      </c>
      <c r="B395" s="38">
        <f>C394</f>
        <v>503497.48</v>
      </c>
      <c r="C395" s="46">
        <v>503625</v>
      </c>
      <c r="D395" s="39" t="s">
        <v>17</v>
      </c>
      <c r="E395" s="24">
        <f aca="true" t="shared" si="166" ref="E395:E401">C395-B395</f>
        <v>127.52000000001863</v>
      </c>
      <c r="F395" s="24">
        <v>10</v>
      </c>
      <c r="G395" s="105"/>
      <c r="H395" s="24"/>
      <c r="I395" s="24">
        <f aca="true" t="shared" si="167" ref="I395:I401">IF(G395=0,ROUND($E395*$F395,2),ROUND($E395*$F395*$G395,2))</f>
        <v>1275.2</v>
      </c>
      <c r="J395" s="24"/>
      <c r="K395" s="24"/>
      <c r="L395" s="24"/>
      <c r="M395" s="24">
        <f>IF($H395=0,ROUND($E395*(M$450/12),2),ROUND($E395*$H395*(M$450/12),2))</f>
        <v>212.53</v>
      </c>
      <c r="N395" s="61"/>
      <c r="O395" s="24"/>
      <c r="P395" s="24">
        <f>ROUND((($I395)*(P$450/12))/27,2)</f>
        <v>41.33</v>
      </c>
      <c r="Q395" s="24"/>
      <c r="R395" s="24">
        <f>ROUND((($I395+$L395+$M395)*(R$450/12))/27,2)</f>
        <v>27.55</v>
      </c>
      <c r="S395" s="24"/>
      <c r="T395" s="24">
        <f>ROUND((($I395/9)*T$450)*3,2)</f>
        <v>23.38</v>
      </c>
      <c r="U395" s="24"/>
      <c r="V395" s="24"/>
      <c r="W395" s="24"/>
      <c r="X395" s="24">
        <f>ROUND(($I395*(X$450/12))/27,2)</f>
        <v>5.9</v>
      </c>
      <c r="Y395" s="24"/>
      <c r="Z395" s="24">
        <f>ROUND(($I395*(Z$450/12))/27,2)</f>
        <v>6.89</v>
      </c>
      <c r="AA395" s="24"/>
      <c r="AB395" s="24"/>
      <c r="AC395" s="24">
        <f>IF($H395=0,$E395,ROUND($E395*$H395,2))</f>
        <v>127.52000000001863</v>
      </c>
      <c r="AD395" s="24"/>
      <c r="AE395" s="24"/>
      <c r="AF395" s="271"/>
      <c r="AG395" s="272"/>
      <c r="AH395" s="4"/>
    </row>
    <row r="396" spans="1:34" ht="21.75" customHeight="1">
      <c r="A396" s="30">
        <v>6</v>
      </c>
      <c r="B396" s="38">
        <f>C395</f>
        <v>503625</v>
      </c>
      <c r="C396" s="46">
        <v>503630.43</v>
      </c>
      <c r="D396" s="39" t="s">
        <v>17</v>
      </c>
      <c r="E396" s="24">
        <f t="shared" si="166"/>
        <v>5.429999999993015</v>
      </c>
      <c r="F396" s="24">
        <v>10</v>
      </c>
      <c r="G396" s="105"/>
      <c r="H396" s="24"/>
      <c r="I396" s="24">
        <f t="shared" si="167"/>
        <v>54.3</v>
      </c>
      <c r="J396" s="24"/>
      <c r="K396" s="24">
        <f aca="true" t="shared" si="168" ref="K396:L398">IF($H396=0,ROUND($E396*(K$450/12),2),ROUND($E396*$H396*(K$450/12),2))</f>
        <v>1.81</v>
      </c>
      <c r="L396" s="24">
        <f t="shared" si="168"/>
        <v>2.71</v>
      </c>
      <c r="M396" s="24"/>
      <c r="N396" s="61"/>
      <c r="O396" s="24"/>
      <c r="P396" s="24">
        <f>ROUND(((($I396+$K396)*(P$451/12))+(($I396+$K396+$L396)*(P$451/12)))/27,2)</f>
        <v>1.86</v>
      </c>
      <c r="Q396" s="24"/>
      <c r="R396" s="24">
        <f>ROUND((($I396+$K396+$L396+$L396)*(R$450/12))/27,2)</f>
        <v>1.14</v>
      </c>
      <c r="S396" s="24"/>
      <c r="T396" s="24">
        <f>ROUND(((($I396/9)*T$450)+((($I396+$K396)/9)*T$450)+((($I396+$K396+$L396)/9)*T$450)),2)</f>
        <v>1.03</v>
      </c>
      <c r="U396" s="24"/>
      <c r="V396" s="24"/>
      <c r="W396" s="24"/>
      <c r="X396" s="24">
        <f>ROUND(($I396*(X$450/12))/27,2)</f>
        <v>0.25</v>
      </c>
      <c r="Y396" s="24"/>
      <c r="Z396" s="24">
        <f>ROUND(($I396*(Z$450/12))/27,2)</f>
        <v>0.29</v>
      </c>
      <c r="AA396" s="24"/>
      <c r="AB396" s="24"/>
      <c r="AC396" s="24"/>
      <c r="AD396" s="24"/>
      <c r="AE396" s="24"/>
      <c r="AF396" s="271"/>
      <c r="AG396" s="272"/>
      <c r="AH396" s="4"/>
    </row>
    <row r="397" spans="1:34" ht="21.75" customHeight="1">
      <c r="A397" s="30">
        <v>7</v>
      </c>
      <c r="B397" s="38">
        <f>C396</f>
        <v>503630.43</v>
      </c>
      <c r="C397" s="38">
        <v>503905.43</v>
      </c>
      <c r="D397" s="39" t="s">
        <v>17</v>
      </c>
      <c r="E397" s="24">
        <f t="shared" si="166"/>
        <v>275</v>
      </c>
      <c r="F397" s="66">
        <f>ROUND((10+6)/2,2)</f>
        <v>8</v>
      </c>
      <c r="G397" s="105"/>
      <c r="H397" s="24"/>
      <c r="I397" s="24">
        <f t="shared" si="167"/>
        <v>2200</v>
      </c>
      <c r="J397" s="24"/>
      <c r="K397" s="24">
        <f t="shared" si="168"/>
        <v>91.67</v>
      </c>
      <c r="L397" s="24">
        <f t="shared" si="168"/>
        <v>137.5</v>
      </c>
      <c r="M397" s="24"/>
      <c r="N397" s="61"/>
      <c r="O397" s="24"/>
      <c r="P397" s="24">
        <f>ROUND(((($I397+$K397)*(P$451/12))+(($I397+$K397+$L397)*(P$451/12)))/27,2)</f>
        <v>76.5</v>
      </c>
      <c r="Q397" s="24"/>
      <c r="R397" s="24">
        <f>ROUND((($I397+$K397+$L397+$L397)*(R$450/12))/27,2)</f>
        <v>47.53</v>
      </c>
      <c r="S397" s="24"/>
      <c r="T397" s="24">
        <f>ROUND(((($I397/9)*T$450)+((($I397+$K397)/9)*T$450)+((($I397+$K397+$L397)/9)*T$450)),2)</f>
        <v>42.29</v>
      </c>
      <c r="U397" s="24"/>
      <c r="V397" s="24"/>
      <c r="W397" s="24"/>
      <c r="X397" s="24">
        <f>ROUND(($I397*(X$450/12))/27,2)</f>
        <v>10.19</v>
      </c>
      <c r="Y397" s="24"/>
      <c r="Z397" s="24">
        <f>ROUND(($I397*(Z$450/12))/27,2)</f>
        <v>11.88</v>
      </c>
      <c r="AA397" s="24"/>
      <c r="AB397" s="24"/>
      <c r="AC397" s="24"/>
      <c r="AD397" s="24"/>
      <c r="AE397" s="24"/>
      <c r="AF397" s="271"/>
      <c r="AG397" s="272"/>
      <c r="AH397" s="4"/>
    </row>
    <row r="398" spans="1:34" ht="21.75" customHeight="1">
      <c r="A398" s="30">
        <v>8</v>
      </c>
      <c r="B398" s="38">
        <f>C397</f>
        <v>503905.43</v>
      </c>
      <c r="C398" s="38">
        <v>504117.78</v>
      </c>
      <c r="D398" s="39" t="s">
        <v>17</v>
      </c>
      <c r="E398" s="24">
        <f t="shared" si="166"/>
        <v>212.35000000003492</v>
      </c>
      <c r="F398" s="24">
        <v>6</v>
      </c>
      <c r="G398" s="105"/>
      <c r="H398" s="24"/>
      <c r="I398" s="24">
        <f t="shared" si="167"/>
        <v>1274.1</v>
      </c>
      <c r="J398" s="24"/>
      <c r="K398" s="24">
        <f t="shared" si="168"/>
        <v>70.78</v>
      </c>
      <c r="L398" s="24">
        <f t="shared" si="168"/>
        <v>106.18</v>
      </c>
      <c r="M398" s="24"/>
      <c r="N398" s="61"/>
      <c r="O398" s="24"/>
      <c r="P398" s="24">
        <f>ROUND(((($I398+$K398)*(P$451/12))+(($I398+$K398+$L398)*(P$451/12)))/27,2)</f>
        <v>45.3</v>
      </c>
      <c r="Q398" s="24"/>
      <c r="R398" s="24">
        <f>ROUND((($I398+$K398+$L398+$L398)*(R$450/12))/27,2)</f>
        <v>28.84</v>
      </c>
      <c r="S398" s="24"/>
      <c r="T398" s="24">
        <f>ROUND(((($I398/9)*T$450)+((($I398+$K398)/9)*T$450)+((($I398+$K398+$L398)/9)*T$450)),2)</f>
        <v>24.87</v>
      </c>
      <c r="U398" s="24"/>
      <c r="V398" s="24"/>
      <c r="W398" s="24"/>
      <c r="X398" s="24">
        <f>ROUND(($I398*(X$450/12))/27,2)</f>
        <v>5.9</v>
      </c>
      <c r="Y398" s="24"/>
      <c r="Z398" s="24">
        <f>ROUND(($I398*(Z$450/12))/27,2)</f>
        <v>6.88</v>
      </c>
      <c r="AA398" s="24"/>
      <c r="AB398" s="24"/>
      <c r="AC398" s="24"/>
      <c r="AD398" s="24"/>
      <c r="AE398" s="24"/>
      <c r="AF398" s="271"/>
      <c r="AG398" s="272"/>
      <c r="AH398" s="4"/>
    </row>
    <row r="399" spans="1:34" ht="21.75" customHeight="1">
      <c r="A399" s="30">
        <v>9</v>
      </c>
      <c r="B399" s="38"/>
      <c r="C399" s="46"/>
      <c r="D399" s="39"/>
      <c r="E399" s="24"/>
      <c r="F399" s="24"/>
      <c r="G399" s="66"/>
      <c r="H399" s="24"/>
      <c r="I399" s="24"/>
      <c r="J399" s="24"/>
      <c r="K399" s="24"/>
      <c r="L399" s="24"/>
      <c r="M399" s="24"/>
      <c r="N399" s="61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71"/>
      <c r="AG399" s="272"/>
      <c r="AH399" s="4"/>
    </row>
    <row r="400" spans="1:34" ht="21.75" customHeight="1">
      <c r="A400" s="30">
        <v>10</v>
      </c>
      <c r="B400" s="38">
        <f>C398</f>
        <v>504117.78</v>
      </c>
      <c r="C400" s="38">
        <v>504134.21</v>
      </c>
      <c r="D400" s="39" t="s">
        <v>17</v>
      </c>
      <c r="E400" s="24">
        <f t="shared" si="166"/>
        <v>16.429999999993015</v>
      </c>
      <c r="F400" s="24">
        <v>6</v>
      </c>
      <c r="G400" s="105">
        <f>ROUND((2291.8312-12-($F400/2))/2291.8312,4)</f>
        <v>0.9935</v>
      </c>
      <c r="H400" s="105">
        <f>ROUND((2291.8312-12-($F400))/2291.8312,4)</f>
        <v>0.9921</v>
      </c>
      <c r="I400" s="24">
        <f t="shared" si="167"/>
        <v>97.94</v>
      </c>
      <c r="J400" s="24"/>
      <c r="K400" s="24">
        <f>IF($H400=0,ROUND($E400*(K$450/12),2),ROUND($E400*$H400*(K$450/12),2))</f>
        <v>5.43</v>
      </c>
      <c r="L400" s="24">
        <f>IF($H400=0,ROUND($E400*(L$450/12),2),ROUND($E400*$H400*(L$450/12),2))</f>
        <v>8.15</v>
      </c>
      <c r="M400" s="24"/>
      <c r="N400" s="61"/>
      <c r="O400" s="24"/>
      <c r="P400" s="24">
        <f>ROUND(((($I400+$K400)*(P$451/12))+(($I400+$K400+$L400)*(P$451/12)))/27,2)</f>
        <v>3.48</v>
      </c>
      <c r="Q400" s="24"/>
      <c r="R400" s="24">
        <f>ROUND((($I400+$K400+$L400+$L400)*(R$450/12))/27,2)</f>
        <v>2.22</v>
      </c>
      <c r="S400" s="24"/>
      <c r="T400" s="24">
        <f>ROUND(((($I400/9)*T$450)+((($I400+$K400)/9)*T$450)+((($I400+$K400+$L400)/9)*T$450)),2)</f>
        <v>1.91</v>
      </c>
      <c r="U400" s="24"/>
      <c r="V400" s="24"/>
      <c r="W400" s="24"/>
      <c r="X400" s="24">
        <f>ROUND(($I400*(X$450/12))/27,2)</f>
        <v>0.45</v>
      </c>
      <c r="Y400" s="24"/>
      <c r="Z400" s="24">
        <f>ROUND(($I400*(Z$450/12))/27,2)</f>
        <v>0.53</v>
      </c>
      <c r="AA400" s="24"/>
      <c r="AB400" s="24"/>
      <c r="AC400" s="24"/>
      <c r="AD400" s="24"/>
      <c r="AE400" s="24"/>
      <c r="AF400" s="271"/>
      <c r="AG400" s="272"/>
      <c r="AH400" s="4"/>
    </row>
    <row r="401" spans="1:34" ht="21.75" customHeight="1">
      <c r="A401" s="30">
        <v>11</v>
      </c>
      <c r="B401" s="38">
        <f>C400</f>
        <v>504134.21</v>
      </c>
      <c r="C401" s="38">
        <v>504157.96</v>
      </c>
      <c r="D401" s="39" t="s">
        <v>17</v>
      </c>
      <c r="E401" s="24">
        <f t="shared" si="166"/>
        <v>23.75</v>
      </c>
      <c r="F401" s="24">
        <v>6</v>
      </c>
      <c r="G401" s="105">
        <f>ROUND((2291.8312-12-($F401/2))/2291.8312,4)</f>
        <v>0.9935</v>
      </c>
      <c r="H401" s="105">
        <f>ROUND((2291.8312-12-($F401))/2291.8312,4)</f>
        <v>0.9921</v>
      </c>
      <c r="I401" s="24">
        <f t="shared" si="167"/>
        <v>141.57</v>
      </c>
      <c r="J401" s="24"/>
      <c r="K401" s="24"/>
      <c r="L401" s="24"/>
      <c r="M401" s="24">
        <f>IF($H401=0,ROUND($E401*(M$450/12),2),ROUND($E401*$H401*(M$450/12),2))</f>
        <v>39.27</v>
      </c>
      <c r="N401" s="61"/>
      <c r="O401" s="24"/>
      <c r="P401" s="24">
        <f>ROUND((($I401)*(P$450/12))/27,2)</f>
        <v>4.59</v>
      </c>
      <c r="Q401" s="24"/>
      <c r="R401" s="24">
        <f>ROUND((($I401+$L401+$M401)*(R$450/12))/27,2)</f>
        <v>3.35</v>
      </c>
      <c r="S401" s="24"/>
      <c r="T401" s="24">
        <f>ROUND((($I401/9)*T$450)*3,2)</f>
        <v>2.6</v>
      </c>
      <c r="U401" s="24"/>
      <c r="V401" s="24"/>
      <c r="W401" s="24"/>
      <c r="X401" s="24">
        <f>ROUND(($I401*(X$450/12))/27,2)</f>
        <v>0.66</v>
      </c>
      <c r="Y401" s="24"/>
      <c r="Z401" s="24">
        <f>ROUND(($I401*(Z$450/12))/27,2)</f>
        <v>0.76</v>
      </c>
      <c r="AA401" s="24"/>
      <c r="AB401" s="24"/>
      <c r="AC401" s="24">
        <f>IF($H401=0,$E401,ROUND($E401*$H401,2))</f>
        <v>23.56</v>
      </c>
      <c r="AD401" s="24"/>
      <c r="AE401" s="24"/>
      <c r="AF401" s="271"/>
      <c r="AG401" s="272"/>
      <c r="AH401" s="4"/>
    </row>
    <row r="402" spans="1:34" ht="21.75" customHeight="1">
      <c r="A402" s="30">
        <v>12</v>
      </c>
      <c r="B402" s="38"/>
      <c r="C402" s="46"/>
      <c r="D402" s="39"/>
      <c r="E402" s="24"/>
      <c r="F402" s="24"/>
      <c r="G402" s="105"/>
      <c r="H402" s="24"/>
      <c r="I402" s="24"/>
      <c r="J402" s="24"/>
      <c r="K402" s="24"/>
      <c r="L402" s="24"/>
      <c r="M402" s="24"/>
      <c r="N402" s="61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71"/>
      <c r="AG402" s="272"/>
      <c r="AH402" s="4"/>
    </row>
    <row r="403" spans="1:34" ht="21.75" customHeight="1">
      <c r="A403" s="30">
        <v>13</v>
      </c>
      <c r="B403" s="38">
        <v>506250.38</v>
      </c>
      <c r="C403" s="38">
        <v>506268.89</v>
      </c>
      <c r="D403" s="39" t="s">
        <v>17</v>
      </c>
      <c r="E403" s="24">
        <f>C403-B403</f>
        <v>18.510000000009313</v>
      </c>
      <c r="F403" s="213" t="s">
        <v>13</v>
      </c>
      <c r="G403" s="214"/>
      <c r="H403" s="214"/>
      <c r="I403" s="215"/>
      <c r="J403" s="24">
        <v>227.95</v>
      </c>
      <c r="K403" s="24"/>
      <c r="L403" s="24"/>
      <c r="M403" s="24">
        <f>IF($H403=0,ROUND($E403*(M$450/12),2),ROUND($E403*$H403*(M$450/12),2))</f>
        <v>30.85</v>
      </c>
      <c r="N403" s="61"/>
      <c r="O403" s="24"/>
      <c r="P403" s="24">
        <f>ROUND((($J403)*(P$450/12))/27,2)</f>
        <v>7.39</v>
      </c>
      <c r="Q403" s="24"/>
      <c r="R403" s="24">
        <f>ROUND((($J403+$L403+$M403)*(R$450/12))/27,2)</f>
        <v>4.79</v>
      </c>
      <c r="S403" s="24"/>
      <c r="T403" s="24">
        <f>ROUND((($J403/9)*T$450)*3,2)</f>
        <v>4.18</v>
      </c>
      <c r="U403" s="24"/>
      <c r="V403" s="24"/>
      <c r="W403" s="24"/>
      <c r="X403" s="24">
        <f>ROUND(($J403*(X$450/12))/27,2)</f>
        <v>1.06</v>
      </c>
      <c r="Y403" s="24"/>
      <c r="Z403" s="24">
        <f>ROUND(($J403*(Z$450/12))/27,2)</f>
        <v>1.23</v>
      </c>
      <c r="AA403" s="24"/>
      <c r="AB403" s="24"/>
      <c r="AC403" s="24">
        <f>IF($H403=0,$E403,ROUND($E403*$H403,2))</f>
        <v>18.510000000009313</v>
      </c>
      <c r="AD403" s="24"/>
      <c r="AE403" s="24"/>
      <c r="AF403" s="271"/>
      <c r="AG403" s="272"/>
      <c r="AH403" s="16"/>
    </row>
    <row r="404" spans="1:34" ht="21.75" customHeight="1">
      <c r="A404" s="30">
        <v>14</v>
      </c>
      <c r="B404" s="38">
        <f>C403</f>
        <v>506268.89</v>
      </c>
      <c r="C404" s="46">
        <v>506927.87</v>
      </c>
      <c r="D404" s="39" t="s">
        <v>17</v>
      </c>
      <c r="E404" s="24">
        <f>C404-B404</f>
        <v>658.9799999999814</v>
      </c>
      <c r="F404" s="24">
        <v>10</v>
      </c>
      <c r="G404" s="105">
        <f>ROUND((2864.789+24+($F404/2))/2864.789,4)</f>
        <v>1.0101</v>
      </c>
      <c r="H404" s="105">
        <f>ROUND((2864.789+24+($F404))/2864.789,4)</f>
        <v>1.0119</v>
      </c>
      <c r="I404" s="24">
        <f>IF(G404=0,ROUND($E404*$F404,2),ROUND($E404*$F404*$G404,2))</f>
        <v>6656.36</v>
      </c>
      <c r="J404" s="24"/>
      <c r="K404" s="24">
        <f>IF($H404=0,ROUND($E404*(K$450/12),2),ROUND($E404*$H404*(K$450/12),2))</f>
        <v>222.27</v>
      </c>
      <c r="L404" s="24">
        <f>IF($H404=0,ROUND($E404*(L$450/12),2),ROUND($E404*$H404*(L$450/12),2))</f>
        <v>333.41</v>
      </c>
      <c r="M404" s="24"/>
      <c r="N404" s="61"/>
      <c r="O404" s="24"/>
      <c r="P404" s="24">
        <f>ROUND(((($I404+$K404)*(P$451/12))+(($I404+$K404+$L404)*(P$451/12)))/27,2)</f>
        <v>228.32</v>
      </c>
      <c r="Q404" s="24"/>
      <c r="R404" s="24">
        <f>ROUND((($I404+$K404+$L404+$L404)*(R$450/12))/27,2)</f>
        <v>139.73</v>
      </c>
      <c r="S404" s="24"/>
      <c r="T404" s="24">
        <f>ROUND(((($I404/9)*T$450)+((($I404+$K404)/9)*T$450)+((($I404+$K404+$L404)/9)*T$450)),2)</f>
        <v>126.79</v>
      </c>
      <c r="U404" s="24"/>
      <c r="V404" s="24"/>
      <c r="W404" s="24"/>
      <c r="X404" s="24">
        <f>ROUND(($I404*(X$450/12))/27,2)</f>
        <v>30.82</v>
      </c>
      <c r="Y404" s="24"/>
      <c r="Z404" s="24">
        <f>ROUND(($I404*(Z$450/12))/27,2)</f>
        <v>35.95</v>
      </c>
      <c r="AA404" s="24"/>
      <c r="AB404" s="24"/>
      <c r="AC404" s="24"/>
      <c r="AD404" s="24"/>
      <c r="AE404" s="24"/>
      <c r="AF404" s="271"/>
      <c r="AG404" s="272"/>
      <c r="AH404" s="16"/>
    </row>
    <row r="405" spans="1:34" ht="21.75" customHeight="1">
      <c r="A405" s="30">
        <v>15</v>
      </c>
      <c r="B405" s="38"/>
      <c r="C405" s="38"/>
      <c r="D405" s="39"/>
      <c r="E405" s="24"/>
      <c r="F405" s="24"/>
      <c r="G405" s="66"/>
      <c r="H405" s="24"/>
      <c r="I405" s="24"/>
      <c r="J405" s="24"/>
      <c r="K405" s="24"/>
      <c r="L405" s="24"/>
      <c r="M405" s="24"/>
      <c r="N405" s="61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71"/>
      <c r="AG405" s="272"/>
      <c r="AH405" s="16"/>
    </row>
    <row r="406" spans="1:34" ht="21.75" customHeight="1">
      <c r="A406" s="30">
        <v>16</v>
      </c>
      <c r="B406" s="38">
        <v>507489.25</v>
      </c>
      <c r="C406" s="38">
        <v>507608.84</v>
      </c>
      <c r="D406" s="39" t="s">
        <v>17</v>
      </c>
      <c r="E406" s="24">
        <f>C406-B406</f>
        <v>119.59000000002561</v>
      </c>
      <c r="F406" s="24">
        <v>4</v>
      </c>
      <c r="G406" s="105">
        <f>ROUND((3819.7186+12+($F406/2))/3819.7186,4)</f>
        <v>1.0037</v>
      </c>
      <c r="H406" s="105">
        <f>ROUND((3819.7186+12+($F406))/3819.7186,4)</f>
        <v>1.0042</v>
      </c>
      <c r="I406" s="24">
        <f>IF(G406=0,ROUND($E406*$F406,2),ROUND($E406*$F406*$G406,2))</f>
        <v>480.13</v>
      </c>
      <c r="J406" s="24"/>
      <c r="K406" s="24">
        <f>IF($H406=0,ROUND($E406*(K$450/12),2),ROUND($E406*$H406*(K$450/12),2))</f>
        <v>40.03</v>
      </c>
      <c r="L406" s="24">
        <f>IF($H406=0,ROUND($E406*(L$450/12),2),ROUND($E406*$H406*(L$450/12),2))</f>
        <v>60.05</v>
      </c>
      <c r="M406" s="24"/>
      <c r="N406" s="61"/>
      <c r="O406" s="24"/>
      <c r="P406" s="24">
        <f>ROUND(((($I406+$K406)*(P$451/12))+(($I406+$K406+$L406)*(P$451/12)))/27,2)</f>
        <v>17.83</v>
      </c>
      <c r="Q406" s="24"/>
      <c r="R406" s="24">
        <f>ROUND((($I406+$K406+$L406+$L406)*(R$450/12))/27,2)</f>
        <v>11.86</v>
      </c>
      <c r="S406" s="24"/>
      <c r="T406" s="24">
        <f>ROUND(((($I406/9)*T$450)+((($I406+$K406)/9)*T$450)+((($I406+$K406+$L406)/9)*T$450)),2)</f>
        <v>9.66</v>
      </c>
      <c r="U406" s="24"/>
      <c r="V406" s="24"/>
      <c r="W406" s="24"/>
      <c r="X406" s="24">
        <f>ROUND(($I406*(X$450/12))/27,2)</f>
        <v>2.22</v>
      </c>
      <c r="Y406" s="24"/>
      <c r="Z406" s="24">
        <f>ROUND(($I406*(Z$450/12))/27,2)</f>
        <v>2.59</v>
      </c>
      <c r="AA406" s="24"/>
      <c r="AB406" s="24"/>
      <c r="AC406" s="24"/>
      <c r="AD406" s="24"/>
      <c r="AE406" s="24"/>
      <c r="AF406" s="271"/>
      <c r="AG406" s="272"/>
      <c r="AH406" s="16"/>
    </row>
    <row r="407" spans="1:34" ht="21.75" customHeight="1">
      <c r="A407" s="30">
        <v>17</v>
      </c>
      <c r="B407" s="38">
        <f>C406</f>
        <v>507608.84</v>
      </c>
      <c r="C407" s="46">
        <v>507881.85</v>
      </c>
      <c r="D407" s="39" t="s">
        <v>17</v>
      </c>
      <c r="E407" s="24">
        <f>C407-B407</f>
        <v>273.0099999999511</v>
      </c>
      <c r="F407" s="24">
        <v>4</v>
      </c>
      <c r="G407" s="66"/>
      <c r="H407" s="24"/>
      <c r="I407" s="24">
        <f>IF(G407=0,ROUND($E407*$F407,2),ROUND($E407*$F407*$G407,2))</f>
        <v>1092.04</v>
      </c>
      <c r="J407" s="24"/>
      <c r="K407" s="24">
        <f>IF($H407=0,ROUND($E407*(K$450/12),2),ROUND($E407*$H407*(K$450/12),2))</f>
        <v>91</v>
      </c>
      <c r="L407" s="24">
        <f>IF($H407=0,ROUND($E407*(L$450/12),2),ROUND($E407*$H407*(L$450/12),2))</f>
        <v>136.5</v>
      </c>
      <c r="M407" s="24"/>
      <c r="N407" s="61"/>
      <c r="O407" s="24"/>
      <c r="P407" s="24">
        <f>ROUND(((($I407+$K407)*(P$451/12))+(($I407+$K407+$L407)*(P$451/12)))/27,2)</f>
        <v>40.55</v>
      </c>
      <c r="Q407" s="24"/>
      <c r="R407" s="24">
        <f>ROUND((($I407+$K407+$L407+$L407)*(R$450/12))/27,2)</f>
        <v>26.96</v>
      </c>
      <c r="S407" s="24"/>
      <c r="T407" s="24">
        <f>ROUND(((($I407/9)*T$450)+((($I407+$K407)/9)*T$450)+((($I407+$K407+$L407)/9)*T$450)),2)</f>
        <v>21.97</v>
      </c>
      <c r="U407" s="24"/>
      <c r="V407" s="24"/>
      <c r="W407" s="24"/>
      <c r="X407" s="24">
        <f>ROUND(($I407*(X$450/12))/27,2)</f>
        <v>5.06</v>
      </c>
      <c r="Y407" s="24"/>
      <c r="Z407" s="24">
        <f>ROUND(($I407*(Z$450/12))/27,2)</f>
        <v>5.9</v>
      </c>
      <c r="AA407" s="24"/>
      <c r="AB407" s="24"/>
      <c r="AC407" s="24"/>
      <c r="AD407" s="24"/>
      <c r="AE407" s="24"/>
      <c r="AF407" s="271"/>
      <c r="AG407" s="272"/>
      <c r="AH407" s="16"/>
    </row>
    <row r="408" spans="1:34" ht="21.75" customHeight="1">
      <c r="A408" s="30">
        <v>18</v>
      </c>
      <c r="B408" s="38">
        <f>C407</f>
        <v>507881.85</v>
      </c>
      <c r="C408" s="46">
        <v>507900</v>
      </c>
      <c r="D408" s="39" t="s">
        <v>17</v>
      </c>
      <c r="E408" s="24">
        <f>C408-B408</f>
        <v>18.150000000023283</v>
      </c>
      <c r="F408" s="24">
        <v>4</v>
      </c>
      <c r="G408" s="66"/>
      <c r="H408" s="24"/>
      <c r="I408" s="24">
        <f>IF(G408=0,ROUND($E408*$F408,2),ROUND($E408*$F408*$G408,2))</f>
        <v>72.6</v>
      </c>
      <c r="J408" s="24"/>
      <c r="K408" s="24"/>
      <c r="L408" s="24"/>
      <c r="M408" s="24">
        <f>IF($H408=0,ROUND($E408*(M$450/12),2),ROUND($E408*$H408*(M$450/12),2))</f>
        <v>30.25</v>
      </c>
      <c r="N408" s="61"/>
      <c r="O408" s="24"/>
      <c r="P408" s="24">
        <f>ROUND((($I408)*(P$450/12))/27,2)</f>
        <v>2.35</v>
      </c>
      <c r="Q408" s="24"/>
      <c r="R408" s="24">
        <f>ROUND((($I408+$L408+$M408)*(R$450/12))/27,2)</f>
        <v>1.9</v>
      </c>
      <c r="S408" s="24"/>
      <c r="T408" s="24">
        <f>ROUND((($I408/9)*T$450)*3,2)</f>
        <v>1.33</v>
      </c>
      <c r="U408" s="24"/>
      <c r="V408" s="24"/>
      <c r="W408" s="24"/>
      <c r="X408" s="24">
        <f>ROUND(($I408*(X$450/12))/27,2)</f>
        <v>0.34</v>
      </c>
      <c r="Y408" s="24"/>
      <c r="Z408" s="24">
        <f>ROUND(($I408*(Z$450/12))/27,2)</f>
        <v>0.39</v>
      </c>
      <c r="AA408" s="24"/>
      <c r="AB408" s="24"/>
      <c r="AC408" s="24">
        <f>IF($H408=0,$E408,ROUND($E408*$H408,2))</f>
        <v>18.150000000023283</v>
      </c>
      <c r="AD408" s="24"/>
      <c r="AE408" s="24"/>
      <c r="AF408" s="271"/>
      <c r="AG408" s="272"/>
      <c r="AH408" s="16"/>
    </row>
    <row r="409" spans="1:34" ht="21.75" customHeight="1">
      <c r="A409" s="30">
        <v>19</v>
      </c>
      <c r="B409" s="38">
        <f>C408</f>
        <v>507900</v>
      </c>
      <c r="C409" s="46">
        <v>507912.85</v>
      </c>
      <c r="D409" s="39" t="s">
        <v>17</v>
      </c>
      <c r="E409" s="24">
        <f>C409-B409</f>
        <v>12.849999999976717</v>
      </c>
      <c r="F409" s="24">
        <v>4</v>
      </c>
      <c r="G409" s="66"/>
      <c r="H409" s="24"/>
      <c r="I409" s="24">
        <f>IF(G409=0,ROUND($E409*$F409,2),ROUND($E409*$F409*$G409,2))</f>
        <v>51.4</v>
      </c>
      <c r="J409" s="24"/>
      <c r="K409" s="119"/>
      <c r="L409" s="24"/>
      <c r="M409" s="24">
        <f>IF($H409=0,ROUND($E409*(M$450/12),2),ROUND($E409*$H409*(M$450/12),2))</f>
        <v>21.42</v>
      </c>
      <c r="N409" s="61"/>
      <c r="O409" s="24"/>
      <c r="P409" s="24">
        <f>ROUND((($I409+$M409)*(P$450/12))/27,2)</f>
        <v>2.36</v>
      </c>
      <c r="Q409" s="24"/>
      <c r="R409" s="24">
        <f>ROUND((($I409+$M409)*(R$450/12))/27,2)</f>
        <v>1.35</v>
      </c>
      <c r="S409" s="24"/>
      <c r="T409" s="24">
        <f>ROUND(((($I409+$M409)/9)*T$450)*3,2)</f>
        <v>1.34</v>
      </c>
      <c r="U409" s="24"/>
      <c r="V409" s="24"/>
      <c r="W409" s="24"/>
      <c r="X409" s="24">
        <f>ROUND(($I409*(X$450/12))/27,2)</f>
        <v>0.24</v>
      </c>
      <c r="Y409" s="24"/>
      <c r="Z409" s="24">
        <f>ROUND((($I409+$M409)*(Z$450/12))/27,2)</f>
        <v>0.39</v>
      </c>
      <c r="AA409" s="24"/>
      <c r="AB409" s="24"/>
      <c r="AC409" s="24"/>
      <c r="AD409" s="24"/>
      <c r="AE409" s="24"/>
      <c r="AF409" s="271"/>
      <c r="AG409" s="272"/>
      <c r="AH409" s="4"/>
    </row>
    <row r="410" spans="1:34" ht="21.75" customHeight="1">
      <c r="A410" s="30">
        <v>20</v>
      </c>
      <c r="B410" s="38">
        <f>C409</f>
        <v>507912.85</v>
      </c>
      <c r="C410" s="46">
        <v>508010.75</v>
      </c>
      <c r="D410" s="39" t="s">
        <v>17</v>
      </c>
      <c r="E410" s="24">
        <f>C410-B410</f>
        <v>97.90000000002328</v>
      </c>
      <c r="F410" s="24">
        <v>4</v>
      </c>
      <c r="G410" s="105">
        <f>ROUND((1909.8596+12+($F410/2))/1909.8596,4)</f>
        <v>1.0073</v>
      </c>
      <c r="H410" s="105">
        <f>ROUND((1909.8596+12+($F410))/1909.8596,4)</f>
        <v>1.0084</v>
      </c>
      <c r="I410" s="24">
        <f>IF(G410=0,ROUND($E410*$F410,2),ROUND($E410*$F410*$G410,2))</f>
        <v>394.46</v>
      </c>
      <c r="J410" s="24"/>
      <c r="K410" s="24"/>
      <c r="L410" s="24"/>
      <c r="M410" s="24">
        <f>IF($H410=0,ROUND($E410*(M$450/12),2),ROUND($E410*$H410*(M$450/12),2))</f>
        <v>164.54</v>
      </c>
      <c r="N410" s="61"/>
      <c r="O410" s="24"/>
      <c r="P410" s="24">
        <f>ROUND((($I410+$M410)*(P$450/12))/27,2)</f>
        <v>18.12</v>
      </c>
      <c r="Q410" s="24"/>
      <c r="R410" s="24">
        <f>ROUND((($I410+$M410)*(R$450/12))/27,2)</f>
        <v>10.35</v>
      </c>
      <c r="S410" s="24"/>
      <c r="T410" s="24">
        <f>ROUND(((($I410+$M410)/9)*T$450)*3,2)</f>
        <v>10.25</v>
      </c>
      <c r="U410" s="24"/>
      <c r="V410" s="24"/>
      <c r="W410" s="24"/>
      <c r="X410" s="24">
        <f>ROUND(($I410*(X$450/12))/27,2)</f>
        <v>1.83</v>
      </c>
      <c r="Y410" s="24"/>
      <c r="Z410" s="24">
        <f>ROUND((($I410+$M410)*(Z$450/12))/27,2)</f>
        <v>3.02</v>
      </c>
      <c r="AA410" s="24"/>
      <c r="AB410" s="24"/>
      <c r="AC410" s="24"/>
      <c r="AD410" s="24"/>
      <c r="AE410" s="24"/>
      <c r="AF410" s="271"/>
      <c r="AG410" s="272"/>
      <c r="AH410" s="4"/>
    </row>
    <row r="411" spans="1:34" ht="21.75" customHeight="1">
      <c r="A411" s="30">
        <v>21</v>
      </c>
      <c r="B411" s="38"/>
      <c r="C411" s="46"/>
      <c r="D411" s="39"/>
      <c r="E411" s="24"/>
      <c r="F411" s="24"/>
      <c r="G411" s="66"/>
      <c r="H411" s="24"/>
      <c r="I411" s="24"/>
      <c r="J411" s="24"/>
      <c r="K411" s="24"/>
      <c r="L411" s="24"/>
      <c r="M411" s="24"/>
      <c r="N411" s="61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71"/>
      <c r="AG411" s="272"/>
      <c r="AH411" s="4"/>
    </row>
    <row r="412" spans="1:34" ht="21.75" customHeight="1">
      <c r="A412" s="30">
        <v>22</v>
      </c>
      <c r="B412" s="38">
        <v>508166.63</v>
      </c>
      <c r="C412" s="38">
        <v>508198.63</v>
      </c>
      <c r="D412" s="39" t="s">
        <v>17</v>
      </c>
      <c r="E412" s="24">
        <f>C412-B412</f>
        <v>32</v>
      </c>
      <c r="F412" s="24">
        <v>4</v>
      </c>
      <c r="G412" s="105">
        <f>ROUND((1909.8596+12+($F412/2))/1909.8596,4)</f>
        <v>1.0073</v>
      </c>
      <c r="H412" s="105">
        <f>ROUND((1909.8596+12+($F412))/1909.8596,4)</f>
        <v>1.0084</v>
      </c>
      <c r="I412" s="24">
        <f>IF(G412=0,ROUND($E412*$F412,2),ROUND($E412*$F412*$G412,2))</f>
        <v>128.93</v>
      </c>
      <c r="J412" s="24"/>
      <c r="K412" s="24"/>
      <c r="L412" s="24"/>
      <c r="M412" s="24">
        <f>IF($H412=0,ROUND($E412*(M$72/12),2),ROUND($E412*$H412*(M$220/12),2))</f>
        <v>53.78</v>
      </c>
      <c r="N412" s="61"/>
      <c r="O412" s="24"/>
      <c r="P412" s="24">
        <f>ROUND((($I412)*(P$450/12))/27,2)</f>
        <v>4.18</v>
      </c>
      <c r="Q412" s="24"/>
      <c r="R412" s="24">
        <f>ROUND((($I412+$L412+$M412)*(R$450/12))/27,2)</f>
        <v>3.38</v>
      </c>
      <c r="S412" s="24"/>
      <c r="T412" s="24">
        <f>ROUND((($I412/9)*T$450)*3,2)</f>
        <v>2.36</v>
      </c>
      <c r="U412" s="24"/>
      <c r="V412" s="24"/>
      <c r="W412" s="24"/>
      <c r="X412" s="24">
        <f>ROUND(($I412*(X$450/12))/27,2)</f>
        <v>0.6</v>
      </c>
      <c r="Y412" s="24"/>
      <c r="Z412" s="24">
        <f>ROUND(($I412*(Z$450/12))/27,2)</f>
        <v>0.7</v>
      </c>
      <c r="AA412" s="24"/>
      <c r="AB412" s="24"/>
      <c r="AC412" s="24"/>
      <c r="AD412" s="24">
        <f>IF($H412=0,$E412,ROUND($E412*$H412,2))</f>
        <v>32.27</v>
      </c>
      <c r="AE412" s="24"/>
      <c r="AF412" s="271"/>
      <c r="AG412" s="272"/>
      <c r="AH412" s="4"/>
    </row>
    <row r="413" spans="1:34" ht="21.75" customHeight="1">
      <c r="A413" s="30">
        <v>23</v>
      </c>
      <c r="B413" s="38">
        <f>C412</f>
        <v>508198.63</v>
      </c>
      <c r="C413" s="38">
        <v>508420</v>
      </c>
      <c r="D413" s="39" t="s">
        <v>17</v>
      </c>
      <c r="E413" s="24">
        <f>C413-B413</f>
        <v>221.36999999999534</v>
      </c>
      <c r="F413" s="24">
        <v>4</v>
      </c>
      <c r="G413" s="90"/>
      <c r="H413" s="24"/>
      <c r="I413" s="24">
        <f>IF(G413=0,ROUND($E413*$F413,2),ROUND($E413*$F413*$G413,2))</f>
        <v>885.48</v>
      </c>
      <c r="J413" s="24"/>
      <c r="K413" s="24"/>
      <c r="L413" s="24"/>
      <c r="M413" s="24">
        <f>IF($H413=0,ROUND($E413*(M$72/12),2),ROUND($E413*$H413*(M$220/12),2))</f>
        <v>368.95</v>
      </c>
      <c r="N413" s="61"/>
      <c r="O413" s="24"/>
      <c r="P413" s="24">
        <f>ROUND((($I413)*(P$450/12))/27,2)</f>
        <v>28.7</v>
      </c>
      <c r="Q413" s="24"/>
      <c r="R413" s="24">
        <f>ROUND((($I413+$L413+$M413)*(R$450/12))/27,2)</f>
        <v>23.23</v>
      </c>
      <c r="S413" s="24"/>
      <c r="T413" s="24">
        <f>ROUND((($I413/9)*T$450)*3,2)</f>
        <v>16.23</v>
      </c>
      <c r="U413" s="24"/>
      <c r="V413" s="24"/>
      <c r="W413" s="24"/>
      <c r="X413" s="24">
        <f>ROUND(($I413*(X$450/12))/27,2)</f>
        <v>4.1</v>
      </c>
      <c r="Y413" s="24"/>
      <c r="Z413" s="24">
        <f>ROUND(($I413*(Z$450/12))/27,2)</f>
        <v>4.78</v>
      </c>
      <c r="AA413" s="24"/>
      <c r="AB413" s="24"/>
      <c r="AC413" s="24"/>
      <c r="AD413" s="24">
        <f>IF($H413=0,$E413,ROUND($E413*$H413,2))</f>
        <v>221.36999999999534</v>
      </c>
      <c r="AE413" s="24"/>
      <c r="AF413" s="271"/>
      <c r="AG413" s="272"/>
      <c r="AH413" s="4"/>
    </row>
    <row r="414" spans="1:34" ht="21.75" customHeight="1">
      <c r="A414" s="30">
        <v>24</v>
      </c>
      <c r="B414" s="38">
        <f>C413</f>
        <v>508420</v>
      </c>
      <c r="C414" s="38">
        <v>508436.06</v>
      </c>
      <c r="D414" s="39" t="s">
        <v>17</v>
      </c>
      <c r="E414" s="24">
        <f>C414-B414</f>
        <v>16.05999999999767</v>
      </c>
      <c r="F414" s="24">
        <v>4</v>
      </c>
      <c r="G414" s="105">
        <f>ROUND((545.6741+16.07+($F414/2))/545.6741,4)</f>
        <v>1.0331</v>
      </c>
      <c r="H414" s="105">
        <f>ROUND((545.6741+16.07+($F414))/545.6741,4)</f>
        <v>1.0368</v>
      </c>
      <c r="I414" s="24">
        <f>IF(G414=0,ROUND($E414*$F414,2),ROUND($E414*$F414*$G414,2))</f>
        <v>66.37</v>
      </c>
      <c r="J414" s="24"/>
      <c r="K414" s="24"/>
      <c r="L414" s="24"/>
      <c r="M414" s="24">
        <f>IF($H414=0,ROUND($E414*(M$72/12),2),ROUND($E414*$H414*(M$220/12),2))</f>
        <v>27.75</v>
      </c>
      <c r="N414" s="61"/>
      <c r="O414" s="24"/>
      <c r="P414" s="24">
        <f>ROUND((($I414)*(P$450/12))/27,2)</f>
        <v>2.15</v>
      </c>
      <c r="Q414" s="24"/>
      <c r="R414" s="24">
        <f>ROUND((($I414+$L414+$M414)*(R$450/12))/27,2)</f>
        <v>1.74</v>
      </c>
      <c r="S414" s="24"/>
      <c r="T414" s="24">
        <f>ROUND((($I414/9)*T$450)*3,2)</f>
        <v>1.22</v>
      </c>
      <c r="U414" s="24"/>
      <c r="V414" s="24"/>
      <c r="W414" s="24"/>
      <c r="X414" s="24">
        <f>ROUND(($I414*(X$450/12))/27,2)</f>
        <v>0.31</v>
      </c>
      <c r="Y414" s="24"/>
      <c r="Z414" s="24">
        <f>ROUND(($I414*(Z$450/12))/27,2)</f>
        <v>0.36</v>
      </c>
      <c r="AA414" s="24"/>
      <c r="AB414" s="24"/>
      <c r="AC414" s="24"/>
      <c r="AD414" s="24">
        <f>IF($H414=0,$E414,ROUND($E414*$H414,2))</f>
        <v>16.65</v>
      </c>
      <c r="AE414" s="24"/>
      <c r="AF414" s="271"/>
      <c r="AG414" s="272"/>
      <c r="AH414" s="4"/>
    </row>
    <row r="415" spans="1:34" ht="21.75" customHeight="1">
      <c r="A415" s="30">
        <v>25</v>
      </c>
      <c r="B415" s="38">
        <f>C414</f>
        <v>508436.06</v>
      </c>
      <c r="C415" s="38">
        <v>508456.78</v>
      </c>
      <c r="D415" s="39" t="s">
        <v>17</v>
      </c>
      <c r="E415" s="24">
        <f>C415-B415</f>
        <v>20.720000000030268</v>
      </c>
      <c r="F415" s="24">
        <v>4</v>
      </c>
      <c r="G415" s="105">
        <f>ROUND((545.6741+24+($F415/2))/545.6741,4)</f>
        <v>1.0476</v>
      </c>
      <c r="H415" s="105">
        <f>ROUND((545.6741+24+($F415))/545.6741,4)</f>
        <v>1.0513</v>
      </c>
      <c r="I415" s="24">
        <f>IF(G415=0,ROUND($E415*$F415,2),ROUND($E415*$F415*$G415,2))</f>
        <v>86.83</v>
      </c>
      <c r="J415" s="24"/>
      <c r="K415" s="24"/>
      <c r="L415" s="24"/>
      <c r="M415" s="24"/>
      <c r="N415" s="61"/>
      <c r="O415" s="24"/>
      <c r="P415" s="24">
        <f>ROUND((($I415)*(P$450/12))/27,2)</f>
        <v>2.81</v>
      </c>
      <c r="Q415" s="24"/>
      <c r="R415" s="24">
        <f>ROUND((($I415)*(R$450/12))/27,2)</f>
        <v>1.61</v>
      </c>
      <c r="S415" s="24"/>
      <c r="T415" s="24">
        <f>ROUND((($I415/9)*T$450)*3,2)</f>
        <v>1.59</v>
      </c>
      <c r="U415" s="24"/>
      <c r="V415" s="24"/>
      <c r="W415" s="24"/>
      <c r="X415" s="24">
        <f>ROUND(($I415*(X$450/12))/27,2)</f>
        <v>0.4</v>
      </c>
      <c r="Y415" s="24"/>
      <c r="Z415" s="24">
        <f>ROUND(($I415*(Z$450/12))/27,2)</f>
        <v>0.47</v>
      </c>
      <c r="AA415" s="24"/>
      <c r="AB415" s="24"/>
      <c r="AC415" s="24"/>
      <c r="AD415" s="24"/>
      <c r="AE415" s="24"/>
      <c r="AF415" s="271"/>
      <c r="AG415" s="272"/>
      <c r="AH415" s="4"/>
    </row>
    <row r="416" spans="1:34" ht="21.75" customHeight="1">
      <c r="A416" s="30">
        <v>26</v>
      </c>
      <c r="B416" s="38"/>
      <c r="C416" s="46"/>
      <c r="D416" s="39"/>
      <c r="E416" s="24"/>
      <c r="F416" s="24"/>
      <c r="G416" s="66"/>
      <c r="H416" s="24"/>
      <c r="I416" s="24"/>
      <c r="J416" s="24"/>
      <c r="K416" s="24"/>
      <c r="L416" s="24"/>
      <c r="M416" s="24"/>
      <c r="N416" s="61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71"/>
      <c r="AG416" s="272"/>
      <c r="AH416" s="4"/>
    </row>
    <row r="417" spans="1:34" ht="21.75" customHeight="1">
      <c r="A417" s="30">
        <v>27</v>
      </c>
      <c r="B417" s="38">
        <v>502438.21</v>
      </c>
      <c r="C417" s="38">
        <v>502538.21</v>
      </c>
      <c r="D417" s="39" t="s">
        <v>16</v>
      </c>
      <c r="E417" s="24">
        <f>C417-B417</f>
        <v>100</v>
      </c>
      <c r="F417" s="66">
        <f>ROUND((11.9+10)/2,2)</f>
        <v>10.95</v>
      </c>
      <c r="G417" s="105">
        <f>ROUND((4911.0668-12-($F417/2))/4911.0668,4)</f>
        <v>0.9964</v>
      </c>
      <c r="H417" s="105">
        <f>ROUND((4911.0668-12-($F417))/4911.0668,4)</f>
        <v>0.9953</v>
      </c>
      <c r="I417" s="24">
        <f aca="true" t="shared" si="169" ref="I417:I424">IF(G417=0,ROUND($E417*$F417,2),ROUND($E417*$F417*$G417,2))</f>
        <v>1091.06</v>
      </c>
      <c r="J417" s="24"/>
      <c r="K417" s="24">
        <f aca="true" t="shared" si="170" ref="K417:L419">IF($H417=0,ROUND($E417*(K$450/12),2),ROUND($E417*$H417*(K$450/12),2))</f>
        <v>33.18</v>
      </c>
      <c r="L417" s="24">
        <f t="shared" si="170"/>
        <v>49.77</v>
      </c>
      <c r="M417" s="24"/>
      <c r="N417" s="61"/>
      <c r="O417" s="24"/>
      <c r="P417" s="24">
        <f>ROUND(((($I417+$K417)*(P$451/12))+(($I417+$K417+$L417)*(P$451/12)))/27,2)</f>
        <v>37.24</v>
      </c>
      <c r="Q417" s="24"/>
      <c r="R417" s="24">
        <f>ROUND((($I417+$K417+$L417+$L417)*(R$450/12))/27,2)</f>
        <v>22.66</v>
      </c>
      <c r="S417" s="24"/>
      <c r="T417" s="24">
        <f>ROUND(((($I417/9)*T$450)+((($I417+$K417)/9)*T$450)+((($I417+$K417+$L417)/9)*T$450)),2)</f>
        <v>20.71</v>
      </c>
      <c r="U417" s="24"/>
      <c r="V417" s="24"/>
      <c r="W417" s="24"/>
      <c r="X417" s="24">
        <f>ROUND(($I417*(X$450/12))/27,2)</f>
        <v>5.05</v>
      </c>
      <c r="Y417" s="24"/>
      <c r="Z417" s="24">
        <f>ROUND(($I417*(Z$450/12))/27,2)</f>
        <v>5.89</v>
      </c>
      <c r="AA417" s="24"/>
      <c r="AB417" s="24"/>
      <c r="AC417" s="24"/>
      <c r="AD417" s="24"/>
      <c r="AE417" s="24"/>
      <c r="AF417" s="271"/>
      <c r="AG417" s="272"/>
      <c r="AH417" s="4"/>
    </row>
    <row r="418" spans="1:34" ht="21.75" customHeight="1">
      <c r="A418" s="30">
        <v>28</v>
      </c>
      <c r="B418" s="38">
        <f>C417</f>
        <v>502538.21</v>
      </c>
      <c r="C418" s="38">
        <v>503050.04</v>
      </c>
      <c r="D418" s="39" t="s">
        <v>16</v>
      </c>
      <c r="E418" s="24">
        <f aca="true" t="shared" si="171" ref="E418:E424">C418-B418</f>
        <v>511.8299999999581</v>
      </c>
      <c r="F418" s="24">
        <v>10</v>
      </c>
      <c r="G418" s="105">
        <f aca="true" t="shared" si="172" ref="G418:G424">ROUND((4911.0668-12-($F418/2))/4911.0668,4)</f>
        <v>0.9965</v>
      </c>
      <c r="H418" s="105">
        <f aca="true" t="shared" si="173" ref="H418:H424">ROUND((4911.0668-12-($F418))/4911.0668,4)</f>
        <v>0.9955</v>
      </c>
      <c r="I418" s="24">
        <f t="shared" si="169"/>
        <v>5100.39</v>
      </c>
      <c r="J418" s="24"/>
      <c r="K418" s="24">
        <f t="shared" si="170"/>
        <v>169.84</v>
      </c>
      <c r="L418" s="24">
        <f t="shared" si="170"/>
        <v>254.76</v>
      </c>
      <c r="M418" s="24"/>
      <c r="N418" s="61"/>
      <c r="O418" s="24"/>
      <c r="P418" s="24">
        <f>ROUND(((($I418+$K418)*(P$451/12))+(($I418+$K418+$L418)*(P$451/12)))/27,2)</f>
        <v>174.92</v>
      </c>
      <c r="Q418" s="24"/>
      <c r="R418" s="24">
        <f>ROUND((($I418+$K418+$L418+$L418)*(R$450/12))/27,2)</f>
        <v>107.03</v>
      </c>
      <c r="S418" s="24"/>
      <c r="T418" s="24">
        <f>ROUND(((($I418/9)*T$450)+((($I418+$K418)/9)*T$450)+((($I418+$K418+$L418)/9)*T$450)),2)</f>
        <v>97.14</v>
      </c>
      <c r="U418" s="24"/>
      <c r="V418" s="24"/>
      <c r="W418" s="24"/>
      <c r="X418" s="24">
        <f>ROUND(($I418*(X$450/12))/27,2)</f>
        <v>23.61</v>
      </c>
      <c r="Y418" s="24"/>
      <c r="Z418" s="24">
        <f>ROUND(($I418*(Z$450/12))/27,2)</f>
        <v>27.55</v>
      </c>
      <c r="AA418" s="24"/>
      <c r="AB418" s="24"/>
      <c r="AC418" s="24"/>
      <c r="AD418" s="24"/>
      <c r="AE418" s="24"/>
      <c r="AF418" s="271"/>
      <c r="AG418" s="272"/>
      <c r="AH418" s="4"/>
    </row>
    <row r="419" spans="1:34" ht="21.75" customHeight="1">
      <c r="A419" s="30">
        <v>29</v>
      </c>
      <c r="B419" s="38">
        <f>C418</f>
        <v>503050.04</v>
      </c>
      <c r="C419" s="46">
        <v>503100.04</v>
      </c>
      <c r="D419" s="39" t="s">
        <v>16</v>
      </c>
      <c r="E419" s="24">
        <f t="shared" si="171"/>
        <v>50</v>
      </c>
      <c r="F419" s="66">
        <f>ROUND((10+18)/2,2)</f>
        <v>14</v>
      </c>
      <c r="G419" s="105">
        <f t="shared" si="172"/>
        <v>0.9961</v>
      </c>
      <c r="H419" s="105">
        <f t="shared" si="173"/>
        <v>0.9947</v>
      </c>
      <c r="I419" s="24">
        <f t="shared" si="169"/>
        <v>697.27</v>
      </c>
      <c r="J419" s="24"/>
      <c r="K419" s="24">
        <f t="shared" si="170"/>
        <v>16.58</v>
      </c>
      <c r="L419" s="24">
        <f t="shared" si="170"/>
        <v>24.87</v>
      </c>
      <c r="M419" s="24"/>
      <c r="N419" s="61"/>
      <c r="O419" s="24"/>
      <c r="P419" s="24">
        <f>ROUND(((($I419+$K419)*(P$451/12))+(($I419+$K419+$L419)*(P$451/12)))/27,2)</f>
        <v>23.54</v>
      </c>
      <c r="Q419" s="24"/>
      <c r="R419" s="24">
        <f>ROUND((($I419+$K419+$L419+$L419)*(R$450/12))/27,2)</f>
        <v>14.14</v>
      </c>
      <c r="S419" s="24"/>
      <c r="T419" s="24">
        <f>ROUND(((($I419/9)*T$450)+((($I419+$K419)/9)*T$450)+((($I419+$K419+$L419)/9)*T$450)),2)</f>
        <v>13.14</v>
      </c>
      <c r="U419" s="24"/>
      <c r="V419" s="24"/>
      <c r="W419" s="24"/>
      <c r="X419" s="24">
        <f>ROUND(($I419*(X$450/12))/27,2)</f>
        <v>3.23</v>
      </c>
      <c r="Y419" s="24"/>
      <c r="Z419" s="24">
        <f>ROUND(($I419*(Z$450/12))/27,2)</f>
        <v>3.77</v>
      </c>
      <c r="AA419" s="24"/>
      <c r="AB419" s="24"/>
      <c r="AC419" s="24"/>
      <c r="AD419" s="24"/>
      <c r="AE419" s="24"/>
      <c r="AF419" s="271"/>
      <c r="AG419" s="272"/>
      <c r="AH419" s="4"/>
    </row>
    <row r="420" spans="1:34" ht="21.75" customHeight="1">
      <c r="A420" s="30">
        <v>30</v>
      </c>
      <c r="B420" s="38">
        <f>C419</f>
        <v>503100.04</v>
      </c>
      <c r="C420" s="38">
        <v>503123.25</v>
      </c>
      <c r="D420" s="39" t="s">
        <v>16</v>
      </c>
      <c r="E420" s="24">
        <f t="shared" si="171"/>
        <v>23.210000000020955</v>
      </c>
      <c r="F420" s="66">
        <f>ROUND((18+16.9052)/2,2)</f>
        <v>17.45</v>
      </c>
      <c r="G420" s="105">
        <f t="shared" si="172"/>
        <v>0.9958</v>
      </c>
      <c r="H420" s="105">
        <f t="shared" si="173"/>
        <v>0.994</v>
      </c>
      <c r="I420" s="24">
        <f t="shared" si="169"/>
        <v>403.31</v>
      </c>
      <c r="J420" s="24"/>
      <c r="K420" s="24"/>
      <c r="L420" s="24"/>
      <c r="M420" s="24">
        <f>IF($H420=0,ROUND($E420*(M$450/12),2),ROUND($E420*$H420*(M$450/12),2))</f>
        <v>38.45</v>
      </c>
      <c r="N420" s="61"/>
      <c r="O420" s="24"/>
      <c r="P420" s="24">
        <f>ROUND((($I420)*(P$450/12))/27,2)</f>
        <v>13.07</v>
      </c>
      <c r="Q420" s="24"/>
      <c r="R420" s="24">
        <f>ROUND((($I420+$L420+$M420)*(R$450/12))/27,2)</f>
        <v>8.18</v>
      </c>
      <c r="S420" s="24"/>
      <c r="T420" s="24">
        <f>ROUND((($I420/9)*T$450)*3,2)</f>
        <v>7.39</v>
      </c>
      <c r="U420" s="24"/>
      <c r="V420" s="24"/>
      <c r="W420" s="24"/>
      <c r="X420" s="24">
        <f>ROUND(($I420*(X$450/12))/27,2)</f>
        <v>1.87</v>
      </c>
      <c r="Y420" s="24"/>
      <c r="Z420" s="24">
        <f>ROUND(($I420*(Z$450/12))/27,2)</f>
        <v>2.18</v>
      </c>
      <c r="AA420" s="24"/>
      <c r="AB420" s="24"/>
      <c r="AC420" s="24">
        <f>IF($H420=0,$E420,ROUND($E420*$H420,2))</f>
        <v>23.07</v>
      </c>
      <c r="AD420" s="24"/>
      <c r="AE420" s="24"/>
      <c r="AF420" s="271"/>
      <c r="AG420" s="272"/>
      <c r="AH420" s="4"/>
    </row>
    <row r="421" spans="1:34" ht="21.75" customHeight="1">
      <c r="A421" s="30">
        <v>31</v>
      </c>
      <c r="B421" s="38">
        <f>C420</f>
        <v>503123.25</v>
      </c>
      <c r="C421" s="38">
        <v>503135.85</v>
      </c>
      <c r="D421" s="39" t="s">
        <v>16</v>
      </c>
      <c r="E421" s="24">
        <f t="shared" si="171"/>
        <v>12.599999999976717</v>
      </c>
      <c r="F421" s="66">
        <f>ROUND((16.9052+16.3109)/2,2)</f>
        <v>16.61</v>
      </c>
      <c r="G421" s="105">
        <f t="shared" si="172"/>
        <v>0.9959</v>
      </c>
      <c r="H421" s="105">
        <f t="shared" si="173"/>
        <v>0.9942</v>
      </c>
      <c r="I421" s="24">
        <f t="shared" si="169"/>
        <v>208.43</v>
      </c>
      <c r="J421" s="24"/>
      <c r="K421" s="24"/>
      <c r="L421" s="24"/>
      <c r="M421" s="24"/>
      <c r="N421" s="61"/>
      <c r="O421" s="24"/>
      <c r="P421" s="24">
        <f>ROUND((($I421)*(P$450/12))/27,2)</f>
        <v>6.75</v>
      </c>
      <c r="Q421" s="24"/>
      <c r="R421" s="24">
        <f>ROUND((($I421)*(R$450/12))/27,2)</f>
        <v>3.86</v>
      </c>
      <c r="S421" s="24"/>
      <c r="T421" s="24">
        <f>ROUND((($I421/9)*T$450)*3,2)</f>
        <v>3.82</v>
      </c>
      <c r="U421" s="24"/>
      <c r="V421" s="24"/>
      <c r="W421" s="24"/>
      <c r="X421" s="24">
        <f>ROUND(($I421*(X$450/12))/27,2)</f>
        <v>0.96</v>
      </c>
      <c r="Y421" s="24"/>
      <c r="Z421" s="24">
        <f>ROUND(($I421*(Z$450/12))/27,2)</f>
        <v>1.13</v>
      </c>
      <c r="AA421" s="24"/>
      <c r="AB421" s="24"/>
      <c r="AC421" s="24"/>
      <c r="AD421" s="24"/>
      <c r="AE421" s="24"/>
      <c r="AF421" s="271"/>
      <c r="AG421" s="272"/>
      <c r="AH421" s="4"/>
    </row>
    <row r="422" spans="1:34" ht="21.75" customHeight="1">
      <c r="A422" s="30">
        <v>32</v>
      </c>
      <c r="B422" s="38"/>
      <c r="C422" s="46"/>
      <c r="D422" s="39"/>
      <c r="E422" s="24"/>
      <c r="F422" s="24"/>
      <c r="G422" s="66"/>
      <c r="H422" s="24"/>
      <c r="I422" s="24"/>
      <c r="J422" s="24"/>
      <c r="K422" s="24"/>
      <c r="L422" s="24"/>
      <c r="M422" s="24"/>
      <c r="N422" s="61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71"/>
      <c r="AG422" s="272"/>
      <c r="AH422" s="4"/>
    </row>
    <row r="423" spans="1:34" ht="21.75" customHeight="1">
      <c r="A423" s="30">
        <v>33</v>
      </c>
      <c r="B423" s="38">
        <v>503269.04</v>
      </c>
      <c r="C423" s="38">
        <v>503386.76</v>
      </c>
      <c r="D423" s="39" t="s">
        <v>16</v>
      </c>
      <c r="E423" s="24">
        <f t="shared" si="171"/>
        <v>117.72000000003027</v>
      </c>
      <c r="F423" s="66">
        <f>ROUND((11.8203+10)/2,2)</f>
        <v>10.91</v>
      </c>
      <c r="G423" s="105">
        <f t="shared" si="172"/>
        <v>0.9964</v>
      </c>
      <c r="H423" s="105">
        <f t="shared" si="173"/>
        <v>0.9953</v>
      </c>
      <c r="I423" s="24">
        <f t="shared" si="169"/>
        <v>1279.7</v>
      </c>
      <c r="J423" s="24"/>
      <c r="K423" s="24"/>
      <c r="L423" s="24"/>
      <c r="M423" s="24"/>
      <c r="N423" s="61"/>
      <c r="O423" s="24"/>
      <c r="P423" s="24">
        <f>ROUND((($I423)*(P$450/12))/27,2)</f>
        <v>41.47</v>
      </c>
      <c r="Q423" s="24"/>
      <c r="R423" s="24">
        <f>ROUND((($I423)*(R$450/12))/27,2)</f>
        <v>23.7</v>
      </c>
      <c r="S423" s="24"/>
      <c r="T423" s="24">
        <f>ROUND((($I423/9)*T$450)*3,2)</f>
        <v>23.46</v>
      </c>
      <c r="U423" s="24"/>
      <c r="V423" s="24"/>
      <c r="W423" s="24"/>
      <c r="X423" s="24">
        <f>ROUND(($I423*(X$450/12))/27,2)</f>
        <v>5.92</v>
      </c>
      <c r="Y423" s="24"/>
      <c r="Z423" s="24">
        <f>ROUND(($I423*(Z$450/12))/27,2)</f>
        <v>6.91</v>
      </c>
      <c r="AA423" s="24"/>
      <c r="AB423" s="24"/>
      <c r="AC423" s="24"/>
      <c r="AD423" s="24"/>
      <c r="AE423" s="24"/>
      <c r="AF423" s="271"/>
      <c r="AG423" s="272"/>
      <c r="AH423" s="4"/>
    </row>
    <row r="424" spans="1:34" ht="21.75" customHeight="1">
      <c r="A424" s="30">
        <v>34</v>
      </c>
      <c r="B424" s="38">
        <f>C423</f>
        <v>503386.76</v>
      </c>
      <c r="C424" s="38">
        <v>503483.94</v>
      </c>
      <c r="D424" s="39" t="s">
        <v>16</v>
      </c>
      <c r="E424" s="24">
        <f t="shared" si="171"/>
        <v>97.17999999999302</v>
      </c>
      <c r="F424" s="24">
        <v>10</v>
      </c>
      <c r="G424" s="105">
        <f t="shared" si="172"/>
        <v>0.9965</v>
      </c>
      <c r="H424" s="105">
        <f t="shared" si="173"/>
        <v>0.9955</v>
      </c>
      <c r="I424" s="24">
        <f t="shared" si="169"/>
        <v>968.4</v>
      </c>
      <c r="J424" s="24"/>
      <c r="K424" s="24"/>
      <c r="L424" s="24"/>
      <c r="M424" s="24"/>
      <c r="N424" s="61"/>
      <c r="O424" s="24"/>
      <c r="P424" s="24">
        <f>ROUND((($I424)*(P$450/12))/27,2)</f>
        <v>31.38</v>
      </c>
      <c r="Q424" s="24"/>
      <c r="R424" s="24">
        <f>ROUND((($I424)*(R$450/12))/27,2)</f>
        <v>17.93</v>
      </c>
      <c r="S424" s="24"/>
      <c r="T424" s="24">
        <f>ROUND((($I424/9)*T$450)*3,2)</f>
        <v>17.75</v>
      </c>
      <c r="U424" s="24"/>
      <c r="V424" s="24"/>
      <c r="W424" s="24"/>
      <c r="X424" s="24">
        <f>ROUND(($I424*(X$450/12))/27,2)</f>
        <v>4.48</v>
      </c>
      <c r="Y424" s="24"/>
      <c r="Z424" s="24">
        <f>ROUND(($I424*(Z$450/12))/27,2)</f>
        <v>5.23</v>
      </c>
      <c r="AA424" s="24"/>
      <c r="AB424" s="24"/>
      <c r="AC424" s="24"/>
      <c r="AD424" s="24"/>
      <c r="AE424" s="24"/>
      <c r="AF424" s="271"/>
      <c r="AG424" s="272"/>
      <c r="AH424" s="4"/>
    </row>
    <row r="425" spans="1:34" ht="21.75" customHeight="1">
      <c r="A425" s="30">
        <v>35</v>
      </c>
      <c r="B425" s="38"/>
      <c r="C425" s="38"/>
      <c r="D425" s="39"/>
      <c r="E425" s="24"/>
      <c r="F425" s="24"/>
      <c r="G425" s="66"/>
      <c r="H425" s="24"/>
      <c r="I425" s="24"/>
      <c r="J425" s="24"/>
      <c r="K425" s="24"/>
      <c r="L425" s="24"/>
      <c r="M425" s="24"/>
      <c r="N425" s="61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71"/>
      <c r="AG425" s="272"/>
      <c r="AH425" s="4"/>
    </row>
    <row r="426" spans="1:34" ht="21.75" customHeight="1">
      <c r="A426" s="30">
        <v>36</v>
      </c>
      <c r="B426" s="38">
        <v>503905.43</v>
      </c>
      <c r="C426" s="46">
        <v>504117.78</v>
      </c>
      <c r="D426" s="39" t="s">
        <v>16</v>
      </c>
      <c r="E426" s="24">
        <f>C426-B426</f>
        <v>212.35000000003492</v>
      </c>
      <c r="F426" s="24">
        <v>6</v>
      </c>
      <c r="G426" s="66"/>
      <c r="H426" s="24"/>
      <c r="I426" s="24">
        <f>IF(G426=0,ROUND($E426*$F426,2),ROUND($E426*$F426*$G426,2))</f>
        <v>1274.1</v>
      </c>
      <c r="J426" s="24"/>
      <c r="K426" s="24">
        <f>IF($H426=0,ROUND($E426*(K$450/12),2),ROUND($E426*$H426*(K$450/12),2))</f>
        <v>70.78</v>
      </c>
      <c r="L426" s="24">
        <f>IF($H426=0,ROUND($E426*(L$450/12),2),ROUND($E426*$H426*(L$450/12),2))</f>
        <v>106.18</v>
      </c>
      <c r="M426" s="24"/>
      <c r="N426" s="61"/>
      <c r="O426" s="24"/>
      <c r="P426" s="24">
        <f>ROUND(((($I426+$K426)*(P$451/12))+(($I426+$K426+$L426)*(P$451/12)))/27,2)</f>
        <v>45.3</v>
      </c>
      <c r="Q426" s="24"/>
      <c r="R426" s="24">
        <f>ROUND((($I426+$K426+$L426+$L426)*(R$450/12))/27,2)</f>
        <v>28.84</v>
      </c>
      <c r="S426" s="24"/>
      <c r="T426" s="24">
        <f>ROUND(((($I426/9)*T$450)+((($I426+$K426)/9)*T$450)+((($I426+$K426+$L426)/9)*T$450)),2)</f>
        <v>24.87</v>
      </c>
      <c r="U426" s="24"/>
      <c r="V426" s="24"/>
      <c r="W426" s="24"/>
      <c r="X426" s="24">
        <f>ROUND(($I426*(X$450/12))/27,2)</f>
        <v>5.9</v>
      </c>
      <c r="Y426" s="24"/>
      <c r="Z426" s="24">
        <f>ROUND(($I426*(Z$450/12))/27,2)</f>
        <v>6.88</v>
      </c>
      <c r="AA426" s="24"/>
      <c r="AB426" s="24"/>
      <c r="AC426" s="24"/>
      <c r="AD426" s="24"/>
      <c r="AE426" s="24"/>
      <c r="AF426" s="271"/>
      <c r="AG426" s="272"/>
      <c r="AH426" s="4"/>
    </row>
    <row r="427" spans="1:34" ht="21.75" customHeight="1">
      <c r="A427" s="30">
        <v>37</v>
      </c>
      <c r="B427" s="38">
        <f>C426</f>
        <v>504117.78</v>
      </c>
      <c r="C427" s="38">
        <v>504132.96</v>
      </c>
      <c r="D427" s="39" t="s">
        <v>16</v>
      </c>
      <c r="E427" s="24">
        <f>C427-B427</f>
        <v>15.179999999993015</v>
      </c>
      <c r="F427" s="24">
        <v>6</v>
      </c>
      <c r="G427" s="105">
        <f>ROUND((2291.8312+($F427/2))/2291.8312,4)</f>
        <v>1.0013</v>
      </c>
      <c r="H427" s="105">
        <f>ROUND((2291.8312+($F427))/2291.8312,4)</f>
        <v>1.0026</v>
      </c>
      <c r="I427" s="24">
        <f>IF(G427=0,ROUND($E427*$F427,2),ROUND($E427*$F427*$G427,2))</f>
        <v>91.2</v>
      </c>
      <c r="J427" s="24"/>
      <c r="K427" s="24">
        <f>IF($H427=0,ROUND($E427*(K$450/12),2),ROUND($E427*$H427*(K$450/12),2))</f>
        <v>5.07</v>
      </c>
      <c r="L427" s="24">
        <f>IF($H427=0,ROUND($E427*(L$450/12),2),ROUND($E427*$H427*(L$450/12),2))</f>
        <v>7.61</v>
      </c>
      <c r="M427" s="24"/>
      <c r="N427" s="61"/>
      <c r="O427" s="24"/>
      <c r="P427" s="24">
        <f>ROUND(((($I427+$K427)*(P$451/12))+(($I427+$K427+$L427)*(P$451/12)))/27,2)</f>
        <v>3.24</v>
      </c>
      <c r="Q427" s="24"/>
      <c r="R427" s="24">
        <f>ROUND((($I427+$K427+$L427+$L427)*(R$450/12))/27,2)</f>
        <v>2.06</v>
      </c>
      <c r="S427" s="24"/>
      <c r="T427" s="24">
        <f>ROUND(((($I427/9)*T$450)+((($I427+$K427)/9)*T$450)+((($I427+$K427+$L427)/9)*T$450)),2)</f>
        <v>1.78</v>
      </c>
      <c r="U427" s="24"/>
      <c r="V427" s="24"/>
      <c r="W427" s="24"/>
      <c r="X427" s="24">
        <f>ROUND(($I427*(X$450/12))/27,2)</f>
        <v>0.42</v>
      </c>
      <c r="Y427" s="24"/>
      <c r="Z427" s="24">
        <f>ROUND(($I427*(Z$450/12))/27,2)</f>
        <v>0.49</v>
      </c>
      <c r="AA427" s="24"/>
      <c r="AB427" s="24"/>
      <c r="AC427" s="24"/>
      <c r="AD427" s="24"/>
      <c r="AE427" s="24"/>
      <c r="AF427" s="271"/>
      <c r="AG427" s="272"/>
      <c r="AH427" s="4"/>
    </row>
    <row r="428" spans="1:34" ht="21.75" customHeight="1">
      <c r="A428" s="30">
        <v>38</v>
      </c>
      <c r="B428" s="38">
        <f>C427</f>
        <v>504132.96</v>
      </c>
      <c r="C428" s="46">
        <v>504157.96</v>
      </c>
      <c r="D428" s="39" t="s">
        <v>16</v>
      </c>
      <c r="E428" s="24">
        <f>C428-B428</f>
        <v>25</v>
      </c>
      <c r="F428" s="24">
        <v>6</v>
      </c>
      <c r="G428" s="105">
        <f>ROUND((2291.8312+($F428/2))/2291.8312,4)</f>
        <v>1.0013</v>
      </c>
      <c r="H428" s="105">
        <f>ROUND((2291.8312+($F428))/2291.8312,4)</f>
        <v>1.0026</v>
      </c>
      <c r="I428" s="24">
        <f>IF(G428=0,ROUND($E428*$F428,2),ROUND($E428*$F428*$G428,2))</f>
        <v>150.2</v>
      </c>
      <c r="J428" s="24"/>
      <c r="K428" s="24"/>
      <c r="L428" s="24"/>
      <c r="M428" s="24">
        <f>IF($H428=0,ROUND($E428*(M$450/12),2),ROUND($E428*$H428*(M$450/12),2))</f>
        <v>41.78</v>
      </c>
      <c r="N428" s="61"/>
      <c r="O428" s="24"/>
      <c r="P428" s="24">
        <f>ROUND((($I428)*(P$450/12))/27,2)</f>
        <v>4.87</v>
      </c>
      <c r="Q428" s="24"/>
      <c r="R428" s="24">
        <f>ROUND((($I428+$L428+$M428)*(R$450/12))/27,2)</f>
        <v>3.56</v>
      </c>
      <c r="S428" s="24"/>
      <c r="T428" s="24">
        <f>ROUND((($I428/9)*T$450)*3,2)</f>
        <v>2.75</v>
      </c>
      <c r="U428" s="24"/>
      <c r="V428" s="24"/>
      <c r="W428" s="24"/>
      <c r="X428" s="24">
        <f>ROUND(($I428*(X$450/12))/27,2)</f>
        <v>0.7</v>
      </c>
      <c r="Y428" s="24"/>
      <c r="Z428" s="24">
        <f>ROUND(($I428*(Z$450/12))/27,2)</f>
        <v>0.81</v>
      </c>
      <c r="AA428" s="24"/>
      <c r="AB428" s="24"/>
      <c r="AC428" s="24">
        <f>IF($H428=0,$E428,ROUND($E428*$H428,2))</f>
        <v>25.07</v>
      </c>
      <c r="AD428" s="24"/>
      <c r="AE428" s="24"/>
      <c r="AF428" s="271"/>
      <c r="AG428" s="272"/>
      <c r="AH428" s="4"/>
    </row>
    <row r="429" spans="1:34" ht="21.75" customHeight="1" thickBot="1">
      <c r="A429" s="30">
        <v>39</v>
      </c>
      <c r="B429" s="38"/>
      <c r="C429" s="46"/>
      <c r="D429" s="39"/>
      <c r="E429" s="24"/>
      <c r="F429" s="24"/>
      <c r="G429" s="66"/>
      <c r="H429" s="24"/>
      <c r="I429" s="24"/>
      <c r="J429" s="24"/>
      <c r="K429" s="24"/>
      <c r="L429" s="24"/>
      <c r="M429" s="24"/>
      <c r="N429" s="61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81"/>
      <c r="AG429" s="275"/>
      <c r="AH429" s="4"/>
    </row>
    <row r="430" spans="1:34" ht="21.75" customHeight="1">
      <c r="A430" s="30">
        <v>40</v>
      </c>
      <c r="B430" s="38">
        <v>506187.48</v>
      </c>
      <c r="C430" s="38">
        <v>506201.26</v>
      </c>
      <c r="D430" s="39" t="s">
        <v>16</v>
      </c>
      <c r="E430" s="24">
        <f aca="true" t="shared" si="174" ref="E430:E440">C430-B430</f>
        <v>13.78000000002794</v>
      </c>
      <c r="F430" s="213" t="s">
        <v>13</v>
      </c>
      <c r="G430" s="214"/>
      <c r="H430" s="214"/>
      <c r="I430" s="215"/>
      <c r="J430" s="24">
        <v>78.03</v>
      </c>
      <c r="K430" s="24"/>
      <c r="L430" s="24"/>
      <c r="M430" s="24">
        <f>IF($H430=0,ROUND($E430*(M$450/12),2),ROUND($E430*$H430*(M$450/12),2))</f>
        <v>22.97</v>
      </c>
      <c r="N430" s="61"/>
      <c r="O430" s="24"/>
      <c r="P430" s="24">
        <f>ROUND((($J430)*(P$450/12))/27,2)</f>
        <v>2.53</v>
      </c>
      <c r="Q430" s="24"/>
      <c r="R430" s="24">
        <f>ROUND((($J430+$L430+$M430)*(R$450/12))/27,2)</f>
        <v>1.87</v>
      </c>
      <c r="S430" s="24"/>
      <c r="T430" s="24">
        <f>ROUND((($J430/9)*T$450)*3,2)</f>
        <v>1.43</v>
      </c>
      <c r="U430" s="24"/>
      <c r="V430" s="24"/>
      <c r="W430" s="24"/>
      <c r="X430" s="24">
        <f>ROUND(($J430*(X$450/12))/27,2)</f>
        <v>0.36</v>
      </c>
      <c r="Y430" s="24"/>
      <c r="Z430" s="24">
        <f>ROUND(($J430*(Z$450/12))/27,2)</f>
        <v>0.42</v>
      </c>
      <c r="AA430" s="24"/>
      <c r="AB430" s="24"/>
      <c r="AC430" s="24">
        <f>IF($H430=0,$E430,ROUND($E430*$H430,2))</f>
        <v>13.78000000002794</v>
      </c>
      <c r="AD430" s="24"/>
      <c r="AE430" s="24"/>
      <c r="AF430" s="269" t="s">
        <v>39</v>
      </c>
      <c r="AG430" s="270"/>
      <c r="AH430" s="4"/>
    </row>
    <row r="431" spans="1:34" ht="21.75" customHeight="1">
      <c r="A431" s="30">
        <v>41</v>
      </c>
      <c r="B431" s="38">
        <f aca="true" t="shared" si="175" ref="B431:B440">C430</f>
        <v>506201.26</v>
      </c>
      <c r="C431" s="38">
        <v>506281.58</v>
      </c>
      <c r="D431" s="39" t="s">
        <v>16</v>
      </c>
      <c r="E431" s="24">
        <f t="shared" si="174"/>
        <v>80.32000000000698</v>
      </c>
      <c r="F431" s="24">
        <v>10</v>
      </c>
      <c r="G431" s="105">
        <f aca="true" t="shared" si="176" ref="G431:G438">ROUND((2864.789-12-($F431/2))/2864.789,4)</f>
        <v>0.9941</v>
      </c>
      <c r="H431" s="105">
        <f aca="true" t="shared" si="177" ref="H431:H438">ROUND((2864.789-12-($F431))/2864.789,4)</f>
        <v>0.9923</v>
      </c>
      <c r="I431" s="24">
        <f aca="true" t="shared" si="178" ref="I431:I439">IF(G431=0,ROUND($E431*$F431,2),ROUND($E431*$F431*$G431,2))</f>
        <v>798.46</v>
      </c>
      <c r="J431" s="24"/>
      <c r="K431" s="24">
        <f>IF($H431=0,ROUND($E431*(K$450/12),2),ROUND($E431*$H431*(K$450/12),2))</f>
        <v>26.57</v>
      </c>
      <c r="L431" s="24">
        <f>IF($H431=0,ROUND($E431*(L$450/12),2),ROUND($E431*$H431*(L$450/12),2))</f>
        <v>39.85</v>
      </c>
      <c r="M431" s="24"/>
      <c r="N431" s="61"/>
      <c r="O431" s="24"/>
      <c r="P431" s="24">
        <f>ROUND(((($I431+$K431)*(P$451/12))+(($I431+$K431+$L431)*(P$451/12)))/27,2)</f>
        <v>27.38</v>
      </c>
      <c r="Q431" s="24"/>
      <c r="R431" s="24">
        <f>ROUND((($I431+$K431+$L431+$L431)*(R$450/12))/27,2)</f>
        <v>16.75</v>
      </c>
      <c r="S431" s="24"/>
      <c r="T431" s="24">
        <f>ROUND(((($I431/9)*T$450)+((($I431+$K431)/9)*T$450)+((($I431+$K431+$L431)/9)*T$450)),2)</f>
        <v>15.21</v>
      </c>
      <c r="U431" s="24"/>
      <c r="V431" s="24"/>
      <c r="W431" s="24"/>
      <c r="X431" s="24">
        <f>ROUND(($I431*(X$450/12))/27,2)</f>
        <v>3.7</v>
      </c>
      <c r="Y431" s="24"/>
      <c r="Z431" s="24">
        <f>ROUND(($I431*(Z$450/12))/27,2)</f>
        <v>4.31</v>
      </c>
      <c r="AA431" s="24"/>
      <c r="AB431" s="24"/>
      <c r="AC431" s="24"/>
      <c r="AD431" s="24"/>
      <c r="AE431" s="24"/>
      <c r="AF431" s="271"/>
      <c r="AG431" s="272"/>
      <c r="AH431" s="4"/>
    </row>
    <row r="432" spans="1:34" ht="21.75" customHeight="1">
      <c r="A432" s="30">
        <v>42</v>
      </c>
      <c r="B432" s="38">
        <f t="shared" si="175"/>
        <v>506281.58</v>
      </c>
      <c r="C432" s="38">
        <v>506331.58</v>
      </c>
      <c r="D432" s="39" t="s">
        <v>16</v>
      </c>
      <c r="E432" s="24">
        <f>C432-B432</f>
        <v>50</v>
      </c>
      <c r="F432" s="66">
        <f>ROUND((12+10)/2,2)</f>
        <v>11</v>
      </c>
      <c r="G432" s="105">
        <f t="shared" si="176"/>
        <v>0.9939</v>
      </c>
      <c r="H432" s="105">
        <f t="shared" si="177"/>
        <v>0.992</v>
      </c>
      <c r="I432" s="24">
        <f t="shared" si="178"/>
        <v>546.65</v>
      </c>
      <c r="J432" s="24"/>
      <c r="K432" s="24">
        <f>IF($H432=0,ROUND($E432*(K$450/12),2),ROUND($E432*$H432*(K$450/12),2))</f>
        <v>16.53</v>
      </c>
      <c r="L432" s="24">
        <f>IF($H432=0,ROUND($E432*(L$450/12),2),ROUND($E432*$H432*(L$450/12),2))</f>
        <v>24.8</v>
      </c>
      <c r="M432" s="24"/>
      <c r="N432" s="61"/>
      <c r="O432" s="24"/>
      <c r="P432" s="24">
        <f>ROUND(((($I432+$K432)*(P$451/12))+(($I432+$K432+$L432)*(P$451/12)))/27,2)</f>
        <v>18.65</v>
      </c>
      <c r="Q432" s="24"/>
      <c r="R432" s="24">
        <f>ROUND((($I432+$K432+$L432+$L432)*(R$450/12))/27,2)</f>
        <v>11.35</v>
      </c>
      <c r="S432" s="24"/>
      <c r="T432" s="24">
        <f>ROUND(((($I432/9)*T$450)+((($I432+$K432)/9)*T$450)+((($I432+$K432+$L432)/9)*T$450)),2)</f>
        <v>10.38</v>
      </c>
      <c r="U432" s="24"/>
      <c r="V432" s="24"/>
      <c r="W432" s="24"/>
      <c r="X432" s="24">
        <f>ROUND(($I432*(X$450/12))/27,2)</f>
        <v>2.53</v>
      </c>
      <c r="Y432" s="24"/>
      <c r="Z432" s="24">
        <f>ROUND(($I432*(Z$450/12))/27,2)</f>
        <v>2.95</v>
      </c>
      <c r="AA432" s="24"/>
      <c r="AB432" s="24"/>
      <c r="AC432" s="24"/>
      <c r="AD432" s="24"/>
      <c r="AE432" s="24"/>
      <c r="AF432" s="271"/>
      <c r="AG432" s="272"/>
      <c r="AH432" s="4"/>
    </row>
    <row r="433" spans="1:34" ht="21.75" customHeight="1">
      <c r="A433" s="30">
        <v>43</v>
      </c>
      <c r="B433" s="38">
        <f t="shared" si="175"/>
        <v>506331.58</v>
      </c>
      <c r="C433" s="38">
        <v>506349.88</v>
      </c>
      <c r="D433" s="39" t="s">
        <v>16</v>
      </c>
      <c r="E433" s="24">
        <f>C433-B433</f>
        <v>18.29999999998836</v>
      </c>
      <c r="F433" s="24">
        <v>12</v>
      </c>
      <c r="G433" s="105">
        <f t="shared" si="176"/>
        <v>0.9937</v>
      </c>
      <c r="H433" s="105">
        <f t="shared" si="177"/>
        <v>0.9916</v>
      </c>
      <c r="I433" s="24">
        <f t="shared" si="178"/>
        <v>218.22</v>
      </c>
      <c r="J433" s="24"/>
      <c r="K433" s="24"/>
      <c r="L433" s="24"/>
      <c r="M433" s="24">
        <f>IF($H433=0,ROUND($E433*(M$450/12),2),ROUND($E433*$H433*(M$450/12),2))</f>
        <v>30.24</v>
      </c>
      <c r="N433" s="61"/>
      <c r="O433" s="24"/>
      <c r="P433" s="24">
        <f>ROUND((($I433)*(P$450/12))/27,2)</f>
        <v>7.07</v>
      </c>
      <c r="Q433" s="24"/>
      <c r="R433" s="24">
        <f>ROUND((($I433+$L433+$M433)*(R$450/12))/27,2)</f>
        <v>4.6</v>
      </c>
      <c r="S433" s="24"/>
      <c r="T433" s="24">
        <f>ROUND((($I433/9)*T$450)*3,2)</f>
        <v>4</v>
      </c>
      <c r="U433" s="24"/>
      <c r="V433" s="24"/>
      <c r="W433" s="24"/>
      <c r="X433" s="24">
        <f>ROUND(($I433*(X$450/12))/27,2)</f>
        <v>1.01</v>
      </c>
      <c r="Y433" s="24"/>
      <c r="Z433" s="24">
        <f>ROUND(($I433*(Z$450/12))/27,2)</f>
        <v>1.18</v>
      </c>
      <c r="AA433" s="24"/>
      <c r="AB433" s="24"/>
      <c r="AC433" s="24">
        <f>IF($H433=0,$E433,ROUND($E433*$H433,2))</f>
        <v>18.15</v>
      </c>
      <c r="AD433" s="24"/>
      <c r="AE433" s="24"/>
      <c r="AF433" s="271"/>
      <c r="AG433" s="272"/>
      <c r="AH433" s="4"/>
    </row>
    <row r="434" spans="1:34" ht="21.75" customHeight="1">
      <c r="A434" s="30">
        <v>44</v>
      </c>
      <c r="B434" s="38">
        <f t="shared" si="175"/>
        <v>506349.88</v>
      </c>
      <c r="C434" s="38">
        <v>506364</v>
      </c>
      <c r="D434" s="39" t="s">
        <v>16</v>
      </c>
      <c r="E434" s="24">
        <f>C434-B434</f>
        <v>14.119999999995343</v>
      </c>
      <c r="F434" s="24">
        <v>12</v>
      </c>
      <c r="G434" s="105">
        <f t="shared" si="176"/>
        <v>0.9937</v>
      </c>
      <c r="H434" s="105">
        <f t="shared" si="177"/>
        <v>0.9916</v>
      </c>
      <c r="I434" s="24">
        <f t="shared" si="178"/>
        <v>168.37</v>
      </c>
      <c r="J434" s="24"/>
      <c r="K434" s="24">
        <f>IF($H434=0,ROUND($E434*(K$450/12),2),ROUND($E434*$H434*(K$450/12),2))</f>
        <v>4.67</v>
      </c>
      <c r="L434" s="24">
        <f>IF($H434=0,ROUND($E434*(L$450/12),2),ROUND($E434*$H434*(L$450/12),2))</f>
        <v>7</v>
      </c>
      <c r="M434" s="24">
        <f>IF($H434=0,ROUND($E434*(M$450/12),2),ROUND($E434*$H434*(M$450/12),2))</f>
        <v>23.34</v>
      </c>
      <c r="N434" s="61"/>
      <c r="O434" s="24"/>
      <c r="P434" s="24">
        <f>ROUND((((($I434+$M434+$L434+$K434)*(P$451/12))+(($I434+$M434+$L434+$K434+$L434)*(P$451/12)))/27),2)</f>
        <v>6.7</v>
      </c>
      <c r="Q434" s="24"/>
      <c r="R434" s="24">
        <f>ROUND(((($I434+$M434+$L434+$K434+$L434+$L434)*(R$450/12))/27),2)</f>
        <v>4.03</v>
      </c>
      <c r="S434" s="24"/>
      <c r="T434" s="24">
        <f>ROUND((((($I434+$M434+$L434)/9)*T$450)+((($I434+$M434+$L434+$K434)/9)*T$450)+((($I434+$M434+$L434+$K434+$L434)/9)*T$450)),2)</f>
        <v>3.74</v>
      </c>
      <c r="U434" s="24"/>
      <c r="V434" s="24"/>
      <c r="W434" s="24"/>
      <c r="X434" s="24">
        <f>ROUND((($I434*(X$450/12))/27),2)</f>
        <v>0.78</v>
      </c>
      <c r="Y434" s="24"/>
      <c r="Z434" s="24">
        <f>ROUND(((($I434+$M434+$L434)*(Z$450/12))/27),2)</f>
        <v>1.07</v>
      </c>
      <c r="AA434" s="24"/>
      <c r="AB434" s="24"/>
      <c r="AC434" s="24"/>
      <c r="AD434" s="24"/>
      <c r="AE434" s="24"/>
      <c r="AF434" s="271"/>
      <c r="AG434" s="272"/>
      <c r="AH434" s="4"/>
    </row>
    <row r="435" spans="1:34" ht="21.75" customHeight="1">
      <c r="A435" s="30">
        <v>45</v>
      </c>
      <c r="B435" s="38">
        <f t="shared" si="175"/>
        <v>506364</v>
      </c>
      <c r="C435" s="38">
        <v>506650</v>
      </c>
      <c r="D435" s="39" t="s">
        <v>16</v>
      </c>
      <c r="E435" s="24">
        <f t="shared" si="174"/>
        <v>286</v>
      </c>
      <c r="F435" s="24">
        <v>12</v>
      </c>
      <c r="G435" s="105">
        <f t="shared" si="176"/>
        <v>0.9937</v>
      </c>
      <c r="H435" s="105">
        <f t="shared" si="177"/>
        <v>0.9916</v>
      </c>
      <c r="I435" s="24">
        <f t="shared" si="178"/>
        <v>3410.38</v>
      </c>
      <c r="J435" s="24"/>
      <c r="K435" s="24"/>
      <c r="L435" s="24"/>
      <c r="M435" s="24"/>
      <c r="N435" s="61"/>
      <c r="O435" s="24"/>
      <c r="P435" s="24">
        <f>ROUND((($I435)*(P$450/12))/27,2)</f>
        <v>110.52</v>
      </c>
      <c r="Q435" s="24"/>
      <c r="R435" s="24">
        <f>ROUND((($I435)*(R$450/12))/27,2)</f>
        <v>63.16</v>
      </c>
      <c r="S435" s="24"/>
      <c r="T435" s="24">
        <f>ROUND((($I435/9)*T$450)*3,2)</f>
        <v>62.52</v>
      </c>
      <c r="U435" s="24"/>
      <c r="V435" s="24"/>
      <c r="W435" s="24"/>
      <c r="X435" s="24">
        <f>ROUND(($I435*(X$450/12))/27,2)</f>
        <v>15.79</v>
      </c>
      <c r="Y435" s="24"/>
      <c r="Z435" s="24">
        <f>ROUND(($I435*(Z$450/12))/27,2)</f>
        <v>18.42</v>
      </c>
      <c r="AA435" s="24"/>
      <c r="AB435" s="24"/>
      <c r="AC435" s="24"/>
      <c r="AD435" s="24"/>
      <c r="AE435" s="24"/>
      <c r="AF435" s="271"/>
      <c r="AG435" s="272"/>
      <c r="AH435" s="4"/>
    </row>
    <row r="436" spans="1:34" ht="21.75" customHeight="1">
      <c r="A436" s="30">
        <v>46</v>
      </c>
      <c r="B436" s="38">
        <f t="shared" si="175"/>
        <v>506650</v>
      </c>
      <c r="C436" s="38">
        <v>506664.12</v>
      </c>
      <c r="D436" s="39" t="s">
        <v>16</v>
      </c>
      <c r="E436" s="24">
        <f t="shared" si="174"/>
        <v>14.119999999995343</v>
      </c>
      <c r="F436" s="24">
        <v>12</v>
      </c>
      <c r="G436" s="105">
        <f t="shared" si="176"/>
        <v>0.9937</v>
      </c>
      <c r="H436" s="105">
        <f t="shared" si="177"/>
        <v>0.9916</v>
      </c>
      <c r="I436" s="24">
        <f t="shared" si="178"/>
        <v>168.37</v>
      </c>
      <c r="J436" s="24"/>
      <c r="K436" s="24">
        <f>IF($H436=0,ROUND($E436*(K$450/12),2),ROUND($E436*$H436*(K$450/12),2))</f>
        <v>4.67</v>
      </c>
      <c r="L436" s="24">
        <f>IF($H436=0,ROUND($E436*(L$450/12),2),ROUND($E436*$H436*(L$450/12),2))</f>
        <v>7</v>
      </c>
      <c r="M436" s="24">
        <f>IF($H436=0,ROUND($E436*(M$450/12),2),ROUND($E436*$H436*(M$450/12),2))</f>
        <v>23.34</v>
      </c>
      <c r="N436" s="61"/>
      <c r="O436" s="24"/>
      <c r="P436" s="24">
        <f>ROUND((((($I436+$M436+$L436+$K436)*(P$451/12))+(($I436+$M436+$L436+$K436+$L436)*(P$451/12)))/27),2)</f>
        <v>6.7</v>
      </c>
      <c r="Q436" s="24"/>
      <c r="R436" s="24">
        <f>ROUND(((($I436+$M436+$L436+$K436+$L436+$L436)*(R$450/12))/27),2)</f>
        <v>4.03</v>
      </c>
      <c r="S436" s="24"/>
      <c r="T436" s="24">
        <f>ROUND((((($I436+$M436+$L436)/9)*T$450)+((($I436+$M436+$L436+$K436)/9)*T$450)+((($I436+$M436+$L436+$K436+$L436)/9)*T$450)),2)</f>
        <v>3.74</v>
      </c>
      <c r="U436" s="24"/>
      <c r="V436" s="24"/>
      <c r="W436" s="24"/>
      <c r="X436" s="24">
        <f>ROUND((($I436*(X$450/12))/27),2)</f>
        <v>0.78</v>
      </c>
      <c r="Y436" s="24"/>
      <c r="Z436" s="24">
        <f>ROUND(((($I436+$M436+$L436)*(Z$450/12))/27),2)</f>
        <v>1.07</v>
      </c>
      <c r="AA436" s="24"/>
      <c r="AB436" s="24"/>
      <c r="AC436" s="24"/>
      <c r="AD436" s="24"/>
      <c r="AE436" s="24"/>
      <c r="AF436" s="271"/>
      <c r="AG436" s="272"/>
      <c r="AH436" s="4"/>
    </row>
    <row r="437" spans="1:34" ht="21.75" customHeight="1">
      <c r="A437" s="30">
        <v>47</v>
      </c>
      <c r="B437" s="38">
        <f t="shared" si="175"/>
        <v>506664.12</v>
      </c>
      <c r="C437" s="38">
        <v>506714.12</v>
      </c>
      <c r="D437" s="39" t="s">
        <v>16</v>
      </c>
      <c r="E437" s="24">
        <f>C437-B437</f>
        <v>50</v>
      </c>
      <c r="F437" s="66">
        <f>ROUND((12+10)/2,2)</f>
        <v>11</v>
      </c>
      <c r="G437" s="105">
        <f t="shared" si="176"/>
        <v>0.9939</v>
      </c>
      <c r="H437" s="105">
        <f t="shared" si="177"/>
        <v>0.992</v>
      </c>
      <c r="I437" s="24">
        <f t="shared" si="178"/>
        <v>546.65</v>
      </c>
      <c r="J437" s="24"/>
      <c r="K437" s="24">
        <f aca="true" t="shared" si="179" ref="K437:L439">IF($H437=0,ROUND($E437*(K$450/12),2),ROUND($E437*$H437*(K$450/12),2))</f>
        <v>16.53</v>
      </c>
      <c r="L437" s="24">
        <f t="shared" si="179"/>
        <v>24.8</v>
      </c>
      <c r="M437" s="24"/>
      <c r="N437" s="61"/>
      <c r="O437" s="24"/>
      <c r="P437" s="24">
        <f>ROUND(((($I437+$K437)*(P$451/12))+(($I437+$K437+$L437)*(P$451/12)))/27,2)</f>
        <v>18.65</v>
      </c>
      <c r="Q437" s="24"/>
      <c r="R437" s="24">
        <f>ROUND((($I437+$K437+$L437+$L437)*(R$450/12))/27,2)</f>
        <v>11.35</v>
      </c>
      <c r="S437" s="24"/>
      <c r="T437" s="24">
        <f>ROUND(((($I437/9)*T$450)+((($I437+$K437)/9)*T$450)+((($I437+$K437+$L437)/9)*T$450)),2)</f>
        <v>10.38</v>
      </c>
      <c r="U437" s="24"/>
      <c r="V437" s="24"/>
      <c r="W437" s="24"/>
      <c r="X437" s="24">
        <f>ROUND(($I437*(X$450/12))/27,2)</f>
        <v>2.53</v>
      </c>
      <c r="Y437" s="24"/>
      <c r="Z437" s="24">
        <f>ROUND(($I437*(Z$450/12))/27,2)</f>
        <v>2.95</v>
      </c>
      <c r="AA437" s="24"/>
      <c r="AB437" s="24"/>
      <c r="AC437" s="24"/>
      <c r="AD437" s="24"/>
      <c r="AE437" s="24"/>
      <c r="AF437" s="271"/>
      <c r="AG437" s="272"/>
      <c r="AH437" s="4"/>
    </row>
    <row r="438" spans="1:34" ht="21.75" customHeight="1">
      <c r="A438" s="30">
        <v>48</v>
      </c>
      <c r="B438" s="38">
        <f t="shared" si="175"/>
        <v>506714.12</v>
      </c>
      <c r="C438" s="38">
        <v>506999.95</v>
      </c>
      <c r="D438" s="39" t="s">
        <v>16</v>
      </c>
      <c r="E438" s="24">
        <f>C438-B438</f>
        <v>285.8300000000163</v>
      </c>
      <c r="F438" s="24">
        <v>10</v>
      </c>
      <c r="G438" s="105">
        <f t="shared" si="176"/>
        <v>0.9941</v>
      </c>
      <c r="H438" s="105">
        <f t="shared" si="177"/>
        <v>0.9923</v>
      </c>
      <c r="I438" s="24">
        <f t="shared" si="178"/>
        <v>2841.44</v>
      </c>
      <c r="J438" s="24"/>
      <c r="K438" s="24">
        <f t="shared" si="179"/>
        <v>94.54</v>
      </c>
      <c r="L438" s="24">
        <f t="shared" si="179"/>
        <v>141.81</v>
      </c>
      <c r="M438" s="24"/>
      <c r="N438" s="61"/>
      <c r="O438" s="24"/>
      <c r="P438" s="24">
        <f>ROUND(((($I438+$K438)*(P$451/12))+(($I438+$K438+$L438)*(P$451/12)))/27,2)</f>
        <v>97.45</v>
      </c>
      <c r="Q438" s="24"/>
      <c r="R438" s="24">
        <f>ROUND((($I438+$K438+$L438+$L438)*(R$450/12))/27,2)</f>
        <v>59.62</v>
      </c>
      <c r="S438" s="24"/>
      <c r="T438" s="24">
        <f>ROUND(((($I438/9)*T$450)+((($I438+$K438)/9)*T$450)+((($I438+$K438+$L438)/9)*T$450)),2)</f>
        <v>54.12</v>
      </c>
      <c r="U438" s="24"/>
      <c r="V438" s="24"/>
      <c r="W438" s="24"/>
      <c r="X438" s="24">
        <f>ROUND(($I438*(X$450/12))/27,2)</f>
        <v>13.15</v>
      </c>
      <c r="Y438" s="24"/>
      <c r="Z438" s="24">
        <f>ROUND(($I438*(Z$450/12))/27,2)</f>
        <v>15.35</v>
      </c>
      <c r="AA438" s="24"/>
      <c r="AB438" s="24"/>
      <c r="AC438" s="24"/>
      <c r="AD438" s="24"/>
      <c r="AE438" s="24"/>
      <c r="AF438" s="271"/>
      <c r="AG438" s="272"/>
      <c r="AH438" s="4"/>
    </row>
    <row r="439" spans="1:34" ht="21.75" customHeight="1">
      <c r="A439" s="30">
        <v>49</v>
      </c>
      <c r="B439" s="38">
        <f t="shared" si="175"/>
        <v>506999.95</v>
      </c>
      <c r="C439" s="38">
        <v>507095.32</v>
      </c>
      <c r="D439" s="39" t="s">
        <v>16</v>
      </c>
      <c r="E439" s="24">
        <f t="shared" si="174"/>
        <v>95.36999999999534</v>
      </c>
      <c r="F439" s="24">
        <v>10</v>
      </c>
      <c r="G439" s="105">
        <f>ROUND((3819.7186-12-($F439/2))/3819.7186,4)</f>
        <v>0.9955</v>
      </c>
      <c r="H439" s="105">
        <f>ROUND((3819.718-12-($F439))/3819.7186,4)</f>
        <v>0.9942</v>
      </c>
      <c r="I439" s="24">
        <f t="shared" si="178"/>
        <v>949.41</v>
      </c>
      <c r="J439" s="24"/>
      <c r="K439" s="24">
        <f t="shared" si="179"/>
        <v>31.61</v>
      </c>
      <c r="L439" s="24">
        <f t="shared" si="179"/>
        <v>47.41</v>
      </c>
      <c r="M439" s="24"/>
      <c r="N439" s="61"/>
      <c r="O439" s="24"/>
      <c r="P439" s="24">
        <f>ROUND(((($I439+$K439)*(P$451/12))+(($I439+$K439+$L439)*(P$451/12)))/27,2)</f>
        <v>32.56</v>
      </c>
      <c r="Q439" s="24"/>
      <c r="R439" s="24">
        <f>ROUND((($I439+$K439+$L439+$L439)*(R$450/12))/27,2)</f>
        <v>19.92</v>
      </c>
      <c r="S439" s="24"/>
      <c r="T439" s="24">
        <f>ROUND(((($I439/9)*T$450)+((($I439+$K439)/9)*T$450)+((($I439+$K439+$L439)/9)*T$450)),2)</f>
        <v>18.08</v>
      </c>
      <c r="U439" s="24"/>
      <c r="V439" s="24"/>
      <c r="W439" s="24"/>
      <c r="X439" s="24">
        <f>ROUND(($I439*(X$450/12))/27,2)</f>
        <v>4.4</v>
      </c>
      <c r="Y439" s="24"/>
      <c r="Z439" s="24">
        <f>ROUND(($I439*(Z$450/12))/27,2)</f>
        <v>5.13</v>
      </c>
      <c r="AA439" s="24"/>
      <c r="AB439" s="24"/>
      <c r="AC439" s="24"/>
      <c r="AD439" s="24"/>
      <c r="AE439" s="24"/>
      <c r="AF439" s="271"/>
      <c r="AG439" s="272"/>
      <c r="AH439" s="4"/>
    </row>
    <row r="440" spans="1:34" ht="21.75" customHeight="1">
      <c r="A440" s="30">
        <v>54</v>
      </c>
      <c r="B440" s="38">
        <f t="shared" si="175"/>
        <v>507095.32</v>
      </c>
      <c r="C440" s="38">
        <v>507125.49</v>
      </c>
      <c r="D440" s="39" t="s">
        <v>16</v>
      </c>
      <c r="E440" s="24">
        <f t="shared" si="174"/>
        <v>30.169999999983702</v>
      </c>
      <c r="F440" s="213" t="s">
        <v>13</v>
      </c>
      <c r="G440" s="214"/>
      <c r="H440" s="214"/>
      <c r="I440" s="215"/>
      <c r="J440" s="24">
        <v>263.63</v>
      </c>
      <c r="K440" s="24"/>
      <c r="L440" s="24"/>
      <c r="M440" s="24">
        <f>IF($H440=0,ROUND($E440*(M$450/12),2),ROUND($E440*$H440*(M$450/12),2))</f>
        <v>50.28</v>
      </c>
      <c r="N440" s="61"/>
      <c r="O440" s="24"/>
      <c r="P440" s="24">
        <f>ROUND((($J440)*(P$450/12))/27,2)</f>
        <v>8.54</v>
      </c>
      <c r="Q440" s="24"/>
      <c r="R440" s="24">
        <f>ROUND((($J440+$L440+$M440)*(R$450/12))/27,2)</f>
        <v>5.81</v>
      </c>
      <c r="S440" s="24"/>
      <c r="T440" s="24">
        <f>ROUND((($J440/9)*T$450)*3,2)</f>
        <v>4.83</v>
      </c>
      <c r="U440" s="24"/>
      <c r="V440" s="24"/>
      <c r="W440" s="24"/>
      <c r="X440" s="24">
        <f>ROUND(($J440*(X$450/12))/27,2)</f>
        <v>1.22</v>
      </c>
      <c r="Y440" s="24"/>
      <c r="Z440" s="24">
        <f>ROUND(($J440*(Z$450/12))/27,2)</f>
        <v>1.42</v>
      </c>
      <c r="AA440" s="24"/>
      <c r="AB440" s="24"/>
      <c r="AC440" s="24">
        <f>IF($H440=0,$E440,ROUND($E440*$H440,2))</f>
        <v>30.169999999983702</v>
      </c>
      <c r="AD440" s="24"/>
      <c r="AE440" s="24"/>
      <c r="AF440" s="271"/>
      <c r="AG440" s="272"/>
      <c r="AH440" s="4"/>
    </row>
    <row r="441" spans="1:34" ht="21.75" customHeight="1">
      <c r="A441" s="30">
        <v>55</v>
      </c>
      <c r="B441" s="38"/>
      <c r="C441" s="38"/>
      <c r="D441" s="39"/>
      <c r="E441" s="24"/>
      <c r="F441" s="24"/>
      <c r="G441" s="66"/>
      <c r="H441" s="24"/>
      <c r="I441" s="24"/>
      <c r="J441" s="24"/>
      <c r="K441" s="24"/>
      <c r="L441" s="24"/>
      <c r="M441" s="24"/>
      <c r="N441" s="61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71"/>
      <c r="AG441" s="272"/>
      <c r="AH441" s="4"/>
    </row>
    <row r="442" spans="1:34" ht="21.75" customHeight="1">
      <c r="A442" s="30">
        <v>56</v>
      </c>
      <c r="B442" s="38">
        <v>507449.39</v>
      </c>
      <c r="C442" s="38">
        <v>507608.84</v>
      </c>
      <c r="D442" s="39" t="s">
        <v>16</v>
      </c>
      <c r="E442" s="24">
        <f>C442-B442</f>
        <v>159.45000000001164</v>
      </c>
      <c r="F442" s="24">
        <v>10</v>
      </c>
      <c r="G442" s="105">
        <f>ROUND((3819.7186-12-($F442/2))/3819.7186,4)</f>
        <v>0.9955</v>
      </c>
      <c r="H442" s="105">
        <f>ROUND((3819.718-12-($F442))/3819.7186,4)</f>
        <v>0.9942</v>
      </c>
      <c r="I442" s="24">
        <f>IF(G442=0,ROUND($E442*$F442,2),ROUND($E442*$F442*$G442,2))</f>
        <v>1587.32</v>
      </c>
      <c r="J442" s="24"/>
      <c r="K442" s="24"/>
      <c r="L442" s="24"/>
      <c r="M442" s="24"/>
      <c r="N442" s="61"/>
      <c r="O442" s="24"/>
      <c r="P442" s="24">
        <f>ROUND((($I442)*(P$450/12))/27,2)</f>
        <v>51.44</v>
      </c>
      <c r="Q442" s="24"/>
      <c r="R442" s="24">
        <f>ROUND((($I442)*(R$450/12))/27,2)</f>
        <v>29.39</v>
      </c>
      <c r="S442" s="24"/>
      <c r="T442" s="24">
        <f>ROUND((($I442/9)*T$450)*3,2)</f>
        <v>29.1</v>
      </c>
      <c r="U442" s="24"/>
      <c r="V442" s="24"/>
      <c r="W442" s="24"/>
      <c r="X442" s="24">
        <f>ROUND(($I442*(X$450/12))/27,2)</f>
        <v>7.35</v>
      </c>
      <c r="Y442" s="24"/>
      <c r="Z442" s="24">
        <f>ROUND(($I442*(Z$450/12))/27,2)</f>
        <v>8.57</v>
      </c>
      <c r="AA442" s="24"/>
      <c r="AB442" s="24"/>
      <c r="AC442" s="24"/>
      <c r="AD442" s="24"/>
      <c r="AE442" s="24"/>
      <c r="AF442" s="271"/>
      <c r="AG442" s="272"/>
      <c r="AH442" s="4"/>
    </row>
    <row r="443" spans="1:34" ht="21.75" customHeight="1">
      <c r="A443" s="30">
        <v>57</v>
      </c>
      <c r="B443" s="38">
        <f>C442</f>
        <v>507608.84</v>
      </c>
      <c r="C443" s="38">
        <v>507912.85</v>
      </c>
      <c r="D443" s="39" t="s">
        <v>16</v>
      </c>
      <c r="E443" s="24">
        <f>C443-B443</f>
        <v>304.0099999999511</v>
      </c>
      <c r="F443" s="24">
        <v>10</v>
      </c>
      <c r="G443" s="66"/>
      <c r="H443" s="24"/>
      <c r="I443" s="24">
        <f>IF(G443=0,ROUND($E443*$F443,2),ROUND($E443*$F443*$G443,2))</f>
        <v>3040.1</v>
      </c>
      <c r="J443" s="24"/>
      <c r="K443" s="24"/>
      <c r="L443" s="24"/>
      <c r="M443" s="24"/>
      <c r="N443" s="61"/>
      <c r="O443" s="24"/>
      <c r="P443" s="24">
        <f>ROUND((($I443)*(P$450/12))/27,2)</f>
        <v>98.52</v>
      </c>
      <c r="Q443" s="24"/>
      <c r="R443" s="24">
        <f>ROUND((($I443)*(R$450/12))/27,2)</f>
        <v>56.3</v>
      </c>
      <c r="S443" s="24"/>
      <c r="T443" s="24">
        <f>ROUND((($I443/9)*T$450)*3,2)</f>
        <v>55.74</v>
      </c>
      <c r="U443" s="24"/>
      <c r="V443" s="24"/>
      <c r="W443" s="24"/>
      <c r="X443" s="24">
        <f>ROUND(($I443*(X$450/12))/27,2)</f>
        <v>14.07</v>
      </c>
      <c r="Y443" s="24"/>
      <c r="Z443" s="24">
        <f>ROUND(($I443*(Z$450/12))/27,2)</f>
        <v>16.42</v>
      </c>
      <c r="AA443" s="24"/>
      <c r="AB443" s="24"/>
      <c r="AC443" s="24"/>
      <c r="AD443" s="24"/>
      <c r="AE443" s="24"/>
      <c r="AF443" s="271"/>
      <c r="AG443" s="272"/>
      <c r="AH443" s="4"/>
    </row>
    <row r="444" spans="1:34" ht="21.75" customHeight="1" thickBot="1">
      <c r="A444" s="30">
        <v>58</v>
      </c>
      <c r="B444" s="38">
        <f>C443</f>
        <v>507912.85</v>
      </c>
      <c r="C444" s="38">
        <v>508017.6</v>
      </c>
      <c r="D444" s="39" t="s">
        <v>16</v>
      </c>
      <c r="E444" s="24">
        <f>C444-B444</f>
        <v>104.75</v>
      </c>
      <c r="F444" s="24">
        <v>10</v>
      </c>
      <c r="G444" s="105">
        <f>ROUND((1909.8596-12-($F444/2))/1909.8596,4)</f>
        <v>0.9911</v>
      </c>
      <c r="H444" s="105">
        <f>ROUND((1909.8596-12-($F444))/1909.8596,4)</f>
        <v>0.9885</v>
      </c>
      <c r="I444" s="24">
        <f>IF(G444=0,ROUND($E444*$F444,2),ROUND($E444*$F444*$G444,2))</f>
        <v>1038.18</v>
      </c>
      <c r="J444" s="24"/>
      <c r="K444" s="24"/>
      <c r="L444" s="24"/>
      <c r="M444" s="24"/>
      <c r="N444" s="61"/>
      <c r="O444" s="24"/>
      <c r="P444" s="24">
        <f>ROUND((($I444)*(P$450/12))/27,2)</f>
        <v>33.64</v>
      </c>
      <c r="Q444" s="24"/>
      <c r="R444" s="24">
        <f>ROUND((($I444)*(R$450/12))/27,2)</f>
        <v>19.23</v>
      </c>
      <c r="S444" s="24"/>
      <c r="T444" s="24">
        <f>ROUND((($I444/9)*T$450)*3,2)</f>
        <v>19.03</v>
      </c>
      <c r="U444" s="24"/>
      <c r="V444" s="24"/>
      <c r="W444" s="24"/>
      <c r="X444" s="24">
        <f>ROUND(($I444*(X$450/12))/27,2)</f>
        <v>4.81</v>
      </c>
      <c r="Y444" s="24"/>
      <c r="Z444" s="24">
        <f>ROUND(($I444*(Z$450/12))/27,2)</f>
        <v>5.61</v>
      </c>
      <c r="AA444" s="24"/>
      <c r="AB444" s="24"/>
      <c r="AC444" s="24"/>
      <c r="AD444" s="24"/>
      <c r="AE444" s="24"/>
      <c r="AF444" s="271"/>
      <c r="AG444" s="272"/>
      <c r="AH444" s="4"/>
    </row>
    <row r="445" spans="1:34" ht="46.5" customHeight="1">
      <c r="A445" s="1"/>
      <c r="B445" s="233" t="s">
        <v>15</v>
      </c>
      <c r="C445" s="234"/>
      <c r="D445" s="234"/>
      <c r="E445" s="234"/>
      <c r="F445" s="234"/>
      <c r="G445" s="234"/>
      <c r="H445" s="234"/>
      <c r="I445" s="234"/>
      <c r="J445" s="234"/>
      <c r="K445" s="234"/>
      <c r="L445" s="234"/>
      <c r="M445" s="234"/>
      <c r="N445" s="235"/>
      <c r="O445" s="211" t="str">
        <f aca="true" t="shared" si="180" ref="O445:AE445">IF(SUM(O391:O444)=0," ",ROUNDUP(SUM(O391:O444),0))</f>
        <v> </v>
      </c>
      <c r="P445" s="211">
        <f t="shared" si="180"/>
        <v>1506</v>
      </c>
      <c r="Q445" s="211" t="str">
        <f t="shared" si="180"/>
        <v> </v>
      </c>
      <c r="R445" s="211">
        <f t="shared" si="180"/>
        <v>928</v>
      </c>
      <c r="S445" s="211" t="str">
        <f t="shared" si="180"/>
        <v> </v>
      </c>
      <c r="T445" s="211">
        <f t="shared" si="180"/>
        <v>841</v>
      </c>
      <c r="U445" s="211" t="str">
        <f t="shared" si="180"/>
        <v> </v>
      </c>
      <c r="V445" s="211" t="str">
        <f t="shared" si="180"/>
        <v> </v>
      </c>
      <c r="W445" s="211" t="str">
        <f t="shared" si="180"/>
        <v> </v>
      </c>
      <c r="X445" s="211">
        <f t="shared" si="180"/>
        <v>206</v>
      </c>
      <c r="Y445" s="211" t="str">
        <f t="shared" si="180"/>
        <v> </v>
      </c>
      <c r="Z445" s="211">
        <f t="shared" si="180"/>
        <v>242</v>
      </c>
      <c r="AA445" s="211" t="str">
        <f t="shared" si="180"/>
        <v> </v>
      </c>
      <c r="AB445" s="211" t="str">
        <f t="shared" si="180"/>
        <v> </v>
      </c>
      <c r="AC445" s="211">
        <f t="shared" si="180"/>
        <v>531</v>
      </c>
      <c r="AD445" s="211">
        <f t="shared" si="180"/>
        <v>271</v>
      </c>
      <c r="AE445" s="211" t="str">
        <f t="shared" si="180"/>
        <v> </v>
      </c>
      <c r="AF445" s="279">
        <v>8</v>
      </c>
      <c r="AG445" s="280"/>
      <c r="AH445" s="1"/>
    </row>
    <row r="446" spans="1:34" ht="46.5" customHeight="1" thickBot="1">
      <c r="A446" s="1"/>
      <c r="B446" s="236"/>
      <c r="C446" s="237"/>
      <c r="D446" s="237"/>
      <c r="E446" s="237"/>
      <c r="F446" s="237"/>
      <c r="G446" s="237"/>
      <c r="H446" s="237"/>
      <c r="I446" s="237"/>
      <c r="J446" s="237"/>
      <c r="K446" s="237"/>
      <c r="L446" s="237"/>
      <c r="M446" s="237"/>
      <c r="N446" s="238"/>
      <c r="O446" s="250"/>
      <c r="P446" s="250"/>
      <c r="Q446" s="250"/>
      <c r="R446" s="250"/>
      <c r="S446" s="250"/>
      <c r="T446" s="250"/>
      <c r="U446" s="212"/>
      <c r="V446" s="212"/>
      <c r="W446" s="212"/>
      <c r="X446" s="212"/>
      <c r="Y446" s="250"/>
      <c r="Z446" s="250"/>
      <c r="AA446" s="212"/>
      <c r="AB446" s="212"/>
      <c r="AC446" s="212"/>
      <c r="AD446" s="212"/>
      <c r="AE446" s="212"/>
      <c r="AF446" s="276">
        <f>$AF$68</f>
        <v>18</v>
      </c>
      <c r="AG446" s="277"/>
      <c r="AH446" s="1"/>
    </row>
    <row r="447" spans="1:34" ht="12.75">
      <c r="A447" s="10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85"/>
      <c r="U447" s="49"/>
      <c r="V447" s="49"/>
      <c r="Y447" s="85"/>
      <c r="Z447" s="49"/>
      <c r="AC447" s="49"/>
      <c r="AD447" s="49"/>
      <c r="AF447" s="49"/>
      <c r="AG447" s="49"/>
      <c r="AH447" s="11"/>
    </row>
    <row r="448" spans="2:33" ht="12.75"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85"/>
      <c r="U448" s="49"/>
      <c r="V448" s="49"/>
      <c r="Y448" s="85"/>
      <c r="Z448" s="49"/>
      <c r="AC448" s="49"/>
      <c r="AD448" s="49"/>
      <c r="AF448" s="49"/>
      <c r="AG448" s="49"/>
    </row>
    <row r="449" spans="2:33" ht="12.75"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85"/>
      <c r="U449" s="49"/>
      <c r="V449" s="49"/>
      <c r="Y449" s="85"/>
      <c r="Z449" s="49"/>
      <c r="AC449" s="49"/>
      <c r="AD449" s="49"/>
      <c r="AF449" s="49"/>
      <c r="AG449" s="49"/>
    </row>
    <row r="450" spans="2:33" ht="15.75">
      <c r="B450" s="224" t="s">
        <v>7</v>
      </c>
      <c r="C450" s="224"/>
      <c r="D450" s="224"/>
      <c r="E450" s="224"/>
      <c r="F450" s="224"/>
      <c r="G450" s="224"/>
      <c r="H450" s="53"/>
      <c r="I450" s="53"/>
      <c r="J450" s="53"/>
      <c r="K450" s="53">
        <v>4</v>
      </c>
      <c r="L450" s="53">
        <v>6</v>
      </c>
      <c r="M450" s="53">
        <v>20</v>
      </c>
      <c r="N450" s="53">
        <v>28</v>
      </c>
      <c r="O450" s="53">
        <v>10.5</v>
      </c>
      <c r="P450" s="53">
        <v>10.5</v>
      </c>
      <c r="Q450" s="101">
        <v>6</v>
      </c>
      <c r="R450" s="53">
        <v>6</v>
      </c>
      <c r="S450" s="94">
        <v>0.055</v>
      </c>
      <c r="T450" s="93">
        <v>0.055</v>
      </c>
      <c r="U450" s="101">
        <v>1.5</v>
      </c>
      <c r="V450" s="101">
        <v>1.5</v>
      </c>
      <c r="W450" s="101">
        <v>1.5</v>
      </c>
      <c r="X450" s="101">
        <v>1.5</v>
      </c>
      <c r="Y450" s="53">
        <v>1.75</v>
      </c>
      <c r="Z450" s="53">
        <v>1.75</v>
      </c>
      <c r="AA450" s="53">
        <v>1.75</v>
      </c>
      <c r="AB450" s="53">
        <v>1.75</v>
      </c>
      <c r="AC450" s="53"/>
      <c r="AD450" s="53"/>
      <c r="AF450" s="49"/>
      <c r="AG450" s="49"/>
    </row>
    <row r="451" spans="2:33" ht="15"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96">
        <f>O450/2</f>
        <v>5.25</v>
      </c>
      <c r="P451" s="96">
        <f>P450/2</f>
        <v>5.25</v>
      </c>
      <c r="Q451" s="53"/>
      <c r="R451" s="53"/>
      <c r="S451" s="85"/>
      <c r="T451" s="49"/>
      <c r="U451" s="49"/>
      <c r="V451" s="49"/>
      <c r="Y451" s="49"/>
      <c r="Z451" s="49"/>
      <c r="AC451" s="49"/>
      <c r="AD451" s="49"/>
      <c r="AF451" s="49"/>
      <c r="AG451" s="49"/>
    </row>
    <row r="452" spans="2:33" ht="15"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96"/>
      <c r="P452" s="49"/>
      <c r="Q452" s="49"/>
      <c r="R452" s="49"/>
      <c r="S452" s="85"/>
      <c r="T452" s="49"/>
      <c r="U452" s="49"/>
      <c r="V452" s="49"/>
      <c r="Y452" s="49"/>
      <c r="Z452" s="49"/>
      <c r="AC452" s="49"/>
      <c r="AD452" s="49"/>
      <c r="AF452" s="49"/>
      <c r="AG452" s="49"/>
    </row>
    <row r="453" spans="2:33" ht="12.75"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85"/>
      <c r="U453" s="49"/>
      <c r="V453" s="49"/>
      <c r="Y453" s="49"/>
      <c r="Z453" s="49"/>
      <c r="AC453" s="49"/>
      <c r="AD453" s="49"/>
      <c r="AF453" s="49"/>
      <c r="AG453" s="49"/>
    </row>
    <row r="454" spans="2:33" ht="15"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53"/>
      <c r="Q454" s="53"/>
      <c r="R454" s="53"/>
      <c r="S454" s="49"/>
      <c r="T454" s="85"/>
      <c r="U454" s="49"/>
      <c r="V454" s="49"/>
      <c r="Y454" s="49"/>
      <c r="Z454" s="49"/>
      <c r="AC454" s="49"/>
      <c r="AD454" s="49"/>
      <c r="AF454" s="49"/>
      <c r="AG454" s="49"/>
    </row>
    <row r="455" spans="2:33" ht="15"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53"/>
      <c r="Q455" s="53"/>
      <c r="R455" s="53"/>
      <c r="S455" s="49"/>
      <c r="T455" s="85"/>
      <c r="U455" s="49"/>
      <c r="V455" s="49"/>
      <c r="Y455" s="49"/>
      <c r="Z455" s="49"/>
      <c r="AC455" s="49"/>
      <c r="AD455" s="49"/>
      <c r="AF455" s="49"/>
      <c r="AG455" s="49"/>
    </row>
    <row r="456" spans="2:33" ht="15"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53"/>
      <c r="Q456" s="53"/>
      <c r="R456" s="53"/>
      <c r="S456" s="49"/>
      <c r="T456" s="85"/>
      <c r="U456" s="49"/>
      <c r="V456" s="49"/>
      <c r="Y456" s="49"/>
      <c r="Z456" s="49"/>
      <c r="AC456" s="49"/>
      <c r="AD456" s="49"/>
      <c r="AF456" s="49"/>
      <c r="AG456" s="49"/>
    </row>
    <row r="457" spans="1:34" ht="36" customHeight="1" thickBot="1">
      <c r="A457" s="3"/>
      <c r="B457" s="54" t="s">
        <v>88</v>
      </c>
      <c r="C457" s="55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151"/>
      <c r="O457" s="229">
        <v>5</v>
      </c>
      <c r="P457" s="229"/>
      <c r="Q457" s="229">
        <v>7</v>
      </c>
      <c r="R457" s="229"/>
      <c r="S457" s="229">
        <v>2</v>
      </c>
      <c r="T457" s="229"/>
      <c r="U457" s="229">
        <v>1</v>
      </c>
      <c r="V457" s="229"/>
      <c r="Y457" s="229">
        <v>3</v>
      </c>
      <c r="Z457" s="229"/>
      <c r="AC457" s="257">
        <v>20</v>
      </c>
      <c r="AD457" s="257"/>
      <c r="AF457" s="98"/>
      <c r="AG457" s="98"/>
      <c r="AH457" s="13"/>
    </row>
    <row r="458" spans="1:34" ht="21.75" customHeight="1">
      <c r="A458" s="4"/>
      <c r="B458" s="233" t="s">
        <v>0</v>
      </c>
      <c r="C458" s="299"/>
      <c r="D458" s="251" t="s">
        <v>3</v>
      </c>
      <c r="E458" s="251" t="s">
        <v>4</v>
      </c>
      <c r="F458" s="251" t="s">
        <v>5</v>
      </c>
      <c r="G458" s="254" t="s">
        <v>43</v>
      </c>
      <c r="H458" s="254" t="s">
        <v>45</v>
      </c>
      <c r="I458" s="251" t="s">
        <v>6</v>
      </c>
      <c r="J458" s="254" t="s">
        <v>26</v>
      </c>
      <c r="K458" s="254" t="s">
        <v>19</v>
      </c>
      <c r="L458" s="254" t="s">
        <v>46</v>
      </c>
      <c r="M458" s="254" t="s">
        <v>61</v>
      </c>
      <c r="N458" s="254" t="s">
        <v>44</v>
      </c>
      <c r="O458" s="216">
        <v>302</v>
      </c>
      <c r="P458" s="217"/>
      <c r="Q458" s="216">
        <v>304</v>
      </c>
      <c r="R458" s="217"/>
      <c r="S458" s="216">
        <v>407</v>
      </c>
      <c r="T458" s="217"/>
      <c r="U458" s="216">
        <v>442</v>
      </c>
      <c r="V458" s="217"/>
      <c r="W458" s="216">
        <v>442</v>
      </c>
      <c r="X458" s="217"/>
      <c r="Y458" s="216">
        <v>442</v>
      </c>
      <c r="Z458" s="217"/>
      <c r="AA458" s="216">
        <v>442</v>
      </c>
      <c r="AB458" s="217"/>
      <c r="AC458" s="216">
        <v>609</v>
      </c>
      <c r="AD458" s="217"/>
      <c r="AE458" s="58"/>
      <c r="AF458" s="282" t="s">
        <v>38</v>
      </c>
      <c r="AG458" s="282" t="s">
        <v>58</v>
      </c>
      <c r="AH458" s="4"/>
    </row>
    <row r="459" spans="1:34" ht="27.75" customHeight="1">
      <c r="A459" s="4"/>
      <c r="B459" s="293"/>
      <c r="C459" s="300"/>
      <c r="D459" s="255"/>
      <c r="E459" s="255"/>
      <c r="F459" s="255"/>
      <c r="G459" s="242"/>
      <c r="H459" s="242"/>
      <c r="I459" s="252"/>
      <c r="J459" s="255"/>
      <c r="K459" s="255"/>
      <c r="L459" s="242"/>
      <c r="M459" s="242"/>
      <c r="N459" s="242"/>
      <c r="O459" s="218" t="s">
        <v>37</v>
      </c>
      <c r="P459" s="219"/>
      <c r="Q459" s="218" t="s">
        <v>121</v>
      </c>
      <c r="R459" s="219"/>
      <c r="S459" s="218" t="s">
        <v>122</v>
      </c>
      <c r="T459" s="219"/>
      <c r="U459" s="218" t="s">
        <v>138</v>
      </c>
      <c r="V459" s="219"/>
      <c r="W459" s="218" t="s">
        <v>149</v>
      </c>
      <c r="X459" s="219"/>
      <c r="Y459" s="218" t="s">
        <v>27</v>
      </c>
      <c r="Z459" s="219"/>
      <c r="AA459" s="218" t="s">
        <v>97</v>
      </c>
      <c r="AB459" s="219"/>
      <c r="AC459" s="218" t="s">
        <v>47</v>
      </c>
      <c r="AD459" s="219"/>
      <c r="AE459" s="241"/>
      <c r="AF459" s="283"/>
      <c r="AG459" s="304"/>
      <c r="AH459" s="4"/>
    </row>
    <row r="460" spans="1:34" ht="27.75" customHeight="1" thickBot="1">
      <c r="A460" s="4"/>
      <c r="B460" s="293"/>
      <c r="C460" s="300"/>
      <c r="D460" s="255"/>
      <c r="E460" s="255"/>
      <c r="F460" s="255"/>
      <c r="G460" s="242"/>
      <c r="H460" s="242"/>
      <c r="I460" s="252"/>
      <c r="J460" s="255"/>
      <c r="K460" s="255"/>
      <c r="L460" s="242"/>
      <c r="M460" s="242"/>
      <c r="N460" s="242"/>
      <c r="O460" s="220"/>
      <c r="P460" s="221"/>
      <c r="Q460" s="220"/>
      <c r="R460" s="221"/>
      <c r="S460" s="220"/>
      <c r="T460" s="221"/>
      <c r="U460" s="220"/>
      <c r="V460" s="221"/>
      <c r="W460" s="220"/>
      <c r="X460" s="221"/>
      <c r="Y460" s="220"/>
      <c r="Z460" s="221"/>
      <c r="AA460" s="220"/>
      <c r="AB460" s="221"/>
      <c r="AC460" s="220"/>
      <c r="AD460" s="221"/>
      <c r="AE460" s="242"/>
      <c r="AF460" s="284"/>
      <c r="AG460" s="304"/>
      <c r="AH460" s="4"/>
    </row>
    <row r="461" spans="1:34" ht="27.75" customHeight="1">
      <c r="A461" s="4"/>
      <c r="B461" s="293"/>
      <c r="C461" s="300"/>
      <c r="D461" s="255"/>
      <c r="E461" s="255"/>
      <c r="F461" s="255"/>
      <c r="G461" s="242"/>
      <c r="H461" s="242"/>
      <c r="I461" s="252"/>
      <c r="J461" s="255"/>
      <c r="K461" s="255"/>
      <c r="L461" s="242"/>
      <c r="M461" s="242"/>
      <c r="N461" s="242"/>
      <c r="O461" s="220"/>
      <c r="P461" s="221"/>
      <c r="Q461" s="220"/>
      <c r="R461" s="221"/>
      <c r="S461" s="220"/>
      <c r="T461" s="221"/>
      <c r="U461" s="220"/>
      <c r="V461" s="221"/>
      <c r="W461" s="220"/>
      <c r="X461" s="221"/>
      <c r="Y461" s="220"/>
      <c r="Z461" s="221"/>
      <c r="AA461" s="220"/>
      <c r="AB461" s="221"/>
      <c r="AC461" s="220"/>
      <c r="AD461" s="221"/>
      <c r="AE461" s="242"/>
      <c r="AF461" s="269" t="s">
        <v>8</v>
      </c>
      <c r="AG461" s="270"/>
      <c r="AH461" s="4"/>
    </row>
    <row r="462" spans="1:34" ht="27.75" customHeight="1">
      <c r="A462" s="4"/>
      <c r="B462" s="293"/>
      <c r="C462" s="300"/>
      <c r="D462" s="255"/>
      <c r="E462" s="255"/>
      <c r="F462" s="255"/>
      <c r="G462" s="242"/>
      <c r="H462" s="242"/>
      <c r="I462" s="252"/>
      <c r="J462" s="255"/>
      <c r="K462" s="255"/>
      <c r="L462" s="242"/>
      <c r="M462" s="242"/>
      <c r="N462" s="242"/>
      <c r="O462" s="220"/>
      <c r="P462" s="221"/>
      <c r="Q462" s="220"/>
      <c r="R462" s="221"/>
      <c r="S462" s="220"/>
      <c r="T462" s="221"/>
      <c r="U462" s="220"/>
      <c r="V462" s="221"/>
      <c r="W462" s="220"/>
      <c r="X462" s="221"/>
      <c r="Y462" s="220"/>
      <c r="Z462" s="221"/>
      <c r="AA462" s="220"/>
      <c r="AB462" s="221"/>
      <c r="AC462" s="220"/>
      <c r="AD462" s="221"/>
      <c r="AE462" s="242"/>
      <c r="AF462" s="271"/>
      <c r="AG462" s="272"/>
      <c r="AH462" s="4"/>
    </row>
    <row r="463" spans="1:34" ht="27.75" customHeight="1">
      <c r="A463" s="4"/>
      <c r="B463" s="293"/>
      <c r="C463" s="300"/>
      <c r="D463" s="255"/>
      <c r="E463" s="255"/>
      <c r="F463" s="255"/>
      <c r="G463" s="242"/>
      <c r="H463" s="242"/>
      <c r="I463" s="252"/>
      <c r="J463" s="255"/>
      <c r="K463" s="255"/>
      <c r="L463" s="242"/>
      <c r="M463" s="242"/>
      <c r="N463" s="242"/>
      <c r="O463" s="220"/>
      <c r="P463" s="221"/>
      <c r="Q463" s="220"/>
      <c r="R463" s="221"/>
      <c r="S463" s="220"/>
      <c r="T463" s="221"/>
      <c r="U463" s="220"/>
      <c r="V463" s="221"/>
      <c r="W463" s="220"/>
      <c r="X463" s="221"/>
      <c r="Y463" s="220"/>
      <c r="Z463" s="221"/>
      <c r="AA463" s="220"/>
      <c r="AB463" s="221"/>
      <c r="AC463" s="220"/>
      <c r="AD463" s="221"/>
      <c r="AE463" s="242"/>
      <c r="AF463" s="271"/>
      <c r="AG463" s="272"/>
      <c r="AH463" s="4"/>
    </row>
    <row r="464" spans="1:34" ht="27.75" customHeight="1">
      <c r="A464" s="4"/>
      <c r="B464" s="293"/>
      <c r="C464" s="300"/>
      <c r="D464" s="255"/>
      <c r="E464" s="255"/>
      <c r="F464" s="255"/>
      <c r="G464" s="242"/>
      <c r="H464" s="242"/>
      <c r="I464" s="252"/>
      <c r="J464" s="255"/>
      <c r="K464" s="255"/>
      <c r="L464" s="242"/>
      <c r="M464" s="242"/>
      <c r="N464" s="242"/>
      <c r="O464" s="220"/>
      <c r="P464" s="221"/>
      <c r="Q464" s="220"/>
      <c r="R464" s="221"/>
      <c r="S464" s="220"/>
      <c r="T464" s="221"/>
      <c r="U464" s="220"/>
      <c r="V464" s="221"/>
      <c r="W464" s="220"/>
      <c r="X464" s="221"/>
      <c r="Y464" s="220"/>
      <c r="Z464" s="221"/>
      <c r="AA464" s="220"/>
      <c r="AB464" s="221"/>
      <c r="AC464" s="220"/>
      <c r="AD464" s="221"/>
      <c r="AE464" s="242"/>
      <c r="AF464" s="271"/>
      <c r="AG464" s="272"/>
      <c r="AH464" s="4"/>
    </row>
    <row r="465" spans="1:34" ht="27.75" customHeight="1">
      <c r="A465" s="4"/>
      <c r="B465" s="293"/>
      <c r="C465" s="300"/>
      <c r="D465" s="255"/>
      <c r="E465" s="255"/>
      <c r="F465" s="255"/>
      <c r="G465" s="242"/>
      <c r="H465" s="242"/>
      <c r="I465" s="252"/>
      <c r="J465" s="255"/>
      <c r="K465" s="255"/>
      <c r="L465" s="242"/>
      <c r="M465" s="242"/>
      <c r="N465" s="242"/>
      <c r="O465" s="220"/>
      <c r="P465" s="221"/>
      <c r="Q465" s="220"/>
      <c r="R465" s="221"/>
      <c r="S465" s="220"/>
      <c r="T465" s="221"/>
      <c r="U465" s="220"/>
      <c r="V465" s="221"/>
      <c r="W465" s="220"/>
      <c r="X465" s="221"/>
      <c r="Y465" s="220"/>
      <c r="Z465" s="221"/>
      <c r="AA465" s="220"/>
      <c r="AB465" s="221"/>
      <c r="AC465" s="220"/>
      <c r="AD465" s="221"/>
      <c r="AE465" s="242"/>
      <c r="AF465" s="271"/>
      <c r="AG465" s="272"/>
      <c r="AH465" s="4"/>
    </row>
    <row r="466" spans="1:34" ht="27.75" customHeight="1">
      <c r="A466" s="5"/>
      <c r="B466" s="301"/>
      <c r="C466" s="302"/>
      <c r="D466" s="256"/>
      <c r="E466" s="256"/>
      <c r="F466" s="256"/>
      <c r="G466" s="243"/>
      <c r="H466" s="243"/>
      <c r="I466" s="253"/>
      <c r="J466" s="256"/>
      <c r="K466" s="256"/>
      <c r="L466" s="243"/>
      <c r="M466" s="243"/>
      <c r="N466" s="243"/>
      <c r="O466" s="222"/>
      <c r="P466" s="223"/>
      <c r="Q466" s="222"/>
      <c r="R466" s="223"/>
      <c r="S466" s="222"/>
      <c r="T466" s="223"/>
      <c r="U466" s="222"/>
      <c r="V466" s="223"/>
      <c r="W466" s="222"/>
      <c r="X466" s="223"/>
      <c r="Y466" s="222"/>
      <c r="Z466" s="223"/>
      <c r="AA466" s="222"/>
      <c r="AB466" s="223"/>
      <c r="AC466" s="222"/>
      <c r="AD466" s="223"/>
      <c r="AE466" s="243"/>
      <c r="AF466" s="271"/>
      <c r="AG466" s="272"/>
      <c r="AH466" s="5"/>
    </row>
    <row r="467" spans="1:34" ht="21.75" customHeight="1" thickBot="1">
      <c r="A467" s="7"/>
      <c r="B467" s="56" t="s">
        <v>1</v>
      </c>
      <c r="C467" s="56" t="s">
        <v>2</v>
      </c>
      <c r="D467" s="57"/>
      <c r="E467" s="57" t="s">
        <v>14</v>
      </c>
      <c r="F467" s="57" t="s">
        <v>14</v>
      </c>
      <c r="G467" s="57"/>
      <c r="H467" s="57"/>
      <c r="I467" s="57" t="s">
        <v>21</v>
      </c>
      <c r="J467" s="57" t="s">
        <v>21</v>
      </c>
      <c r="K467" s="57" t="s">
        <v>21</v>
      </c>
      <c r="L467" s="57" t="s">
        <v>21</v>
      </c>
      <c r="M467" s="57" t="s">
        <v>21</v>
      </c>
      <c r="N467" s="57" t="s">
        <v>21</v>
      </c>
      <c r="O467" s="208" t="s">
        <v>20</v>
      </c>
      <c r="P467" s="210"/>
      <c r="Q467" s="208" t="s">
        <v>20</v>
      </c>
      <c r="R467" s="210"/>
      <c r="S467" s="208" t="s">
        <v>22</v>
      </c>
      <c r="T467" s="210"/>
      <c r="U467" s="208" t="s">
        <v>20</v>
      </c>
      <c r="V467" s="210"/>
      <c r="W467" s="208" t="s">
        <v>20</v>
      </c>
      <c r="X467" s="210"/>
      <c r="Y467" s="208" t="s">
        <v>20</v>
      </c>
      <c r="Z467" s="210"/>
      <c r="AA467" s="208" t="s">
        <v>20</v>
      </c>
      <c r="AB467" s="210"/>
      <c r="AC467" s="208" t="s">
        <v>14</v>
      </c>
      <c r="AD467" s="210"/>
      <c r="AE467" s="57"/>
      <c r="AF467" s="271"/>
      <c r="AG467" s="272"/>
      <c r="AH467" s="7"/>
    </row>
    <row r="468" spans="1:34" ht="21.75" customHeight="1">
      <c r="A468" s="30">
        <v>1</v>
      </c>
      <c r="B468" s="87"/>
      <c r="C468" s="87"/>
      <c r="D468" s="58"/>
      <c r="E468" s="60"/>
      <c r="F468" s="60"/>
      <c r="G468" s="58"/>
      <c r="H468" s="60"/>
      <c r="I468" s="60"/>
      <c r="J468" s="59"/>
      <c r="K468" s="59"/>
      <c r="L468" s="59"/>
      <c r="M468" s="59"/>
      <c r="N468" s="59"/>
      <c r="O468" s="227" t="s">
        <v>59</v>
      </c>
      <c r="P468" s="227" t="s">
        <v>92</v>
      </c>
      <c r="Q468" s="227" t="s">
        <v>59</v>
      </c>
      <c r="R468" s="227" t="s">
        <v>92</v>
      </c>
      <c r="S468" s="227" t="s">
        <v>59</v>
      </c>
      <c r="T468" s="227" t="s">
        <v>92</v>
      </c>
      <c r="U468" s="227" t="s">
        <v>59</v>
      </c>
      <c r="V468" s="227" t="s">
        <v>92</v>
      </c>
      <c r="W468" s="227" t="s">
        <v>59</v>
      </c>
      <c r="X468" s="227" t="s">
        <v>92</v>
      </c>
      <c r="Y468" s="227" t="s">
        <v>59</v>
      </c>
      <c r="Z468" s="227" t="s">
        <v>92</v>
      </c>
      <c r="AA468" s="227" t="s">
        <v>59</v>
      </c>
      <c r="AB468" s="227" t="s">
        <v>92</v>
      </c>
      <c r="AC468" s="227" t="s">
        <v>59</v>
      </c>
      <c r="AD468" s="265" t="s">
        <v>92</v>
      </c>
      <c r="AE468" s="227"/>
      <c r="AF468" s="271"/>
      <c r="AG468" s="272"/>
      <c r="AH468" s="4"/>
    </row>
    <row r="469" spans="1:34" ht="21.75" customHeight="1">
      <c r="A469" s="30">
        <v>2</v>
      </c>
      <c r="B469" s="230" t="s">
        <v>51</v>
      </c>
      <c r="C469" s="231"/>
      <c r="D469" s="231"/>
      <c r="E469" s="231"/>
      <c r="F469" s="231"/>
      <c r="G469" s="231"/>
      <c r="H469" s="231"/>
      <c r="I469" s="232"/>
      <c r="J469" s="24"/>
      <c r="K469" s="24"/>
      <c r="L469" s="24"/>
      <c r="M469" s="24"/>
      <c r="N469" s="24"/>
      <c r="O469" s="228"/>
      <c r="P469" s="228"/>
      <c r="Q469" s="228"/>
      <c r="R469" s="228"/>
      <c r="S469" s="228"/>
      <c r="T469" s="228"/>
      <c r="U469" s="228"/>
      <c r="V469" s="228"/>
      <c r="W469" s="228"/>
      <c r="X469" s="228"/>
      <c r="Y469" s="228"/>
      <c r="Z469" s="228"/>
      <c r="AA469" s="228"/>
      <c r="AB469" s="228"/>
      <c r="AC469" s="228"/>
      <c r="AD469" s="266"/>
      <c r="AE469" s="228"/>
      <c r="AF469" s="271"/>
      <c r="AG469" s="272"/>
      <c r="AH469" s="4"/>
    </row>
    <row r="470" spans="1:34" ht="21.75" customHeight="1">
      <c r="A470" s="30">
        <v>3</v>
      </c>
      <c r="B470" s="291" t="s">
        <v>25</v>
      </c>
      <c r="C470" s="292"/>
      <c r="D470" s="39"/>
      <c r="E470" s="24"/>
      <c r="F470" s="39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61"/>
      <c r="AD470" s="24"/>
      <c r="AE470" s="24"/>
      <c r="AF470" s="271"/>
      <c r="AG470" s="272"/>
      <c r="AH470" s="4"/>
    </row>
    <row r="471" spans="1:34" ht="21.75" customHeight="1">
      <c r="A471" s="30">
        <v>4</v>
      </c>
      <c r="B471" s="38">
        <v>508176.21</v>
      </c>
      <c r="C471" s="46">
        <v>508198.63</v>
      </c>
      <c r="D471" s="39" t="s">
        <v>16</v>
      </c>
      <c r="E471" s="24">
        <f>C471-B471</f>
        <v>22.419999999983702</v>
      </c>
      <c r="F471" s="24">
        <v>10</v>
      </c>
      <c r="G471" s="105">
        <f>ROUND((1909.8596-12-($F471/2))/1909.8596,4)</f>
        <v>0.9911</v>
      </c>
      <c r="H471" s="105">
        <f>ROUND((1909.8596-12-($F471))/1909.8596,4)</f>
        <v>0.9885</v>
      </c>
      <c r="I471" s="24">
        <f>IF(G471=0,ROUND($E471*$F471,2),ROUND($E471*$F471*$G471,2))</f>
        <v>222.2</v>
      </c>
      <c r="J471" s="24"/>
      <c r="K471" s="24"/>
      <c r="L471" s="24"/>
      <c r="M471" s="24"/>
      <c r="N471" s="24"/>
      <c r="O471" s="24"/>
      <c r="P471" s="24">
        <f>ROUND((($I471)*(P$527/12))/27,2)</f>
        <v>7.2</v>
      </c>
      <c r="Q471" s="24"/>
      <c r="R471" s="24">
        <f>ROUND((($I471)*(R$527/12))/27,2)</f>
        <v>4.11</v>
      </c>
      <c r="S471" s="24"/>
      <c r="T471" s="24">
        <f>ROUND((($I471/9)*T$527)*3,2)</f>
        <v>4.07</v>
      </c>
      <c r="U471" s="24"/>
      <c r="V471" s="24"/>
      <c r="W471" s="24"/>
      <c r="X471" s="24">
        <f>ROUND(($I471*(X$527/12))/27,2)</f>
        <v>1.03</v>
      </c>
      <c r="Y471" s="24"/>
      <c r="Z471" s="24">
        <f>ROUND(($I471*(Z$527/12))/27,2)</f>
        <v>1.2</v>
      </c>
      <c r="AA471" s="24"/>
      <c r="AB471" s="24"/>
      <c r="AC471" s="61"/>
      <c r="AD471" s="24"/>
      <c r="AE471" s="24"/>
      <c r="AF471" s="271"/>
      <c r="AG471" s="272"/>
      <c r="AH471" s="4"/>
    </row>
    <row r="472" spans="1:34" ht="21.75" customHeight="1">
      <c r="A472" s="30">
        <v>5</v>
      </c>
      <c r="B472" s="38">
        <f>C471</f>
        <v>508198.63</v>
      </c>
      <c r="C472" s="38">
        <v>508420</v>
      </c>
      <c r="D472" s="39" t="s">
        <v>16</v>
      </c>
      <c r="E472" s="24">
        <f>C472-B472</f>
        <v>221.36999999999534</v>
      </c>
      <c r="F472" s="24">
        <v>10</v>
      </c>
      <c r="G472" s="66"/>
      <c r="H472" s="24"/>
      <c r="I472" s="24">
        <f>IF(G472=0,ROUND($E472*$F472,2),ROUND($E472*$F472*$G472,2))</f>
        <v>2213.7</v>
      </c>
      <c r="J472" s="24"/>
      <c r="K472" s="24"/>
      <c r="L472" s="24"/>
      <c r="M472" s="24"/>
      <c r="N472" s="24"/>
      <c r="O472" s="24"/>
      <c r="P472" s="24">
        <f>ROUND((($I472)*(P$527/12))/27,2)</f>
        <v>71.74</v>
      </c>
      <c r="Q472" s="24"/>
      <c r="R472" s="24">
        <f>ROUND((($I472)*(R$527/12))/27,2)</f>
        <v>40.99</v>
      </c>
      <c r="S472" s="24"/>
      <c r="T472" s="24">
        <f>ROUND((($I472/9)*T$527)*3,2)</f>
        <v>40.58</v>
      </c>
      <c r="U472" s="24"/>
      <c r="V472" s="24"/>
      <c r="W472" s="24"/>
      <c r="X472" s="24">
        <f>ROUND(($I472*(X$527/12))/27,2)</f>
        <v>10.25</v>
      </c>
      <c r="Y472" s="24"/>
      <c r="Z472" s="24">
        <f>ROUND(($I472*(Z$527/12))/27,2)</f>
        <v>11.96</v>
      </c>
      <c r="AA472" s="24"/>
      <c r="AB472" s="24"/>
      <c r="AC472" s="61"/>
      <c r="AD472" s="24"/>
      <c r="AE472" s="24"/>
      <c r="AF472" s="271"/>
      <c r="AG472" s="272"/>
      <c r="AH472" s="4"/>
    </row>
    <row r="473" spans="1:34" ht="21.75" customHeight="1">
      <c r="A473" s="30">
        <v>6</v>
      </c>
      <c r="B473" s="38">
        <f>C472</f>
        <v>508420</v>
      </c>
      <c r="C473" s="38">
        <v>508456.78</v>
      </c>
      <c r="D473" s="39" t="s">
        <v>16</v>
      </c>
      <c r="E473" s="24">
        <f>C473-B473</f>
        <v>36.78000000002794</v>
      </c>
      <c r="F473" s="24">
        <v>10</v>
      </c>
      <c r="G473" s="105">
        <f>ROUND((545.6741-12-($F473/2))/545.6741,4)</f>
        <v>0.9688</v>
      </c>
      <c r="H473" s="105">
        <f>ROUND((545.6741-12-($F473))/545.6741,4)</f>
        <v>0.9597</v>
      </c>
      <c r="I473" s="24">
        <f>IF(G473=0,ROUND($E473*$F473,2),ROUND($E473*$F473*$G473,2))</f>
        <v>356.32</v>
      </c>
      <c r="J473" s="24"/>
      <c r="K473" s="24"/>
      <c r="L473" s="24"/>
      <c r="M473" s="24"/>
      <c r="N473" s="24"/>
      <c r="O473" s="24"/>
      <c r="P473" s="24">
        <f>ROUND((($I473)*(P$527/12))/27,2)</f>
        <v>11.55</v>
      </c>
      <c r="Q473" s="24"/>
      <c r="R473" s="24">
        <f>ROUND((($I473)*(R$527/12))/27,2)</f>
        <v>6.6</v>
      </c>
      <c r="S473" s="24"/>
      <c r="T473" s="24">
        <f>ROUND((($I473/9)*T$527)*3,2)</f>
        <v>6.53</v>
      </c>
      <c r="U473" s="24"/>
      <c r="V473" s="24"/>
      <c r="W473" s="24"/>
      <c r="X473" s="24">
        <f>ROUND(($I473*(X$527/12))/27,2)</f>
        <v>1.65</v>
      </c>
      <c r="Y473" s="24"/>
      <c r="Z473" s="24">
        <f>ROUND(($I473*(Z$527/12))/27,2)</f>
        <v>1.92</v>
      </c>
      <c r="AA473" s="24"/>
      <c r="AB473" s="24"/>
      <c r="AC473" s="61"/>
      <c r="AD473" s="24"/>
      <c r="AE473" s="24"/>
      <c r="AF473" s="271"/>
      <c r="AG473" s="272"/>
      <c r="AH473" s="4"/>
    </row>
    <row r="474" spans="1:34" ht="21.75" customHeight="1">
      <c r="A474" s="30">
        <v>7</v>
      </c>
      <c r="B474" s="38"/>
      <c r="C474" s="38"/>
      <c r="D474" s="39"/>
      <c r="E474" s="24"/>
      <c r="F474" s="39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61"/>
      <c r="AD474" s="24"/>
      <c r="AE474" s="24"/>
      <c r="AF474" s="271"/>
      <c r="AG474" s="272"/>
      <c r="AH474" s="4"/>
    </row>
    <row r="475" spans="1:34" ht="21.75" customHeight="1">
      <c r="A475" s="30">
        <v>8</v>
      </c>
      <c r="B475" s="230" t="s">
        <v>52</v>
      </c>
      <c r="C475" s="231"/>
      <c r="D475" s="231"/>
      <c r="E475" s="231"/>
      <c r="F475" s="231"/>
      <c r="G475" s="231"/>
      <c r="H475" s="231"/>
      <c r="I475" s="232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61"/>
      <c r="AD475" s="24"/>
      <c r="AE475" s="24"/>
      <c r="AF475" s="271"/>
      <c r="AG475" s="272"/>
      <c r="AH475" s="4"/>
    </row>
    <row r="476" spans="1:34" ht="21.75" customHeight="1">
      <c r="A476" s="30">
        <v>9</v>
      </c>
      <c r="B476" s="67" t="s">
        <v>23</v>
      </c>
      <c r="C476" s="38"/>
      <c r="D476" s="39"/>
      <c r="E476" s="24"/>
      <c r="F476" s="107"/>
      <c r="G476" s="90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61"/>
      <c r="AD476" s="24"/>
      <c r="AE476" s="24"/>
      <c r="AF476" s="271"/>
      <c r="AG476" s="272"/>
      <c r="AH476" s="4"/>
    </row>
    <row r="477" spans="1:34" ht="21.75" customHeight="1">
      <c r="A477" s="30">
        <v>10</v>
      </c>
      <c r="B477" s="38">
        <v>600000</v>
      </c>
      <c r="C477" s="38">
        <v>600183.07</v>
      </c>
      <c r="D477" s="39" t="s">
        <v>17</v>
      </c>
      <c r="E477" s="24">
        <f>C477-B477</f>
        <v>183.06999999994878</v>
      </c>
      <c r="F477" s="24">
        <v>12</v>
      </c>
      <c r="G477" s="105"/>
      <c r="H477" s="105"/>
      <c r="I477" s="24">
        <f>IF(G477=0,ROUND($E477*$F477,2),ROUND($E477*$F477*$G477,2))</f>
        <v>2196.84</v>
      </c>
      <c r="J477" s="24"/>
      <c r="K477" s="24"/>
      <c r="L477" s="24"/>
      <c r="M477" s="24"/>
      <c r="N477" s="24"/>
      <c r="O477" s="24"/>
      <c r="P477" s="24">
        <f>ROUND((($I477)*(P$527/12))/27,2)</f>
        <v>71.19</v>
      </c>
      <c r="Q477" s="24"/>
      <c r="R477" s="24">
        <f>ROUND((($I477)*(R$527/12))/27,2)</f>
        <v>40.68</v>
      </c>
      <c r="S477" s="24"/>
      <c r="T477" s="24">
        <f>ROUND((($I477/9)*T$527)*3,2)</f>
        <v>40.28</v>
      </c>
      <c r="U477" s="24"/>
      <c r="V477" s="24"/>
      <c r="W477" s="24"/>
      <c r="X477" s="24">
        <f>ROUND(($I477*(X$527/12))/27,2)</f>
        <v>10.17</v>
      </c>
      <c r="Y477" s="24"/>
      <c r="Z477" s="24">
        <f>ROUND(($I477*(Z$527/12))/27,2)</f>
        <v>11.87</v>
      </c>
      <c r="AA477" s="24"/>
      <c r="AB477" s="24">
        <f>SUM($U477:$X477)+SUM($Y477:$Z477)</f>
        <v>22.04</v>
      </c>
      <c r="AC477" s="61"/>
      <c r="AD477" s="24"/>
      <c r="AE477" s="24"/>
      <c r="AF477" s="271"/>
      <c r="AG477" s="272"/>
      <c r="AH477" s="4"/>
    </row>
    <row r="478" spans="1:34" ht="21.75" customHeight="1">
      <c r="A478" s="30">
        <v>11</v>
      </c>
      <c r="B478" s="38">
        <v>600503.02</v>
      </c>
      <c r="C478" s="38">
        <v>600678.48</v>
      </c>
      <c r="D478" s="39" t="s">
        <v>17</v>
      </c>
      <c r="E478" s="24">
        <f>C478-B478</f>
        <v>175.45999999996275</v>
      </c>
      <c r="F478" s="24">
        <v>12</v>
      </c>
      <c r="G478" s="105">
        <f>ROUND((2706.8872+($F478/2))/2706.8872,4)</f>
        <v>1.0022</v>
      </c>
      <c r="H478" s="105"/>
      <c r="I478" s="24">
        <f>IF(G478=0,ROUND($E478*$F478,2),ROUND($E478*$F478*$G478,2))</f>
        <v>2110.15</v>
      </c>
      <c r="J478" s="24"/>
      <c r="K478" s="24"/>
      <c r="L478" s="24"/>
      <c r="M478" s="24"/>
      <c r="N478" s="24"/>
      <c r="O478" s="24"/>
      <c r="P478" s="24">
        <f>ROUND((($I478)*(P$527/12))/27,2)</f>
        <v>68.38</v>
      </c>
      <c r="Q478" s="24"/>
      <c r="R478" s="24">
        <f>ROUND((($I478)*(R$527/12))/27,2)</f>
        <v>39.08</v>
      </c>
      <c r="S478" s="24"/>
      <c r="T478" s="24">
        <f>ROUND((($I478/9)*T$527)*3,2)</f>
        <v>38.69</v>
      </c>
      <c r="U478" s="24"/>
      <c r="V478" s="24"/>
      <c r="W478" s="24"/>
      <c r="X478" s="24">
        <f>ROUND(($I478*(X$527/12))/27,2)</f>
        <v>9.77</v>
      </c>
      <c r="Y478" s="24"/>
      <c r="Z478" s="24">
        <f>ROUND(($I478*(Z$527/12))/27,2)</f>
        <v>11.4</v>
      </c>
      <c r="AA478" s="24"/>
      <c r="AB478" s="24">
        <f>SUM($U478:$X478)+SUM($Y478:$Z478)</f>
        <v>21.17</v>
      </c>
      <c r="AC478" s="61"/>
      <c r="AD478" s="24"/>
      <c r="AE478" s="24"/>
      <c r="AF478" s="271"/>
      <c r="AG478" s="272"/>
      <c r="AH478" s="4"/>
    </row>
    <row r="479" spans="1:34" ht="21.75" customHeight="1">
      <c r="A479" s="30">
        <v>12</v>
      </c>
      <c r="B479" s="38">
        <f>C478</f>
        <v>600678.48</v>
      </c>
      <c r="C479" s="46">
        <v>601012.24</v>
      </c>
      <c r="D479" s="39" t="s">
        <v>17</v>
      </c>
      <c r="E479" s="24">
        <f>C479-B479</f>
        <v>333.7600000000093</v>
      </c>
      <c r="F479" s="24">
        <v>12</v>
      </c>
      <c r="G479" s="105">
        <f>ROUND((2706.8872+($F479/2))/2706.8872,4)</f>
        <v>1.0022</v>
      </c>
      <c r="H479" s="105"/>
      <c r="I479" s="24">
        <f>IF(G479=0,ROUND($E479*$F479,2),ROUND($E479*$F479*$G479,2))</f>
        <v>4013.93</v>
      </c>
      <c r="J479" s="24"/>
      <c r="K479" s="24"/>
      <c r="L479" s="24"/>
      <c r="M479" s="24"/>
      <c r="N479" s="24"/>
      <c r="O479" s="24"/>
      <c r="P479" s="24">
        <f>ROUND((($I479)*(P$527/12))/27,2)</f>
        <v>130.08</v>
      </c>
      <c r="Q479" s="24"/>
      <c r="R479" s="24">
        <f>ROUND((($I479)*(R$527/12))/27,2)</f>
        <v>74.33</v>
      </c>
      <c r="S479" s="24"/>
      <c r="T479" s="24">
        <f>ROUND((($I479/9)*T$527)*3,2)</f>
        <v>73.59</v>
      </c>
      <c r="U479" s="24"/>
      <c r="V479" s="24">
        <f>ROUND(($I479*(V$527/12))/27,2)</f>
        <v>18.58</v>
      </c>
      <c r="W479" s="24"/>
      <c r="X479" s="24"/>
      <c r="Y479" s="24"/>
      <c r="Z479" s="24">
        <f>ROUND(($I479*(Z$527/12))/27,2)</f>
        <v>21.68</v>
      </c>
      <c r="AA479" s="24"/>
      <c r="AB479" s="24">
        <f>SUM($U479:$X479)+SUM($Y479:$Z479)</f>
        <v>40.26</v>
      </c>
      <c r="AC479" s="24"/>
      <c r="AD479" s="24"/>
      <c r="AE479" s="24"/>
      <c r="AF479" s="271"/>
      <c r="AG479" s="272"/>
      <c r="AH479" s="4"/>
    </row>
    <row r="480" spans="1:34" ht="21.75" customHeight="1">
      <c r="A480" s="30">
        <v>13</v>
      </c>
      <c r="B480" s="38">
        <f>C479</f>
        <v>601012.24</v>
      </c>
      <c r="C480" s="38">
        <v>601081.51</v>
      </c>
      <c r="D480" s="39" t="s">
        <v>17</v>
      </c>
      <c r="E480" s="24">
        <f>C480-B480</f>
        <v>69.27000000001863</v>
      </c>
      <c r="F480" s="24">
        <v>12</v>
      </c>
      <c r="G480" s="105">
        <f>ROUND((3774.48+($F480/2))/3774.48,4)</f>
        <v>1.0016</v>
      </c>
      <c r="H480" s="105"/>
      <c r="I480" s="24">
        <f>IF(G480=0,ROUND($E480*$F480,2),ROUND($E480*$F480*$G480,2))</f>
        <v>832.57</v>
      </c>
      <c r="J480" s="24"/>
      <c r="K480" s="24"/>
      <c r="L480" s="24"/>
      <c r="M480" s="24"/>
      <c r="N480" s="24"/>
      <c r="O480" s="24"/>
      <c r="P480" s="24">
        <f>ROUND((($I480)*(P$527/12))/27,2)</f>
        <v>26.98</v>
      </c>
      <c r="Q480" s="24"/>
      <c r="R480" s="24">
        <f>ROUND((($I480)*(R$527/12))/27,2)</f>
        <v>15.42</v>
      </c>
      <c r="S480" s="24"/>
      <c r="T480" s="24">
        <f>ROUND((($I480/9)*T$527)*3,2)</f>
        <v>15.26</v>
      </c>
      <c r="U480" s="24"/>
      <c r="V480" s="24">
        <f>ROUND(($I480*(V$527/12))/27,2)</f>
        <v>3.85</v>
      </c>
      <c r="W480" s="24"/>
      <c r="X480" s="24"/>
      <c r="Y480" s="24"/>
      <c r="Z480" s="24">
        <f>ROUND(($I480*(Z$527/12))/27,2)</f>
        <v>4.5</v>
      </c>
      <c r="AA480" s="24"/>
      <c r="AB480" s="24">
        <f>SUM($U480:$X480)+SUM($Y480:$Z480)</f>
        <v>8.35</v>
      </c>
      <c r="AC480" s="61"/>
      <c r="AD480" s="24"/>
      <c r="AE480" s="24"/>
      <c r="AF480" s="271"/>
      <c r="AG480" s="272"/>
      <c r="AH480" s="16"/>
    </row>
    <row r="481" spans="1:34" ht="21.75" customHeight="1">
      <c r="A481" s="30">
        <v>14</v>
      </c>
      <c r="B481" s="313">
        <v>601081.51</v>
      </c>
      <c r="C481" s="314"/>
      <c r="D481" s="39" t="s">
        <v>16</v>
      </c>
      <c r="E481" s="213" t="s">
        <v>13</v>
      </c>
      <c r="F481" s="214"/>
      <c r="G481" s="214"/>
      <c r="H481" s="214"/>
      <c r="I481" s="215"/>
      <c r="J481" s="24">
        <v>17.5</v>
      </c>
      <c r="K481" s="24"/>
      <c r="L481" s="24"/>
      <c r="M481" s="24"/>
      <c r="N481" s="24"/>
      <c r="O481" s="24"/>
      <c r="P481" s="24">
        <f>ROUND((($J481)*(P$527/12))/27,2)</f>
        <v>0.57</v>
      </c>
      <c r="Q481" s="24"/>
      <c r="R481" s="24">
        <f>ROUND((($J481)*(R$527/12))/27,2)</f>
        <v>0.32</v>
      </c>
      <c r="S481" s="24"/>
      <c r="T481" s="24">
        <f>ROUND((($J481/9)*T$527)*3,2)</f>
        <v>0.32</v>
      </c>
      <c r="U481" s="24"/>
      <c r="V481" s="24">
        <f>ROUND(($J481*(V$527/12))/27,2)</f>
        <v>0.08</v>
      </c>
      <c r="W481" s="24"/>
      <c r="X481" s="24"/>
      <c r="Y481" s="24"/>
      <c r="Z481" s="24">
        <f>ROUND(($J481*(Z$527/12))/27,2)</f>
        <v>0.09</v>
      </c>
      <c r="AA481" s="24"/>
      <c r="AB481" s="24">
        <f>SUM($U481:$X481)+SUM($Y481:$Z481)</f>
        <v>0.16999999999999998</v>
      </c>
      <c r="AC481" s="61"/>
      <c r="AD481" s="24"/>
      <c r="AE481" s="24"/>
      <c r="AF481" s="271"/>
      <c r="AG481" s="272"/>
      <c r="AH481" s="16"/>
    </row>
    <row r="482" spans="1:34" ht="21.75" customHeight="1">
      <c r="A482" s="30">
        <v>15</v>
      </c>
      <c r="B482" s="38"/>
      <c r="C482" s="38"/>
      <c r="D482" s="39"/>
      <c r="E482" s="24"/>
      <c r="F482" s="39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61"/>
      <c r="AD482" s="24"/>
      <c r="AE482" s="24"/>
      <c r="AF482" s="271"/>
      <c r="AG482" s="272"/>
      <c r="AH482" s="16"/>
    </row>
    <row r="483" spans="1:34" ht="21.75" customHeight="1">
      <c r="A483" s="30">
        <v>16</v>
      </c>
      <c r="B483" s="291" t="s">
        <v>24</v>
      </c>
      <c r="C483" s="292"/>
      <c r="D483" s="39"/>
      <c r="E483" s="24"/>
      <c r="F483" s="39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61"/>
      <c r="AD483" s="24"/>
      <c r="AE483" s="24"/>
      <c r="AF483" s="271"/>
      <c r="AG483" s="272"/>
      <c r="AH483" s="16"/>
    </row>
    <row r="484" spans="1:34" ht="21.75" customHeight="1">
      <c r="A484" s="30">
        <v>17</v>
      </c>
      <c r="B484" s="38">
        <v>600000</v>
      </c>
      <c r="C484" s="46">
        <v>600050</v>
      </c>
      <c r="D484" s="39" t="s">
        <v>17</v>
      </c>
      <c r="E484" s="24">
        <f aca="true" t="shared" si="181" ref="E484:E492">C484-B484</f>
        <v>50</v>
      </c>
      <c r="F484" s="66">
        <f>ROUND((10+8)/2,2)</f>
        <v>9</v>
      </c>
      <c r="G484" s="24"/>
      <c r="H484" s="24"/>
      <c r="I484" s="24">
        <f>IF(G484=0,ROUND($E484*$F484,2),ROUND($E484*$F484*$G484,2))</f>
        <v>450</v>
      </c>
      <c r="J484" s="24"/>
      <c r="K484" s="24">
        <f aca="true" t="shared" si="182" ref="K484:L486">IF($H484=0,ROUND($E484*(K$527/12),2),ROUND($E484*$H484*(K$527/12),2))</f>
        <v>16.67</v>
      </c>
      <c r="L484" s="24">
        <f t="shared" si="182"/>
        <v>25</v>
      </c>
      <c r="M484" s="24"/>
      <c r="N484" s="24"/>
      <c r="O484" s="24"/>
      <c r="P484" s="24">
        <f>ROUND(((($I484+$K484)*(P$528/12))+(($I484+$K484+$L484)*(P$528/12)))/27,2)</f>
        <v>15.53</v>
      </c>
      <c r="Q484" s="24"/>
      <c r="R484" s="24">
        <f>ROUND((($I484+$K484+$L484+$L484)*(R$527/12))/27,2)</f>
        <v>9.57</v>
      </c>
      <c r="S484" s="24"/>
      <c r="T484" s="24">
        <f>ROUND(((($I484/9)*T$527)+((($I484+$K484)/9)*T$527)+((($I484+$K484+$L484)/9)*T$527)),2)</f>
        <v>8.61</v>
      </c>
      <c r="U484" s="24"/>
      <c r="V484" s="24"/>
      <c r="W484" s="24"/>
      <c r="X484" s="24">
        <f>ROUND(($I484*(X$527/12))/27,2)</f>
        <v>2.08</v>
      </c>
      <c r="Y484" s="24"/>
      <c r="Z484" s="24">
        <f>ROUND(($I484*(Z$527/12))/27,2)</f>
        <v>2.43</v>
      </c>
      <c r="AA484" s="24"/>
      <c r="AB484" s="24"/>
      <c r="AC484" s="61"/>
      <c r="AD484" s="24"/>
      <c r="AE484" s="24"/>
      <c r="AF484" s="271"/>
      <c r="AG484" s="272"/>
      <c r="AH484" s="16"/>
    </row>
    <row r="485" spans="1:34" ht="21.75" customHeight="1">
      <c r="A485" s="30">
        <v>18</v>
      </c>
      <c r="B485" s="38">
        <f>C484</f>
        <v>600050</v>
      </c>
      <c r="C485" s="38">
        <v>600151.38</v>
      </c>
      <c r="D485" s="39" t="s">
        <v>17</v>
      </c>
      <c r="E485" s="24">
        <f t="shared" si="181"/>
        <v>101.38000000000466</v>
      </c>
      <c r="F485" s="24">
        <v>8</v>
      </c>
      <c r="G485" s="24"/>
      <c r="H485" s="24"/>
      <c r="I485" s="24">
        <f>IF(G485=0,ROUND($E485*$F485,2),ROUND($E485*$F485*$G485,2))</f>
        <v>811.04</v>
      </c>
      <c r="J485" s="24"/>
      <c r="K485" s="24">
        <f t="shared" si="182"/>
        <v>33.79</v>
      </c>
      <c r="L485" s="24">
        <f t="shared" si="182"/>
        <v>50.69</v>
      </c>
      <c r="M485" s="24"/>
      <c r="N485" s="24"/>
      <c r="O485" s="24"/>
      <c r="P485" s="24">
        <f>ROUND(((($I485+$K485)*(P$528/12))+(($I485+$K485+$L485)*(P$528/12)))/27,2)</f>
        <v>28.2</v>
      </c>
      <c r="Q485" s="24"/>
      <c r="R485" s="24">
        <f>ROUND((($I485+$K485+$L485+$L485)*(R$527/12))/27,2)</f>
        <v>17.52</v>
      </c>
      <c r="S485" s="24"/>
      <c r="T485" s="24">
        <f>ROUND(((($I485/9)*T$527)+((($I485+$K485)/9)*T$527)+((($I485+$K485+$L485)/9)*T$527)),2)</f>
        <v>15.59</v>
      </c>
      <c r="U485" s="24"/>
      <c r="V485" s="24"/>
      <c r="W485" s="24"/>
      <c r="X485" s="24">
        <f>ROUND(($I485*(X$527/12))/27,2)</f>
        <v>3.75</v>
      </c>
      <c r="Y485" s="24"/>
      <c r="Z485" s="24">
        <f>ROUND(($I485*(Z$527/12))/27,2)</f>
        <v>4.38</v>
      </c>
      <c r="AA485" s="24"/>
      <c r="AB485" s="24"/>
      <c r="AC485" s="61"/>
      <c r="AD485" s="24"/>
      <c r="AE485" s="24"/>
      <c r="AF485" s="271"/>
      <c r="AG485" s="272"/>
      <c r="AH485" s="4"/>
    </row>
    <row r="486" spans="1:34" ht="21.75" customHeight="1">
      <c r="A486" s="30">
        <v>19</v>
      </c>
      <c r="B486" s="38">
        <f>C485</f>
        <v>600151.38</v>
      </c>
      <c r="C486" s="38">
        <v>600180.33</v>
      </c>
      <c r="D486" s="39" t="s">
        <v>17</v>
      </c>
      <c r="E486" s="24">
        <f t="shared" si="181"/>
        <v>28.949999999953434</v>
      </c>
      <c r="F486" s="24">
        <v>8</v>
      </c>
      <c r="G486" s="24"/>
      <c r="H486" s="24"/>
      <c r="I486" s="24">
        <f>IF(G486=0,ROUND($E486*$F486,2),ROUND($E486*$F486*$G486,2))</f>
        <v>231.6</v>
      </c>
      <c r="J486" s="24"/>
      <c r="K486" s="24">
        <f t="shared" si="182"/>
        <v>9.65</v>
      </c>
      <c r="L486" s="24">
        <f t="shared" si="182"/>
        <v>14.47</v>
      </c>
      <c r="M486" s="24"/>
      <c r="N486" s="24"/>
      <c r="O486" s="24"/>
      <c r="P486" s="24">
        <f>ROUND(((($I486+$K486)*(P$528/12))+(($I486+$K486+$L486)*(P$528/12)))/27,2)</f>
        <v>8.05</v>
      </c>
      <c r="Q486" s="24"/>
      <c r="R486" s="24">
        <f>ROUND((($I486+$K486+$L486+$L486)*(R$527/12))/27,2)</f>
        <v>5</v>
      </c>
      <c r="S486" s="24"/>
      <c r="T486" s="24">
        <f>ROUND(((($I486/9)*T$527)+((($I486+$K486)/9)*T$527)+((($I486+$K486+$L486)/9)*T$527)),2)</f>
        <v>4.45</v>
      </c>
      <c r="U486" s="24"/>
      <c r="V486" s="24"/>
      <c r="W486" s="24"/>
      <c r="X486" s="24">
        <f>ROUND(($I486*(X$527/12))/27,2)</f>
        <v>1.07</v>
      </c>
      <c r="Y486" s="24"/>
      <c r="Z486" s="24">
        <f>ROUND(($I486*(Z$527/12))/27,2)</f>
        <v>1.25</v>
      </c>
      <c r="AA486" s="24"/>
      <c r="AB486" s="24"/>
      <c r="AC486" s="61"/>
      <c r="AD486" s="24"/>
      <c r="AE486" s="24"/>
      <c r="AF486" s="271"/>
      <c r="AG486" s="272"/>
      <c r="AH486" s="4"/>
    </row>
    <row r="487" spans="1:34" ht="21.75" customHeight="1">
      <c r="A487" s="30">
        <v>20</v>
      </c>
      <c r="B487" s="38"/>
      <c r="C487" s="38"/>
      <c r="D487" s="39"/>
      <c r="E487" s="24"/>
      <c r="F487" s="39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61"/>
      <c r="AD487" s="24"/>
      <c r="AE487" s="24"/>
      <c r="AF487" s="271"/>
      <c r="AG487" s="272"/>
      <c r="AH487" s="4"/>
    </row>
    <row r="488" spans="1:34" ht="21.75" customHeight="1">
      <c r="A488" s="30">
        <v>21</v>
      </c>
      <c r="B488" s="38">
        <v>600499.82</v>
      </c>
      <c r="C488" s="38">
        <v>600566.44</v>
      </c>
      <c r="D488" s="39" t="s">
        <v>17</v>
      </c>
      <c r="E488" s="24">
        <f t="shared" si="181"/>
        <v>66.61999999999534</v>
      </c>
      <c r="F488" s="24">
        <v>8</v>
      </c>
      <c r="G488" s="105">
        <f>ROUND((2706.8872+12+($F488/2))/2706.8872,4)</f>
        <v>1.0059</v>
      </c>
      <c r="H488" s="105">
        <f>ROUND((2706.8872+12+($F488))/2706.8872,4)</f>
        <v>1.0074</v>
      </c>
      <c r="I488" s="24">
        <f>IF(G488=0,ROUND($E488*$F488,2),ROUND($E488*$F488*$G488,2))</f>
        <v>536.1</v>
      </c>
      <c r="J488" s="24"/>
      <c r="K488" s="24"/>
      <c r="L488" s="24"/>
      <c r="M488" s="24">
        <f>IF($H488=0,ROUND($E488*(M$527/12),2),ROUND($E488*$H488*(M$527/12),2))</f>
        <v>111.85</v>
      </c>
      <c r="N488" s="24"/>
      <c r="O488" s="24"/>
      <c r="P488" s="24">
        <f>ROUND((($I488)*(P$527/12))/27,2)</f>
        <v>17.37</v>
      </c>
      <c r="Q488" s="24"/>
      <c r="R488" s="24">
        <f>ROUND((($I488+$L488+$M488)*(R$527/12))/27,2)</f>
        <v>12</v>
      </c>
      <c r="S488" s="24"/>
      <c r="T488" s="24">
        <f>ROUND((($I488/9)*T$527)*3,2)</f>
        <v>9.83</v>
      </c>
      <c r="U488" s="24"/>
      <c r="V488" s="24"/>
      <c r="W488" s="24"/>
      <c r="X488" s="24">
        <f>ROUND(($I488*(X$527/12))/27,2)</f>
        <v>2.48</v>
      </c>
      <c r="Y488" s="24"/>
      <c r="Z488" s="24">
        <f>ROUND(($I488*(Z$527/12))/27,2)</f>
        <v>2.9</v>
      </c>
      <c r="AA488" s="24"/>
      <c r="AB488" s="24"/>
      <c r="AC488" s="61"/>
      <c r="AD488" s="24">
        <f>IF($H488=0,$E488,ROUND($E488*$H488,2))</f>
        <v>67.11</v>
      </c>
      <c r="AE488" s="24"/>
      <c r="AF488" s="271"/>
      <c r="AG488" s="272"/>
      <c r="AH488" s="4"/>
    </row>
    <row r="489" spans="1:34" ht="21.75" customHeight="1">
      <c r="A489" s="30">
        <v>22</v>
      </c>
      <c r="B489" s="38">
        <f>C488</f>
        <v>600566.44</v>
      </c>
      <c r="C489" s="38">
        <v>600603.73</v>
      </c>
      <c r="D489" s="39" t="s">
        <v>17</v>
      </c>
      <c r="E489" s="24">
        <f t="shared" si="181"/>
        <v>37.29000000003725</v>
      </c>
      <c r="F489" s="24">
        <v>8</v>
      </c>
      <c r="G489" s="105">
        <f>ROUND((2706.8872+12+($F489/2))/2706.8872,4)</f>
        <v>1.0059</v>
      </c>
      <c r="H489" s="105">
        <f>ROUND((2706.8872+12+($F489))/2706.8872,4)</f>
        <v>1.0074</v>
      </c>
      <c r="I489" s="24">
        <f>IF(G489=0,ROUND($E489*$F489,2),ROUND($E489*$F489*$G489,2))</f>
        <v>300.08</v>
      </c>
      <c r="J489" s="24"/>
      <c r="K489" s="24"/>
      <c r="L489" s="24"/>
      <c r="M489" s="24">
        <f>IF($H489=0,ROUND($E489*(M$527/12),2),ROUND($E489*$H489*(M$527/12),2))</f>
        <v>62.61</v>
      </c>
      <c r="N489" s="24"/>
      <c r="O489" s="24"/>
      <c r="P489" s="24">
        <f>ROUND((($I489)*(P$527/12))/27,2)</f>
        <v>9.72</v>
      </c>
      <c r="Q489" s="24"/>
      <c r="R489" s="24">
        <f>ROUND((($I489+$L489+$M489)*(R$527/12))/27,2)</f>
        <v>6.72</v>
      </c>
      <c r="S489" s="24"/>
      <c r="T489" s="24">
        <f>ROUND((($I489/9)*T$527)*3,2)</f>
        <v>5.5</v>
      </c>
      <c r="U489" s="24"/>
      <c r="V489" s="24"/>
      <c r="W489" s="24"/>
      <c r="X489" s="24">
        <f>ROUND(($I489*(X$527/12))/27,2)</f>
        <v>1.39</v>
      </c>
      <c r="Y489" s="24"/>
      <c r="Z489" s="24">
        <f>ROUND(($I489*(Z$527/12))/27,2)</f>
        <v>1.62</v>
      </c>
      <c r="AA489" s="24"/>
      <c r="AB489" s="24"/>
      <c r="AC489" s="61"/>
      <c r="AD489" s="24">
        <f>IF($H489=0,$E489,ROUND($E489*$H489,2))</f>
        <v>37.57</v>
      </c>
      <c r="AE489" s="24"/>
      <c r="AF489" s="271"/>
      <c r="AG489" s="272"/>
      <c r="AH489" s="4"/>
    </row>
    <row r="490" spans="1:34" ht="21.75" customHeight="1">
      <c r="A490" s="30">
        <v>23</v>
      </c>
      <c r="B490" s="38">
        <f>C489</f>
        <v>600603.73</v>
      </c>
      <c r="C490" s="38">
        <v>600678.48</v>
      </c>
      <c r="D490" s="39" t="s">
        <v>17</v>
      </c>
      <c r="E490" s="24">
        <f t="shared" si="181"/>
        <v>74.75</v>
      </c>
      <c r="F490" s="66">
        <v>8</v>
      </c>
      <c r="G490" s="105">
        <f>ROUND((2706.8872+12+($F490/2))/2706.8872,4)</f>
        <v>1.0059</v>
      </c>
      <c r="H490" s="105">
        <f>ROUND((2706.8872+12+($F490))/2706.8872,4)</f>
        <v>1.0074</v>
      </c>
      <c r="I490" s="24">
        <f>IF(G490=0,ROUND($E490*$F490,2),ROUND($E490*$F490*$G490,2))</f>
        <v>601.53</v>
      </c>
      <c r="J490" s="119"/>
      <c r="K490" s="119"/>
      <c r="L490" s="24"/>
      <c r="M490" s="24"/>
      <c r="N490" s="24"/>
      <c r="O490" s="24"/>
      <c r="P490" s="24">
        <f>ROUND((($I490)*(P$527/12))/27,2)</f>
        <v>19.49</v>
      </c>
      <c r="Q490" s="24"/>
      <c r="R490" s="24">
        <f>ROUND((($I490)*(R$527/12))/27,2)</f>
        <v>11.14</v>
      </c>
      <c r="S490" s="24"/>
      <c r="T490" s="24">
        <f>ROUND((($I490/9)*T$527)*3,2)</f>
        <v>11.03</v>
      </c>
      <c r="U490" s="24"/>
      <c r="V490" s="24"/>
      <c r="W490" s="24"/>
      <c r="X490" s="24">
        <f>ROUND(($I490*(X$527/12))/27,2)</f>
        <v>2.78</v>
      </c>
      <c r="Y490" s="24"/>
      <c r="Z490" s="24">
        <f>ROUND(($I490*(Z$527/12))/27,2)</f>
        <v>3.25</v>
      </c>
      <c r="AA490" s="24"/>
      <c r="AB490" s="24"/>
      <c r="AC490" s="61"/>
      <c r="AD490" s="24"/>
      <c r="AE490" s="24"/>
      <c r="AF490" s="271"/>
      <c r="AG490" s="272"/>
      <c r="AH490" s="4"/>
    </row>
    <row r="491" spans="1:34" ht="21.75" customHeight="1">
      <c r="A491" s="30">
        <v>24</v>
      </c>
      <c r="B491" s="38">
        <f>C490</f>
        <v>600678.48</v>
      </c>
      <c r="C491" s="38">
        <v>600778.48</v>
      </c>
      <c r="D491" s="39" t="s">
        <v>17</v>
      </c>
      <c r="E491" s="24">
        <f t="shared" si="181"/>
        <v>100</v>
      </c>
      <c r="F491" s="66">
        <f>ROUND((8+4)/2,2)</f>
        <v>6</v>
      </c>
      <c r="G491" s="105">
        <f>ROUND((2706.8872+12+($F491/2))/2706.8872,4)</f>
        <v>1.0055</v>
      </c>
      <c r="H491" s="105">
        <f>ROUND((2706.8872+12+($F491))/2706.8872,4)</f>
        <v>1.0066</v>
      </c>
      <c r="I491" s="24">
        <f>IF(G491=0,ROUND($E491*$F491,2),ROUND($E491*$F491*$G491,2))</f>
        <v>603.3</v>
      </c>
      <c r="J491" s="24"/>
      <c r="K491" s="24"/>
      <c r="L491" s="24"/>
      <c r="M491" s="24"/>
      <c r="N491" s="24"/>
      <c r="O491" s="24"/>
      <c r="P491" s="24">
        <f>ROUND((($I491)*(P$527/12))/27,2)</f>
        <v>19.55</v>
      </c>
      <c r="Q491" s="24"/>
      <c r="R491" s="24">
        <f>ROUND((($I491)*(R$527/12))/27,2)</f>
        <v>11.17</v>
      </c>
      <c r="S491" s="24"/>
      <c r="T491" s="24">
        <f>ROUND((($I491/9)*T$527)*3,2)</f>
        <v>11.06</v>
      </c>
      <c r="U491" s="24"/>
      <c r="V491" s="24">
        <f>ROUND(($I491*(V$527/12))/27,2)</f>
        <v>2.79</v>
      </c>
      <c r="W491" s="24"/>
      <c r="X491" s="24"/>
      <c r="Y491" s="24"/>
      <c r="Z491" s="24">
        <f>ROUND(($I491*(Z$527/12))/27,2)</f>
        <v>3.26</v>
      </c>
      <c r="AA491" s="24"/>
      <c r="AB491" s="24"/>
      <c r="AC491" s="61"/>
      <c r="AD491" s="24"/>
      <c r="AE491" s="24"/>
      <c r="AF491" s="271"/>
      <c r="AG491" s="272"/>
      <c r="AH491" s="4"/>
    </row>
    <row r="492" spans="1:34" ht="21.75" customHeight="1">
      <c r="A492" s="30">
        <v>25</v>
      </c>
      <c r="B492" s="38">
        <f>C491</f>
        <v>600778.48</v>
      </c>
      <c r="C492" s="46">
        <v>600910.7</v>
      </c>
      <c r="D492" s="39" t="s">
        <v>17</v>
      </c>
      <c r="E492" s="24">
        <f t="shared" si="181"/>
        <v>132.21999999997206</v>
      </c>
      <c r="F492" s="66">
        <v>4</v>
      </c>
      <c r="G492" s="105">
        <f>ROUND((2706.8872+12+($F492/2))/2706.8872,4)</f>
        <v>1.0052</v>
      </c>
      <c r="H492" s="105">
        <f>ROUND((2706.8872+12+($F492))/2706.8872,4)</f>
        <v>1.0059</v>
      </c>
      <c r="I492" s="24">
        <f>IF(G492=0,ROUND($E492*$F492,2),ROUND($E492*$F492*$G492,2))</f>
        <v>531.63</v>
      </c>
      <c r="J492" s="24"/>
      <c r="K492" s="24"/>
      <c r="L492" s="24"/>
      <c r="M492" s="24"/>
      <c r="N492" s="24"/>
      <c r="O492" s="24"/>
      <c r="P492" s="24">
        <f>ROUND((($I492)*(P$527/12))/27,2)</f>
        <v>17.23</v>
      </c>
      <c r="Q492" s="24"/>
      <c r="R492" s="24">
        <f>ROUND((($I492)*(R$527/12))/27,2)</f>
        <v>9.85</v>
      </c>
      <c r="S492" s="24"/>
      <c r="T492" s="24">
        <f>ROUND((($I492/9)*T$527)*3,2)</f>
        <v>9.75</v>
      </c>
      <c r="U492" s="24"/>
      <c r="V492" s="24">
        <f>ROUND(($I492*(V$527/12))/27,2)</f>
        <v>2.46</v>
      </c>
      <c r="W492" s="24"/>
      <c r="X492" s="24"/>
      <c r="Y492" s="24"/>
      <c r="Z492" s="24">
        <f>ROUND(($I492*(Z$527/12))/27,2)</f>
        <v>2.87</v>
      </c>
      <c r="AA492" s="24"/>
      <c r="AB492" s="24"/>
      <c r="AC492" s="61"/>
      <c r="AD492" s="24"/>
      <c r="AE492" s="24"/>
      <c r="AF492" s="271"/>
      <c r="AG492" s="272"/>
      <c r="AH492" s="4"/>
    </row>
    <row r="493" spans="1:34" ht="21.75" customHeight="1">
      <c r="A493" s="30">
        <v>26</v>
      </c>
      <c r="B493" s="38"/>
      <c r="C493" s="38"/>
      <c r="D493" s="39"/>
      <c r="E493" s="24"/>
      <c r="F493" s="66"/>
      <c r="G493" s="105"/>
      <c r="H493" s="105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61"/>
      <c r="AD493" s="24"/>
      <c r="AE493" s="24"/>
      <c r="AF493" s="271"/>
      <c r="AG493" s="272"/>
      <c r="AH493" s="4"/>
    </row>
    <row r="494" spans="1:34" ht="21.75" customHeight="1">
      <c r="A494" s="30">
        <v>27</v>
      </c>
      <c r="B494" s="38">
        <v>600565.11</v>
      </c>
      <c r="C494" s="38">
        <v>600566.44</v>
      </c>
      <c r="D494" s="39" t="s">
        <v>16</v>
      </c>
      <c r="E494" s="24">
        <f aca="true" t="shared" si="183" ref="E494:E499">C494-B494</f>
        <v>1.3299999999580905</v>
      </c>
      <c r="F494" s="66">
        <v>8</v>
      </c>
      <c r="G494" s="105"/>
      <c r="H494" s="105"/>
      <c r="I494" s="24">
        <f aca="true" t="shared" si="184" ref="I494:I499">IF(G494=0,ROUND($E494*$F494,2),ROUND($E494*$F494*$G494,2))</f>
        <v>10.64</v>
      </c>
      <c r="J494" s="24"/>
      <c r="K494" s="24">
        <f aca="true" t="shared" si="185" ref="K494:L500">IF($H494=0,ROUND($E494*(K$527/12),2),ROUND($E494*$H494*(K$527/12),2))</f>
        <v>0.44</v>
      </c>
      <c r="L494" s="24">
        <f t="shared" si="185"/>
        <v>0.66</v>
      </c>
      <c r="M494" s="24"/>
      <c r="N494" s="24"/>
      <c r="O494" s="24"/>
      <c r="P494" s="24">
        <f aca="true" t="shared" si="186" ref="P494:P499">ROUND(((($I494+$K494)*(P$528/12))+(($I494+$K494+$L494)*(P$528/12)))/27,2)</f>
        <v>0.37</v>
      </c>
      <c r="Q494" s="24"/>
      <c r="R494" s="24">
        <f aca="true" t="shared" si="187" ref="R494:R499">ROUND((($I494+$K494+$L494+$L494)*(R$527/12))/27,2)</f>
        <v>0.23</v>
      </c>
      <c r="S494" s="24"/>
      <c r="T494" s="24">
        <f aca="true" t="shared" si="188" ref="T494:T499">ROUND(((($I494/9)*T$527)+((($I494+$K494)/9)*T$527)+((($I494+$K494+$L494)/9)*T$527)),2)</f>
        <v>0.2</v>
      </c>
      <c r="U494" s="24"/>
      <c r="V494" s="24"/>
      <c r="W494" s="24"/>
      <c r="X494" s="24">
        <f>ROUND(($I494*(X$527/12))/27,2)</f>
        <v>0.05</v>
      </c>
      <c r="Y494" s="24"/>
      <c r="Z494" s="24">
        <f aca="true" t="shared" si="189" ref="Z494:Z499">ROUND(($I494*(Z$527/12))/27,2)</f>
        <v>0.06</v>
      </c>
      <c r="AA494" s="24"/>
      <c r="AB494" s="24"/>
      <c r="AC494" s="61"/>
      <c r="AD494" s="24"/>
      <c r="AE494" s="24"/>
      <c r="AF494" s="271"/>
      <c r="AG494" s="272"/>
      <c r="AH494" s="4"/>
    </row>
    <row r="495" spans="1:34" ht="21.75" customHeight="1">
      <c r="A495" s="30">
        <v>28</v>
      </c>
      <c r="B495" s="38">
        <f>C494</f>
        <v>600566.44</v>
      </c>
      <c r="C495" s="46">
        <v>600678.48</v>
      </c>
      <c r="D495" s="39" t="s">
        <v>16</v>
      </c>
      <c r="E495" s="24">
        <f t="shared" si="183"/>
        <v>112.04000000003725</v>
      </c>
      <c r="F495" s="66">
        <v>8</v>
      </c>
      <c r="G495" s="105">
        <f>ROUND((2706.8872-($F495/2))/2706.8872,4)</f>
        <v>0.9985</v>
      </c>
      <c r="H495" s="105">
        <f>ROUND((2706.8872-($F495))/2706.8872,4)</f>
        <v>0.997</v>
      </c>
      <c r="I495" s="24">
        <f t="shared" si="184"/>
        <v>894.98</v>
      </c>
      <c r="J495" s="24"/>
      <c r="K495" s="24">
        <f t="shared" si="185"/>
        <v>37.23</v>
      </c>
      <c r="L495" s="24">
        <f t="shared" si="185"/>
        <v>55.85</v>
      </c>
      <c r="M495" s="24"/>
      <c r="N495" s="24"/>
      <c r="O495" s="24"/>
      <c r="P495" s="24">
        <f t="shared" si="186"/>
        <v>31.12</v>
      </c>
      <c r="Q495" s="24"/>
      <c r="R495" s="24">
        <f t="shared" si="187"/>
        <v>19.33</v>
      </c>
      <c r="S495" s="24"/>
      <c r="T495" s="24">
        <f t="shared" si="188"/>
        <v>17.2</v>
      </c>
      <c r="U495" s="24"/>
      <c r="V495" s="24"/>
      <c r="W495" s="24"/>
      <c r="X495" s="24">
        <f>ROUND(($I495*(X$527/12))/27,2)</f>
        <v>4.14</v>
      </c>
      <c r="Y495" s="24"/>
      <c r="Z495" s="24">
        <f t="shared" si="189"/>
        <v>4.83</v>
      </c>
      <c r="AA495" s="24"/>
      <c r="AB495" s="24"/>
      <c r="AC495" s="61"/>
      <c r="AD495" s="24"/>
      <c r="AE495" s="24"/>
      <c r="AF495" s="271"/>
      <c r="AG495" s="272"/>
      <c r="AH495" s="4"/>
    </row>
    <row r="496" spans="1:34" ht="21.75" customHeight="1">
      <c r="A496" s="30">
        <v>29</v>
      </c>
      <c r="B496" s="38">
        <f>C495</f>
        <v>600678.48</v>
      </c>
      <c r="C496" s="46">
        <v>600900</v>
      </c>
      <c r="D496" s="39" t="s">
        <v>16</v>
      </c>
      <c r="E496" s="24">
        <f t="shared" si="183"/>
        <v>221.52000000001863</v>
      </c>
      <c r="F496" s="66">
        <v>8</v>
      </c>
      <c r="G496" s="105">
        <f>ROUND((2706.8872-($F496/2))/2706.8872,4)</f>
        <v>0.9985</v>
      </c>
      <c r="H496" s="105">
        <f>ROUND((2706.8872-($F496))/2706.8872,4)</f>
        <v>0.997</v>
      </c>
      <c r="I496" s="24">
        <f t="shared" si="184"/>
        <v>1769.5</v>
      </c>
      <c r="J496" s="24"/>
      <c r="K496" s="24">
        <f t="shared" si="185"/>
        <v>73.62</v>
      </c>
      <c r="L496" s="24">
        <f t="shared" si="185"/>
        <v>110.43</v>
      </c>
      <c r="M496" s="24"/>
      <c r="N496" s="24"/>
      <c r="O496" s="24"/>
      <c r="P496" s="24">
        <f t="shared" si="186"/>
        <v>61.52</v>
      </c>
      <c r="Q496" s="24"/>
      <c r="R496" s="24">
        <f t="shared" si="187"/>
        <v>38.22</v>
      </c>
      <c r="S496" s="24"/>
      <c r="T496" s="24">
        <f t="shared" si="188"/>
        <v>34.02</v>
      </c>
      <c r="U496" s="24"/>
      <c r="V496" s="24">
        <f>ROUND(($I496*(V$527/12))/27,2)</f>
        <v>8.19</v>
      </c>
      <c r="W496" s="24"/>
      <c r="X496" s="24"/>
      <c r="Y496" s="24"/>
      <c r="Z496" s="24">
        <f t="shared" si="189"/>
        <v>9.56</v>
      </c>
      <c r="AA496" s="24"/>
      <c r="AB496" s="24"/>
      <c r="AC496" s="24"/>
      <c r="AD496" s="24"/>
      <c r="AE496" s="24"/>
      <c r="AF496" s="271"/>
      <c r="AG496" s="272"/>
      <c r="AH496" s="4"/>
    </row>
    <row r="497" spans="1:34" ht="21.75" customHeight="1">
      <c r="A497" s="30">
        <v>30</v>
      </c>
      <c r="B497" s="38">
        <f>C496</f>
        <v>600900</v>
      </c>
      <c r="C497" s="38">
        <v>601012.24</v>
      </c>
      <c r="D497" s="39" t="s">
        <v>16</v>
      </c>
      <c r="E497" s="24">
        <f t="shared" si="183"/>
        <v>112.23999999999069</v>
      </c>
      <c r="F497" s="66">
        <f>ROUND((8+12.4501)/2,2)</f>
        <v>10.23</v>
      </c>
      <c r="G497" s="105">
        <f>ROUND((2706.8872-($F497/2))/2706.8872,4)</f>
        <v>0.9981</v>
      </c>
      <c r="H497" s="105">
        <f>ROUND((2706.8872-($F497))/2706.8872,4)</f>
        <v>0.9962</v>
      </c>
      <c r="I497" s="24">
        <f t="shared" si="184"/>
        <v>1146.03</v>
      </c>
      <c r="J497" s="24"/>
      <c r="K497" s="24">
        <f t="shared" si="185"/>
        <v>37.27</v>
      </c>
      <c r="L497" s="24">
        <f t="shared" si="185"/>
        <v>55.91</v>
      </c>
      <c r="M497" s="24"/>
      <c r="N497" s="24"/>
      <c r="O497" s="24"/>
      <c r="P497" s="24">
        <f t="shared" si="186"/>
        <v>39.25</v>
      </c>
      <c r="Q497" s="24"/>
      <c r="R497" s="24">
        <f t="shared" si="187"/>
        <v>23.98</v>
      </c>
      <c r="S497" s="24"/>
      <c r="T497" s="24">
        <f t="shared" si="188"/>
        <v>21.81</v>
      </c>
      <c r="U497" s="24"/>
      <c r="V497" s="24">
        <f>ROUND(($I497*(V$527/12))/27,2)</f>
        <v>5.31</v>
      </c>
      <c r="W497" s="24"/>
      <c r="X497" s="24"/>
      <c r="Y497" s="24"/>
      <c r="Z497" s="24">
        <f t="shared" si="189"/>
        <v>6.19</v>
      </c>
      <c r="AA497" s="24"/>
      <c r="AB497" s="24"/>
      <c r="AC497" s="61"/>
      <c r="AD497" s="24"/>
      <c r="AE497" s="24"/>
      <c r="AF497" s="271"/>
      <c r="AG497" s="272"/>
      <c r="AH497" s="4"/>
    </row>
    <row r="498" spans="1:34" ht="21.75" customHeight="1">
      <c r="A498" s="30">
        <v>31</v>
      </c>
      <c r="B498" s="38">
        <f>C497</f>
        <v>601012.24</v>
      </c>
      <c r="C498" s="38">
        <v>601036.04</v>
      </c>
      <c r="D498" s="39" t="s">
        <v>16</v>
      </c>
      <c r="E498" s="24">
        <f t="shared" si="183"/>
        <v>23.800000000046566</v>
      </c>
      <c r="F498" s="66">
        <f>ROUND((12.4501+13.3938)/2,2)</f>
        <v>12.92</v>
      </c>
      <c r="G498" s="105">
        <f>ROUND((3774.48-($F498/2))/3774.48,4)</f>
        <v>0.9983</v>
      </c>
      <c r="H498" s="105">
        <f>ROUND((3774.48-($F498))/3774.48,4)</f>
        <v>0.9966</v>
      </c>
      <c r="I498" s="24">
        <f t="shared" si="184"/>
        <v>306.97</v>
      </c>
      <c r="J498" s="24"/>
      <c r="K498" s="24">
        <f t="shared" si="185"/>
        <v>7.91</v>
      </c>
      <c r="L498" s="24">
        <f t="shared" si="185"/>
        <v>11.86</v>
      </c>
      <c r="M498" s="24"/>
      <c r="N498" s="24"/>
      <c r="O498" s="24"/>
      <c r="P498" s="24">
        <f t="shared" si="186"/>
        <v>10.4</v>
      </c>
      <c r="Q498" s="24"/>
      <c r="R498" s="24">
        <f t="shared" si="187"/>
        <v>6.27</v>
      </c>
      <c r="S498" s="24"/>
      <c r="T498" s="24">
        <f t="shared" si="188"/>
        <v>5.8</v>
      </c>
      <c r="U498" s="24"/>
      <c r="V498" s="24">
        <f>ROUND(($I498*(V$527/12))/27,2)</f>
        <v>1.42</v>
      </c>
      <c r="W498" s="24"/>
      <c r="X498" s="24"/>
      <c r="Y498" s="24"/>
      <c r="Z498" s="24">
        <f t="shared" si="189"/>
        <v>1.66</v>
      </c>
      <c r="AA498" s="24"/>
      <c r="AB498" s="24"/>
      <c r="AC498" s="61"/>
      <c r="AD498" s="24"/>
      <c r="AE498" s="24"/>
      <c r="AF498" s="271"/>
      <c r="AG498" s="272"/>
      <c r="AH498" s="4"/>
    </row>
    <row r="499" spans="1:34" ht="21.75" customHeight="1">
      <c r="A499" s="30">
        <v>32</v>
      </c>
      <c r="B499" s="38">
        <f>C498</f>
        <v>601036.04</v>
      </c>
      <c r="C499" s="38">
        <v>601081.51</v>
      </c>
      <c r="D499" s="39" t="s">
        <v>16</v>
      </c>
      <c r="E499" s="24">
        <f t="shared" si="183"/>
        <v>45.46999999997206</v>
      </c>
      <c r="F499" s="66">
        <f>ROUND((13.3938+13.8231)/2,2)</f>
        <v>13.61</v>
      </c>
      <c r="G499" s="105">
        <f>ROUND((3774.48-($F499/2))/3774.48,4)</f>
        <v>0.9982</v>
      </c>
      <c r="H499" s="105">
        <f>ROUND((3774.48-($F499))/3774.48,4)</f>
        <v>0.9964</v>
      </c>
      <c r="I499" s="24">
        <f t="shared" si="184"/>
        <v>617.73</v>
      </c>
      <c r="J499" s="24"/>
      <c r="K499" s="24">
        <f t="shared" si="185"/>
        <v>15.1</v>
      </c>
      <c r="L499" s="24">
        <f t="shared" si="185"/>
        <v>22.65</v>
      </c>
      <c r="M499" s="24"/>
      <c r="N499" s="24"/>
      <c r="O499" s="24"/>
      <c r="P499" s="24">
        <f t="shared" si="186"/>
        <v>20.88</v>
      </c>
      <c r="Q499" s="24"/>
      <c r="R499" s="24">
        <f t="shared" si="187"/>
        <v>12.56</v>
      </c>
      <c r="S499" s="24"/>
      <c r="T499" s="24">
        <f t="shared" si="188"/>
        <v>11.65</v>
      </c>
      <c r="U499" s="24"/>
      <c r="V499" s="24">
        <f>ROUND(($I499*(V$527/12))/27,2)</f>
        <v>2.86</v>
      </c>
      <c r="W499" s="24"/>
      <c r="X499" s="24"/>
      <c r="Y499" s="24"/>
      <c r="Z499" s="24">
        <f t="shared" si="189"/>
        <v>3.34</v>
      </c>
      <c r="AA499" s="24"/>
      <c r="AB499" s="24"/>
      <c r="AC499" s="61"/>
      <c r="AD499" s="24"/>
      <c r="AE499" s="24"/>
      <c r="AF499" s="271"/>
      <c r="AG499" s="272"/>
      <c r="AH499" s="4"/>
    </row>
    <row r="500" spans="1:34" ht="21.75" customHeight="1">
      <c r="A500" s="30">
        <v>33</v>
      </c>
      <c r="B500" s="313">
        <v>601081.51</v>
      </c>
      <c r="C500" s="314"/>
      <c r="D500" s="39" t="s">
        <v>16</v>
      </c>
      <c r="E500" s="24">
        <v>8.32</v>
      </c>
      <c r="F500" s="213" t="s">
        <v>13</v>
      </c>
      <c r="G500" s="214"/>
      <c r="H500" s="214"/>
      <c r="I500" s="215"/>
      <c r="J500" s="24">
        <v>63.38</v>
      </c>
      <c r="K500" s="24">
        <f t="shared" si="185"/>
        <v>2.77</v>
      </c>
      <c r="L500" s="24">
        <f t="shared" si="185"/>
        <v>4.16</v>
      </c>
      <c r="M500" s="24"/>
      <c r="N500" s="24"/>
      <c r="O500" s="24"/>
      <c r="P500" s="24">
        <f>ROUND(((($J500+$K500)*(P$528/12))+(($J500+$K500+$L500)*(P$528/12)))/27,2)</f>
        <v>2.21</v>
      </c>
      <c r="Q500" s="24"/>
      <c r="R500" s="24">
        <f>ROUND((($J500+$K500+$L500+$L500)*(R$527/12))/27,2)</f>
        <v>1.38</v>
      </c>
      <c r="S500" s="24"/>
      <c r="T500" s="24">
        <f>ROUND(((($J500/9)*T$527)+((($J500+$K500)/9)*T$527)+((($J500+$K500+$L500)/9)*T$527)),2)</f>
        <v>1.22</v>
      </c>
      <c r="U500" s="24"/>
      <c r="V500" s="24">
        <f>ROUND(($J500*(V$527/12))/27,2)</f>
        <v>0.29</v>
      </c>
      <c r="W500" s="24"/>
      <c r="X500" s="24"/>
      <c r="Y500" s="24"/>
      <c r="Z500" s="24">
        <f>ROUND(($J500*(Z$527/12))/27,2)</f>
        <v>0.34</v>
      </c>
      <c r="AA500" s="24"/>
      <c r="AB500" s="24"/>
      <c r="AC500" s="61"/>
      <c r="AD500" s="24"/>
      <c r="AE500" s="24"/>
      <c r="AF500" s="271"/>
      <c r="AG500" s="272"/>
      <c r="AH500" s="4"/>
    </row>
    <row r="501" spans="1:34" ht="21.75" customHeight="1">
      <c r="A501" s="30">
        <v>34</v>
      </c>
      <c r="B501" s="38"/>
      <c r="C501" s="46"/>
      <c r="D501" s="39"/>
      <c r="E501" s="24"/>
      <c r="F501" s="39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61"/>
      <c r="AD501" s="24"/>
      <c r="AE501" s="24"/>
      <c r="AF501" s="271"/>
      <c r="AG501" s="272"/>
      <c r="AH501" s="4"/>
    </row>
    <row r="502" spans="1:34" ht="21.75" customHeight="1">
      <c r="A502" s="30">
        <v>35</v>
      </c>
      <c r="B502" s="260" t="s">
        <v>74</v>
      </c>
      <c r="C502" s="261"/>
      <c r="D502" s="261"/>
      <c r="E502" s="261"/>
      <c r="F502" s="261"/>
      <c r="G502" s="261"/>
      <c r="H502" s="261"/>
      <c r="I502" s="152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61"/>
      <c r="AD502" s="24"/>
      <c r="AE502" s="24"/>
      <c r="AF502" s="271"/>
      <c r="AG502" s="272"/>
      <c r="AH502" s="4"/>
    </row>
    <row r="503" spans="1:34" ht="21.75" customHeight="1">
      <c r="A503" s="30">
        <v>36</v>
      </c>
      <c r="B503" s="141" t="s">
        <v>76</v>
      </c>
      <c r="C503" s="38"/>
      <c r="D503" s="39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61"/>
      <c r="AD503" s="24"/>
      <c r="AE503" s="24"/>
      <c r="AF503" s="271"/>
      <c r="AG503" s="272"/>
      <c r="AH503" s="4"/>
    </row>
    <row r="504" spans="1:34" ht="21.75" customHeight="1">
      <c r="A504" s="30">
        <v>37</v>
      </c>
      <c r="B504" s="38">
        <v>502892.28</v>
      </c>
      <c r="C504" s="38">
        <v>503136.48</v>
      </c>
      <c r="D504" s="39" t="s">
        <v>17</v>
      </c>
      <c r="E504" s="213" t="s">
        <v>13</v>
      </c>
      <c r="F504" s="214"/>
      <c r="G504" s="214"/>
      <c r="H504" s="214"/>
      <c r="I504" s="215"/>
      <c r="J504" s="24">
        <v>1800.55</v>
      </c>
      <c r="K504" s="24"/>
      <c r="L504" s="24"/>
      <c r="M504" s="24"/>
      <c r="N504" s="24"/>
      <c r="O504" s="24"/>
      <c r="P504" s="24">
        <f>ROUND((($J504)*(P$527/12))/27,2)</f>
        <v>58.35</v>
      </c>
      <c r="Q504" s="24"/>
      <c r="R504" s="24">
        <f>ROUND((($J504)*(R$527/12))/27,2)</f>
        <v>33.34</v>
      </c>
      <c r="S504" s="24"/>
      <c r="T504" s="24">
        <f>ROUND((($J504/9)*T$527)*3,2)</f>
        <v>33.01</v>
      </c>
      <c r="U504" s="24"/>
      <c r="V504" s="24">
        <f>ROUND(($J504*(V$527/12))/27,2)</f>
        <v>8.34</v>
      </c>
      <c r="W504" s="24"/>
      <c r="X504" s="24"/>
      <c r="Y504" s="24"/>
      <c r="Z504" s="24">
        <f>ROUND(($J504*(Z$527/12))/27,2)</f>
        <v>9.73</v>
      </c>
      <c r="AA504" s="24"/>
      <c r="AB504" s="24"/>
      <c r="AC504" s="61"/>
      <c r="AD504" s="24"/>
      <c r="AE504" s="24"/>
      <c r="AF504" s="271"/>
      <c r="AG504" s="272"/>
      <c r="AH504" s="4"/>
    </row>
    <row r="505" spans="1:34" ht="21.75" customHeight="1" thickBot="1">
      <c r="A505" s="30">
        <v>38</v>
      </c>
      <c r="B505" s="38"/>
      <c r="C505" s="38"/>
      <c r="D505" s="39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61"/>
      <c r="AD505" s="24"/>
      <c r="AE505" s="24"/>
      <c r="AF505" s="281"/>
      <c r="AG505" s="275"/>
      <c r="AH505" s="4"/>
    </row>
    <row r="506" spans="1:34" ht="21.75" customHeight="1">
      <c r="A506" s="30">
        <v>39</v>
      </c>
      <c r="B506" s="141" t="s">
        <v>80</v>
      </c>
      <c r="C506" s="38"/>
      <c r="D506" s="39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61"/>
      <c r="AD506" s="24"/>
      <c r="AE506" s="24"/>
      <c r="AF506" s="269" t="s">
        <v>39</v>
      </c>
      <c r="AG506" s="270"/>
      <c r="AH506" s="4"/>
    </row>
    <row r="507" spans="1:34" ht="21.75" customHeight="1">
      <c r="A507" s="30">
        <v>40</v>
      </c>
      <c r="B507" s="38">
        <v>300246.97</v>
      </c>
      <c r="C507" s="38">
        <v>300435.94</v>
      </c>
      <c r="D507" s="39" t="s">
        <v>17</v>
      </c>
      <c r="E507" s="213" t="s">
        <v>13</v>
      </c>
      <c r="F507" s="214"/>
      <c r="G507" s="214"/>
      <c r="H507" s="214"/>
      <c r="I507" s="215"/>
      <c r="J507" s="24">
        <v>1000.9</v>
      </c>
      <c r="K507" s="24"/>
      <c r="L507" s="24"/>
      <c r="M507" s="24"/>
      <c r="N507" s="24"/>
      <c r="O507" s="24">
        <f>ROUND((($J507)*(O$527/12))/27,2)</f>
        <v>32.44</v>
      </c>
      <c r="P507" s="24"/>
      <c r="Q507" s="24">
        <f>ROUND((($J507)*(Q$527/12))/27,2)</f>
        <v>18.54</v>
      </c>
      <c r="R507" s="24"/>
      <c r="S507" s="24">
        <f>ROUND((($J507/9)*S$527)*3,2)</f>
        <v>18.35</v>
      </c>
      <c r="T507" s="24"/>
      <c r="U507" s="24">
        <f>ROUND(($J507*(U$527/12))/27,2)</f>
        <v>4.63</v>
      </c>
      <c r="V507" s="61"/>
      <c r="W507" s="24"/>
      <c r="X507" s="61"/>
      <c r="Y507" s="24">
        <f>ROUND(($J507*(Y$527/12))/27,2)</f>
        <v>5.41</v>
      </c>
      <c r="Z507" s="24"/>
      <c r="AA507" s="24"/>
      <c r="AB507" s="24"/>
      <c r="AC507" s="61"/>
      <c r="AD507" s="24"/>
      <c r="AE507" s="24"/>
      <c r="AF507" s="271"/>
      <c r="AG507" s="272"/>
      <c r="AH507" s="4"/>
    </row>
    <row r="508" spans="1:34" ht="21.75" customHeight="1">
      <c r="A508" s="30">
        <v>41</v>
      </c>
      <c r="B508" s="38"/>
      <c r="C508" s="38"/>
      <c r="D508" s="39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61"/>
      <c r="AD508" s="24"/>
      <c r="AE508" s="24"/>
      <c r="AF508" s="271"/>
      <c r="AG508" s="272"/>
      <c r="AH508" s="4"/>
    </row>
    <row r="509" spans="1:34" ht="21.75" customHeight="1">
      <c r="A509" s="30">
        <v>42</v>
      </c>
      <c r="B509" s="141" t="s">
        <v>75</v>
      </c>
      <c r="C509" s="38"/>
      <c r="D509" s="39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61"/>
      <c r="AD509" s="24"/>
      <c r="AE509" s="24"/>
      <c r="AF509" s="271"/>
      <c r="AG509" s="272"/>
      <c r="AH509" s="4"/>
    </row>
    <row r="510" spans="1:34" ht="21.75" customHeight="1">
      <c r="A510" s="30">
        <v>43</v>
      </c>
      <c r="B510" s="38">
        <v>25400.38</v>
      </c>
      <c r="C510" s="46">
        <v>25866.99</v>
      </c>
      <c r="D510" s="39" t="s">
        <v>17</v>
      </c>
      <c r="E510" s="213" t="s">
        <v>13</v>
      </c>
      <c r="F510" s="214"/>
      <c r="G510" s="214"/>
      <c r="H510" s="214"/>
      <c r="I510" s="215"/>
      <c r="J510" s="24">
        <v>3796.96</v>
      </c>
      <c r="K510" s="24"/>
      <c r="L510" s="24"/>
      <c r="M510" s="24"/>
      <c r="N510" s="24"/>
      <c r="O510" s="24">
        <f>ROUND(((($J510)*(O$527/12))/27)*O$530,2)</f>
        <v>61.52</v>
      </c>
      <c r="P510" s="24">
        <f>ROUND(((($J510)*(P$527/12))/27)*P$530,2)</f>
        <v>61.52</v>
      </c>
      <c r="Q510" s="24">
        <f>ROUND(((($J510)*(Q$527/12))/27)*Q$530,2)</f>
        <v>35.16</v>
      </c>
      <c r="R510" s="24">
        <f>ROUND(((($J510)*(R$527/12))/27)*R$530,2)</f>
        <v>35.16</v>
      </c>
      <c r="S510" s="24">
        <f>ROUND(((($J510/9)*S$527)*3)*S$530,2)</f>
        <v>34.81</v>
      </c>
      <c r="T510" s="24">
        <f>ROUND(((($J510/9)*T$527)*3)*T$530,2)</f>
        <v>34.81</v>
      </c>
      <c r="U510" s="24">
        <f>ROUND((($J510*(U$527/12))/27)*U$530,2)</f>
        <v>8.79</v>
      </c>
      <c r="V510" s="24">
        <f>ROUND((($J510*(V$527/12))/27)*V$530,2)</f>
        <v>8.79</v>
      </c>
      <c r="W510" s="24"/>
      <c r="X510" s="24"/>
      <c r="Y510" s="24">
        <f>ROUND((($J510*(Y$527/12))/27)*Y$530,2)</f>
        <v>10.25</v>
      </c>
      <c r="Z510" s="24">
        <f>ROUND((($J510*(Z$527/12))/27)*Z$530,2)</f>
        <v>10.25</v>
      </c>
      <c r="AA510" s="24"/>
      <c r="AB510" s="24"/>
      <c r="AC510" s="61"/>
      <c r="AD510" s="24"/>
      <c r="AE510" s="24"/>
      <c r="AF510" s="271"/>
      <c r="AG510" s="272"/>
      <c r="AH510" s="4"/>
    </row>
    <row r="511" spans="1:34" ht="21.75" customHeight="1">
      <c r="A511" s="30">
        <v>44</v>
      </c>
      <c r="B511" s="38"/>
      <c r="C511" s="38"/>
      <c r="D511" s="39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61"/>
      <c r="AD511" s="24"/>
      <c r="AE511" s="24"/>
      <c r="AF511" s="271"/>
      <c r="AG511" s="272"/>
      <c r="AH511" s="4"/>
    </row>
    <row r="512" spans="1:34" ht="21.75" customHeight="1">
      <c r="A512" s="30">
        <v>45</v>
      </c>
      <c r="B512" s="141" t="s">
        <v>77</v>
      </c>
      <c r="C512" s="38"/>
      <c r="D512" s="39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61"/>
      <c r="AD512" s="24"/>
      <c r="AE512" s="24"/>
      <c r="AF512" s="271"/>
      <c r="AG512" s="272"/>
      <c r="AH512" s="4"/>
    </row>
    <row r="513" spans="1:34" ht="21.75" customHeight="1">
      <c r="A513" s="30">
        <v>46</v>
      </c>
      <c r="B513" s="38">
        <v>500466.41</v>
      </c>
      <c r="C513" s="38">
        <v>500694.28</v>
      </c>
      <c r="D513" s="39" t="s">
        <v>17</v>
      </c>
      <c r="E513" s="213" t="s">
        <v>13</v>
      </c>
      <c r="F513" s="214"/>
      <c r="G513" s="214"/>
      <c r="H513" s="214"/>
      <c r="I513" s="215"/>
      <c r="J513" s="24">
        <v>2244.83</v>
      </c>
      <c r="K513" s="24"/>
      <c r="L513" s="24"/>
      <c r="M513" s="24"/>
      <c r="N513" s="24"/>
      <c r="O513" s="24"/>
      <c r="P513" s="24">
        <f>ROUND((($J513)*(P$527/12))/27,2)</f>
        <v>72.75</v>
      </c>
      <c r="Q513" s="24"/>
      <c r="R513" s="24">
        <f>ROUND((($J513)*(R$527/12))/27,2)</f>
        <v>41.57</v>
      </c>
      <c r="S513" s="24"/>
      <c r="T513" s="24">
        <f>ROUND((($J513/9)*T$527)*3,2)</f>
        <v>41.16</v>
      </c>
      <c r="U513" s="24"/>
      <c r="V513" s="24">
        <f>ROUND(($J513*(V$527/12))/27,2)</f>
        <v>10.39</v>
      </c>
      <c r="W513" s="24"/>
      <c r="X513" s="24"/>
      <c r="Y513" s="24"/>
      <c r="Z513" s="24">
        <f>ROUND(($J513*(Z$527/12))/27,2)</f>
        <v>12.12</v>
      </c>
      <c r="AA513" s="24"/>
      <c r="AB513" s="24"/>
      <c r="AC513" s="61"/>
      <c r="AD513" s="24"/>
      <c r="AE513" s="24"/>
      <c r="AF513" s="271"/>
      <c r="AG513" s="272"/>
      <c r="AH513" s="4"/>
    </row>
    <row r="514" spans="1:34" ht="21.75" customHeight="1">
      <c r="A514" s="30">
        <v>47</v>
      </c>
      <c r="B514" s="38"/>
      <c r="C514" s="38"/>
      <c r="D514" s="39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61"/>
      <c r="AD514" s="24"/>
      <c r="AE514" s="24"/>
      <c r="AF514" s="271"/>
      <c r="AG514" s="272"/>
      <c r="AH514" s="4"/>
    </row>
    <row r="515" spans="1:34" ht="21.75" customHeight="1">
      <c r="A515" s="30">
        <v>48</v>
      </c>
      <c r="B515" s="141" t="s">
        <v>78</v>
      </c>
      <c r="C515" s="38"/>
      <c r="D515" s="39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61"/>
      <c r="AD515" s="24"/>
      <c r="AE515" s="24"/>
      <c r="AF515" s="271"/>
      <c r="AG515" s="272"/>
      <c r="AH515" s="4"/>
    </row>
    <row r="516" spans="1:34" ht="21.75" customHeight="1">
      <c r="A516" s="30">
        <v>49</v>
      </c>
      <c r="B516" s="38">
        <v>506927.87</v>
      </c>
      <c r="C516" s="46">
        <v>507118.62</v>
      </c>
      <c r="D516" s="39" t="s">
        <v>17</v>
      </c>
      <c r="E516" s="213" t="s">
        <v>13</v>
      </c>
      <c r="F516" s="214"/>
      <c r="G516" s="214"/>
      <c r="H516" s="214"/>
      <c r="I516" s="215"/>
      <c r="J516" s="24">
        <v>208.55</v>
      </c>
      <c r="K516" s="24"/>
      <c r="L516" s="24"/>
      <c r="M516" s="24"/>
      <c r="N516" s="24"/>
      <c r="O516" s="24"/>
      <c r="P516" s="24">
        <f>ROUND((($J516)*(P$527/12))/27,2)</f>
        <v>6.76</v>
      </c>
      <c r="Q516" s="24"/>
      <c r="R516" s="24">
        <f>ROUND((($J516)*(R$527/12))/27,2)</f>
        <v>3.86</v>
      </c>
      <c r="S516" s="24"/>
      <c r="T516" s="24">
        <f>ROUND((($J516/9)*T$527)*3,2)</f>
        <v>3.82</v>
      </c>
      <c r="U516" s="24"/>
      <c r="V516" s="24">
        <f>ROUND(($J516*(V$527/12))/27,2)</f>
        <v>0.97</v>
      </c>
      <c r="W516" s="24"/>
      <c r="X516" s="24"/>
      <c r="Y516" s="24"/>
      <c r="Z516" s="24">
        <f>ROUND(($J516*(Z$527/12))/27,2)</f>
        <v>1.13</v>
      </c>
      <c r="AA516" s="24"/>
      <c r="AB516" s="24"/>
      <c r="AC516" s="61"/>
      <c r="AD516" s="24"/>
      <c r="AE516" s="24"/>
      <c r="AF516" s="271"/>
      <c r="AG516" s="272"/>
      <c r="AH516" s="4"/>
    </row>
    <row r="517" spans="1:34" ht="21.75" customHeight="1">
      <c r="A517" s="30">
        <v>50</v>
      </c>
      <c r="B517" s="38">
        <v>507440.3</v>
      </c>
      <c r="C517" s="38">
        <v>507489.25</v>
      </c>
      <c r="D517" s="39" t="s">
        <v>17</v>
      </c>
      <c r="E517" s="213" t="s">
        <v>13</v>
      </c>
      <c r="F517" s="214"/>
      <c r="G517" s="214"/>
      <c r="H517" s="214"/>
      <c r="I517" s="215"/>
      <c r="J517" s="24">
        <v>1221.47</v>
      </c>
      <c r="K517" s="24"/>
      <c r="L517" s="24"/>
      <c r="M517" s="24"/>
      <c r="N517" s="24"/>
      <c r="O517" s="24"/>
      <c r="P517" s="24">
        <f>ROUND((($J517)*(P$527/12))/27,2)</f>
        <v>39.58</v>
      </c>
      <c r="Q517" s="24"/>
      <c r="R517" s="24">
        <f>ROUND((($J517)*(R$527/12))/27,2)</f>
        <v>22.62</v>
      </c>
      <c r="S517" s="24"/>
      <c r="T517" s="24">
        <f>ROUND((($J517/9)*T$527)*3,2)</f>
        <v>22.39</v>
      </c>
      <c r="U517" s="24"/>
      <c r="V517" s="24">
        <f>ROUND(($J517*(V$527/12))/27,2)</f>
        <v>5.65</v>
      </c>
      <c r="W517" s="24"/>
      <c r="X517" s="24"/>
      <c r="Y517" s="24"/>
      <c r="Z517" s="24">
        <f>ROUND(($J517*(Z$527/12))/27,2)</f>
        <v>6.6</v>
      </c>
      <c r="AA517" s="24"/>
      <c r="AB517" s="24"/>
      <c r="AC517" s="61"/>
      <c r="AD517" s="24"/>
      <c r="AE517" s="24"/>
      <c r="AF517" s="271"/>
      <c r="AG517" s="272"/>
      <c r="AH517" s="4"/>
    </row>
    <row r="518" spans="1:34" ht="21.75" customHeight="1">
      <c r="A518" s="30">
        <v>51</v>
      </c>
      <c r="B518" s="38"/>
      <c r="C518" s="46"/>
      <c r="D518" s="39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61"/>
      <c r="AD518" s="24"/>
      <c r="AE518" s="24"/>
      <c r="AF518" s="271"/>
      <c r="AG518" s="272"/>
      <c r="AH518" s="4"/>
    </row>
    <row r="519" spans="1:34" ht="21.75" customHeight="1">
      <c r="A519" s="30">
        <v>52</v>
      </c>
      <c r="B519" s="141" t="s">
        <v>79</v>
      </c>
      <c r="C519" s="46"/>
      <c r="D519" s="39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61"/>
      <c r="AD519" s="24"/>
      <c r="AE519" s="24"/>
      <c r="AF519" s="273"/>
      <c r="AG519" s="272"/>
      <c r="AH519" s="4"/>
    </row>
    <row r="520" spans="1:34" ht="21.75" customHeight="1">
      <c r="A520" s="30">
        <v>53</v>
      </c>
      <c r="B520" s="38">
        <v>600910.7</v>
      </c>
      <c r="C520" s="46">
        <v>601081.51</v>
      </c>
      <c r="D520" s="39" t="s">
        <v>17</v>
      </c>
      <c r="E520" s="213" t="s">
        <v>13</v>
      </c>
      <c r="F520" s="214"/>
      <c r="G520" s="214"/>
      <c r="H520" s="214"/>
      <c r="I520" s="215"/>
      <c r="J520" s="24">
        <v>1852</v>
      </c>
      <c r="K520" s="24"/>
      <c r="L520" s="24"/>
      <c r="M520" s="24"/>
      <c r="N520" s="24"/>
      <c r="O520" s="24">
        <f>ROUND(((($J520)*(O$527/12))/27)*O$529,2)</f>
        <v>36.01</v>
      </c>
      <c r="P520" s="24">
        <f>ROUND(((($J520)*(P$527/12))/27)*P$529,2)</f>
        <v>24.01</v>
      </c>
      <c r="Q520" s="24">
        <f>ROUND(((($J520)*(Q$527/12))/27)*Q$529,2)</f>
        <v>20.58</v>
      </c>
      <c r="R520" s="24">
        <f>ROUND(((($J520)*(R$527/12))/27)*R$529,2)</f>
        <v>13.72</v>
      </c>
      <c r="S520" s="24">
        <f>ROUND(((($J520/9)*S$527)*3)*S$529,2)</f>
        <v>20.37</v>
      </c>
      <c r="T520" s="24">
        <f>ROUND(((($J520/9)*T$527)*3)*T$529,2)</f>
        <v>13.58</v>
      </c>
      <c r="U520" s="24">
        <f>ROUND((($J520*(U$527/12))/27)*U$529,2)</f>
        <v>5.14</v>
      </c>
      <c r="V520" s="24">
        <f>ROUND((($J520*(V$527/12))/27)*V$529,2)</f>
        <v>3.43</v>
      </c>
      <c r="W520" s="24"/>
      <c r="X520" s="24"/>
      <c r="Y520" s="24">
        <f>ROUND((($J520*(Y$527/12))/27)*Y$529,2)</f>
        <v>6</v>
      </c>
      <c r="Z520" s="24">
        <f>ROUND((($J520*(Z$527/12))/27)*Z$529,2)</f>
        <v>4</v>
      </c>
      <c r="AA520" s="24"/>
      <c r="AB520" s="24"/>
      <c r="AC520" s="61"/>
      <c r="AD520" s="24"/>
      <c r="AE520" s="24"/>
      <c r="AF520" s="273"/>
      <c r="AG520" s="272"/>
      <c r="AH520" s="4"/>
    </row>
    <row r="521" spans="1:34" ht="21.75" customHeight="1" thickBot="1">
      <c r="A521" s="30">
        <v>54</v>
      </c>
      <c r="B521" s="38"/>
      <c r="C521" s="46"/>
      <c r="D521" s="39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61"/>
      <c r="AD521" s="24"/>
      <c r="AE521" s="24"/>
      <c r="AF521" s="274"/>
      <c r="AG521" s="275"/>
      <c r="AH521" s="4"/>
    </row>
    <row r="522" spans="1:34" ht="46.5" customHeight="1">
      <c r="A522" s="1"/>
      <c r="B522" s="233" t="s">
        <v>15</v>
      </c>
      <c r="C522" s="234"/>
      <c r="D522" s="234"/>
      <c r="E522" s="234"/>
      <c r="F522" s="234"/>
      <c r="G522" s="234"/>
      <c r="H522" s="234"/>
      <c r="I522" s="234"/>
      <c r="J522" s="234"/>
      <c r="K522" s="234"/>
      <c r="L522" s="234"/>
      <c r="M522" s="234"/>
      <c r="N522" s="235"/>
      <c r="O522" s="211">
        <f aca="true" t="shared" si="190" ref="O522:AE522">IF(SUM(O468:O521)=0," ",ROUNDUP(SUM(O468:O521),0))</f>
        <v>130</v>
      </c>
      <c r="P522" s="211">
        <f t="shared" si="190"/>
        <v>952</v>
      </c>
      <c r="Q522" s="211">
        <f t="shared" si="190"/>
        <v>75</v>
      </c>
      <c r="R522" s="211">
        <f t="shared" si="190"/>
        <v>557</v>
      </c>
      <c r="S522" s="211">
        <f t="shared" si="190"/>
        <v>74</v>
      </c>
      <c r="T522" s="211">
        <f t="shared" si="190"/>
        <v>536</v>
      </c>
      <c r="U522" s="211">
        <f t="shared" si="190"/>
        <v>19</v>
      </c>
      <c r="V522" s="211">
        <f t="shared" si="190"/>
        <v>84</v>
      </c>
      <c r="W522" s="211" t="str">
        <f t="shared" si="190"/>
        <v> </v>
      </c>
      <c r="X522" s="211">
        <f t="shared" si="190"/>
        <v>51</v>
      </c>
      <c r="Y522" s="211">
        <f t="shared" si="190"/>
        <v>22</v>
      </c>
      <c r="Z522" s="211">
        <f t="shared" si="190"/>
        <v>157</v>
      </c>
      <c r="AA522" s="211" t="str">
        <f t="shared" si="190"/>
        <v> </v>
      </c>
      <c r="AB522" s="211">
        <f t="shared" si="190"/>
        <v>92</v>
      </c>
      <c r="AC522" s="211" t="str">
        <f t="shared" si="190"/>
        <v> </v>
      </c>
      <c r="AD522" s="211">
        <f t="shared" si="190"/>
        <v>105</v>
      </c>
      <c r="AE522" s="211" t="str">
        <f t="shared" si="190"/>
        <v> </v>
      </c>
      <c r="AF522" s="279">
        <v>9</v>
      </c>
      <c r="AG522" s="280"/>
      <c r="AH522" s="1"/>
    </row>
    <row r="523" spans="1:34" ht="46.5" customHeight="1" thickBot="1">
      <c r="A523" s="1"/>
      <c r="B523" s="236"/>
      <c r="C523" s="237"/>
      <c r="D523" s="237"/>
      <c r="E523" s="237"/>
      <c r="F523" s="237"/>
      <c r="G523" s="237"/>
      <c r="H523" s="237"/>
      <c r="I523" s="237"/>
      <c r="J523" s="237"/>
      <c r="K523" s="237"/>
      <c r="L523" s="237"/>
      <c r="M523" s="237"/>
      <c r="N523" s="238"/>
      <c r="O523" s="250"/>
      <c r="P523" s="250"/>
      <c r="Q523" s="250"/>
      <c r="R523" s="250"/>
      <c r="S523" s="250"/>
      <c r="T523" s="250"/>
      <c r="U523" s="212"/>
      <c r="V523" s="212"/>
      <c r="W523" s="212"/>
      <c r="X523" s="212"/>
      <c r="Y523" s="250"/>
      <c r="Z523" s="250"/>
      <c r="AA523" s="212"/>
      <c r="AB523" s="212"/>
      <c r="AC523" s="212"/>
      <c r="AD523" s="212"/>
      <c r="AE523" s="212"/>
      <c r="AF523" s="276">
        <f>$AF$68</f>
        <v>18</v>
      </c>
      <c r="AG523" s="277"/>
      <c r="AH523" s="1"/>
    </row>
    <row r="524" spans="1:34" ht="12.75">
      <c r="A524" s="10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85"/>
      <c r="U524" s="49"/>
      <c r="V524" s="49"/>
      <c r="Y524" s="85"/>
      <c r="Z524" s="49"/>
      <c r="AC524" s="49"/>
      <c r="AD524" s="49"/>
      <c r="AF524" s="49"/>
      <c r="AG524" s="49"/>
      <c r="AH524" s="11"/>
    </row>
    <row r="525" spans="2:33" ht="12.75"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85"/>
      <c r="U525" s="49"/>
      <c r="V525" s="49"/>
      <c r="Y525" s="85"/>
      <c r="Z525" s="49"/>
      <c r="AC525" s="49"/>
      <c r="AD525" s="49"/>
      <c r="AF525" s="49"/>
      <c r="AG525" s="49"/>
    </row>
    <row r="526" spans="2:33" ht="12.75"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85"/>
      <c r="U526" s="49"/>
      <c r="V526" s="49"/>
      <c r="W526" s="49"/>
      <c r="X526" s="49"/>
      <c r="Y526" s="85"/>
      <c r="Z526" s="49"/>
      <c r="AC526" s="49"/>
      <c r="AD526" s="49"/>
      <c r="AF526" s="49"/>
      <c r="AG526" s="49"/>
    </row>
    <row r="527" spans="2:33" ht="15.75">
      <c r="B527" s="224" t="s">
        <v>7</v>
      </c>
      <c r="C527" s="224"/>
      <c r="D527" s="224"/>
      <c r="E527" s="224"/>
      <c r="F527" s="224"/>
      <c r="G527" s="224"/>
      <c r="H527" s="53"/>
      <c r="I527" s="53"/>
      <c r="J527" s="53"/>
      <c r="K527" s="53">
        <v>4</v>
      </c>
      <c r="L527" s="53">
        <v>6</v>
      </c>
      <c r="M527" s="53">
        <v>20</v>
      </c>
      <c r="N527" s="53">
        <v>22</v>
      </c>
      <c r="O527" s="53">
        <v>10.5</v>
      </c>
      <c r="P527" s="53">
        <v>10.5</v>
      </c>
      <c r="Q527" s="101">
        <v>6</v>
      </c>
      <c r="R527" s="53">
        <v>6</v>
      </c>
      <c r="S527" s="94">
        <v>0.055</v>
      </c>
      <c r="T527" s="93">
        <v>0.055</v>
      </c>
      <c r="U527" s="101">
        <v>1.5</v>
      </c>
      <c r="V527" s="101">
        <v>1.5</v>
      </c>
      <c r="W527" s="101">
        <v>1.5</v>
      </c>
      <c r="X527" s="101">
        <v>1.5</v>
      </c>
      <c r="Y527" s="53">
        <v>1.75</v>
      </c>
      <c r="Z527" s="53">
        <v>1.75</v>
      </c>
      <c r="AA527" s="53">
        <v>1.75</v>
      </c>
      <c r="AB527" s="53">
        <v>1.75</v>
      </c>
      <c r="AC527" s="101"/>
      <c r="AD527" s="53"/>
      <c r="AF527" s="49"/>
      <c r="AG527" s="49"/>
    </row>
    <row r="528" spans="2:33" ht="15"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96">
        <f>O527/2</f>
        <v>5.25</v>
      </c>
      <c r="P528" s="96">
        <f>P527/2</f>
        <v>5.25</v>
      </c>
      <c r="Q528" s="53"/>
      <c r="R528" s="53"/>
      <c r="S528" s="85"/>
      <c r="T528" s="49"/>
      <c r="U528" s="49"/>
      <c r="V528" s="49"/>
      <c r="Y528" s="49"/>
      <c r="Z528" s="49"/>
      <c r="AC528" s="49"/>
      <c r="AD528" s="49"/>
      <c r="AF528" s="49"/>
      <c r="AG528" s="49"/>
    </row>
    <row r="529" spans="2:33" ht="15">
      <c r="B529" s="49"/>
      <c r="C529" s="49"/>
      <c r="D529" s="49"/>
      <c r="E529" s="49"/>
      <c r="F529" s="49"/>
      <c r="G529" s="49"/>
      <c r="H529" s="49"/>
      <c r="I529" s="49"/>
      <c r="J529" s="49"/>
      <c r="K529" s="348" t="s">
        <v>62</v>
      </c>
      <c r="L529" s="349"/>
      <c r="M529" s="349"/>
      <c r="N529" s="350"/>
      <c r="O529" s="122">
        <v>0.6</v>
      </c>
      <c r="P529" s="122">
        <v>0.4</v>
      </c>
      <c r="Q529" s="122">
        <f>$O529</f>
        <v>0.6</v>
      </c>
      <c r="R529" s="122">
        <f>$P529</f>
        <v>0.4</v>
      </c>
      <c r="S529" s="122">
        <f>$O529</f>
        <v>0.6</v>
      </c>
      <c r="T529" s="122">
        <f>$P529</f>
        <v>0.4</v>
      </c>
      <c r="U529" s="122">
        <f>$O529</f>
        <v>0.6</v>
      </c>
      <c r="V529" s="122">
        <f>$P529</f>
        <v>0.4</v>
      </c>
      <c r="W529" s="122">
        <f>$O529</f>
        <v>0.6</v>
      </c>
      <c r="X529" s="122">
        <f>$P529</f>
        <v>0.4</v>
      </c>
      <c r="Y529" s="122">
        <f>$O529</f>
        <v>0.6</v>
      </c>
      <c r="Z529" s="122">
        <f>$P529</f>
        <v>0.4</v>
      </c>
      <c r="AA529" s="122">
        <f>$O529</f>
        <v>0.6</v>
      </c>
      <c r="AB529" s="122">
        <f>$P529</f>
        <v>0.4</v>
      </c>
      <c r="AC529" s="122">
        <f>$O529</f>
        <v>0.6</v>
      </c>
      <c r="AD529" s="122">
        <f>$P529</f>
        <v>0.4</v>
      </c>
      <c r="AF529" s="49"/>
      <c r="AG529" s="49"/>
    </row>
    <row r="530" spans="2:33" ht="15">
      <c r="B530" s="49"/>
      <c r="C530" s="49"/>
      <c r="D530" s="49"/>
      <c r="E530" s="49"/>
      <c r="F530" s="49"/>
      <c r="G530" s="49"/>
      <c r="H530" s="49"/>
      <c r="I530" s="49"/>
      <c r="J530" s="49"/>
      <c r="K530" s="297" t="s">
        <v>63</v>
      </c>
      <c r="L530" s="298"/>
      <c r="M530" s="298"/>
      <c r="N530" s="298"/>
      <c r="O530" s="122">
        <v>0.5</v>
      </c>
      <c r="P530" s="122">
        <v>0.5</v>
      </c>
      <c r="Q530" s="122">
        <f>$O530</f>
        <v>0.5</v>
      </c>
      <c r="R530" s="122">
        <f>$P530</f>
        <v>0.5</v>
      </c>
      <c r="S530" s="122">
        <f>$O530</f>
        <v>0.5</v>
      </c>
      <c r="T530" s="122">
        <f>$P530</f>
        <v>0.5</v>
      </c>
      <c r="U530" s="122">
        <f>$O530</f>
        <v>0.5</v>
      </c>
      <c r="V530" s="122">
        <f>$P530</f>
        <v>0.5</v>
      </c>
      <c r="W530" s="122">
        <f>$O530</f>
        <v>0.5</v>
      </c>
      <c r="X530" s="122">
        <f>$P530</f>
        <v>0.5</v>
      </c>
      <c r="Y530" s="122">
        <f>$O530</f>
        <v>0.5</v>
      </c>
      <c r="Z530" s="122">
        <f>$P530</f>
        <v>0.5</v>
      </c>
      <c r="AA530" s="122">
        <f>$O530</f>
        <v>0.5</v>
      </c>
      <c r="AB530" s="122">
        <f>$P530</f>
        <v>0.5</v>
      </c>
      <c r="AC530" s="122">
        <f>$O530</f>
        <v>0.5</v>
      </c>
      <c r="AD530" s="122">
        <f>$P530</f>
        <v>0.5</v>
      </c>
      <c r="AF530" s="49"/>
      <c r="AG530" s="49"/>
    </row>
    <row r="531" spans="2:33" ht="15">
      <c r="B531" s="49"/>
      <c r="C531" s="49"/>
      <c r="D531" s="49"/>
      <c r="E531" s="49"/>
      <c r="F531" s="49"/>
      <c r="G531" s="49"/>
      <c r="H531" s="49"/>
      <c r="I531" s="49"/>
      <c r="J531" s="49"/>
      <c r="K531" s="79"/>
      <c r="L531" s="79"/>
      <c r="M531" s="79"/>
      <c r="N531" s="79"/>
      <c r="O531" s="79"/>
      <c r="P531" s="136"/>
      <c r="Q531" s="136"/>
      <c r="R531" s="136"/>
      <c r="S531" s="79"/>
      <c r="T531" s="137"/>
      <c r="U531" s="79"/>
      <c r="V531" s="79"/>
      <c r="W531" s="79"/>
      <c r="X531" s="79"/>
      <c r="Y531" s="79"/>
      <c r="Z531" s="79"/>
      <c r="AF531" s="49"/>
      <c r="AG531" s="49"/>
    </row>
    <row r="532" spans="2:33" ht="15" customHeight="1"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85"/>
      <c r="U532" s="49"/>
      <c r="V532" s="49"/>
      <c r="W532" s="49"/>
      <c r="X532" s="49"/>
      <c r="Y532" s="49"/>
      <c r="Z532" s="49"/>
      <c r="AF532" s="49"/>
      <c r="AG532" s="49"/>
    </row>
    <row r="533" spans="2:33" ht="15" customHeight="1"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85"/>
      <c r="U533" s="49"/>
      <c r="V533" s="49"/>
      <c r="W533" s="49"/>
      <c r="X533" s="49"/>
      <c r="Y533" s="49"/>
      <c r="Z533" s="49"/>
      <c r="AF533" s="49"/>
      <c r="AG533" s="49"/>
    </row>
    <row r="534" spans="1:34" s="3" customFormat="1" ht="36" customHeight="1" thickBot="1">
      <c r="A534" s="12"/>
      <c r="B534" s="54" t="s">
        <v>28</v>
      </c>
      <c r="C534" s="55"/>
      <c r="D534" s="55"/>
      <c r="E534" s="55"/>
      <c r="F534" s="55"/>
      <c r="G534" s="55"/>
      <c r="H534" s="55"/>
      <c r="I534" s="55"/>
      <c r="J534" s="55"/>
      <c r="K534" s="99"/>
      <c r="L534" s="99"/>
      <c r="M534" s="229">
        <v>26</v>
      </c>
      <c r="N534" s="229"/>
      <c r="O534" s="229">
        <v>26</v>
      </c>
      <c r="P534" s="229"/>
      <c r="Q534" s="229">
        <v>46</v>
      </c>
      <c r="R534" s="229"/>
      <c r="S534" s="99"/>
      <c r="T534" s="99"/>
      <c r="U534" s="99"/>
      <c r="V534" s="99"/>
      <c r="W534" s="99"/>
      <c r="X534" s="99"/>
      <c r="Y534" s="99"/>
      <c r="Z534" s="99"/>
      <c r="AF534" s="98"/>
      <c r="AG534" s="98"/>
      <c r="AH534" s="13"/>
    </row>
    <row r="535" spans="2:33" s="4" customFormat="1" ht="21.75" customHeight="1">
      <c r="B535" s="233" t="s">
        <v>0</v>
      </c>
      <c r="C535" s="235"/>
      <c r="D535" s="251" t="s">
        <v>3</v>
      </c>
      <c r="E535" s="251" t="s">
        <v>4</v>
      </c>
      <c r="F535" s="251" t="s">
        <v>5</v>
      </c>
      <c r="G535" s="254" t="s">
        <v>43</v>
      </c>
      <c r="H535" s="254" t="s">
        <v>45</v>
      </c>
      <c r="I535" s="251" t="s">
        <v>6</v>
      </c>
      <c r="J535" s="254" t="s">
        <v>26</v>
      </c>
      <c r="K535" s="58"/>
      <c r="L535" s="58"/>
      <c r="M535" s="216">
        <v>209</v>
      </c>
      <c r="N535" s="217"/>
      <c r="O535" s="216">
        <v>441</v>
      </c>
      <c r="P535" s="217"/>
      <c r="Q535" s="216">
        <v>609</v>
      </c>
      <c r="R535" s="217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282" t="s">
        <v>38</v>
      </c>
      <c r="AG535" s="282" t="s">
        <v>58</v>
      </c>
    </row>
    <row r="536" spans="2:33" s="4" customFormat="1" ht="27.75" customHeight="1">
      <c r="B536" s="293"/>
      <c r="C536" s="294"/>
      <c r="D536" s="252"/>
      <c r="E536" s="252"/>
      <c r="F536" s="252"/>
      <c r="G536" s="242"/>
      <c r="H536" s="242"/>
      <c r="I536" s="252"/>
      <c r="J536" s="255"/>
      <c r="K536" s="241"/>
      <c r="L536" s="241"/>
      <c r="M536" s="218" t="s">
        <v>72</v>
      </c>
      <c r="N536" s="219"/>
      <c r="O536" s="218" t="s">
        <v>134</v>
      </c>
      <c r="P536" s="219"/>
      <c r="Q536" s="218" t="s">
        <v>70</v>
      </c>
      <c r="R536" s="219"/>
      <c r="S536" s="241"/>
      <c r="T536" s="241"/>
      <c r="U536" s="241"/>
      <c r="V536" s="241"/>
      <c r="W536" s="241"/>
      <c r="X536" s="241"/>
      <c r="Y536" s="241"/>
      <c r="Z536" s="241"/>
      <c r="AA536" s="241"/>
      <c r="AB536" s="241"/>
      <c r="AC536" s="241"/>
      <c r="AD536" s="241"/>
      <c r="AE536" s="241"/>
      <c r="AF536" s="283"/>
      <c r="AG536" s="304"/>
    </row>
    <row r="537" spans="2:33" s="4" customFormat="1" ht="27.75" customHeight="1" thickBot="1">
      <c r="B537" s="293"/>
      <c r="C537" s="294"/>
      <c r="D537" s="252"/>
      <c r="E537" s="252"/>
      <c r="F537" s="252"/>
      <c r="G537" s="242"/>
      <c r="H537" s="242"/>
      <c r="I537" s="252"/>
      <c r="J537" s="255"/>
      <c r="K537" s="255"/>
      <c r="L537" s="255"/>
      <c r="M537" s="220"/>
      <c r="N537" s="221"/>
      <c r="O537" s="220"/>
      <c r="P537" s="221"/>
      <c r="Q537" s="220"/>
      <c r="R537" s="221"/>
      <c r="S537" s="255"/>
      <c r="T537" s="242"/>
      <c r="U537" s="242"/>
      <c r="V537" s="242"/>
      <c r="W537" s="242"/>
      <c r="X537" s="242"/>
      <c r="Y537" s="242"/>
      <c r="Z537" s="242"/>
      <c r="AA537" s="242"/>
      <c r="AB537" s="242"/>
      <c r="AC537" s="242"/>
      <c r="AD537" s="242"/>
      <c r="AE537" s="242"/>
      <c r="AF537" s="284"/>
      <c r="AG537" s="304"/>
    </row>
    <row r="538" spans="2:33" s="4" customFormat="1" ht="27.75" customHeight="1">
      <c r="B538" s="293"/>
      <c r="C538" s="294"/>
      <c r="D538" s="252"/>
      <c r="E538" s="252"/>
      <c r="F538" s="252"/>
      <c r="G538" s="242"/>
      <c r="H538" s="242"/>
      <c r="I538" s="252"/>
      <c r="J538" s="255"/>
      <c r="K538" s="255"/>
      <c r="L538" s="255"/>
      <c r="M538" s="220"/>
      <c r="N538" s="221"/>
      <c r="O538" s="220"/>
      <c r="P538" s="221"/>
      <c r="Q538" s="220"/>
      <c r="R538" s="221"/>
      <c r="S538" s="255"/>
      <c r="T538" s="242"/>
      <c r="U538" s="242"/>
      <c r="V538" s="242"/>
      <c r="W538" s="242"/>
      <c r="X538" s="242"/>
      <c r="Y538" s="242"/>
      <c r="Z538" s="242"/>
      <c r="AA538" s="242"/>
      <c r="AB538" s="242"/>
      <c r="AC538" s="242"/>
      <c r="AD538" s="242"/>
      <c r="AE538" s="242"/>
      <c r="AF538" s="269" t="s">
        <v>8</v>
      </c>
      <c r="AG538" s="270"/>
    </row>
    <row r="539" spans="2:33" s="4" customFormat="1" ht="27.75" customHeight="1">
      <c r="B539" s="293"/>
      <c r="C539" s="294"/>
      <c r="D539" s="252"/>
      <c r="E539" s="252"/>
      <c r="F539" s="252"/>
      <c r="G539" s="242"/>
      <c r="H539" s="242"/>
      <c r="I539" s="252"/>
      <c r="J539" s="255"/>
      <c r="K539" s="255"/>
      <c r="L539" s="255"/>
      <c r="M539" s="220"/>
      <c r="N539" s="221"/>
      <c r="O539" s="220"/>
      <c r="P539" s="221"/>
      <c r="Q539" s="220"/>
      <c r="R539" s="221"/>
      <c r="S539" s="255"/>
      <c r="T539" s="242"/>
      <c r="U539" s="242"/>
      <c r="V539" s="242"/>
      <c r="W539" s="242"/>
      <c r="X539" s="242"/>
      <c r="Y539" s="242"/>
      <c r="Z539" s="242"/>
      <c r="AA539" s="242"/>
      <c r="AB539" s="242"/>
      <c r="AC539" s="242"/>
      <c r="AD539" s="242"/>
      <c r="AE539" s="242"/>
      <c r="AF539" s="271"/>
      <c r="AG539" s="272"/>
    </row>
    <row r="540" spans="2:33" s="4" customFormat="1" ht="27.75" customHeight="1">
      <c r="B540" s="293"/>
      <c r="C540" s="294"/>
      <c r="D540" s="252"/>
      <c r="E540" s="252"/>
      <c r="F540" s="252"/>
      <c r="G540" s="242"/>
      <c r="H540" s="242"/>
      <c r="I540" s="252"/>
      <c r="J540" s="255"/>
      <c r="K540" s="255"/>
      <c r="L540" s="255"/>
      <c r="M540" s="220"/>
      <c r="N540" s="221"/>
      <c r="O540" s="220"/>
      <c r="P540" s="221"/>
      <c r="Q540" s="220"/>
      <c r="R540" s="221"/>
      <c r="S540" s="255"/>
      <c r="T540" s="242"/>
      <c r="U540" s="242"/>
      <c r="V540" s="242"/>
      <c r="W540" s="242"/>
      <c r="X540" s="242"/>
      <c r="Y540" s="242"/>
      <c r="Z540" s="242"/>
      <c r="AA540" s="242"/>
      <c r="AB540" s="242"/>
      <c r="AC540" s="242"/>
      <c r="AD540" s="242"/>
      <c r="AE540" s="242"/>
      <c r="AF540" s="271"/>
      <c r="AG540" s="272"/>
    </row>
    <row r="541" spans="2:33" s="4" customFormat="1" ht="27.75" customHeight="1">
      <c r="B541" s="293"/>
      <c r="C541" s="294"/>
      <c r="D541" s="252"/>
      <c r="E541" s="252"/>
      <c r="F541" s="252"/>
      <c r="G541" s="242"/>
      <c r="H541" s="242"/>
      <c r="I541" s="252"/>
      <c r="J541" s="255"/>
      <c r="K541" s="255"/>
      <c r="L541" s="255"/>
      <c r="M541" s="220"/>
      <c r="N541" s="221"/>
      <c r="O541" s="220"/>
      <c r="P541" s="221"/>
      <c r="Q541" s="220"/>
      <c r="R541" s="221"/>
      <c r="S541" s="255"/>
      <c r="T541" s="242"/>
      <c r="U541" s="242"/>
      <c r="V541" s="242"/>
      <c r="W541" s="242"/>
      <c r="X541" s="242"/>
      <c r="Y541" s="242"/>
      <c r="Z541" s="242"/>
      <c r="AA541" s="242"/>
      <c r="AB541" s="242"/>
      <c r="AC541" s="242"/>
      <c r="AD541" s="242"/>
      <c r="AE541" s="242"/>
      <c r="AF541" s="271"/>
      <c r="AG541" s="272"/>
    </row>
    <row r="542" spans="2:33" s="4" customFormat="1" ht="27.75" customHeight="1">
      <c r="B542" s="293"/>
      <c r="C542" s="294"/>
      <c r="D542" s="252"/>
      <c r="E542" s="252"/>
      <c r="F542" s="252"/>
      <c r="G542" s="242"/>
      <c r="H542" s="242"/>
      <c r="I542" s="252"/>
      <c r="J542" s="255"/>
      <c r="K542" s="255"/>
      <c r="L542" s="255"/>
      <c r="M542" s="220"/>
      <c r="N542" s="221"/>
      <c r="O542" s="220"/>
      <c r="P542" s="221"/>
      <c r="Q542" s="220"/>
      <c r="R542" s="221"/>
      <c r="S542" s="255"/>
      <c r="T542" s="242"/>
      <c r="U542" s="242"/>
      <c r="V542" s="242"/>
      <c r="W542" s="242"/>
      <c r="X542" s="242"/>
      <c r="Y542" s="242"/>
      <c r="Z542" s="242"/>
      <c r="AA542" s="242"/>
      <c r="AB542" s="242"/>
      <c r="AC542" s="242"/>
      <c r="AD542" s="242"/>
      <c r="AE542" s="242"/>
      <c r="AF542" s="271"/>
      <c r="AG542" s="272"/>
    </row>
    <row r="543" spans="2:33" s="5" customFormat="1" ht="27.75" customHeight="1">
      <c r="B543" s="295"/>
      <c r="C543" s="296"/>
      <c r="D543" s="253"/>
      <c r="E543" s="253"/>
      <c r="F543" s="253"/>
      <c r="G543" s="243"/>
      <c r="H543" s="243"/>
      <c r="I543" s="253"/>
      <c r="J543" s="256"/>
      <c r="K543" s="256"/>
      <c r="L543" s="256"/>
      <c r="M543" s="222"/>
      <c r="N543" s="223"/>
      <c r="O543" s="222"/>
      <c r="P543" s="223"/>
      <c r="Q543" s="222"/>
      <c r="R543" s="223"/>
      <c r="S543" s="256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71"/>
      <c r="AG543" s="272"/>
    </row>
    <row r="544" spans="2:33" s="7" customFormat="1" ht="21.75" customHeight="1" thickBot="1">
      <c r="B544" s="56" t="s">
        <v>1</v>
      </c>
      <c r="C544" s="56" t="s">
        <v>2</v>
      </c>
      <c r="D544" s="57"/>
      <c r="E544" s="57" t="s">
        <v>14</v>
      </c>
      <c r="F544" s="57" t="s">
        <v>14</v>
      </c>
      <c r="G544" s="57"/>
      <c r="H544" s="57"/>
      <c r="I544" s="57" t="s">
        <v>21</v>
      </c>
      <c r="J544" s="57" t="s">
        <v>21</v>
      </c>
      <c r="K544" s="57"/>
      <c r="L544" s="57"/>
      <c r="M544" s="208" t="s">
        <v>147</v>
      </c>
      <c r="N544" s="210"/>
      <c r="O544" s="208" t="s">
        <v>20</v>
      </c>
      <c r="P544" s="210"/>
      <c r="Q544" s="208" t="s">
        <v>40</v>
      </c>
      <c r="R544" s="210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271"/>
      <c r="AG544" s="272"/>
    </row>
    <row r="545" spans="1:33" s="4" customFormat="1" ht="21.75" customHeight="1">
      <c r="A545" s="30">
        <v>1</v>
      </c>
      <c r="B545" s="291"/>
      <c r="C545" s="292"/>
      <c r="D545" s="42"/>
      <c r="E545" s="42"/>
      <c r="F545" s="42"/>
      <c r="G545" s="42"/>
      <c r="H545" s="42"/>
      <c r="I545" s="43"/>
      <c r="J545" s="58"/>
      <c r="K545" s="346"/>
      <c r="L545" s="346"/>
      <c r="M545" s="227" t="s">
        <v>59</v>
      </c>
      <c r="N545" s="227" t="s">
        <v>92</v>
      </c>
      <c r="O545" s="227" t="s">
        <v>59</v>
      </c>
      <c r="P545" s="227" t="s">
        <v>92</v>
      </c>
      <c r="Q545" s="227" t="s">
        <v>59</v>
      </c>
      <c r="R545" s="227" t="s">
        <v>92</v>
      </c>
      <c r="S545" s="289"/>
      <c r="T545" s="289"/>
      <c r="U545" s="289"/>
      <c r="V545" s="289"/>
      <c r="W545" s="289"/>
      <c r="X545" s="289"/>
      <c r="Y545" s="289"/>
      <c r="Z545" s="289"/>
      <c r="AA545" s="227"/>
      <c r="AB545" s="227"/>
      <c r="AC545" s="227"/>
      <c r="AD545" s="227"/>
      <c r="AE545" s="227"/>
      <c r="AF545" s="271"/>
      <c r="AG545" s="272"/>
    </row>
    <row r="546" spans="1:33" s="4" customFormat="1" ht="21.75" customHeight="1">
      <c r="A546" s="30">
        <v>2</v>
      </c>
      <c r="B546" s="230" t="s">
        <v>71</v>
      </c>
      <c r="C546" s="231"/>
      <c r="D546" s="231"/>
      <c r="E546" s="231"/>
      <c r="F546" s="231"/>
      <c r="G546" s="231"/>
      <c r="H546" s="231"/>
      <c r="I546" s="232"/>
      <c r="J546" s="39"/>
      <c r="K546" s="347"/>
      <c r="L546" s="347"/>
      <c r="M546" s="228"/>
      <c r="N546" s="228"/>
      <c r="O546" s="228"/>
      <c r="P546" s="228"/>
      <c r="Q546" s="228"/>
      <c r="R546" s="228"/>
      <c r="S546" s="290"/>
      <c r="T546" s="290"/>
      <c r="U546" s="290"/>
      <c r="V546" s="290"/>
      <c r="W546" s="290"/>
      <c r="X546" s="290"/>
      <c r="Y546" s="290"/>
      <c r="Z546" s="290"/>
      <c r="AA546" s="228"/>
      <c r="AB546" s="228"/>
      <c r="AC546" s="228"/>
      <c r="AD546" s="228"/>
      <c r="AE546" s="228"/>
      <c r="AF546" s="271"/>
      <c r="AG546" s="272"/>
    </row>
    <row r="547" spans="1:33" s="4" customFormat="1" ht="21.75" customHeight="1">
      <c r="A547" s="30">
        <v>3</v>
      </c>
      <c r="B547" s="67" t="s">
        <v>36</v>
      </c>
      <c r="C547" s="46"/>
      <c r="D547" s="39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71"/>
      <c r="AG547" s="272"/>
    </row>
    <row r="548" spans="1:33" s="4" customFormat="1" ht="21.75" customHeight="1">
      <c r="A548" s="30">
        <v>4</v>
      </c>
      <c r="B548" s="37">
        <v>417005.7</v>
      </c>
      <c r="C548" s="38">
        <v>417085.14</v>
      </c>
      <c r="D548" s="39" t="s">
        <v>16</v>
      </c>
      <c r="E548" s="213" t="s">
        <v>13</v>
      </c>
      <c r="F548" s="214"/>
      <c r="G548" s="214"/>
      <c r="H548" s="214"/>
      <c r="I548" s="215"/>
      <c r="J548" s="24">
        <v>756.66</v>
      </c>
      <c r="K548" s="24"/>
      <c r="L548" s="24"/>
      <c r="M548" s="24"/>
      <c r="N548" s="61"/>
      <c r="O548" s="24"/>
      <c r="P548" s="24"/>
      <c r="Q548" s="24">
        <f aca="true" t="shared" si="191" ref="Q548:R550">ROUND(($J548/9)*Q$606,2)</f>
        <v>50.44</v>
      </c>
      <c r="R548" s="24">
        <f t="shared" si="191"/>
        <v>33.63</v>
      </c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71"/>
      <c r="AG548" s="272"/>
    </row>
    <row r="549" spans="1:33" s="4" customFormat="1" ht="21.75" customHeight="1">
      <c r="A549" s="30">
        <v>5</v>
      </c>
      <c r="B549" s="38">
        <v>418118.33</v>
      </c>
      <c r="C549" s="38">
        <v>419157.05</v>
      </c>
      <c r="D549" s="39" t="s">
        <v>16</v>
      </c>
      <c r="E549" s="213" t="s">
        <v>13</v>
      </c>
      <c r="F549" s="214"/>
      <c r="G549" s="214"/>
      <c r="H549" s="214"/>
      <c r="I549" s="215"/>
      <c r="J549" s="24">
        <v>15666.72</v>
      </c>
      <c r="K549" s="24"/>
      <c r="L549" s="24"/>
      <c r="M549" s="24"/>
      <c r="N549" s="61"/>
      <c r="O549" s="24"/>
      <c r="P549" s="24"/>
      <c r="Q549" s="24">
        <f t="shared" si="191"/>
        <v>1044.45</v>
      </c>
      <c r="R549" s="24">
        <f t="shared" si="191"/>
        <v>696.3</v>
      </c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71"/>
      <c r="AG549" s="272"/>
    </row>
    <row r="550" spans="1:33" s="4" customFormat="1" ht="21.75" customHeight="1">
      <c r="A550" s="30">
        <v>6</v>
      </c>
      <c r="B550" s="38">
        <v>419272.36</v>
      </c>
      <c r="C550" s="38">
        <v>419744.64</v>
      </c>
      <c r="D550" s="39" t="s">
        <v>16</v>
      </c>
      <c r="E550" s="213" t="s">
        <v>13</v>
      </c>
      <c r="F550" s="214"/>
      <c r="G550" s="214"/>
      <c r="H550" s="214"/>
      <c r="I550" s="215"/>
      <c r="J550" s="39">
        <v>7259.66</v>
      </c>
      <c r="K550" s="24"/>
      <c r="L550" s="24"/>
      <c r="M550" s="24"/>
      <c r="N550" s="61"/>
      <c r="O550" s="24"/>
      <c r="P550" s="24"/>
      <c r="Q550" s="24">
        <f t="shared" si="191"/>
        <v>483.98</v>
      </c>
      <c r="R550" s="24">
        <f t="shared" si="191"/>
        <v>322.65</v>
      </c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71"/>
      <c r="AG550" s="272"/>
    </row>
    <row r="551" spans="1:33" s="4" customFormat="1" ht="21.75" customHeight="1">
      <c r="A551" s="30">
        <v>7</v>
      </c>
      <c r="B551" s="38"/>
      <c r="C551" s="38"/>
      <c r="D551" s="39"/>
      <c r="E551" s="24"/>
      <c r="F551" s="24"/>
      <c r="G551" s="24"/>
      <c r="H551" s="24"/>
      <c r="I551" s="24"/>
      <c r="J551" s="39"/>
      <c r="K551" s="24"/>
      <c r="L551" s="24"/>
      <c r="M551" s="24"/>
      <c r="N551" s="61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71"/>
      <c r="AG551" s="272"/>
    </row>
    <row r="552" spans="1:33" s="4" customFormat="1" ht="21.75" customHeight="1">
      <c r="A552" s="30">
        <v>8</v>
      </c>
      <c r="B552" s="67" t="s">
        <v>52</v>
      </c>
      <c r="C552" s="46"/>
      <c r="D552" s="39"/>
      <c r="E552" s="24"/>
      <c r="F552" s="24"/>
      <c r="G552" s="24"/>
      <c r="H552" s="24"/>
      <c r="I552" s="24"/>
      <c r="J552" s="39"/>
      <c r="K552" s="24"/>
      <c r="L552" s="24"/>
      <c r="M552" s="24"/>
      <c r="N552" s="61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71"/>
      <c r="AG552" s="272"/>
    </row>
    <row r="553" spans="1:33" s="4" customFormat="1" ht="21.75" customHeight="1">
      <c r="A553" s="30">
        <v>9</v>
      </c>
      <c r="B553" s="38">
        <v>600496.45</v>
      </c>
      <c r="C553" s="38">
        <v>600566.44</v>
      </c>
      <c r="D553" s="39" t="s">
        <v>17</v>
      </c>
      <c r="E553" s="24">
        <f>C553-B553</f>
        <v>69.98999999999069</v>
      </c>
      <c r="F553" s="24">
        <v>5</v>
      </c>
      <c r="G553" s="105">
        <f>ROUND((2706.8872+12+8.5+($F553/2))/2706.8872,4)</f>
        <v>1.0085</v>
      </c>
      <c r="H553" s="105">
        <f>ROUND((2706.8872+12+8.5+($F553))/2706.8872,4)</f>
        <v>1.0094</v>
      </c>
      <c r="I553" s="24">
        <f>IF(G553=0,ROUND($E553*$F553,2),ROUND($E553*$F553*$G553,2))</f>
        <v>352.92</v>
      </c>
      <c r="J553" s="39"/>
      <c r="K553" s="24"/>
      <c r="L553" s="24"/>
      <c r="M553" s="24"/>
      <c r="N553" s="61"/>
      <c r="O553" s="24"/>
      <c r="P553" s="24"/>
      <c r="Q553" s="24">
        <f>ROUND(($I553/9),2)</f>
        <v>39.21</v>
      </c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71"/>
      <c r="AG553" s="272"/>
    </row>
    <row r="554" spans="1:33" s="4" customFormat="1" ht="21.75" customHeight="1">
      <c r="A554" s="30">
        <v>10</v>
      </c>
      <c r="B554" s="38">
        <f>C553</f>
        <v>600566.44</v>
      </c>
      <c r="C554" s="38">
        <v>600603.73</v>
      </c>
      <c r="D554" s="39" t="s">
        <v>17</v>
      </c>
      <c r="E554" s="24">
        <f>C554-B554</f>
        <v>37.29000000003725</v>
      </c>
      <c r="F554" s="24">
        <v>5</v>
      </c>
      <c r="G554" s="105">
        <f>ROUND((2706.8872+12+8.5+($F554/2))/2706.8872,4)</f>
        <v>1.0085</v>
      </c>
      <c r="H554" s="105">
        <f>ROUND((2706.8872+12+8.5+($F554))/2706.8872,4)</f>
        <v>1.0094</v>
      </c>
      <c r="I554" s="24">
        <f>IF(G554=0,ROUND($E554*$F554,2),ROUND($E554*$F554*$G554,2))</f>
        <v>188.03</v>
      </c>
      <c r="J554" s="39"/>
      <c r="K554" s="24"/>
      <c r="L554" s="24"/>
      <c r="M554" s="24"/>
      <c r="N554" s="61"/>
      <c r="O554" s="24"/>
      <c r="P554" s="24"/>
      <c r="Q554" s="24">
        <f>ROUND(($I554/9),2)</f>
        <v>20.89</v>
      </c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71"/>
      <c r="AG554" s="272"/>
    </row>
    <row r="555" spans="1:33" s="4" customFormat="1" ht="21.75" customHeight="1">
      <c r="A555" s="30">
        <v>11</v>
      </c>
      <c r="B555" s="38"/>
      <c r="C555" s="38"/>
      <c r="D555" s="39"/>
      <c r="E555" s="24"/>
      <c r="F555" s="24"/>
      <c r="G555" s="24"/>
      <c r="H555" s="24"/>
      <c r="I555" s="24"/>
      <c r="J555" s="24"/>
      <c r="K555" s="24"/>
      <c r="L555" s="24"/>
      <c r="M555" s="24"/>
      <c r="N555" s="61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71"/>
      <c r="AG555" s="272"/>
    </row>
    <row r="556" spans="1:33" s="4" customFormat="1" ht="21.75" customHeight="1">
      <c r="A556" s="30">
        <v>12</v>
      </c>
      <c r="B556" s="67" t="s">
        <v>53</v>
      </c>
      <c r="C556" s="46"/>
      <c r="D556" s="39"/>
      <c r="E556" s="24"/>
      <c r="F556" s="24"/>
      <c r="G556" s="24"/>
      <c r="H556" s="24"/>
      <c r="I556" s="24"/>
      <c r="J556" s="24"/>
      <c r="K556" s="24"/>
      <c r="L556" s="24"/>
      <c r="M556" s="24"/>
      <c r="N556" s="61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71"/>
      <c r="AG556" s="272"/>
    </row>
    <row r="557" spans="1:33" s="4" customFormat="1" ht="21.75" customHeight="1">
      <c r="A557" s="30">
        <v>13</v>
      </c>
      <c r="B557" s="37">
        <v>20004.24</v>
      </c>
      <c r="C557" s="38">
        <v>20041.44</v>
      </c>
      <c r="D557" s="39" t="s">
        <v>17</v>
      </c>
      <c r="E557" s="24">
        <f>C557-B557</f>
        <v>37.19999999999709</v>
      </c>
      <c r="F557" s="66">
        <v>5.5</v>
      </c>
      <c r="G557" s="107"/>
      <c r="H557" s="24"/>
      <c r="I557" s="24">
        <f>IF(G557=0,ROUND($E557*$F557,2),ROUND($E557*$F557*$G557,2))</f>
        <v>204.6</v>
      </c>
      <c r="J557" s="39"/>
      <c r="K557" s="24"/>
      <c r="L557" s="24"/>
      <c r="M557" s="24"/>
      <c r="N557" s="61"/>
      <c r="O557" s="24"/>
      <c r="P557" s="24"/>
      <c r="Q557" s="24">
        <f>ROUND(($I557/9),2)</f>
        <v>22.73</v>
      </c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71"/>
      <c r="AG557" s="272"/>
    </row>
    <row r="558" spans="1:33" s="16" customFormat="1" ht="21.75" customHeight="1">
      <c r="A558" s="30">
        <v>14</v>
      </c>
      <c r="B558" s="38">
        <f>C557</f>
        <v>20041.44</v>
      </c>
      <c r="C558" s="38">
        <v>20081.63</v>
      </c>
      <c r="D558" s="39" t="s">
        <v>17</v>
      </c>
      <c r="E558" s="213" t="s">
        <v>13</v>
      </c>
      <c r="F558" s="214"/>
      <c r="G558" s="214"/>
      <c r="H558" s="214"/>
      <c r="I558" s="215"/>
      <c r="J558" s="24">
        <v>308.988</v>
      </c>
      <c r="K558" s="24"/>
      <c r="L558" s="24"/>
      <c r="M558" s="24"/>
      <c r="N558" s="61"/>
      <c r="O558" s="24"/>
      <c r="P558" s="24"/>
      <c r="Q558" s="24">
        <f>ROUND(($J558/9),2)</f>
        <v>34.33</v>
      </c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71"/>
      <c r="AG558" s="272"/>
    </row>
    <row r="559" spans="1:33" s="16" customFormat="1" ht="21.75" customHeight="1">
      <c r="A559" s="30">
        <v>15</v>
      </c>
      <c r="B559" s="38">
        <f>C558</f>
        <v>20081.63</v>
      </c>
      <c r="C559" s="38">
        <v>20088.64</v>
      </c>
      <c r="D559" s="39" t="s">
        <v>17</v>
      </c>
      <c r="E559" s="24">
        <f>C559-B559</f>
        <v>7.009999999998399</v>
      </c>
      <c r="F559" s="66">
        <f>ROUND((9.5+2.5)/2,2)</f>
        <v>6</v>
      </c>
      <c r="G559" s="24"/>
      <c r="H559" s="24"/>
      <c r="I559" s="24">
        <f>IF(G559=0,ROUND($E559*$F559,2),ROUND($E559*$F559*$G559,2))</f>
        <v>42.06</v>
      </c>
      <c r="J559" s="24"/>
      <c r="K559" s="24"/>
      <c r="L559" s="24"/>
      <c r="M559" s="24"/>
      <c r="N559" s="61"/>
      <c r="O559" s="24"/>
      <c r="P559" s="24"/>
      <c r="Q559" s="24">
        <f>ROUND(($I559/9),2)</f>
        <v>4.67</v>
      </c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71"/>
      <c r="AG559" s="272"/>
    </row>
    <row r="560" spans="1:33" s="16" customFormat="1" ht="21.75" customHeight="1">
      <c r="A560" s="30">
        <v>16</v>
      </c>
      <c r="B560" s="38">
        <f>C559</f>
        <v>20088.64</v>
      </c>
      <c r="C560" s="46">
        <v>20210.14</v>
      </c>
      <c r="D560" s="39" t="s">
        <v>17</v>
      </c>
      <c r="E560" s="24">
        <f>C560-B560</f>
        <v>121.5</v>
      </c>
      <c r="F560" s="24">
        <v>2.5</v>
      </c>
      <c r="G560" s="24"/>
      <c r="H560" s="24"/>
      <c r="I560" s="24">
        <f>IF(G560=0,ROUND($E560*$F560,2),ROUND($E560*$F560*$G560,2))</f>
        <v>303.75</v>
      </c>
      <c r="J560" s="24"/>
      <c r="K560" s="24"/>
      <c r="L560" s="24"/>
      <c r="M560" s="24"/>
      <c r="N560" s="61"/>
      <c r="O560" s="24"/>
      <c r="P560" s="24"/>
      <c r="Q560" s="24">
        <f>ROUND(($I560/9),2)</f>
        <v>33.75</v>
      </c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71"/>
      <c r="AG560" s="272"/>
    </row>
    <row r="561" spans="1:33" s="16" customFormat="1" ht="21.75" customHeight="1">
      <c r="A561" s="30">
        <v>17</v>
      </c>
      <c r="B561" s="38">
        <f>C560</f>
        <v>20210.14</v>
      </c>
      <c r="C561" s="38">
        <v>20217.15</v>
      </c>
      <c r="D561" s="39" t="s">
        <v>17</v>
      </c>
      <c r="E561" s="24">
        <f>C561-B561</f>
        <v>7.010000000002037</v>
      </c>
      <c r="F561" s="66">
        <f>ROUND((9.5+2.5)/2,2)</f>
        <v>6</v>
      </c>
      <c r="G561" s="24"/>
      <c r="H561" s="24"/>
      <c r="I561" s="24">
        <f>IF(G561=0,ROUND($E561*$F561,2),ROUND($E561*$F561*$G561,2))</f>
        <v>42.06</v>
      </c>
      <c r="J561" s="24"/>
      <c r="K561" s="24"/>
      <c r="L561" s="24"/>
      <c r="M561" s="24"/>
      <c r="N561" s="61"/>
      <c r="O561" s="24"/>
      <c r="P561" s="24"/>
      <c r="Q561" s="24">
        <f>ROUND(($I561/9),2)</f>
        <v>4.67</v>
      </c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71"/>
      <c r="AG561" s="272"/>
    </row>
    <row r="562" spans="1:33" s="4" customFormat="1" ht="21.75" customHeight="1">
      <c r="A562" s="30">
        <v>18</v>
      </c>
      <c r="B562" s="38">
        <f>C561</f>
        <v>20217.15</v>
      </c>
      <c r="C562" s="38">
        <v>20245.73</v>
      </c>
      <c r="D562" s="39" t="s">
        <v>17</v>
      </c>
      <c r="E562" s="24">
        <f>C562-B562</f>
        <v>28.57999999999811</v>
      </c>
      <c r="F562" s="66">
        <f>ROUND((9.5+6.1199)/2,2)</f>
        <v>7.81</v>
      </c>
      <c r="G562" s="24"/>
      <c r="H562" s="24"/>
      <c r="I562" s="24">
        <f>IF(G562=0,ROUND($E562*$F562,2),ROUND($E562*$F562*$G562,2))</f>
        <v>223.21</v>
      </c>
      <c r="J562" s="24"/>
      <c r="K562" s="24"/>
      <c r="L562" s="24"/>
      <c r="M562" s="24"/>
      <c r="N562" s="61"/>
      <c r="O562" s="24"/>
      <c r="P562" s="24"/>
      <c r="Q562" s="24">
        <f>ROUND(($I562/9),2)</f>
        <v>24.8</v>
      </c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71"/>
      <c r="AG562" s="272"/>
    </row>
    <row r="563" spans="1:33" s="4" customFormat="1" ht="21.75" customHeight="1">
      <c r="A563" s="30">
        <v>19</v>
      </c>
      <c r="B563" s="38"/>
      <c r="C563" s="38"/>
      <c r="D563" s="39"/>
      <c r="E563" s="24"/>
      <c r="F563" s="24"/>
      <c r="G563" s="24"/>
      <c r="H563" s="24"/>
      <c r="I563" s="24"/>
      <c r="J563" s="24"/>
      <c r="K563" s="24"/>
      <c r="L563" s="24"/>
      <c r="M563" s="24"/>
      <c r="N563" s="61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71"/>
      <c r="AG563" s="272"/>
    </row>
    <row r="564" spans="1:33" s="4" customFormat="1" ht="21.75" customHeight="1">
      <c r="A564" s="30">
        <v>20</v>
      </c>
      <c r="B564" s="230" t="s">
        <v>69</v>
      </c>
      <c r="C564" s="231"/>
      <c r="D564" s="231"/>
      <c r="E564" s="231"/>
      <c r="F564" s="231"/>
      <c r="G564" s="231"/>
      <c r="H564" s="231"/>
      <c r="I564" s="232"/>
      <c r="J564" s="24"/>
      <c r="K564" s="24"/>
      <c r="L564" s="24"/>
      <c r="M564" s="24"/>
      <c r="N564" s="61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71"/>
      <c r="AG564" s="272"/>
    </row>
    <row r="565" spans="1:33" s="4" customFormat="1" ht="21.75" customHeight="1">
      <c r="A565" s="30">
        <v>21</v>
      </c>
      <c r="B565" s="67" t="s">
        <v>36</v>
      </c>
      <c r="C565" s="46"/>
      <c r="D565" s="39"/>
      <c r="E565" s="24"/>
      <c r="F565" s="24"/>
      <c r="G565" s="24"/>
      <c r="H565" s="24"/>
      <c r="I565" s="24"/>
      <c r="J565" s="24"/>
      <c r="K565" s="24"/>
      <c r="L565" s="24"/>
      <c r="M565" s="24"/>
      <c r="N565" s="61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71"/>
      <c r="AG565" s="272"/>
    </row>
    <row r="566" spans="1:33" s="4" customFormat="1" ht="21.75" customHeight="1">
      <c r="A566" s="30">
        <v>22</v>
      </c>
      <c r="B566" s="38">
        <v>415788.17</v>
      </c>
      <c r="C566" s="38">
        <v>415818.16</v>
      </c>
      <c r="D566" s="39" t="s">
        <v>16</v>
      </c>
      <c r="E566" s="24">
        <f>C566-B566</f>
        <v>29.989999999990687</v>
      </c>
      <c r="F566" s="24">
        <v>4.5</v>
      </c>
      <c r="G566" s="105"/>
      <c r="H566" s="105"/>
      <c r="I566" s="24">
        <f>IF(G566=0,ROUND($E566*$F566,2),ROUND($E566*$F566*$G566,2))</f>
        <v>134.95</v>
      </c>
      <c r="J566" s="39"/>
      <c r="K566" s="24"/>
      <c r="L566" s="24"/>
      <c r="M566" s="24">
        <f>ROUND($E566*M$606/M$604,2)</f>
        <v>0.18</v>
      </c>
      <c r="N566" s="24">
        <f>ROUND($E566*N$606/N$604,2)</f>
        <v>0.12</v>
      </c>
      <c r="O566" s="24">
        <f aca="true" t="shared" si="192" ref="O566:P570">ROUND(((($I566)*(O$604/12))/27)*O$606,2)</f>
        <v>0.5</v>
      </c>
      <c r="P566" s="24">
        <f t="shared" si="192"/>
        <v>0.33</v>
      </c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71"/>
      <c r="AG566" s="272"/>
    </row>
    <row r="567" spans="1:33" s="4" customFormat="1" ht="21.75" customHeight="1">
      <c r="A567" s="30">
        <v>23</v>
      </c>
      <c r="B567" s="38">
        <f>C566</f>
        <v>415818.16</v>
      </c>
      <c r="C567" s="46">
        <v>415984.5</v>
      </c>
      <c r="D567" s="39" t="s">
        <v>16</v>
      </c>
      <c r="E567" s="24">
        <f aca="true" t="shared" si="193" ref="E567:E573">C567-B567</f>
        <v>166.3400000000256</v>
      </c>
      <c r="F567" s="24">
        <v>5</v>
      </c>
      <c r="G567" s="105"/>
      <c r="H567" s="105"/>
      <c r="I567" s="24">
        <f>IF(G567=0,ROUND($E567*$F567,2),ROUND($E567*$F567*$G567,2))</f>
        <v>831.7</v>
      </c>
      <c r="J567" s="24"/>
      <c r="K567" s="24"/>
      <c r="L567" s="24"/>
      <c r="M567" s="24">
        <f aca="true" t="shared" si="194" ref="M567:N573">ROUND($E567*M$606/M$604,2)</f>
        <v>1</v>
      </c>
      <c r="N567" s="24">
        <f t="shared" si="194"/>
        <v>0.67</v>
      </c>
      <c r="O567" s="24">
        <f t="shared" si="192"/>
        <v>3.08</v>
      </c>
      <c r="P567" s="24">
        <f t="shared" si="192"/>
        <v>2.05</v>
      </c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71"/>
      <c r="AG567" s="272"/>
    </row>
    <row r="568" spans="1:33" s="4" customFormat="1" ht="21.75" customHeight="1">
      <c r="A568" s="30">
        <v>24</v>
      </c>
      <c r="B568" s="38">
        <f>C567</f>
        <v>415984.5</v>
      </c>
      <c r="C568" s="38">
        <v>416144.1</v>
      </c>
      <c r="D568" s="39" t="s">
        <v>16</v>
      </c>
      <c r="E568" s="24">
        <f t="shared" si="193"/>
        <v>159.59999999997672</v>
      </c>
      <c r="F568" s="24">
        <v>5</v>
      </c>
      <c r="G568" s="105">
        <f>ROUND((1897.859-24-10.72-($F568/2))/1897.859,4)</f>
        <v>0.9804</v>
      </c>
      <c r="H568" s="105"/>
      <c r="I568" s="24">
        <f>IF(G568=0,ROUND($E568*$F568,2),ROUND($E568*$F568*$G568,2))</f>
        <v>782.36</v>
      </c>
      <c r="J568" s="24"/>
      <c r="K568" s="24"/>
      <c r="L568" s="24"/>
      <c r="M568" s="24">
        <f t="shared" si="194"/>
        <v>0.96</v>
      </c>
      <c r="N568" s="24">
        <f t="shared" si="194"/>
        <v>0.64</v>
      </c>
      <c r="O568" s="24">
        <f t="shared" si="192"/>
        <v>2.9</v>
      </c>
      <c r="P568" s="24">
        <f t="shared" si="192"/>
        <v>1.93</v>
      </c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71"/>
      <c r="AG568" s="272"/>
    </row>
    <row r="569" spans="1:33" s="4" customFormat="1" ht="21.75" customHeight="1">
      <c r="A569" s="30">
        <v>25</v>
      </c>
      <c r="B569" s="38">
        <f>C568</f>
        <v>416144.1</v>
      </c>
      <c r="C569" s="38">
        <v>416370.78</v>
      </c>
      <c r="D569" s="39" t="s">
        <v>16</v>
      </c>
      <c r="E569" s="24">
        <f>C569-B569</f>
        <v>226.68000000005122</v>
      </c>
      <c r="F569" s="24">
        <v>5</v>
      </c>
      <c r="G569" s="105">
        <f>ROUND((1897.859-24-10-($F569/2))/1897.859,4)</f>
        <v>0.9808</v>
      </c>
      <c r="H569" s="105"/>
      <c r="I569" s="24">
        <f>IF(G569=0,ROUND($E569*$F569,2),ROUND($E569*$F569*$G569,2))</f>
        <v>1111.64</v>
      </c>
      <c r="J569" s="39"/>
      <c r="K569" s="24"/>
      <c r="L569" s="24"/>
      <c r="M569" s="24">
        <f t="shared" si="194"/>
        <v>1.36</v>
      </c>
      <c r="N569" s="24">
        <f t="shared" si="194"/>
        <v>0.91</v>
      </c>
      <c r="O569" s="24">
        <f t="shared" si="192"/>
        <v>4.12</v>
      </c>
      <c r="P569" s="24">
        <f t="shared" si="192"/>
        <v>2.74</v>
      </c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71"/>
      <c r="AG569" s="272"/>
    </row>
    <row r="570" spans="1:33" s="4" customFormat="1" ht="21.75" customHeight="1">
      <c r="A570" s="30">
        <v>26</v>
      </c>
      <c r="B570" s="38">
        <f>C569</f>
        <v>416370.78</v>
      </c>
      <c r="C570" s="38">
        <v>416498.77</v>
      </c>
      <c r="D570" s="39" t="s">
        <v>16</v>
      </c>
      <c r="E570" s="24">
        <f>C570-B570</f>
        <v>127.98999999999069</v>
      </c>
      <c r="F570" s="24">
        <v>5</v>
      </c>
      <c r="G570" s="105">
        <f>ROUND((1897.859-24-10.37-($F570/2))/1897.859,4)</f>
        <v>0.9806</v>
      </c>
      <c r="H570" s="105"/>
      <c r="I570" s="24">
        <f>IF(G570=0,ROUND($E570*$F570,2),ROUND($E570*$F570*$G570,2))</f>
        <v>627.53</v>
      </c>
      <c r="J570" s="24"/>
      <c r="K570" s="24"/>
      <c r="L570" s="24"/>
      <c r="M570" s="24">
        <f t="shared" si="194"/>
        <v>0.77</v>
      </c>
      <c r="N570" s="24">
        <f t="shared" si="194"/>
        <v>0.51</v>
      </c>
      <c r="O570" s="24">
        <f t="shared" si="192"/>
        <v>2.32</v>
      </c>
      <c r="P570" s="24">
        <f t="shared" si="192"/>
        <v>1.55</v>
      </c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71"/>
      <c r="AG570" s="272"/>
    </row>
    <row r="571" spans="1:33" s="4" customFormat="1" ht="21.75" customHeight="1">
      <c r="A571" s="30">
        <v>27</v>
      </c>
      <c r="B571" s="38"/>
      <c r="C571" s="38"/>
      <c r="D571" s="39"/>
      <c r="E571" s="24"/>
      <c r="F571" s="24"/>
      <c r="G571" s="24"/>
      <c r="H571" s="44"/>
      <c r="I571" s="45"/>
      <c r="J571" s="39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71"/>
      <c r="AG571" s="272"/>
    </row>
    <row r="572" spans="1:33" s="4" customFormat="1" ht="21.75" customHeight="1">
      <c r="A572" s="30">
        <v>28</v>
      </c>
      <c r="B572" s="38">
        <f>C570</f>
        <v>416498.77</v>
      </c>
      <c r="C572" s="38">
        <v>416591.66</v>
      </c>
      <c r="D572" s="39" t="s">
        <v>16</v>
      </c>
      <c r="E572" s="24">
        <f t="shared" si="193"/>
        <v>92.88999999995576</v>
      </c>
      <c r="F572" s="24">
        <v>5</v>
      </c>
      <c r="G572" s="105"/>
      <c r="H572" s="105"/>
      <c r="I572" s="24">
        <f>IF(G572=0,ROUND($E572*$F572,2),ROUND($E572*$F572*$G572,2))</f>
        <v>464.45</v>
      </c>
      <c r="J572" s="24"/>
      <c r="K572" s="24"/>
      <c r="L572" s="24"/>
      <c r="M572" s="24">
        <f t="shared" si="194"/>
        <v>0.56</v>
      </c>
      <c r="N572" s="24">
        <f t="shared" si="194"/>
        <v>0.37</v>
      </c>
      <c r="O572" s="24">
        <f>ROUND(((($I572)*(O$604/12))/27)*O$606,2)</f>
        <v>1.72</v>
      </c>
      <c r="P572" s="24">
        <f>ROUND(((($I572)*(P$604/12))/27)*P$606,2)</f>
        <v>1.15</v>
      </c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71"/>
      <c r="AG572" s="272"/>
    </row>
    <row r="573" spans="1:33" s="4" customFormat="1" ht="21.75" customHeight="1">
      <c r="A573" s="30">
        <v>29</v>
      </c>
      <c r="B573" s="38">
        <f>C572</f>
        <v>416591.66</v>
      </c>
      <c r="C573" s="38">
        <v>416641.7</v>
      </c>
      <c r="D573" s="39" t="s">
        <v>16</v>
      </c>
      <c r="E573" s="24">
        <f t="shared" si="193"/>
        <v>50.04000000003725</v>
      </c>
      <c r="F573" s="24">
        <v>4.5</v>
      </c>
      <c r="G573" s="105"/>
      <c r="H573" s="105"/>
      <c r="I573" s="24">
        <f>IF(G573=0,ROUND($E573*$F573,2),ROUND($E573*$F573*$G573,2))</f>
        <v>225.18</v>
      </c>
      <c r="J573" s="39"/>
      <c r="K573" s="24"/>
      <c r="L573" s="24"/>
      <c r="M573" s="24">
        <f t="shared" si="194"/>
        <v>0.3</v>
      </c>
      <c r="N573" s="24">
        <f t="shared" si="194"/>
        <v>0.2</v>
      </c>
      <c r="O573" s="24">
        <f>ROUND(((($I573)*(O$604/12))/27)*O$606,2)</f>
        <v>0.83</v>
      </c>
      <c r="P573" s="24">
        <f>ROUND(((($I573)*(P$604/12))/27)*P$606,2)</f>
        <v>0.56</v>
      </c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71"/>
      <c r="AG573" s="272"/>
    </row>
    <row r="574" spans="1:33" s="4" customFormat="1" ht="21.75" customHeight="1">
      <c r="A574" s="30">
        <v>30</v>
      </c>
      <c r="B574" s="38"/>
      <c r="C574" s="38"/>
      <c r="D574" s="39"/>
      <c r="E574" s="24"/>
      <c r="F574" s="24"/>
      <c r="G574" s="90"/>
      <c r="H574" s="24"/>
      <c r="I574" s="24"/>
      <c r="J574" s="148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71"/>
      <c r="AG574" s="272"/>
    </row>
    <row r="575" spans="1:33" s="4" customFormat="1" ht="21.75" customHeight="1">
      <c r="A575" s="30">
        <v>31</v>
      </c>
      <c r="B575" s="67" t="s">
        <v>41</v>
      </c>
      <c r="C575" s="38"/>
      <c r="D575" s="39"/>
      <c r="E575" s="24"/>
      <c r="F575" s="66"/>
      <c r="G575" s="90"/>
      <c r="H575" s="24"/>
      <c r="I575" s="24"/>
      <c r="J575" s="148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71"/>
      <c r="AG575" s="272"/>
    </row>
    <row r="576" spans="1:33" s="4" customFormat="1" ht="21.75" customHeight="1">
      <c r="A576" s="30">
        <v>32</v>
      </c>
      <c r="B576" s="38">
        <v>26073.65</v>
      </c>
      <c r="C576" s="46">
        <v>26434.96</v>
      </c>
      <c r="D576" s="39" t="s">
        <v>17</v>
      </c>
      <c r="E576" s="24">
        <f>C576-B576</f>
        <v>361.3099999999977</v>
      </c>
      <c r="F576" s="24">
        <v>5</v>
      </c>
      <c r="G576" s="105">
        <f>ROUND((3819.7186+24+4+($F576/2))/3819.7186,4)</f>
        <v>1.008</v>
      </c>
      <c r="H576" s="105"/>
      <c r="I576" s="24">
        <f>IF(G576=0,ROUND($E576*$F576,2),ROUND($E576*$F576*$G576,2))</f>
        <v>1821</v>
      </c>
      <c r="J576" s="148"/>
      <c r="K576" s="24"/>
      <c r="L576" s="24"/>
      <c r="M576" s="24">
        <f>ROUND($E576*M$607/M$604,2)</f>
        <v>1.81</v>
      </c>
      <c r="N576" s="24">
        <f>ROUND($E576*N$607/N$604,2)</f>
        <v>1.81</v>
      </c>
      <c r="O576" s="24">
        <f aca="true" t="shared" si="195" ref="O576:P580">ROUND(((($I576)*(O$604/12))/27)*O$607,2)</f>
        <v>5.62</v>
      </c>
      <c r="P576" s="24">
        <f t="shared" si="195"/>
        <v>5.62</v>
      </c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71"/>
      <c r="AG576" s="272"/>
    </row>
    <row r="577" spans="1:33" s="4" customFormat="1" ht="21.75" customHeight="1">
      <c r="A577" s="30">
        <v>33</v>
      </c>
      <c r="B577" s="38">
        <f>C576</f>
        <v>26434.96</v>
      </c>
      <c r="C577" s="46">
        <v>26634.96</v>
      </c>
      <c r="D577" s="39" t="s">
        <v>17</v>
      </c>
      <c r="E577" s="24">
        <f>C577-B577</f>
        <v>200</v>
      </c>
      <c r="F577" s="24">
        <v>5</v>
      </c>
      <c r="G577" s="105">
        <f>ROUND((((3819.7186+24+4+($F577/2))/3819.7186)+((636.6198+24+4+($F577/2))/636.6198))/2,4)</f>
        <v>1.0279</v>
      </c>
      <c r="H577" s="105"/>
      <c r="I577" s="24">
        <f>IF(G577=0,ROUND($E577*$F577,2),ROUND($E577*$F577*$G577,2))</f>
        <v>1027.9</v>
      </c>
      <c r="J577" s="148"/>
      <c r="K577" s="24"/>
      <c r="L577" s="24"/>
      <c r="M577" s="24">
        <f aca="true" t="shared" si="196" ref="M577:N580">ROUND($E577*M$607/M$604,2)</f>
        <v>1</v>
      </c>
      <c r="N577" s="24">
        <f t="shared" si="196"/>
        <v>1</v>
      </c>
      <c r="O577" s="24">
        <f t="shared" si="195"/>
        <v>3.17</v>
      </c>
      <c r="P577" s="24">
        <f t="shared" si="195"/>
        <v>3.17</v>
      </c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71"/>
      <c r="AG577" s="272"/>
    </row>
    <row r="578" spans="1:33" s="4" customFormat="1" ht="21.75" customHeight="1">
      <c r="A578" s="30">
        <v>34</v>
      </c>
      <c r="B578" s="38">
        <f>C577</f>
        <v>26634.96</v>
      </c>
      <c r="C578" s="38">
        <v>27102.18</v>
      </c>
      <c r="D578" s="39" t="s">
        <v>17</v>
      </c>
      <c r="E578" s="24">
        <f>C578-B578</f>
        <v>467.22000000000116</v>
      </c>
      <c r="F578" s="24">
        <v>5</v>
      </c>
      <c r="G578" s="105">
        <f>ROUND((636.6198+24+4+($F578/2))/636.6198,4)</f>
        <v>1.0479</v>
      </c>
      <c r="H578" s="105"/>
      <c r="I578" s="24">
        <f>IF(G578=0,ROUND($E578*$F578,2),ROUND($E578*$F578*$G578,2))</f>
        <v>2448</v>
      </c>
      <c r="J578" s="148"/>
      <c r="K578" s="24"/>
      <c r="L578" s="24"/>
      <c r="M578" s="24">
        <f t="shared" si="196"/>
        <v>2.34</v>
      </c>
      <c r="N578" s="24">
        <f t="shared" si="196"/>
        <v>2.34</v>
      </c>
      <c r="O578" s="24">
        <f t="shared" si="195"/>
        <v>7.56</v>
      </c>
      <c r="P578" s="24">
        <f t="shared" si="195"/>
        <v>7.56</v>
      </c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71"/>
      <c r="AG578" s="272"/>
    </row>
    <row r="579" spans="1:33" s="4" customFormat="1" ht="21.75" customHeight="1">
      <c r="A579" s="30">
        <v>35</v>
      </c>
      <c r="B579" s="38">
        <f>C578</f>
        <v>27102.18</v>
      </c>
      <c r="C579" s="38">
        <v>27182.9</v>
      </c>
      <c r="D579" s="39" t="s">
        <v>17</v>
      </c>
      <c r="E579" s="24">
        <f>C579-B579</f>
        <v>80.72000000000116</v>
      </c>
      <c r="F579" s="24">
        <v>5</v>
      </c>
      <c r="G579" s="105">
        <f>ROUND((11459.1559+24+4+($F579/2))/11459.1559,4)</f>
        <v>1.0027</v>
      </c>
      <c r="H579" s="105"/>
      <c r="I579" s="24">
        <f>IF(G579=0,ROUND($E579*$F579,2),ROUND($E579*$F579*$G579,2))</f>
        <v>404.69</v>
      </c>
      <c r="J579" s="148"/>
      <c r="K579" s="24"/>
      <c r="L579" s="24"/>
      <c r="M579" s="24">
        <f t="shared" si="196"/>
        <v>0.4</v>
      </c>
      <c r="N579" s="24">
        <f t="shared" si="196"/>
        <v>0.4</v>
      </c>
      <c r="O579" s="24">
        <f t="shared" si="195"/>
        <v>1.25</v>
      </c>
      <c r="P579" s="24">
        <f t="shared" si="195"/>
        <v>1.25</v>
      </c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71"/>
      <c r="AG579" s="272"/>
    </row>
    <row r="580" spans="1:33" s="4" customFormat="1" ht="21.75" customHeight="1">
      <c r="A580" s="30">
        <v>36</v>
      </c>
      <c r="B580" s="38">
        <f>C579</f>
        <v>27182.9</v>
      </c>
      <c r="C580" s="38">
        <v>27201</v>
      </c>
      <c r="D580" s="39" t="s">
        <v>17</v>
      </c>
      <c r="E580" s="24">
        <f>C580-B580</f>
        <v>18.099999999998545</v>
      </c>
      <c r="F580" s="24">
        <v>5</v>
      </c>
      <c r="G580" s="105">
        <f>ROUND((11459.1559+24+4+($F580/2))/11459.1559,4)</f>
        <v>1.0027</v>
      </c>
      <c r="H580" s="105"/>
      <c r="I580" s="24">
        <f>IF(G580=0,ROUND($E580*$F580,2),ROUND($E580*$F580*$G580,2))</f>
        <v>90.74</v>
      </c>
      <c r="J580" s="24"/>
      <c r="K580" s="24"/>
      <c r="L580" s="24"/>
      <c r="M580" s="24">
        <f t="shared" si="196"/>
        <v>0.09</v>
      </c>
      <c r="N580" s="24">
        <f t="shared" si="196"/>
        <v>0.09</v>
      </c>
      <c r="O580" s="24">
        <f t="shared" si="195"/>
        <v>0.28</v>
      </c>
      <c r="P580" s="24">
        <f t="shared" si="195"/>
        <v>0.28</v>
      </c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71"/>
      <c r="AG580" s="272"/>
    </row>
    <row r="581" spans="1:33" s="4" customFormat="1" ht="21.75" customHeight="1">
      <c r="A581" s="30">
        <v>37</v>
      </c>
      <c r="B581" s="38"/>
      <c r="C581" s="38"/>
      <c r="D581" s="39"/>
      <c r="E581" s="24"/>
      <c r="F581" s="66"/>
      <c r="G581" s="105"/>
      <c r="H581" s="105"/>
      <c r="I581" s="24"/>
      <c r="J581" s="24"/>
      <c r="K581" s="24"/>
      <c r="L581" s="24"/>
      <c r="M581" s="24"/>
      <c r="N581" s="61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71"/>
      <c r="AG581" s="272"/>
    </row>
    <row r="582" spans="1:33" s="4" customFormat="1" ht="21.75" customHeight="1" thickBot="1">
      <c r="A582" s="30">
        <v>38</v>
      </c>
      <c r="B582" s="38">
        <v>25198</v>
      </c>
      <c r="C582" s="38">
        <v>25272.43</v>
      </c>
      <c r="D582" s="39" t="s">
        <v>16</v>
      </c>
      <c r="E582" s="24">
        <f>C582-B582</f>
        <v>74.43000000000029</v>
      </c>
      <c r="F582" s="24">
        <v>2</v>
      </c>
      <c r="G582" s="105"/>
      <c r="H582" s="105"/>
      <c r="I582" s="24">
        <f>IF(G582=0,ROUND($E582*$F582,2),ROUND($E582*$F582*$G582,2))</f>
        <v>148.86</v>
      </c>
      <c r="J582" s="24"/>
      <c r="K582" s="24"/>
      <c r="L582" s="24"/>
      <c r="M582" s="24">
        <f>ROUND($E582*M$607/$M$604,2)</f>
        <v>0.37</v>
      </c>
      <c r="N582" s="24">
        <f>ROUND($E582*N$607/$M$604,2)</f>
        <v>0.37</v>
      </c>
      <c r="O582" s="24">
        <f>ROUND(((($I582)*(O$604/12))/27)*O$607,2)</f>
        <v>0.46</v>
      </c>
      <c r="P582" s="24">
        <f>ROUND(((($I582)*(P$604/12))/27)*P$607,2)</f>
        <v>0.46</v>
      </c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81"/>
      <c r="AG582" s="275"/>
    </row>
    <row r="583" spans="1:33" s="4" customFormat="1" ht="21.75" customHeight="1">
      <c r="A583" s="30">
        <v>39</v>
      </c>
      <c r="B583" s="38"/>
      <c r="C583" s="38"/>
      <c r="D583" s="39"/>
      <c r="E583" s="24"/>
      <c r="F583" s="66"/>
      <c r="G583" s="105"/>
      <c r="H583" s="105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69" t="s">
        <v>39</v>
      </c>
      <c r="AG583" s="270"/>
    </row>
    <row r="584" spans="1:33" s="4" customFormat="1" ht="21.75" customHeight="1">
      <c r="A584" s="30">
        <v>40</v>
      </c>
      <c r="B584" s="38">
        <v>26551.85</v>
      </c>
      <c r="C584" s="38">
        <v>26560</v>
      </c>
      <c r="D584" s="39" t="s">
        <v>16</v>
      </c>
      <c r="E584" s="24">
        <f>C584-B584</f>
        <v>8.150000000001455</v>
      </c>
      <c r="F584" s="66">
        <f>ROUND((6.833+6.6867)/2,2)</f>
        <v>6.76</v>
      </c>
      <c r="G584" s="105">
        <f>ROUND((((3819.7186-2.25-12-($F584/2))/3819.7186)+((636.6198-2.25-12-($F584/2))/636.6198))/2,4)</f>
        <v>0.9838</v>
      </c>
      <c r="H584" s="105"/>
      <c r="I584" s="24">
        <f>IF(G584=0,ROUND($E584*$F584,2),ROUND($E584*$F584*$G584,2))</f>
        <v>54.2</v>
      </c>
      <c r="J584" s="24"/>
      <c r="K584" s="24"/>
      <c r="L584" s="24"/>
      <c r="M584" s="24">
        <f aca="true" t="shared" si="197" ref="M584:N588">ROUND($E584*M$607/M$604,2)</f>
        <v>0.04</v>
      </c>
      <c r="N584" s="24">
        <f t="shared" si="197"/>
        <v>0.04</v>
      </c>
      <c r="O584" s="24">
        <f aca="true" t="shared" si="198" ref="O584:P588">ROUND(((($I584)*(O$604/12))/27)*O$607,2)</f>
        <v>0.17</v>
      </c>
      <c r="P584" s="24">
        <f t="shared" si="198"/>
        <v>0.17</v>
      </c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71"/>
      <c r="AG584" s="272"/>
    </row>
    <row r="585" spans="1:33" s="4" customFormat="1" ht="21.75" customHeight="1">
      <c r="A585" s="30">
        <v>41</v>
      </c>
      <c r="B585" s="38">
        <f>C584</f>
        <v>26560</v>
      </c>
      <c r="C585" s="38">
        <v>26610</v>
      </c>
      <c r="D585" s="39" t="s">
        <v>16</v>
      </c>
      <c r="E585" s="24">
        <f>C585-B585</f>
        <v>50</v>
      </c>
      <c r="F585" s="66">
        <f>ROUND((6.6867+2.5)/2,2)</f>
        <v>4.59</v>
      </c>
      <c r="G585" s="105">
        <f>ROUND((((3819.7186-2.25-13-($F585/2))/3819.7186)+((636.6198-2.25-13-($F585/2))/636.6198))/2,4)</f>
        <v>0.9839</v>
      </c>
      <c r="H585" s="105"/>
      <c r="I585" s="24">
        <f>IF(G585=0,ROUND($E585*$F585,2),ROUND($E585*$F585*$G585,2))</f>
        <v>225.81</v>
      </c>
      <c r="J585" s="24"/>
      <c r="K585" s="24"/>
      <c r="L585" s="24"/>
      <c r="M585" s="24">
        <f t="shared" si="197"/>
        <v>0.25</v>
      </c>
      <c r="N585" s="24">
        <f t="shared" si="197"/>
        <v>0.25</v>
      </c>
      <c r="O585" s="24">
        <f t="shared" si="198"/>
        <v>0.7</v>
      </c>
      <c r="P585" s="24">
        <f t="shared" si="198"/>
        <v>0.7</v>
      </c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71"/>
      <c r="AG585" s="272"/>
    </row>
    <row r="586" spans="1:33" s="4" customFormat="1" ht="21.75" customHeight="1">
      <c r="A586" s="30">
        <v>42</v>
      </c>
      <c r="B586" s="38">
        <f>C585</f>
        <v>26610</v>
      </c>
      <c r="C586" s="38">
        <v>26634.96</v>
      </c>
      <c r="D586" s="39" t="s">
        <v>16</v>
      </c>
      <c r="E586" s="24">
        <f>C586-B586</f>
        <v>24.959999999999127</v>
      </c>
      <c r="F586" s="24">
        <v>2.5</v>
      </c>
      <c r="G586" s="105">
        <f>ROUND((((3819.7186-2.25-14-($F586/2))/3819.7186)+((636.6198-2.25-14-($F586/2))/636.6198))/2,4)</f>
        <v>0.984</v>
      </c>
      <c r="H586" s="105"/>
      <c r="I586" s="24">
        <f>IF(G586=0,ROUND($E586*$F586,2),ROUND($E586*$F586*$G586,2))</f>
        <v>61.4</v>
      </c>
      <c r="J586" s="24"/>
      <c r="K586" s="24"/>
      <c r="L586" s="24"/>
      <c r="M586" s="24">
        <f t="shared" si="197"/>
        <v>0.12</v>
      </c>
      <c r="N586" s="24">
        <f t="shared" si="197"/>
        <v>0.12</v>
      </c>
      <c r="O586" s="24">
        <f t="shared" si="198"/>
        <v>0.19</v>
      </c>
      <c r="P586" s="24">
        <f t="shared" si="198"/>
        <v>0.19</v>
      </c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71"/>
      <c r="AG586" s="272"/>
    </row>
    <row r="587" spans="1:33" s="4" customFormat="1" ht="21.75" customHeight="1">
      <c r="A587" s="30">
        <v>43</v>
      </c>
      <c r="B587" s="38">
        <f>C586</f>
        <v>26634.96</v>
      </c>
      <c r="C587" s="38">
        <v>26978.1</v>
      </c>
      <c r="D587" s="39" t="s">
        <v>16</v>
      </c>
      <c r="E587" s="24">
        <f>C587-B587</f>
        <v>343.1399999999994</v>
      </c>
      <c r="F587" s="24">
        <v>2.5</v>
      </c>
      <c r="G587" s="105">
        <f>ROUND((636.6198-4.5-14-($F587/2))/636.6198,4)</f>
        <v>0.969</v>
      </c>
      <c r="H587" s="105"/>
      <c r="I587" s="24">
        <f>IF(G587=0,ROUND($E587*$F587,2),ROUND($E587*$F587*$G587,2))</f>
        <v>831.26</v>
      </c>
      <c r="J587" s="24"/>
      <c r="K587" s="24"/>
      <c r="L587" s="24"/>
      <c r="M587" s="24">
        <f t="shared" si="197"/>
        <v>1.72</v>
      </c>
      <c r="N587" s="24">
        <f t="shared" si="197"/>
        <v>1.72</v>
      </c>
      <c r="O587" s="24">
        <f t="shared" si="198"/>
        <v>2.57</v>
      </c>
      <c r="P587" s="24">
        <f t="shared" si="198"/>
        <v>2.57</v>
      </c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71"/>
      <c r="AG587" s="272"/>
    </row>
    <row r="588" spans="1:33" s="4" customFormat="1" ht="21.75" customHeight="1">
      <c r="A588" s="30">
        <v>44</v>
      </c>
      <c r="B588" s="38">
        <v>26978.1</v>
      </c>
      <c r="C588" s="38">
        <v>27080</v>
      </c>
      <c r="D588" s="39" t="s">
        <v>16</v>
      </c>
      <c r="E588" s="24">
        <f>C588-B588</f>
        <v>101.90000000000146</v>
      </c>
      <c r="F588" s="24">
        <v>2.5</v>
      </c>
      <c r="G588" s="105">
        <f>ROUND((636.6198-2.25-14-($F588/2))/636.6198,4)</f>
        <v>0.9725</v>
      </c>
      <c r="H588" s="105"/>
      <c r="I588" s="24">
        <f>IF(G588=0,ROUND($E588*$F588,2),ROUND($E588*$F588*$G588,2))</f>
        <v>247.74</v>
      </c>
      <c r="J588" s="24"/>
      <c r="K588" s="24"/>
      <c r="L588" s="24"/>
      <c r="M588" s="24">
        <f t="shared" si="197"/>
        <v>0.51</v>
      </c>
      <c r="N588" s="24">
        <f t="shared" si="197"/>
        <v>0.51</v>
      </c>
      <c r="O588" s="24">
        <f t="shared" si="198"/>
        <v>0.76</v>
      </c>
      <c r="P588" s="24">
        <f t="shared" si="198"/>
        <v>0.76</v>
      </c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71"/>
      <c r="AG588" s="272"/>
    </row>
    <row r="589" spans="1:33" s="4" customFormat="1" ht="21.75" customHeight="1">
      <c r="A589" s="30">
        <v>45</v>
      </c>
      <c r="B589" s="38"/>
      <c r="C589" s="38"/>
      <c r="D589" s="39"/>
      <c r="E589" s="24"/>
      <c r="F589" s="24"/>
      <c r="G589" s="24"/>
      <c r="H589" s="24"/>
      <c r="I589" s="24"/>
      <c r="J589" s="24"/>
      <c r="K589" s="24"/>
      <c r="L589" s="24"/>
      <c r="M589" s="24"/>
      <c r="N589" s="61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71"/>
      <c r="AG589" s="272"/>
    </row>
    <row r="590" spans="1:33" s="4" customFormat="1" ht="21.75" customHeight="1">
      <c r="A590" s="30">
        <v>46</v>
      </c>
      <c r="B590" s="67" t="s">
        <v>50</v>
      </c>
      <c r="C590" s="38"/>
      <c r="D590" s="39"/>
      <c r="E590" s="24"/>
      <c r="F590" s="24"/>
      <c r="G590" s="24"/>
      <c r="H590" s="24"/>
      <c r="I590" s="24"/>
      <c r="J590" s="24"/>
      <c r="K590" s="24"/>
      <c r="L590" s="24"/>
      <c r="M590" s="24"/>
      <c r="N590" s="61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71"/>
      <c r="AG590" s="272"/>
    </row>
    <row r="591" spans="1:33" s="4" customFormat="1" ht="21.75" customHeight="1">
      <c r="A591" s="30">
        <v>47</v>
      </c>
      <c r="B591" s="38">
        <v>500846.34</v>
      </c>
      <c r="C591" s="38">
        <v>501218.1</v>
      </c>
      <c r="D591" s="39" t="s">
        <v>17</v>
      </c>
      <c r="E591" s="24">
        <f>C591-B591</f>
        <v>371.7599999999511</v>
      </c>
      <c r="F591" s="24">
        <v>5</v>
      </c>
      <c r="G591" s="105"/>
      <c r="H591" s="105"/>
      <c r="I591" s="24">
        <f>IF(G591=0,ROUND($E591*$F591,2),ROUND($E591*$F591*$G591,2))</f>
        <v>1858.8</v>
      </c>
      <c r="J591" s="24"/>
      <c r="K591" s="24"/>
      <c r="L591" s="24"/>
      <c r="M591" s="24"/>
      <c r="N591" s="24">
        <f>ROUND($E591/N$604,2)</f>
        <v>3.72</v>
      </c>
      <c r="O591" s="24"/>
      <c r="P591" s="24">
        <f>ROUND((($I591)*(P$604/12))/27,2)</f>
        <v>11.47</v>
      </c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71"/>
      <c r="AG591" s="272"/>
    </row>
    <row r="592" spans="1:33" s="4" customFormat="1" ht="21.75" customHeight="1">
      <c r="A592" s="30">
        <v>48</v>
      </c>
      <c r="B592" s="38">
        <f>C591</f>
        <v>501218.1</v>
      </c>
      <c r="C592" s="38">
        <v>501507.72</v>
      </c>
      <c r="D592" s="39" t="s">
        <v>17</v>
      </c>
      <c r="E592" s="24">
        <f>C592-B592</f>
        <v>289.61999999999534</v>
      </c>
      <c r="F592" s="24">
        <v>5</v>
      </c>
      <c r="G592" s="105">
        <f>ROUND((505.551+12+4+($F592/2))/505.551,4)</f>
        <v>1.0366</v>
      </c>
      <c r="H592" s="105"/>
      <c r="I592" s="24">
        <f>IF(G592=0,ROUND($E592*$F592,2),ROUND($E592*$F592*$G592,2))</f>
        <v>1501.1</v>
      </c>
      <c r="J592" s="24"/>
      <c r="K592" s="24"/>
      <c r="L592" s="24"/>
      <c r="M592" s="24"/>
      <c r="N592" s="24">
        <f>ROUND($E592/N$604,2)</f>
        <v>2.9</v>
      </c>
      <c r="O592" s="24"/>
      <c r="P592" s="24">
        <f>ROUND((($I592)*(P$604/12))/27,2)</f>
        <v>9.27</v>
      </c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71"/>
      <c r="AG592" s="272"/>
    </row>
    <row r="593" spans="1:33" s="4" customFormat="1" ht="21.75" customHeight="1">
      <c r="A593" s="30">
        <v>49</v>
      </c>
      <c r="B593" s="38"/>
      <c r="C593" s="38"/>
      <c r="D593" s="39"/>
      <c r="E593" s="24"/>
      <c r="F593" s="24"/>
      <c r="G593" s="24"/>
      <c r="H593" s="24"/>
      <c r="I593" s="24"/>
      <c r="J593" s="24"/>
      <c r="K593" s="24"/>
      <c r="L593" s="24"/>
      <c r="M593" s="24"/>
      <c r="N593" s="61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71"/>
      <c r="AG593" s="272"/>
    </row>
    <row r="594" spans="1:33" s="4" customFormat="1" ht="21.75" customHeight="1">
      <c r="A594" s="30">
        <v>50</v>
      </c>
      <c r="B594" s="38">
        <v>500936.52</v>
      </c>
      <c r="C594" s="38">
        <v>500960.85</v>
      </c>
      <c r="D594" s="39" t="s">
        <v>16</v>
      </c>
      <c r="E594" s="24">
        <v>33.46</v>
      </c>
      <c r="F594" s="214" t="s">
        <v>13</v>
      </c>
      <c r="G594" s="214"/>
      <c r="H594" s="214"/>
      <c r="I594" s="215"/>
      <c r="J594" s="24">
        <v>163.69</v>
      </c>
      <c r="K594" s="24"/>
      <c r="L594" s="24"/>
      <c r="M594" s="24"/>
      <c r="N594" s="24">
        <f>ROUND($E594/N$604,2)</f>
        <v>0.33</v>
      </c>
      <c r="O594" s="24"/>
      <c r="P594" s="24">
        <f>ROUND((($J594)*(P$604/12))/27,2)</f>
        <v>1.01</v>
      </c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71"/>
      <c r="AG594" s="272"/>
    </row>
    <row r="595" spans="1:33" s="4" customFormat="1" ht="21.75" customHeight="1">
      <c r="A595" s="30">
        <v>51</v>
      </c>
      <c r="B595" s="38">
        <f>C594</f>
        <v>500960.85</v>
      </c>
      <c r="C595" s="38">
        <v>501218.1</v>
      </c>
      <c r="D595" s="39" t="s">
        <v>16</v>
      </c>
      <c r="E595" s="24">
        <f>C595-B595</f>
        <v>257.25</v>
      </c>
      <c r="F595" s="24">
        <v>3</v>
      </c>
      <c r="G595" s="105"/>
      <c r="H595" s="24"/>
      <c r="I595" s="24">
        <f>IF(G595=0,ROUND($E595*$F595,2),ROUND($E595*$F595*$G595,2))</f>
        <v>771.75</v>
      </c>
      <c r="J595" s="24"/>
      <c r="K595" s="24"/>
      <c r="L595" s="24"/>
      <c r="M595" s="24"/>
      <c r="N595" s="24">
        <f>ROUND($E595/N$604,2)</f>
        <v>2.57</v>
      </c>
      <c r="O595" s="24"/>
      <c r="P595" s="24">
        <f>ROUND((($I595)*(P$604/12))/27,2)</f>
        <v>4.76</v>
      </c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71"/>
      <c r="AG595" s="272"/>
    </row>
    <row r="596" spans="1:33" s="4" customFormat="1" ht="21.75" customHeight="1">
      <c r="A596" s="30">
        <v>52</v>
      </c>
      <c r="B596" s="38">
        <f>C595</f>
        <v>501218.1</v>
      </c>
      <c r="C596" s="38">
        <v>501390</v>
      </c>
      <c r="D596" s="39" t="s">
        <v>16</v>
      </c>
      <c r="E596" s="24">
        <f>C596-B596</f>
        <v>171.90000000002328</v>
      </c>
      <c r="F596" s="24">
        <v>3</v>
      </c>
      <c r="G596" s="105">
        <f>ROUND((505.551-8-($F596/2))/505.551,4)</f>
        <v>0.9812</v>
      </c>
      <c r="H596" s="105"/>
      <c r="I596" s="24">
        <f>IF(G596=0,ROUND($E596*$F596,2),ROUND($E596*$F596*$G596,2))</f>
        <v>506</v>
      </c>
      <c r="J596" s="24"/>
      <c r="K596" s="24"/>
      <c r="L596" s="24"/>
      <c r="M596" s="24"/>
      <c r="N596" s="24">
        <f>ROUND($E596/N$604,2)</f>
        <v>1.72</v>
      </c>
      <c r="O596" s="24"/>
      <c r="P596" s="24">
        <f>ROUND((($I596)*(P$604/12))/27,2)</f>
        <v>3.12</v>
      </c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73"/>
      <c r="AG596" s="272"/>
    </row>
    <row r="597" spans="1:33" s="4" customFormat="1" ht="21.75" customHeight="1">
      <c r="A597" s="30">
        <v>53</v>
      </c>
      <c r="B597" s="38">
        <f>C596</f>
        <v>501390</v>
      </c>
      <c r="C597" s="38">
        <v>501434.17</v>
      </c>
      <c r="D597" s="39" t="s">
        <v>16</v>
      </c>
      <c r="E597" s="24">
        <f>C597-B597</f>
        <v>44.1699999999837</v>
      </c>
      <c r="F597" s="24">
        <v>2.5</v>
      </c>
      <c r="G597" s="105">
        <f>ROUND((505.551-8-($F597/2))/505.551,4)</f>
        <v>0.9817</v>
      </c>
      <c r="H597" s="105"/>
      <c r="I597" s="24">
        <f>IF(G597=0,ROUND($E597*$F597,2),ROUND($E597*$F597*$G597,2))</f>
        <v>108.4</v>
      </c>
      <c r="J597" s="24"/>
      <c r="K597" s="24"/>
      <c r="L597" s="24"/>
      <c r="M597" s="24"/>
      <c r="N597" s="24">
        <f>ROUND($E597/N$604,2)</f>
        <v>0.44</v>
      </c>
      <c r="O597" s="24"/>
      <c r="P597" s="24">
        <f>ROUND((($I597)*(P$604/12))/27,2)</f>
        <v>0.67</v>
      </c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73"/>
      <c r="AG597" s="272"/>
    </row>
    <row r="598" spans="1:33" s="4" customFormat="1" ht="21.75" customHeight="1" thickBot="1">
      <c r="A598" s="30">
        <v>54</v>
      </c>
      <c r="B598" s="38"/>
      <c r="C598" s="38"/>
      <c r="D598" s="39"/>
      <c r="E598" s="24"/>
      <c r="F598" s="24"/>
      <c r="G598" s="24"/>
      <c r="H598" s="24"/>
      <c r="I598" s="24"/>
      <c r="J598" s="24"/>
      <c r="K598" s="24"/>
      <c r="L598" s="24"/>
      <c r="M598" s="24"/>
      <c r="N598" s="61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74"/>
      <c r="AG598" s="275"/>
    </row>
    <row r="599" spans="2:33" s="1" customFormat="1" ht="46.5" customHeight="1">
      <c r="B599" s="233" t="s">
        <v>15</v>
      </c>
      <c r="C599" s="234"/>
      <c r="D599" s="234"/>
      <c r="E599" s="234"/>
      <c r="F599" s="234"/>
      <c r="G599" s="234"/>
      <c r="H599" s="234"/>
      <c r="I599" s="234"/>
      <c r="J599" s="234"/>
      <c r="K599" s="211" t="str">
        <f aca="true" t="shared" si="199" ref="K599:AE599">IF(SUM(K545:K598)=0," ",ROUNDUP(SUM(K545:K598),0))</f>
        <v> </v>
      </c>
      <c r="L599" s="211" t="str">
        <f t="shared" si="199"/>
        <v> </v>
      </c>
      <c r="M599" s="211">
        <f t="shared" si="199"/>
        <v>14</v>
      </c>
      <c r="N599" s="211">
        <f t="shared" si="199"/>
        <v>24</v>
      </c>
      <c r="O599" s="211">
        <f t="shared" si="199"/>
        <v>39</v>
      </c>
      <c r="P599" s="211">
        <f t="shared" si="199"/>
        <v>64</v>
      </c>
      <c r="Q599" s="211">
        <f t="shared" si="199"/>
        <v>1764</v>
      </c>
      <c r="R599" s="211">
        <f t="shared" si="199"/>
        <v>1053</v>
      </c>
      <c r="S599" s="211" t="str">
        <f t="shared" si="199"/>
        <v> </v>
      </c>
      <c r="T599" s="211" t="str">
        <f t="shared" si="199"/>
        <v> </v>
      </c>
      <c r="U599" s="211" t="str">
        <f t="shared" si="199"/>
        <v> </v>
      </c>
      <c r="V599" s="211" t="str">
        <f t="shared" si="199"/>
        <v> </v>
      </c>
      <c r="W599" s="211" t="str">
        <f t="shared" si="199"/>
        <v> </v>
      </c>
      <c r="X599" s="211" t="str">
        <f t="shared" si="199"/>
        <v> </v>
      </c>
      <c r="Y599" s="211" t="str">
        <f t="shared" si="199"/>
        <v> </v>
      </c>
      <c r="Z599" s="211" t="str">
        <f t="shared" si="199"/>
        <v> </v>
      </c>
      <c r="AA599" s="211" t="str">
        <f t="shared" si="199"/>
        <v> </v>
      </c>
      <c r="AB599" s="211" t="str">
        <f t="shared" si="199"/>
        <v> </v>
      </c>
      <c r="AC599" s="211" t="str">
        <f t="shared" si="199"/>
        <v> </v>
      </c>
      <c r="AD599" s="211" t="str">
        <f t="shared" si="199"/>
        <v> </v>
      </c>
      <c r="AE599" s="211" t="str">
        <f t="shared" si="199"/>
        <v> </v>
      </c>
      <c r="AF599" s="279">
        <v>10</v>
      </c>
      <c r="AG599" s="280"/>
    </row>
    <row r="600" spans="2:33" s="1" customFormat="1" ht="46.5" customHeight="1" thickBot="1">
      <c r="B600" s="236"/>
      <c r="C600" s="237"/>
      <c r="D600" s="237"/>
      <c r="E600" s="237"/>
      <c r="F600" s="237"/>
      <c r="G600" s="237"/>
      <c r="H600" s="237"/>
      <c r="I600" s="237"/>
      <c r="J600" s="237"/>
      <c r="K600" s="212"/>
      <c r="L600" s="212"/>
      <c r="M600" s="212"/>
      <c r="N600" s="212"/>
      <c r="O600" s="212"/>
      <c r="P600" s="212"/>
      <c r="Q600" s="212"/>
      <c r="R600" s="212"/>
      <c r="S600" s="212"/>
      <c r="T600" s="212"/>
      <c r="U600" s="212"/>
      <c r="V600" s="212"/>
      <c r="W600" s="212"/>
      <c r="X600" s="212"/>
      <c r="Y600" s="212"/>
      <c r="Z600" s="212"/>
      <c r="AA600" s="212"/>
      <c r="AB600" s="212"/>
      <c r="AC600" s="212"/>
      <c r="AD600" s="212"/>
      <c r="AE600" s="212"/>
      <c r="AF600" s="276">
        <f>$AF$68</f>
        <v>18</v>
      </c>
      <c r="AG600" s="277"/>
    </row>
    <row r="601" spans="1:34" ht="36" customHeight="1">
      <c r="A601" s="10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78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F601" s="49"/>
      <c r="AG601" s="49"/>
      <c r="AH601" s="11"/>
    </row>
    <row r="602" spans="2:33" ht="15"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79"/>
      <c r="P602" s="78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F602" s="49"/>
      <c r="AG602" s="49"/>
    </row>
    <row r="603" spans="2:33" ht="15"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79"/>
      <c r="P603" s="78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F603" s="49"/>
      <c r="AG603" s="49"/>
    </row>
    <row r="604" spans="1:33" ht="15.75">
      <c r="A604" s="156"/>
      <c r="B604" s="153" t="s">
        <v>7</v>
      </c>
      <c r="C604" s="51"/>
      <c r="D604" s="51"/>
      <c r="E604" s="51"/>
      <c r="F604" s="51"/>
      <c r="G604" s="52"/>
      <c r="H604" s="53"/>
      <c r="I604" s="53"/>
      <c r="J604" s="53"/>
      <c r="K604" s="53"/>
      <c r="L604" s="80"/>
      <c r="M604" s="80">
        <v>100</v>
      </c>
      <c r="N604" s="53">
        <v>100</v>
      </c>
      <c r="O604" s="53">
        <v>2</v>
      </c>
      <c r="P604" s="53">
        <v>2</v>
      </c>
      <c r="Q604" s="53"/>
      <c r="R604" s="53"/>
      <c r="S604" s="94"/>
      <c r="T604" s="94"/>
      <c r="U604" s="95"/>
      <c r="V604" s="53"/>
      <c r="W604" s="82"/>
      <c r="X604" s="82"/>
      <c r="Y604" s="83"/>
      <c r="Z604" s="84"/>
      <c r="AF604" s="52"/>
      <c r="AG604" s="52"/>
    </row>
    <row r="605" spans="2:33" ht="15">
      <c r="B605" s="49"/>
      <c r="C605" s="49"/>
      <c r="D605" s="49"/>
      <c r="E605" s="49"/>
      <c r="F605" s="49"/>
      <c r="G605" s="49"/>
      <c r="H605" s="49"/>
      <c r="I605" s="49"/>
      <c r="J605" s="49"/>
      <c r="K605" s="146"/>
      <c r="L605" s="146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F605" s="49"/>
      <c r="AG605" s="49"/>
    </row>
    <row r="606" spans="2:33" ht="15">
      <c r="B606" s="49"/>
      <c r="C606" s="49"/>
      <c r="D606" s="49"/>
      <c r="E606" s="49"/>
      <c r="F606" s="49"/>
      <c r="G606" s="49"/>
      <c r="H606" s="49"/>
      <c r="I606" s="49"/>
      <c r="J606" s="49"/>
      <c r="K606" s="143" t="s">
        <v>62</v>
      </c>
      <c r="L606" s="144"/>
      <c r="M606" s="145">
        <v>0.6</v>
      </c>
      <c r="N606" s="145">
        <v>0.4</v>
      </c>
      <c r="O606" s="145">
        <v>0.6</v>
      </c>
      <c r="P606" s="145">
        <v>0.4</v>
      </c>
      <c r="Q606" s="145">
        <v>0.6</v>
      </c>
      <c r="R606" s="145">
        <v>0.4</v>
      </c>
      <c r="S606" s="145">
        <v>0.6</v>
      </c>
      <c r="T606" s="145">
        <v>0.4</v>
      </c>
      <c r="U606" s="145">
        <v>0.6</v>
      </c>
      <c r="V606" s="145">
        <v>0.4</v>
      </c>
      <c r="W606" s="145">
        <v>0.6</v>
      </c>
      <c r="X606" s="145">
        <v>0.4</v>
      </c>
      <c r="Y606" s="145">
        <v>0.6</v>
      </c>
      <c r="Z606" s="145">
        <v>0.4</v>
      </c>
      <c r="AF606" s="49"/>
      <c r="AG606" s="49"/>
    </row>
    <row r="607" spans="2:33" ht="15">
      <c r="B607" s="49"/>
      <c r="C607" s="49"/>
      <c r="D607" s="49"/>
      <c r="E607" s="49"/>
      <c r="F607" s="49"/>
      <c r="G607" s="49"/>
      <c r="H607" s="49"/>
      <c r="I607" s="49"/>
      <c r="J607" s="49"/>
      <c r="K607" s="139" t="s">
        <v>63</v>
      </c>
      <c r="L607" s="140"/>
      <c r="M607" s="122">
        <v>0.5</v>
      </c>
      <c r="N607" s="122">
        <v>0.5</v>
      </c>
      <c r="O607" s="122">
        <v>0.5</v>
      </c>
      <c r="P607" s="122">
        <v>0.5</v>
      </c>
      <c r="Q607" s="122">
        <v>0.5</v>
      </c>
      <c r="R607" s="122">
        <v>0.5</v>
      </c>
      <c r="S607" s="122">
        <v>0.5</v>
      </c>
      <c r="T607" s="122">
        <v>0.5</v>
      </c>
      <c r="U607" s="122">
        <v>0.5</v>
      </c>
      <c r="V607" s="122">
        <v>0.5</v>
      </c>
      <c r="W607" s="122">
        <v>0.5</v>
      </c>
      <c r="X607" s="122">
        <v>0.5</v>
      </c>
      <c r="Y607" s="122">
        <v>0.5</v>
      </c>
      <c r="Z607" s="122">
        <v>0.5</v>
      </c>
      <c r="AF607" s="49"/>
      <c r="AG607" s="49"/>
    </row>
    <row r="608" spans="2:33" ht="12.75"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85"/>
      <c r="U608" s="49"/>
      <c r="V608" s="49"/>
      <c r="W608" s="49"/>
      <c r="X608" s="49"/>
      <c r="Y608" s="49"/>
      <c r="Z608" s="49"/>
      <c r="AF608" s="49"/>
      <c r="AG608" s="49"/>
    </row>
    <row r="609" spans="2:33" ht="12.75"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79"/>
      <c r="R609" s="49"/>
      <c r="S609" s="49"/>
      <c r="T609" s="85"/>
      <c r="U609" s="49"/>
      <c r="V609" s="49"/>
      <c r="W609" s="49"/>
      <c r="X609" s="49"/>
      <c r="Y609" s="49"/>
      <c r="Z609" s="49"/>
      <c r="AF609" s="49"/>
      <c r="AG609" s="49"/>
    </row>
    <row r="610" spans="1:34" s="3" customFormat="1" ht="36" customHeight="1" thickBot="1">
      <c r="A610" s="12"/>
      <c r="B610" s="54" t="s">
        <v>29</v>
      </c>
      <c r="C610" s="55"/>
      <c r="D610" s="55"/>
      <c r="E610" s="55"/>
      <c r="F610" s="55"/>
      <c r="G610" s="55"/>
      <c r="H610" s="55"/>
      <c r="I610" s="55"/>
      <c r="J610" s="55"/>
      <c r="K610" s="99"/>
      <c r="L610" s="99"/>
      <c r="M610" s="229">
        <v>26</v>
      </c>
      <c r="N610" s="229"/>
      <c r="O610" s="229">
        <v>26</v>
      </c>
      <c r="P610" s="229"/>
      <c r="Q610" s="142"/>
      <c r="R610" s="142"/>
      <c r="S610" s="99"/>
      <c r="T610" s="99"/>
      <c r="U610" s="99"/>
      <c r="V610" s="99"/>
      <c r="W610" s="99"/>
      <c r="X610" s="99"/>
      <c r="Y610" s="99"/>
      <c r="Z610" s="99"/>
      <c r="AF610" s="98"/>
      <c r="AG610" s="98"/>
      <c r="AH610" s="13"/>
    </row>
    <row r="611" spans="2:33" s="4" customFormat="1" ht="21.75" customHeight="1">
      <c r="B611" s="233" t="s">
        <v>0</v>
      </c>
      <c r="C611" s="235"/>
      <c r="D611" s="251" t="s">
        <v>3</v>
      </c>
      <c r="E611" s="251" t="s">
        <v>4</v>
      </c>
      <c r="F611" s="251" t="s">
        <v>5</v>
      </c>
      <c r="G611" s="254" t="s">
        <v>43</v>
      </c>
      <c r="H611" s="254" t="s">
        <v>45</v>
      </c>
      <c r="I611" s="251" t="s">
        <v>6</v>
      </c>
      <c r="J611" s="254" t="s">
        <v>26</v>
      </c>
      <c r="K611" s="58"/>
      <c r="L611" s="58"/>
      <c r="M611" s="216">
        <v>209</v>
      </c>
      <c r="N611" s="217"/>
      <c r="O611" s="216">
        <v>441</v>
      </c>
      <c r="P611" s="217"/>
      <c r="Q611" s="149"/>
      <c r="R611" s="135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282" t="s">
        <v>38</v>
      </c>
      <c r="AG611" s="282" t="s">
        <v>58</v>
      </c>
    </row>
    <row r="612" spans="2:33" s="4" customFormat="1" ht="27.75" customHeight="1">
      <c r="B612" s="293"/>
      <c r="C612" s="294"/>
      <c r="D612" s="252"/>
      <c r="E612" s="252"/>
      <c r="F612" s="252"/>
      <c r="G612" s="242"/>
      <c r="H612" s="242"/>
      <c r="I612" s="252"/>
      <c r="J612" s="255"/>
      <c r="K612" s="241"/>
      <c r="L612" s="241"/>
      <c r="M612" s="218" t="s">
        <v>72</v>
      </c>
      <c r="N612" s="219"/>
      <c r="O612" s="218" t="s">
        <v>134</v>
      </c>
      <c r="P612" s="219"/>
      <c r="Q612" s="241"/>
      <c r="R612" s="219"/>
      <c r="S612" s="241"/>
      <c r="T612" s="241"/>
      <c r="U612" s="241"/>
      <c r="V612" s="241"/>
      <c r="W612" s="241"/>
      <c r="X612" s="241"/>
      <c r="Y612" s="241"/>
      <c r="Z612" s="241"/>
      <c r="AA612" s="241"/>
      <c r="AB612" s="241"/>
      <c r="AC612" s="241"/>
      <c r="AD612" s="241"/>
      <c r="AE612" s="241"/>
      <c r="AF612" s="283"/>
      <c r="AG612" s="304"/>
    </row>
    <row r="613" spans="2:33" s="4" customFormat="1" ht="27.75" customHeight="1" thickBot="1">
      <c r="B613" s="293"/>
      <c r="C613" s="294"/>
      <c r="D613" s="252"/>
      <c r="E613" s="252"/>
      <c r="F613" s="252"/>
      <c r="G613" s="242"/>
      <c r="H613" s="242"/>
      <c r="I613" s="252"/>
      <c r="J613" s="255"/>
      <c r="K613" s="255"/>
      <c r="L613" s="255"/>
      <c r="M613" s="220"/>
      <c r="N613" s="221"/>
      <c r="O613" s="220"/>
      <c r="P613" s="221"/>
      <c r="Q613" s="242"/>
      <c r="R613" s="221"/>
      <c r="S613" s="255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84"/>
      <c r="AG613" s="304"/>
    </row>
    <row r="614" spans="2:33" s="4" customFormat="1" ht="27.75" customHeight="1">
      <c r="B614" s="293"/>
      <c r="C614" s="294"/>
      <c r="D614" s="252"/>
      <c r="E614" s="252"/>
      <c r="F614" s="252"/>
      <c r="G614" s="242"/>
      <c r="H614" s="242"/>
      <c r="I614" s="252"/>
      <c r="J614" s="255"/>
      <c r="K614" s="255"/>
      <c r="L614" s="255"/>
      <c r="M614" s="220"/>
      <c r="N614" s="221"/>
      <c r="O614" s="220"/>
      <c r="P614" s="221"/>
      <c r="Q614" s="242"/>
      <c r="R614" s="221"/>
      <c r="S614" s="255"/>
      <c r="T614" s="242"/>
      <c r="U614" s="242"/>
      <c r="V614" s="242"/>
      <c r="W614" s="242"/>
      <c r="X614" s="242"/>
      <c r="Y614" s="242"/>
      <c r="Z614" s="242"/>
      <c r="AA614" s="242"/>
      <c r="AB614" s="242"/>
      <c r="AC614" s="242"/>
      <c r="AD614" s="242"/>
      <c r="AE614" s="242"/>
      <c r="AF614" s="269" t="s">
        <v>8</v>
      </c>
      <c r="AG614" s="270"/>
    </row>
    <row r="615" spans="2:33" s="4" customFormat="1" ht="27.75" customHeight="1">
      <c r="B615" s="293"/>
      <c r="C615" s="294"/>
      <c r="D615" s="252"/>
      <c r="E615" s="252"/>
      <c r="F615" s="252"/>
      <c r="G615" s="242"/>
      <c r="H615" s="242"/>
      <c r="I615" s="252"/>
      <c r="J615" s="255"/>
      <c r="K615" s="255"/>
      <c r="L615" s="255"/>
      <c r="M615" s="220"/>
      <c r="N615" s="221"/>
      <c r="O615" s="220"/>
      <c r="P615" s="221"/>
      <c r="Q615" s="242"/>
      <c r="R615" s="221"/>
      <c r="S615" s="255"/>
      <c r="T615" s="242"/>
      <c r="U615" s="242"/>
      <c r="V615" s="242"/>
      <c r="W615" s="242"/>
      <c r="X615" s="242"/>
      <c r="Y615" s="242"/>
      <c r="Z615" s="242"/>
      <c r="AA615" s="242"/>
      <c r="AB615" s="242"/>
      <c r="AC615" s="242"/>
      <c r="AD615" s="242"/>
      <c r="AE615" s="242"/>
      <c r="AF615" s="271"/>
      <c r="AG615" s="272"/>
    </row>
    <row r="616" spans="2:33" s="4" customFormat="1" ht="27.75" customHeight="1">
      <c r="B616" s="293"/>
      <c r="C616" s="294"/>
      <c r="D616" s="252"/>
      <c r="E616" s="252"/>
      <c r="F616" s="252"/>
      <c r="G616" s="242"/>
      <c r="H616" s="242"/>
      <c r="I616" s="252"/>
      <c r="J616" s="255"/>
      <c r="K616" s="255"/>
      <c r="L616" s="255"/>
      <c r="M616" s="220"/>
      <c r="N616" s="221"/>
      <c r="O616" s="220"/>
      <c r="P616" s="221"/>
      <c r="Q616" s="242"/>
      <c r="R616" s="221"/>
      <c r="S616" s="255"/>
      <c r="T616" s="242"/>
      <c r="U616" s="242"/>
      <c r="V616" s="242"/>
      <c r="W616" s="242"/>
      <c r="X616" s="242"/>
      <c r="Y616" s="242"/>
      <c r="Z616" s="242"/>
      <c r="AA616" s="242"/>
      <c r="AB616" s="242"/>
      <c r="AC616" s="242"/>
      <c r="AD616" s="242"/>
      <c r="AE616" s="242"/>
      <c r="AF616" s="271"/>
      <c r="AG616" s="272"/>
    </row>
    <row r="617" spans="2:33" s="4" customFormat="1" ht="27.75" customHeight="1">
      <c r="B617" s="293"/>
      <c r="C617" s="294"/>
      <c r="D617" s="252"/>
      <c r="E617" s="252"/>
      <c r="F617" s="252"/>
      <c r="G617" s="242"/>
      <c r="H617" s="242"/>
      <c r="I617" s="252"/>
      <c r="J617" s="255"/>
      <c r="K617" s="255"/>
      <c r="L617" s="255"/>
      <c r="M617" s="220"/>
      <c r="N617" s="221"/>
      <c r="O617" s="220"/>
      <c r="P617" s="221"/>
      <c r="Q617" s="242"/>
      <c r="R617" s="221"/>
      <c r="S617" s="255"/>
      <c r="T617" s="242"/>
      <c r="U617" s="242"/>
      <c r="V617" s="242"/>
      <c r="W617" s="242"/>
      <c r="X617" s="242"/>
      <c r="Y617" s="242"/>
      <c r="Z617" s="242"/>
      <c r="AA617" s="242"/>
      <c r="AB617" s="242"/>
      <c r="AC617" s="242"/>
      <c r="AD617" s="242"/>
      <c r="AE617" s="242"/>
      <c r="AF617" s="271"/>
      <c r="AG617" s="272"/>
    </row>
    <row r="618" spans="2:33" s="4" customFormat="1" ht="27.75" customHeight="1">
      <c r="B618" s="293"/>
      <c r="C618" s="294"/>
      <c r="D618" s="252"/>
      <c r="E618" s="252"/>
      <c r="F618" s="252"/>
      <c r="G618" s="242"/>
      <c r="H618" s="242"/>
      <c r="I618" s="252"/>
      <c r="J618" s="255"/>
      <c r="K618" s="255"/>
      <c r="L618" s="255"/>
      <c r="M618" s="220"/>
      <c r="N618" s="221"/>
      <c r="O618" s="220"/>
      <c r="P618" s="221"/>
      <c r="Q618" s="242"/>
      <c r="R618" s="221"/>
      <c r="S618" s="255"/>
      <c r="T618" s="242"/>
      <c r="U618" s="242"/>
      <c r="V618" s="242"/>
      <c r="W618" s="242"/>
      <c r="X618" s="242"/>
      <c r="Y618" s="242"/>
      <c r="Z618" s="242"/>
      <c r="AA618" s="242"/>
      <c r="AB618" s="242"/>
      <c r="AC618" s="242"/>
      <c r="AD618" s="242"/>
      <c r="AE618" s="242"/>
      <c r="AF618" s="271"/>
      <c r="AG618" s="272"/>
    </row>
    <row r="619" spans="2:33" s="5" customFormat="1" ht="27.75" customHeight="1">
      <c r="B619" s="295"/>
      <c r="C619" s="296"/>
      <c r="D619" s="253"/>
      <c r="E619" s="253"/>
      <c r="F619" s="253"/>
      <c r="G619" s="243"/>
      <c r="H619" s="243"/>
      <c r="I619" s="253"/>
      <c r="J619" s="256"/>
      <c r="K619" s="256"/>
      <c r="L619" s="256"/>
      <c r="M619" s="222"/>
      <c r="N619" s="223"/>
      <c r="O619" s="222"/>
      <c r="P619" s="223"/>
      <c r="Q619" s="243"/>
      <c r="R619" s="223"/>
      <c r="S619" s="256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71"/>
      <c r="AG619" s="272"/>
    </row>
    <row r="620" spans="2:33" s="7" customFormat="1" ht="21.75" customHeight="1" thickBot="1">
      <c r="B620" s="56" t="s">
        <v>1</v>
      </c>
      <c r="C620" s="56" t="s">
        <v>2</v>
      </c>
      <c r="D620" s="57"/>
      <c r="E620" s="57" t="s">
        <v>14</v>
      </c>
      <c r="F620" s="57" t="s">
        <v>14</v>
      </c>
      <c r="G620" s="57"/>
      <c r="H620" s="57"/>
      <c r="I620" s="57" t="s">
        <v>21</v>
      </c>
      <c r="J620" s="57" t="s">
        <v>21</v>
      </c>
      <c r="K620" s="57"/>
      <c r="L620" s="57"/>
      <c r="M620" s="208" t="s">
        <v>147</v>
      </c>
      <c r="N620" s="210"/>
      <c r="O620" s="208" t="s">
        <v>20</v>
      </c>
      <c r="P620" s="210"/>
      <c r="Q620" s="150"/>
      <c r="R620" s="154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271"/>
      <c r="AG620" s="272"/>
    </row>
    <row r="621" spans="1:33" s="4" customFormat="1" ht="21.75" customHeight="1">
      <c r="A621" s="30">
        <v>1</v>
      </c>
      <c r="B621" s="291"/>
      <c r="C621" s="292"/>
      <c r="D621" s="42"/>
      <c r="E621" s="42"/>
      <c r="F621" s="42"/>
      <c r="G621" s="42"/>
      <c r="H621" s="42"/>
      <c r="I621" s="43"/>
      <c r="J621" s="58"/>
      <c r="K621" s="346"/>
      <c r="L621" s="346"/>
      <c r="M621" s="227" t="s">
        <v>59</v>
      </c>
      <c r="N621" s="227" t="s">
        <v>92</v>
      </c>
      <c r="O621" s="227" t="s">
        <v>59</v>
      </c>
      <c r="P621" s="227" t="s">
        <v>92</v>
      </c>
      <c r="Q621" s="227"/>
      <c r="R621" s="227"/>
      <c r="S621" s="289"/>
      <c r="T621" s="289"/>
      <c r="U621" s="289"/>
      <c r="V621" s="289"/>
      <c r="W621" s="289"/>
      <c r="X621" s="289"/>
      <c r="Y621" s="289"/>
      <c r="Z621" s="289"/>
      <c r="AA621" s="227"/>
      <c r="AB621" s="227"/>
      <c r="AC621" s="227"/>
      <c r="AD621" s="227"/>
      <c r="AE621" s="227"/>
      <c r="AF621" s="271"/>
      <c r="AG621" s="272"/>
    </row>
    <row r="622" spans="1:33" s="4" customFormat="1" ht="21.75" customHeight="1">
      <c r="A622" s="30">
        <v>2</v>
      </c>
      <c r="B622" s="230" t="s">
        <v>69</v>
      </c>
      <c r="C622" s="231"/>
      <c r="D622" s="231"/>
      <c r="E622" s="231"/>
      <c r="F622" s="231"/>
      <c r="G622" s="231"/>
      <c r="H622" s="231"/>
      <c r="I622" s="232"/>
      <c r="J622" s="39"/>
      <c r="K622" s="347"/>
      <c r="L622" s="347"/>
      <c r="M622" s="228"/>
      <c r="N622" s="228"/>
      <c r="O622" s="228"/>
      <c r="P622" s="228"/>
      <c r="Q622" s="228"/>
      <c r="R622" s="228"/>
      <c r="S622" s="290"/>
      <c r="T622" s="290"/>
      <c r="U622" s="290"/>
      <c r="V622" s="290"/>
      <c r="W622" s="290"/>
      <c r="X622" s="290"/>
      <c r="Y622" s="290"/>
      <c r="Z622" s="290"/>
      <c r="AA622" s="228"/>
      <c r="AB622" s="228"/>
      <c r="AC622" s="228"/>
      <c r="AD622" s="228"/>
      <c r="AE622" s="228"/>
      <c r="AF622" s="271"/>
      <c r="AG622" s="272"/>
    </row>
    <row r="623" spans="1:33" s="4" customFormat="1" ht="21.75" customHeight="1">
      <c r="A623" s="30">
        <v>3</v>
      </c>
      <c r="B623" s="67" t="s">
        <v>42</v>
      </c>
      <c r="C623" s="46"/>
      <c r="D623" s="39"/>
      <c r="E623" s="24"/>
      <c r="F623" s="24"/>
      <c r="G623" s="24"/>
      <c r="H623" s="24"/>
      <c r="I623" s="24"/>
      <c r="J623" s="24"/>
      <c r="K623" s="24"/>
      <c r="L623" s="24"/>
      <c r="M623" s="24"/>
      <c r="N623" s="61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71"/>
      <c r="AG623" s="272"/>
    </row>
    <row r="624" spans="1:33" s="4" customFormat="1" ht="21.75" customHeight="1">
      <c r="A624" s="30">
        <v>4</v>
      </c>
      <c r="B624" s="38">
        <v>300451.96</v>
      </c>
      <c r="C624" s="38">
        <v>300782.91</v>
      </c>
      <c r="D624" s="39" t="s">
        <v>17</v>
      </c>
      <c r="E624" s="24">
        <f>C624-B624</f>
        <v>330.94999999995343</v>
      </c>
      <c r="F624" s="24">
        <v>5</v>
      </c>
      <c r="G624" s="105">
        <f>ROUND((487.6237+16+4+($F624/2))/487.6237,4)</f>
        <v>1.0461</v>
      </c>
      <c r="H624" s="105"/>
      <c r="I624" s="24">
        <f>IF(G624=0,ROUND($E624*$F624,2),ROUND($E624*$F624*$G624,2))</f>
        <v>1731.03</v>
      </c>
      <c r="J624" s="39"/>
      <c r="K624" s="24"/>
      <c r="L624" s="24"/>
      <c r="M624" s="24">
        <f>ROUND($E624/M$680,2)</f>
        <v>3.31</v>
      </c>
      <c r="N624" s="24"/>
      <c r="O624" s="24">
        <f>ROUND((($I624)*(O$680/12))/27,2)</f>
        <v>10.69</v>
      </c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71"/>
      <c r="AG624" s="272"/>
    </row>
    <row r="625" spans="1:33" s="4" customFormat="1" ht="21.75" customHeight="1">
      <c r="A625" s="30">
        <v>5</v>
      </c>
      <c r="B625" s="38">
        <f>C624</f>
        <v>300782.91</v>
      </c>
      <c r="C625" s="46">
        <v>300875</v>
      </c>
      <c r="D625" s="39" t="s">
        <v>17</v>
      </c>
      <c r="E625" s="24">
        <f>C625-B625</f>
        <v>92.09000000002561</v>
      </c>
      <c r="F625" s="24">
        <v>5</v>
      </c>
      <c r="G625" s="105"/>
      <c r="H625" s="24"/>
      <c r="I625" s="24">
        <f>IF(G625=0,ROUND($E625*$F625,2),ROUND($E625*$F625*$G625,2))</f>
        <v>460.45</v>
      </c>
      <c r="J625" s="39"/>
      <c r="K625" s="24"/>
      <c r="L625" s="24"/>
      <c r="M625" s="24">
        <f aca="true" t="shared" si="200" ref="M625:M631">ROUND($E625/M$680,2)</f>
        <v>0.92</v>
      </c>
      <c r="N625" s="24"/>
      <c r="O625" s="24">
        <f>ROUND((($I625)*(O$680/12))/27,2)</f>
        <v>2.84</v>
      </c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71"/>
      <c r="AG625" s="272"/>
    </row>
    <row r="626" spans="1:33" s="4" customFormat="1" ht="21.75" customHeight="1">
      <c r="A626" s="30">
        <v>6</v>
      </c>
      <c r="B626" s="38">
        <f>C625</f>
        <v>300875</v>
      </c>
      <c r="C626" s="46">
        <v>300900</v>
      </c>
      <c r="D626" s="39" t="s">
        <v>17</v>
      </c>
      <c r="E626" s="24">
        <f>C626-B626</f>
        <v>25</v>
      </c>
      <c r="F626" s="66">
        <v>5</v>
      </c>
      <c r="G626" s="105"/>
      <c r="H626" s="24"/>
      <c r="I626" s="24">
        <f>IF(G626=0,ROUND($E626*$F626,2),ROUND($E626*$F626*$G626,2))</f>
        <v>125</v>
      </c>
      <c r="J626" s="39"/>
      <c r="K626" s="24"/>
      <c r="L626" s="24"/>
      <c r="M626" s="24">
        <f t="shared" si="200"/>
        <v>0.25</v>
      </c>
      <c r="N626" s="24"/>
      <c r="O626" s="24">
        <f>ROUND((($I626)*(O$680/12))/27,2)</f>
        <v>0.77</v>
      </c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71"/>
      <c r="AG626" s="272"/>
    </row>
    <row r="627" spans="1:33" s="4" customFormat="1" ht="21.75" customHeight="1">
      <c r="A627" s="30">
        <v>7</v>
      </c>
      <c r="B627" s="38"/>
      <c r="C627" s="38"/>
      <c r="D627" s="39"/>
      <c r="E627" s="24"/>
      <c r="F627" s="24"/>
      <c r="G627" s="24"/>
      <c r="H627" s="24"/>
      <c r="I627" s="24"/>
      <c r="J627" s="39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71"/>
      <c r="AG627" s="272"/>
    </row>
    <row r="628" spans="1:33" s="4" customFormat="1" ht="21.75" customHeight="1">
      <c r="A628" s="30">
        <v>8</v>
      </c>
      <c r="B628" s="38">
        <v>300435.94</v>
      </c>
      <c r="C628" s="38">
        <v>300535.94</v>
      </c>
      <c r="D628" s="39" t="s">
        <v>16</v>
      </c>
      <c r="E628" s="24">
        <f>C628-B628</f>
        <v>100</v>
      </c>
      <c r="F628" s="66">
        <v>5</v>
      </c>
      <c r="G628" s="105">
        <f>ROUND((487.6237-8-($F628/2))/487.6237,4)</f>
        <v>0.9785</v>
      </c>
      <c r="H628" s="105"/>
      <c r="I628" s="24">
        <f>IF(G628=0,ROUND($E628*$F628,2),ROUND($E628*$F628*$G628,2))</f>
        <v>489.25</v>
      </c>
      <c r="J628" s="39"/>
      <c r="K628" s="24"/>
      <c r="L628" s="24"/>
      <c r="M628" s="24">
        <f t="shared" si="200"/>
        <v>1</v>
      </c>
      <c r="N628" s="24"/>
      <c r="O628" s="24">
        <f>ROUND((($I628)*(O$680/12))/27,2)</f>
        <v>3.02</v>
      </c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71"/>
      <c r="AG628" s="272"/>
    </row>
    <row r="629" spans="1:33" s="4" customFormat="1" ht="21.75" customHeight="1">
      <c r="A629" s="30">
        <v>9</v>
      </c>
      <c r="B629" s="38">
        <f>C628</f>
        <v>300535.94</v>
      </c>
      <c r="C629" s="38">
        <v>300782.91</v>
      </c>
      <c r="D629" s="39" t="s">
        <v>16</v>
      </c>
      <c r="E629" s="24">
        <f>C629-B629</f>
        <v>246.96999999997206</v>
      </c>
      <c r="F629" s="24">
        <v>5</v>
      </c>
      <c r="G629" s="105">
        <f>ROUND((487.6237-6-($F629/2))/487.6237,4)</f>
        <v>0.9826</v>
      </c>
      <c r="H629" s="105"/>
      <c r="I629" s="24">
        <f>IF(G629=0,ROUND($E629*$F629,2),ROUND($E629*$F629*$G629,2))</f>
        <v>1213.36</v>
      </c>
      <c r="J629" s="39"/>
      <c r="K629" s="24"/>
      <c r="L629" s="24"/>
      <c r="M629" s="24">
        <f t="shared" si="200"/>
        <v>2.47</v>
      </c>
      <c r="N629" s="24"/>
      <c r="O629" s="24">
        <f>ROUND((($I629)*(O$680/12))/27,2)</f>
        <v>7.49</v>
      </c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71"/>
      <c r="AG629" s="272"/>
    </row>
    <row r="630" spans="1:33" s="4" customFormat="1" ht="21.75" customHeight="1">
      <c r="A630" s="30">
        <v>10</v>
      </c>
      <c r="B630" s="38">
        <f>C629</f>
        <v>300782.91</v>
      </c>
      <c r="C630" s="38">
        <v>300800</v>
      </c>
      <c r="D630" s="39" t="s">
        <v>16</v>
      </c>
      <c r="E630" s="24">
        <f>C630-B630</f>
        <v>17.09000000002561</v>
      </c>
      <c r="F630" s="24">
        <v>5</v>
      </c>
      <c r="G630" s="24"/>
      <c r="H630" s="24"/>
      <c r="I630" s="24">
        <f>IF(G630=0,ROUND($E630*$F630,2),ROUND($E630*$F630*$G630,2))</f>
        <v>85.45</v>
      </c>
      <c r="J630" s="24"/>
      <c r="K630" s="24"/>
      <c r="L630" s="24"/>
      <c r="M630" s="24">
        <f t="shared" si="200"/>
        <v>0.17</v>
      </c>
      <c r="N630" s="24"/>
      <c r="O630" s="24">
        <f>ROUND((($I630)*(O$680/12))/27,2)</f>
        <v>0.53</v>
      </c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71"/>
      <c r="AG630" s="272"/>
    </row>
    <row r="631" spans="1:33" s="4" customFormat="1" ht="21.75" customHeight="1">
      <c r="A631" s="30">
        <v>11</v>
      </c>
      <c r="B631" s="38">
        <f>C630</f>
        <v>300800</v>
      </c>
      <c r="C631" s="38">
        <v>300900</v>
      </c>
      <c r="D631" s="39" t="s">
        <v>16</v>
      </c>
      <c r="E631" s="24">
        <f>C631-B631</f>
        <v>100</v>
      </c>
      <c r="F631" s="66">
        <v>5</v>
      </c>
      <c r="G631" s="24"/>
      <c r="H631" s="24"/>
      <c r="I631" s="24">
        <f>IF(G631=0,ROUND($E631*$F631,2),ROUND($E631*$F631*$G631,2))</f>
        <v>500</v>
      </c>
      <c r="J631" s="39"/>
      <c r="K631" s="24"/>
      <c r="L631" s="24"/>
      <c r="M631" s="24">
        <f t="shared" si="200"/>
        <v>1</v>
      </c>
      <c r="N631" s="24"/>
      <c r="O631" s="24">
        <f>ROUND((($I631)*(O$680/12))/27,2)</f>
        <v>3.09</v>
      </c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71"/>
      <c r="AG631" s="272"/>
    </row>
    <row r="632" spans="1:33" s="4" customFormat="1" ht="21.75" customHeight="1">
      <c r="A632" s="30">
        <v>12</v>
      </c>
      <c r="B632" s="38"/>
      <c r="C632" s="38"/>
      <c r="D632" s="39"/>
      <c r="E632" s="24"/>
      <c r="F632" s="24"/>
      <c r="G632" s="24"/>
      <c r="H632" s="24"/>
      <c r="I632" s="24"/>
      <c r="J632" s="39"/>
      <c r="K632" s="24"/>
      <c r="L632" s="24"/>
      <c r="M632" s="24"/>
      <c r="N632" s="61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71"/>
      <c r="AG632" s="272"/>
    </row>
    <row r="633" spans="1:33" s="4" customFormat="1" ht="21.75" customHeight="1">
      <c r="A633" s="30">
        <v>13</v>
      </c>
      <c r="B633" s="67" t="s">
        <v>51</v>
      </c>
      <c r="C633" s="46"/>
      <c r="D633" s="39"/>
      <c r="E633" s="24"/>
      <c r="F633" s="24"/>
      <c r="G633" s="24"/>
      <c r="H633" s="24"/>
      <c r="I633" s="24"/>
      <c r="J633" s="39"/>
      <c r="K633" s="24"/>
      <c r="L633" s="24"/>
      <c r="M633" s="24"/>
      <c r="N633" s="61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71"/>
      <c r="AG633" s="272"/>
    </row>
    <row r="634" spans="1:33" s="4" customFormat="1" ht="21.75" customHeight="1">
      <c r="A634" s="30">
        <v>14</v>
      </c>
      <c r="B634" s="38">
        <v>504039.7</v>
      </c>
      <c r="C634" s="38">
        <v>504117.78</v>
      </c>
      <c r="D634" s="39" t="s">
        <v>17</v>
      </c>
      <c r="E634" s="24">
        <f>C634-B634</f>
        <v>78.0800000000163</v>
      </c>
      <c r="F634" s="24">
        <v>5</v>
      </c>
      <c r="G634" s="105"/>
      <c r="H634" s="24"/>
      <c r="I634" s="24">
        <f>IF(G634=0,ROUND($E634*$F634,2),ROUND($E634*$F634*$G634,2))</f>
        <v>390.4</v>
      </c>
      <c r="J634" s="39"/>
      <c r="K634" s="24"/>
      <c r="L634" s="24"/>
      <c r="M634" s="24"/>
      <c r="N634" s="24">
        <f>ROUND($E634/N$680,2)</f>
        <v>0.78</v>
      </c>
      <c r="O634" s="24"/>
      <c r="P634" s="24">
        <f>ROUND((($I634)*(P$680/12))/27,2)</f>
        <v>2.41</v>
      </c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71"/>
      <c r="AG634" s="272"/>
    </row>
    <row r="635" spans="1:33" s="4" customFormat="1" ht="21.75" customHeight="1">
      <c r="A635" s="30">
        <v>15</v>
      </c>
      <c r="B635" s="38">
        <f>C634</f>
        <v>504117.78</v>
      </c>
      <c r="C635" s="38">
        <v>504134.21</v>
      </c>
      <c r="D635" s="39" t="s">
        <v>17</v>
      </c>
      <c r="E635" s="24">
        <f>C635-B635</f>
        <v>16.429999999993015</v>
      </c>
      <c r="F635" s="24">
        <v>5</v>
      </c>
      <c r="G635" s="105">
        <f>ROUND((2291.8312-12-6-($F635/2))/2291.8312,4)</f>
        <v>0.9911</v>
      </c>
      <c r="H635" s="105"/>
      <c r="I635" s="24">
        <f>IF(G635=0,ROUND($E635*$F635,2),ROUND($E635*$F635*$G635,2))</f>
        <v>81.42</v>
      </c>
      <c r="J635" s="39"/>
      <c r="K635" s="24"/>
      <c r="L635" s="24"/>
      <c r="M635" s="24"/>
      <c r="N635" s="24">
        <f aca="true" t="shared" si="201" ref="N635:N659">ROUND($E635/N$680,2)</f>
        <v>0.16</v>
      </c>
      <c r="O635" s="24"/>
      <c r="P635" s="24">
        <f>ROUND((($I635)*(P$680/12))/27,2)</f>
        <v>0.5</v>
      </c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71"/>
      <c r="AG635" s="272"/>
    </row>
    <row r="636" spans="1:33" s="4" customFormat="1" ht="21.75" customHeight="1">
      <c r="A636" s="30">
        <v>16</v>
      </c>
      <c r="B636" s="38">
        <f>C635</f>
        <v>504134.21</v>
      </c>
      <c r="C636" s="38">
        <v>504167.53</v>
      </c>
      <c r="D636" s="39" t="s">
        <v>17</v>
      </c>
      <c r="E636" s="24">
        <f>C636-B636</f>
        <v>33.320000000006985</v>
      </c>
      <c r="F636" s="24">
        <v>4.5</v>
      </c>
      <c r="G636" s="105">
        <f>ROUND((2291.8312-12-6-($F636/2))/2291.8312,4)</f>
        <v>0.9912</v>
      </c>
      <c r="H636" s="105"/>
      <c r="I636" s="24">
        <f>IF(G636=0,ROUND($E636*$F636,2),ROUND($E636*$F636*$G636,2))</f>
        <v>148.62</v>
      </c>
      <c r="J636" s="39"/>
      <c r="K636" s="24"/>
      <c r="L636" s="24"/>
      <c r="M636" s="24"/>
      <c r="N636" s="24">
        <f t="shared" si="201"/>
        <v>0.33</v>
      </c>
      <c r="O636" s="24"/>
      <c r="P636" s="24">
        <f>ROUND((($I636)*(P$680/12))/27,2)</f>
        <v>0.92</v>
      </c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71"/>
      <c r="AG636" s="272"/>
    </row>
    <row r="637" spans="1:33" s="4" customFormat="1" ht="21.75" customHeight="1">
      <c r="A637" s="30">
        <v>17</v>
      </c>
      <c r="B637" s="38"/>
      <c r="C637" s="46"/>
      <c r="D637" s="39"/>
      <c r="E637" s="24"/>
      <c r="F637" s="24"/>
      <c r="G637" s="66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71"/>
      <c r="AG637" s="272"/>
    </row>
    <row r="638" spans="1:33" s="4" customFormat="1" ht="21.75" customHeight="1">
      <c r="A638" s="30">
        <v>18</v>
      </c>
      <c r="B638" s="38">
        <v>506242.4</v>
      </c>
      <c r="C638" s="38">
        <v>506268.89</v>
      </c>
      <c r="D638" s="39" t="s">
        <v>17</v>
      </c>
      <c r="E638" s="24">
        <f>C638-B638</f>
        <v>26.489999999990687</v>
      </c>
      <c r="F638" s="24">
        <v>4.5</v>
      </c>
      <c r="G638" s="105">
        <f>ROUND((2864.789+24+10+($F638/2))/2864.789,4)</f>
        <v>1.0127</v>
      </c>
      <c r="H638" s="105"/>
      <c r="I638" s="24">
        <f>IF(G638=0,ROUND($E638*$F638,2),ROUND($E638*$F638*$G638,2))</f>
        <v>120.72</v>
      </c>
      <c r="J638" s="24"/>
      <c r="K638" s="24"/>
      <c r="L638" s="24"/>
      <c r="M638" s="24"/>
      <c r="N638" s="24">
        <f t="shared" si="201"/>
        <v>0.26</v>
      </c>
      <c r="O638" s="24"/>
      <c r="P638" s="24">
        <f>ROUND((($I638)*(P$680/12))/27,2)</f>
        <v>0.75</v>
      </c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71"/>
      <c r="AG638" s="272"/>
    </row>
    <row r="639" spans="1:33" s="16" customFormat="1" ht="21.75" customHeight="1">
      <c r="A639" s="30">
        <v>19</v>
      </c>
      <c r="B639" s="38">
        <f>C638</f>
        <v>506268.89</v>
      </c>
      <c r="C639" s="46">
        <v>506927.87</v>
      </c>
      <c r="D639" s="39" t="s">
        <v>17</v>
      </c>
      <c r="E639" s="24">
        <f>C639-B639</f>
        <v>658.9799999999814</v>
      </c>
      <c r="F639" s="24">
        <v>5</v>
      </c>
      <c r="G639" s="105">
        <f>ROUND((2864.789+24+10+($F639/2))/2864.789,4)</f>
        <v>1.0127</v>
      </c>
      <c r="H639" s="105"/>
      <c r="I639" s="24">
        <f>IF(G639=0,ROUND($E639*$F639,2),ROUND($E639*$F639*$G639,2))</f>
        <v>3336.75</v>
      </c>
      <c r="J639" s="24"/>
      <c r="K639" s="24"/>
      <c r="L639" s="24"/>
      <c r="M639" s="24"/>
      <c r="N639" s="24">
        <f t="shared" si="201"/>
        <v>6.59</v>
      </c>
      <c r="O639" s="24"/>
      <c r="P639" s="24">
        <f>ROUND((($I639)*(P$680/12))/27,2)</f>
        <v>20.6</v>
      </c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71"/>
      <c r="AG639" s="272"/>
    </row>
    <row r="640" spans="1:33" s="16" customFormat="1" ht="21.75" customHeight="1">
      <c r="A640" s="30">
        <v>20</v>
      </c>
      <c r="B640" s="38"/>
      <c r="C640" s="46"/>
      <c r="D640" s="39"/>
      <c r="E640" s="24"/>
      <c r="F640" s="39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71"/>
      <c r="AG640" s="272"/>
    </row>
    <row r="641" spans="1:33" s="16" customFormat="1" ht="21.75" customHeight="1">
      <c r="A641" s="30">
        <v>21</v>
      </c>
      <c r="B641" s="38">
        <v>507489.25</v>
      </c>
      <c r="C641" s="38">
        <v>507608.84</v>
      </c>
      <c r="D641" s="39" t="s">
        <v>17</v>
      </c>
      <c r="E641" s="24">
        <f>C641-B641</f>
        <v>119.59000000002561</v>
      </c>
      <c r="F641" s="24">
        <v>5</v>
      </c>
      <c r="G641" s="105">
        <f>ROUND((3819.7186+12+4+($F641/2))/3819.7186,4)</f>
        <v>1.0048</v>
      </c>
      <c r="H641" s="105">
        <f>ROUND((3819.7186+12+($F641))/3819.7186,4)</f>
        <v>1.0045</v>
      </c>
      <c r="I641" s="24">
        <f>IF(G641=0,ROUND($E641*$F641,2),ROUND($E641*$F641*$G641,2))</f>
        <v>600.82</v>
      </c>
      <c r="J641" s="24"/>
      <c r="K641" s="24"/>
      <c r="L641" s="24"/>
      <c r="M641" s="24"/>
      <c r="N641" s="24">
        <f t="shared" si="201"/>
        <v>1.2</v>
      </c>
      <c r="O641" s="24"/>
      <c r="P641" s="24">
        <f>ROUND((($I641)*(P$680/12))/27,2)</f>
        <v>3.71</v>
      </c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71"/>
      <c r="AG641" s="272"/>
    </row>
    <row r="642" spans="1:33" s="16" customFormat="1" ht="21.75" customHeight="1">
      <c r="A642" s="30">
        <v>22</v>
      </c>
      <c r="B642" s="38">
        <f>C641</f>
        <v>507608.84</v>
      </c>
      <c r="C642" s="46">
        <v>507900</v>
      </c>
      <c r="D642" s="39" t="s">
        <v>17</v>
      </c>
      <c r="E642" s="24">
        <f>C642-B642</f>
        <v>291.1599999999744</v>
      </c>
      <c r="F642" s="24">
        <v>5</v>
      </c>
      <c r="G642" s="66"/>
      <c r="H642" s="24"/>
      <c r="I642" s="24">
        <f>IF(G642=0,ROUND($E642*$F642,2),ROUND($E642*$F642*$G642,2))</f>
        <v>1455.8</v>
      </c>
      <c r="J642" s="39"/>
      <c r="K642" s="24"/>
      <c r="L642" s="24"/>
      <c r="M642" s="24"/>
      <c r="N642" s="24">
        <f t="shared" si="201"/>
        <v>2.91</v>
      </c>
      <c r="O642" s="24"/>
      <c r="P642" s="24">
        <f>ROUND((($I642)*(P$680/12))/27,2)</f>
        <v>8.99</v>
      </c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71"/>
      <c r="AG642" s="272"/>
    </row>
    <row r="643" spans="1:33" s="4" customFormat="1" ht="21.75" customHeight="1">
      <c r="A643" s="30">
        <v>23</v>
      </c>
      <c r="B643" s="38"/>
      <c r="C643" s="38"/>
      <c r="D643" s="39"/>
      <c r="E643" s="24"/>
      <c r="F643" s="24"/>
      <c r="G643" s="24"/>
      <c r="H643" s="24"/>
      <c r="I643" s="24"/>
      <c r="J643" s="39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71"/>
      <c r="AG643" s="272"/>
    </row>
    <row r="644" spans="1:33" s="4" customFormat="1" ht="21.75" customHeight="1">
      <c r="A644" s="30">
        <v>24</v>
      </c>
      <c r="B644" s="38">
        <v>502438.21</v>
      </c>
      <c r="C644" s="38">
        <v>502538.21</v>
      </c>
      <c r="D644" s="39" t="s">
        <v>16</v>
      </c>
      <c r="E644" s="24">
        <f>C644-B644</f>
        <v>100</v>
      </c>
      <c r="F644" s="66">
        <v>5</v>
      </c>
      <c r="G644" s="105">
        <f>ROUND((4911.0668-12-10.95-($F644/2))/4911.0668,4)</f>
        <v>0.9948</v>
      </c>
      <c r="H644" s="105"/>
      <c r="I644" s="24">
        <f>IF(G644=0,ROUND($E644*$F644,2),ROUND($E644*$F644*$G644,2))</f>
        <v>497.4</v>
      </c>
      <c r="J644" s="24"/>
      <c r="K644" s="24"/>
      <c r="L644" s="24"/>
      <c r="M644" s="24"/>
      <c r="N644" s="24">
        <f t="shared" si="201"/>
        <v>1</v>
      </c>
      <c r="O644" s="24"/>
      <c r="P644" s="24">
        <f>ROUND((($I644)*(P$680/12))/27,2)</f>
        <v>3.07</v>
      </c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71"/>
      <c r="AG644" s="272"/>
    </row>
    <row r="645" spans="1:33" s="4" customFormat="1" ht="21.75" customHeight="1">
      <c r="A645" s="30">
        <v>25</v>
      </c>
      <c r="B645" s="38">
        <f>C644</f>
        <v>502538.21</v>
      </c>
      <c r="C645" s="38">
        <v>503050.04</v>
      </c>
      <c r="D645" s="39" t="s">
        <v>16</v>
      </c>
      <c r="E645" s="24">
        <f>C645-B645</f>
        <v>511.8299999999581</v>
      </c>
      <c r="F645" s="24">
        <v>5</v>
      </c>
      <c r="G645" s="105">
        <f>ROUND((4911.0668-12-10-($F645/2))/4911.0668,4)</f>
        <v>0.995</v>
      </c>
      <c r="H645" s="105"/>
      <c r="I645" s="24">
        <f>IF(G645=0,ROUND($E645*$F645,2),ROUND($E645*$F645*$G645,2))</f>
        <v>2546.35</v>
      </c>
      <c r="J645" s="39"/>
      <c r="K645" s="24"/>
      <c r="L645" s="24"/>
      <c r="M645" s="24"/>
      <c r="N645" s="24">
        <f t="shared" si="201"/>
        <v>5.12</v>
      </c>
      <c r="O645" s="24"/>
      <c r="P645" s="24">
        <f>ROUND((($I645)*(P$680/12))/27,2)</f>
        <v>15.72</v>
      </c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71"/>
      <c r="AG645" s="272"/>
    </row>
    <row r="646" spans="1:33" s="4" customFormat="1" ht="21.75" customHeight="1">
      <c r="A646" s="30">
        <v>26</v>
      </c>
      <c r="B646" s="38">
        <f>C645</f>
        <v>503050.04</v>
      </c>
      <c r="C646" s="46">
        <v>503100.04</v>
      </c>
      <c r="D646" s="39" t="s">
        <v>16</v>
      </c>
      <c r="E646" s="24">
        <f>C646-B646</f>
        <v>50</v>
      </c>
      <c r="F646" s="66">
        <v>5</v>
      </c>
      <c r="G646" s="105">
        <f>ROUND((4911.0668-12-14-($F646/2))/4911.0668,4)</f>
        <v>0.9942</v>
      </c>
      <c r="H646" s="105"/>
      <c r="I646" s="24">
        <f>IF(G646=0,ROUND($E646*$F646,2),ROUND($E646*$F646*$G646,2))</f>
        <v>248.55</v>
      </c>
      <c r="J646" s="39"/>
      <c r="K646" s="24"/>
      <c r="L646" s="24"/>
      <c r="M646" s="24"/>
      <c r="N646" s="24">
        <f t="shared" si="201"/>
        <v>0.5</v>
      </c>
      <c r="O646" s="24"/>
      <c r="P646" s="24">
        <f>ROUND((($I646)*(P$680/12))/27,2)</f>
        <v>1.53</v>
      </c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71"/>
      <c r="AG646" s="272"/>
    </row>
    <row r="647" spans="1:33" s="4" customFormat="1" ht="21.75" customHeight="1">
      <c r="A647" s="30">
        <v>27</v>
      </c>
      <c r="B647" s="38">
        <f>C646</f>
        <v>503100.04</v>
      </c>
      <c r="C647" s="38">
        <v>503123.25</v>
      </c>
      <c r="D647" s="39" t="s">
        <v>16</v>
      </c>
      <c r="E647" s="24">
        <f>C647-B647</f>
        <v>23.210000000020955</v>
      </c>
      <c r="F647" s="66">
        <v>4.5</v>
      </c>
      <c r="G647" s="105">
        <f>ROUND((4911.0668-12-17.95-($F647/2))/4911.0668,4)</f>
        <v>0.9934</v>
      </c>
      <c r="H647" s="105"/>
      <c r="I647" s="24">
        <f>IF(G647=0,ROUND($E647*$F647,2),ROUND($E647*$F647*$G647,2))</f>
        <v>103.76</v>
      </c>
      <c r="J647" s="24"/>
      <c r="K647" s="24"/>
      <c r="L647" s="24"/>
      <c r="M647" s="24"/>
      <c r="N647" s="24">
        <f t="shared" si="201"/>
        <v>0.23</v>
      </c>
      <c r="O647" s="24"/>
      <c r="P647" s="24">
        <f>ROUND((($I647)*(P$680/12))/27,2)</f>
        <v>0.64</v>
      </c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71"/>
      <c r="AG647" s="272"/>
    </row>
    <row r="648" spans="1:33" s="4" customFormat="1" ht="21.75" customHeight="1">
      <c r="A648" s="30">
        <v>28</v>
      </c>
      <c r="B648" s="38"/>
      <c r="C648" s="38"/>
      <c r="D648" s="39"/>
      <c r="E648" s="24"/>
      <c r="F648" s="66"/>
      <c r="G648" s="105"/>
      <c r="H648" s="105"/>
      <c r="I648" s="24"/>
      <c r="J648" s="39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71"/>
      <c r="AG648" s="272"/>
    </row>
    <row r="649" spans="1:33" s="4" customFormat="1" ht="21.75" customHeight="1">
      <c r="A649" s="30">
        <v>29</v>
      </c>
      <c r="B649" s="38">
        <v>503905.43</v>
      </c>
      <c r="C649" s="38">
        <v>503923.72</v>
      </c>
      <c r="D649" s="39" t="s">
        <v>16</v>
      </c>
      <c r="E649" s="24">
        <f>C649-B649</f>
        <v>18.289999999979045</v>
      </c>
      <c r="F649" s="214" t="s">
        <v>13</v>
      </c>
      <c r="G649" s="214"/>
      <c r="H649" s="214"/>
      <c r="I649" s="215"/>
      <c r="J649" s="39">
        <v>142.71</v>
      </c>
      <c r="K649" s="24"/>
      <c r="L649" s="24"/>
      <c r="M649" s="24"/>
      <c r="N649" s="24">
        <f t="shared" si="201"/>
        <v>0.18</v>
      </c>
      <c r="O649" s="24"/>
      <c r="P649" s="24">
        <f>ROUND((($J649)*(P$680/12))/27,2)</f>
        <v>0.88</v>
      </c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71"/>
      <c r="AG649" s="272"/>
    </row>
    <row r="650" spans="1:33" s="4" customFormat="1" ht="21.75" customHeight="1">
      <c r="A650" s="30">
        <v>30</v>
      </c>
      <c r="B650" s="38">
        <f>C649</f>
        <v>503923.72</v>
      </c>
      <c r="C650" s="46">
        <v>504117.78</v>
      </c>
      <c r="D650" s="39" t="s">
        <v>16</v>
      </c>
      <c r="E650" s="24">
        <f>C650-B650</f>
        <v>194.06000000005588</v>
      </c>
      <c r="F650" s="24">
        <v>5</v>
      </c>
      <c r="G650" s="66"/>
      <c r="H650" s="24"/>
      <c r="I650" s="24">
        <f>IF(G650=0,ROUND($E650*$F650,2),ROUND($E650*$F650*$G650,2))</f>
        <v>970.3</v>
      </c>
      <c r="J650" s="24"/>
      <c r="K650" s="24"/>
      <c r="L650" s="24"/>
      <c r="M650" s="24"/>
      <c r="N650" s="24">
        <f t="shared" si="201"/>
        <v>1.94</v>
      </c>
      <c r="O650" s="24"/>
      <c r="P650" s="24">
        <f>ROUND((($I650)*(P$680/12))/27,2)</f>
        <v>5.99</v>
      </c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71"/>
      <c r="AG650" s="272"/>
    </row>
    <row r="651" spans="1:33" s="4" customFormat="1" ht="21.75" customHeight="1">
      <c r="A651" s="30">
        <v>31</v>
      </c>
      <c r="B651" s="38">
        <f>C650</f>
        <v>504117.78</v>
      </c>
      <c r="C651" s="38">
        <v>504132.96</v>
      </c>
      <c r="D651" s="39" t="s">
        <v>16</v>
      </c>
      <c r="E651" s="24">
        <f>C651-B651</f>
        <v>15.179999999993015</v>
      </c>
      <c r="F651" s="24">
        <v>5</v>
      </c>
      <c r="G651" s="105">
        <f>ROUND((2291.8312+6+($F651/2))/2291.8312,4)</f>
        <v>1.0037</v>
      </c>
      <c r="H651" s="105"/>
      <c r="I651" s="24">
        <f>IF(G651=0,ROUND($E651*$F651,2),ROUND($E651*$F651*$G651,2))</f>
        <v>76.18</v>
      </c>
      <c r="J651" s="39"/>
      <c r="K651" s="24"/>
      <c r="L651" s="24"/>
      <c r="M651" s="24"/>
      <c r="N651" s="24">
        <f t="shared" si="201"/>
        <v>0.15</v>
      </c>
      <c r="O651" s="24"/>
      <c r="P651" s="24">
        <f>ROUND((($I651)*(P$680/12))/27,2)</f>
        <v>0.47</v>
      </c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71"/>
      <c r="AG651" s="272"/>
    </row>
    <row r="652" spans="1:33" s="4" customFormat="1" ht="21.75" customHeight="1">
      <c r="A652" s="30">
        <v>32</v>
      </c>
      <c r="B652" s="38">
        <f>C651</f>
        <v>504132.96</v>
      </c>
      <c r="C652" s="46">
        <v>504165.88</v>
      </c>
      <c r="D652" s="39" t="s">
        <v>16</v>
      </c>
      <c r="E652" s="24">
        <f>C652-B652</f>
        <v>32.9199999999837</v>
      </c>
      <c r="F652" s="24">
        <v>4.5</v>
      </c>
      <c r="G652" s="105">
        <f>ROUND((2291.8312+6+($F652/2))/2291.8312,4)</f>
        <v>1.0036</v>
      </c>
      <c r="H652" s="105"/>
      <c r="I652" s="24">
        <f>IF(G652=0,ROUND($E652*$F652,2),ROUND($E652*$F652*$G652,2))</f>
        <v>148.67</v>
      </c>
      <c r="J652" s="24"/>
      <c r="K652" s="24"/>
      <c r="L652" s="24"/>
      <c r="M652" s="24"/>
      <c r="N652" s="24">
        <f t="shared" si="201"/>
        <v>0.33</v>
      </c>
      <c r="O652" s="24"/>
      <c r="P652" s="24">
        <f>ROUND((($I652)*(P$680/12))/27,2)</f>
        <v>0.92</v>
      </c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71"/>
      <c r="AG652" s="272"/>
    </row>
    <row r="653" spans="1:33" s="4" customFormat="1" ht="21.75" customHeight="1">
      <c r="A653" s="30">
        <v>33</v>
      </c>
      <c r="B653" s="67"/>
      <c r="C653" s="38"/>
      <c r="D653" s="39"/>
      <c r="E653" s="24"/>
      <c r="F653" s="24"/>
      <c r="G653" s="24"/>
      <c r="H653" s="44"/>
      <c r="I653" s="45"/>
      <c r="J653" s="39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71"/>
      <c r="AG653" s="272"/>
    </row>
    <row r="654" spans="1:33" s="4" customFormat="1" ht="21.75" customHeight="1">
      <c r="A654" s="30">
        <v>34</v>
      </c>
      <c r="B654" s="38">
        <v>506186.88</v>
      </c>
      <c r="C654" s="46">
        <v>506201.26</v>
      </c>
      <c r="D654" s="39" t="s">
        <v>16</v>
      </c>
      <c r="E654" s="24">
        <f>C654-B654</f>
        <v>14.380000000004657</v>
      </c>
      <c r="F654" s="24">
        <v>4.5</v>
      </c>
      <c r="G654" s="105">
        <f>ROUND((2864.789-12-10-($F654/2))/2864.789,4)</f>
        <v>0.9915</v>
      </c>
      <c r="H654" s="105"/>
      <c r="I654" s="24">
        <f>IF(G654=0,ROUND($E654*$F654,2),ROUND($E654*$F654*$G654,2))</f>
        <v>64.16</v>
      </c>
      <c r="J654" s="39"/>
      <c r="K654" s="24"/>
      <c r="L654" s="24"/>
      <c r="M654" s="24"/>
      <c r="N654" s="24">
        <f t="shared" si="201"/>
        <v>0.14</v>
      </c>
      <c r="O654" s="24"/>
      <c r="P654" s="24">
        <f>ROUND((($I654)*(P$680/12))/27,2)</f>
        <v>0.4</v>
      </c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71"/>
      <c r="AG654" s="272"/>
    </row>
    <row r="655" spans="1:33" s="4" customFormat="1" ht="21.75" customHeight="1">
      <c r="A655" s="30">
        <v>35</v>
      </c>
      <c r="B655" s="38">
        <f>C654</f>
        <v>506201.26</v>
      </c>
      <c r="C655" s="38">
        <v>506364</v>
      </c>
      <c r="D655" s="39" t="s">
        <v>16</v>
      </c>
      <c r="E655" s="24">
        <f>C655-B655</f>
        <v>162.7399999999907</v>
      </c>
      <c r="F655" s="24">
        <v>5</v>
      </c>
      <c r="G655" s="105">
        <f>ROUND((2864.789-12-10-($F655/2))/2864.789,4)</f>
        <v>0.9914</v>
      </c>
      <c r="H655" s="105"/>
      <c r="I655" s="24">
        <f>IF(G655=0,ROUND($E655*$F655,2),ROUND($E655*$F655*$G655,2))</f>
        <v>806.7</v>
      </c>
      <c r="J655" s="39"/>
      <c r="K655" s="24"/>
      <c r="L655" s="24"/>
      <c r="M655" s="24"/>
      <c r="N655" s="24">
        <f t="shared" si="201"/>
        <v>1.63</v>
      </c>
      <c r="O655" s="24"/>
      <c r="P655" s="24">
        <f>ROUND((($I655)*(P$680/12))/27,2)</f>
        <v>4.98</v>
      </c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71"/>
      <c r="AG655" s="272"/>
    </row>
    <row r="656" spans="1:33" s="4" customFormat="1" ht="21.75" customHeight="1">
      <c r="A656" s="30">
        <v>36</v>
      </c>
      <c r="B656" s="67"/>
      <c r="C656" s="38"/>
      <c r="D656" s="39"/>
      <c r="E656" s="24"/>
      <c r="F656" s="24"/>
      <c r="G656" s="24"/>
      <c r="H656" s="24"/>
      <c r="I656" s="24"/>
      <c r="J656" s="39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71"/>
      <c r="AG656" s="272"/>
    </row>
    <row r="657" spans="1:33" s="4" customFormat="1" ht="21.75" customHeight="1">
      <c r="A657" s="30">
        <v>37</v>
      </c>
      <c r="B657" s="38">
        <v>506650</v>
      </c>
      <c r="C657" s="38">
        <v>506999.95</v>
      </c>
      <c r="D657" s="39" t="s">
        <v>16</v>
      </c>
      <c r="E657" s="24">
        <f>C657-B657</f>
        <v>349.95000000001164</v>
      </c>
      <c r="F657" s="24">
        <v>5</v>
      </c>
      <c r="G657" s="105">
        <f>ROUND((2864.789-12-10-($F657/2))/2864.789,4)</f>
        <v>0.9914</v>
      </c>
      <c r="H657" s="105">
        <f>ROUND((2864.789-12-($F657))/2864.789,4)</f>
        <v>0.9941</v>
      </c>
      <c r="I657" s="24">
        <f>IF(G657=0,ROUND($E657*$F657,2),ROUND($E657*$F657*$G657,2))</f>
        <v>1734.7</v>
      </c>
      <c r="J657" s="39"/>
      <c r="K657" s="24"/>
      <c r="L657" s="24"/>
      <c r="M657" s="24"/>
      <c r="N657" s="24">
        <f t="shared" si="201"/>
        <v>3.5</v>
      </c>
      <c r="O657" s="24"/>
      <c r="P657" s="24">
        <f>ROUND((($I657)*(P$680/12))/27,2)</f>
        <v>10.71</v>
      </c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71"/>
      <c r="AG657" s="272"/>
    </row>
    <row r="658" spans="1:33" s="4" customFormat="1" ht="21.75" customHeight="1" thickBot="1">
      <c r="A658" s="30">
        <v>38</v>
      </c>
      <c r="B658" s="38">
        <f>C657</f>
        <v>506999.95</v>
      </c>
      <c r="C658" s="38">
        <v>507095.32</v>
      </c>
      <c r="D658" s="39" t="s">
        <v>16</v>
      </c>
      <c r="E658" s="24">
        <f>C658-B658</f>
        <v>95.36999999999534</v>
      </c>
      <c r="F658" s="24">
        <v>5</v>
      </c>
      <c r="G658" s="105">
        <f>ROUND((3819.7186-12-10-($F658/2))/3819.7186,4)</f>
        <v>0.9936</v>
      </c>
      <c r="H658" s="105">
        <f>ROUND((3819.718-12-($F658))/3819.7186,4)</f>
        <v>0.9955</v>
      </c>
      <c r="I658" s="24">
        <f>IF(G658=0,ROUND($E658*$F658,2),ROUND($E658*$F658*$G658,2))</f>
        <v>473.8</v>
      </c>
      <c r="J658" s="39"/>
      <c r="K658" s="24"/>
      <c r="L658" s="24"/>
      <c r="M658" s="24"/>
      <c r="N658" s="24">
        <f t="shared" si="201"/>
        <v>0.95</v>
      </c>
      <c r="O658" s="24"/>
      <c r="P658" s="24">
        <f>ROUND((($I658)*(P$680/12))/27,2)</f>
        <v>2.92</v>
      </c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81"/>
      <c r="AG658" s="275"/>
    </row>
    <row r="659" spans="1:33" s="4" customFormat="1" ht="21.75" customHeight="1">
      <c r="A659" s="30">
        <v>39</v>
      </c>
      <c r="B659" s="38">
        <f>C658</f>
        <v>507095.32</v>
      </c>
      <c r="C659" s="38">
        <v>507125.49</v>
      </c>
      <c r="D659" s="39" t="s">
        <v>16</v>
      </c>
      <c r="E659" s="24">
        <f>C659-B659</f>
        <v>30.169999999983702</v>
      </c>
      <c r="F659" s="24">
        <v>4.5</v>
      </c>
      <c r="G659" s="105">
        <f>ROUND((3819.7186-12-10-($F659/2))/3819.7186,4)</f>
        <v>0.9937</v>
      </c>
      <c r="H659" s="105">
        <f>ROUND((3819.718-12-($F659))/3819.7186,4)</f>
        <v>0.9957</v>
      </c>
      <c r="I659" s="24">
        <f>IF(G659=0,ROUND($E659*$F659,2),ROUND($E659*$F659*$G659,2))</f>
        <v>134.91</v>
      </c>
      <c r="J659" s="39"/>
      <c r="K659" s="24"/>
      <c r="L659" s="24"/>
      <c r="M659" s="24"/>
      <c r="N659" s="24">
        <f t="shared" si="201"/>
        <v>0.3</v>
      </c>
      <c r="O659" s="24"/>
      <c r="P659" s="24">
        <f>ROUND((($I659)*(P$680/12))/27,2)</f>
        <v>0.83</v>
      </c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69" t="s">
        <v>39</v>
      </c>
      <c r="AG659" s="270"/>
    </row>
    <row r="660" spans="1:33" s="4" customFormat="1" ht="21.75" customHeight="1">
      <c r="A660" s="30">
        <v>40</v>
      </c>
      <c r="B660" s="38"/>
      <c r="C660" s="38"/>
      <c r="D660" s="39"/>
      <c r="E660" s="24"/>
      <c r="F660" s="39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71"/>
      <c r="AG660" s="272"/>
    </row>
    <row r="661" spans="1:33" s="4" customFormat="1" ht="21.75" customHeight="1">
      <c r="A661" s="30">
        <v>41</v>
      </c>
      <c r="B661" s="67" t="s">
        <v>52</v>
      </c>
      <c r="C661" s="46"/>
      <c r="D661" s="39"/>
      <c r="E661" s="24"/>
      <c r="F661" s="24"/>
      <c r="G661" s="24"/>
      <c r="H661" s="24"/>
      <c r="I661" s="24"/>
      <c r="J661" s="39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71"/>
      <c r="AG661" s="272"/>
    </row>
    <row r="662" spans="1:33" s="4" customFormat="1" ht="21.75" customHeight="1">
      <c r="A662" s="30">
        <v>42</v>
      </c>
      <c r="B662" s="38">
        <v>600000</v>
      </c>
      <c r="C662" s="46">
        <v>600050</v>
      </c>
      <c r="D662" s="39" t="s">
        <v>17</v>
      </c>
      <c r="E662" s="24">
        <f>C662-B662</f>
        <v>50</v>
      </c>
      <c r="F662" s="66">
        <v>5</v>
      </c>
      <c r="G662" s="24"/>
      <c r="H662" s="24"/>
      <c r="I662" s="24">
        <f>IF(G662=0,ROUND($E662*$F662,2),ROUND($E662*$F662*$G662,2))</f>
        <v>250</v>
      </c>
      <c r="J662" s="24"/>
      <c r="K662" s="24"/>
      <c r="L662" s="24"/>
      <c r="M662" s="24"/>
      <c r="N662" s="24">
        <f>ROUND($E662/N$680,2)</f>
        <v>0.5</v>
      </c>
      <c r="O662" s="24"/>
      <c r="P662" s="24">
        <f>ROUND((($I662)*(P$680/12))/27,2)</f>
        <v>1.54</v>
      </c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71"/>
      <c r="AG662" s="272"/>
    </row>
    <row r="663" spans="1:33" s="4" customFormat="1" ht="21.75" customHeight="1">
      <c r="A663" s="30">
        <v>43</v>
      </c>
      <c r="B663" s="38">
        <f>C662</f>
        <v>600050</v>
      </c>
      <c r="C663" s="38">
        <v>600151.38</v>
      </c>
      <c r="D663" s="39" t="s">
        <v>17</v>
      </c>
      <c r="E663" s="24">
        <f>C663-B663</f>
        <v>101.38000000000466</v>
      </c>
      <c r="F663" s="24">
        <v>5</v>
      </c>
      <c r="G663" s="24"/>
      <c r="H663" s="24"/>
      <c r="I663" s="24">
        <f>IF(G663=0,ROUND($E663*$F663,2),ROUND($E663*$F663*$G663,2))</f>
        <v>506.9</v>
      </c>
      <c r="J663" s="39"/>
      <c r="K663" s="24"/>
      <c r="L663" s="24"/>
      <c r="M663" s="24"/>
      <c r="N663" s="24">
        <f>ROUND($E663/N$680,2)</f>
        <v>1.01</v>
      </c>
      <c r="O663" s="24"/>
      <c r="P663" s="24">
        <f>ROUND((($I663)*(P$680/12))/27,2)</f>
        <v>3.13</v>
      </c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71"/>
      <c r="AG663" s="272"/>
    </row>
    <row r="664" spans="1:33" s="4" customFormat="1" ht="21.75" customHeight="1">
      <c r="A664" s="30">
        <v>44</v>
      </c>
      <c r="B664" s="38">
        <f>C663</f>
        <v>600151.38</v>
      </c>
      <c r="C664" s="38">
        <v>600181.3</v>
      </c>
      <c r="D664" s="39" t="s">
        <v>17</v>
      </c>
      <c r="E664" s="24">
        <f>C664-B664</f>
        <v>29.92000000004191</v>
      </c>
      <c r="F664" s="24">
        <v>4.5</v>
      </c>
      <c r="G664" s="24"/>
      <c r="H664" s="24"/>
      <c r="I664" s="24">
        <f>IF(G664=0,ROUND($E664*$F664,2),ROUND($E664*$F664*$G664,2))</f>
        <v>134.64</v>
      </c>
      <c r="J664" s="39"/>
      <c r="K664" s="24"/>
      <c r="L664" s="24"/>
      <c r="M664" s="24"/>
      <c r="N664" s="24">
        <f>ROUND($E664/N$680,2)</f>
        <v>0.3</v>
      </c>
      <c r="O664" s="24"/>
      <c r="P664" s="24">
        <f>ROUND((($I664)*(P$680/12))/27,2)</f>
        <v>0.83</v>
      </c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71"/>
      <c r="AG664" s="272"/>
    </row>
    <row r="665" spans="1:33" s="4" customFormat="1" ht="21.75" customHeight="1">
      <c r="A665" s="30">
        <v>45</v>
      </c>
      <c r="B665" s="38"/>
      <c r="C665" s="38"/>
      <c r="D665" s="39"/>
      <c r="E665" s="24"/>
      <c r="F665" s="24"/>
      <c r="G665" s="24"/>
      <c r="H665" s="24"/>
      <c r="I665" s="24"/>
      <c r="J665" s="39"/>
      <c r="K665" s="24"/>
      <c r="L665" s="24"/>
      <c r="M665" s="24"/>
      <c r="N665" s="61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71"/>
      <c r="AG665" s="272"/>
    </row>
    <row r="666" spans="1:33" s="4" customFormat="1" ht="21.75" customHeight="1">
      <c r="A666" s="30">
        <v>46</v>
      </c>
      <c r="B666" s="38">
        <v>600564.29</v>
      </c>
      <c r="C666" s="38">
        <v>600566.44</v>
      </c>
      <c r="D666" s="39" t="s">
        <v>16</v>
      </c>
      <c r="E666" s="24">
        <f>C666-B666</f>
        <v>2.1499999999068677</v>
      </c>
      <c r="F666" s="66">
        <v>5</v>
      </c>
      <c r="G666" s="105"/>
      <c r="H666" s="105"/>
      <c r="I666" s="24">
        <f>IF(G666=0,ROUND($E666*$F666,2),ROUND($E666*$F666*$G666,2))</f>
        <v>10.75</v>
      </c>
      <c r="J666" s="24"/>
      <c r="K666" s="24"/>
      <c r="L666" s="24"/>
      <c r="M666" s="24"/>
      <c r="N666" s="24">
        <f>ROUND($E666/N$680,2)</f>
        <v>0.02</v>
      </c>
      <c r="O666" s="24"/>
      <c r="P666" s="24">
        <f>ROUND((($I666)*(P$680/12))/27,2)</f>
        <v>0.07</v>
      </c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71"/>
      <c r="AG666" s="272"/>
    </row>
    <row r="667" spans="1:33" s="4" customFormat="1" ht="21.75" customHeight="1">
      <c r="A667" s="30">
        <v>47</v>
      </c>
      <c r="B667" s="38">
        <f>C666</f>
        <v>600566.44</v>
      </c>
      <c r="C667" s="46">
        <v>600900</v>
      </c>
      <c r="D667" s="39" t="s">
        <v>16</v>
      </c>
      <c r="E667" s="24">
        <f>C667-B667</f>
        <v>333.5600000000559</v>
      </c>
      <c r="F667" s="66">
        <v>5</v>
      </c>
      <c r="G667" s="105">
        <f>ROUND((2706.8872-8-($F667/2))/2706.8872,4)</f>
        <v>0.9961</v>
      </c>
      <c r="H667" s="105"/>
      <c r="I667" s="24">
        <f>IF(G667=0,ROUND($E667*$F667,2),ROUND($E667*$F667*$G667,2))</f>
        <v>1661.3</v>
      </c>
      <c r="J667" s="39"/>
      <c r="K667" s="24"/>
      <c r="L667" s="24"/>
      <c r="M667" s="24"/>
      <c r="N667" s="24">
        <f>ROUND($E667/N$680,2)</f>
        <v>3.34</v>
      </c>
      <c r="O667" s="24"/>
      <c r="P667" s="24">
        <f>ROUND((($I667)*(P$680/12))/27,2)</f>
        <v>10.25</v>
      </c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71"/>
      <c r="AG667" s="272"/>
    </row>
    <row r="668" spans="1:33" s="4" customFormat="1" ht="21.75" customHeight="1">
      <c r="A668" s="30">
        <v>48</v>
      </c>
      <c r="B668" s="38">
        <f>C667</f>
        <v>600900</v>
      </c>
      <c r="C668" s="38">
        <v>601012.24</v>
      </c>
      <c r="D668" s="39" t="s">
        <v>16</v>
      </c>
      <c r="E668" s="24">
        <f>C668-B668</f>
        <v>112.23999999999069</v>
      </c>
      <c r="F668" s="66">
        <v>5</v>
      </c>
      <c r="G668" s="105">
        <f>ROUND((2706.8872-10.23-($F668/2))/2706.8872,4)</f>
        <v>0.9953</v>
      </c>
      <c r="H668" s="105"/>
      <c r="I668" s="24">
        <f>IF(G668=0,ROUND($E668*$F668,2),ROUND($E668*$F668*$G668,2))</f>
        <v>558.56</v>
      </c>
      <c r="J668" s="39"/>
      <c r="K668" s="24"/>
      <c r="L668" s="24"/>
      <c r="M668" s="24"/>
      <c r="N668" s="24">
        <f>ROUND($E668/N$680,2)</f>
        <v>1.12</v>
      </c>
      <c r="O668" s="24"/>
      <c r="P668" s="24">
        <f>ROUND((($I668)*(P$680/12))/27,2)</f>
        <v>3.45</v>
      </c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71"/>
      <c r="AG668" s="272"/>
    </row>
    <row r="669" spans="1:33" s="4" customFormat="1" ht="21.75" customHeight="1">
      <c r="A669" s="30">
        <v>49</v>
      </c>
      <c r="B669" s="38">
        <f>C668</f>
        <v>601012.24</v>
      </c>
      <c r="C669" s="38">
        <v>601036.04</v>
      </c>
      <c r="D669" s="39" t="s">
        <v>16</v>
      </c>
      <c r="E669" s="24">
        <f>C669-B669</f>
        <v>23.800000000046566</v>
      </c>
      <c r="F669" s="66">
        <v>5</v>
      </c>
      <c r="G669" s="105">
        <f>ROUND((3774.48-12.92-($F669/2))/3774.48,4)</f>
        <v>0.9959</v>
      </c>
      <c r="H669" s="105"/>
      <c r="I669" s="24">
        <f>IF(G669=0,ROUND($E669*$F669,2),ROUND($E669*$F669*$G669,2))</f>
        <v>118.51</v>
      </c>
      <c r="J669" s="24"/>
      <c r="K669" s="24"/>
      <c r="L669" s="24"/>
      <c r="M669" s="24"/>
      <c r="N669" s="24">
        <f>ROUND($E669/N$680,2)</f>
        <v>0.24</v>
      </c>
      <c r="O669" s="24"/>
      <c r="P669" s="24">
        <f>ROUND((($I669)*(P$680/12))/27,2)</f>
        <v>0.73</v>
      </c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71"/>
      <c r="AG669" s="272"/>
    </row>
    <row r="670" spans="1:33" s="4" customFormat="1" ht="21.75" customHeight="1">
      <c r="A670" s="30">
        <v>50</v>
      </c>
      <c r="B670" s="38">
        <f>C669</f>
        <v>601036.04</v>
      </c>
      <c r="C670" s="38">
        <v>601081.51</v>
      </c>
      <c r="D670" s="39" t="s">
        <v>16</v>
      </c>
      <c r="E670" s="24">
        <f>C670-B670</f>
        <v>45.46999999997206</v>
      </c>
      <c r="F670" s="66">
        <v>5</v>
      </c>
      <c r="G670" s="105">
        <f>ROUND((3774.48-13.61-($F670/2))/3774.48,4)</f>
        <v>0.9957</v>
      </c>
      <c r="H670" s="105"/>
      <c r="I670" s="24">
        <f>IF(G670=0,ROUND($E670*$F670,2),ROUND($E670*$F670*$G670,2))</f>
        <v>226.37</v>
      </c>
      <c r="J670" s="39"/>
      <c r="K670" s="24"/>
      <c r="L670" s="24"/>
      <c r="M670" s="24"/>
      <c r="N670" s="24">
        <f>ROUND($E670/N$680,2)</f>
        <v>0.45</v>
      </c>
      <c r="O670" s="24"/>
      <c r="P670" s="24">
        <f>ROUND((($I670)*(P$680/12))/27,2)</f>
        <v>1.4</v>
      </c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71"/>
      <c r="AG670" s="272"/>
    </row>
    <row r="671" spans="1:33" s="4" customFormat="1" ht="21.75" customHeight="1">
      <c r="A671" s="30">
        <v>51</v>
      </c>
      <c r="B671" s="38"/>
      <c r="C671" s="38"/>
      <c r="D671" s="39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71"/>
      <c r="AG671" s="272"/>
    </row>
    <row r="672" spans="1:33" s="4" customFormat="1" ht="21.75" customHeight="1">
      <c r="A672" s="30">
        <v>52</v>
      </c>
      <c r="B672" s="313">
        <v>601081.51</v>
      </c>
      <c r="C672" s="314"/>
      <c r="D672" s="39" t="s">
        <v>16</v>
      </c>
      <c r="E672" s="24">
        <v>8.22</v>
      </c>
      <c r="F672" s="333" t="s">
        <v>13</v>
      </c>
      <c r="G672" s="334"/>
      <c r="H672" s="334"/>
      <c r="I672" s="335"/>
      <c r="J672" s="24">
        <f>ROUND(8.2212*5,2)</f>
        <v>41.11</v>
      </c>
      <c r="K672" s="24"/>
      <c r="L672" s="24"/>
      <c r="M672" s="24"/>
      <c r="N672" s="24">
        <f>ROUND($E672/N$680,2)</f>
        <v>0.08</v>
      </c>
      <c r="O672" s="24"/>
      <c r="P672" s="24">
        <f>ROUND((($J672)*(P$680/12))/27,2)</f>
        <v>0.25</v>
      </c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73"/>
      <c r="AG672" s="272"/>
    </row>
    <row r="673" spans="1:33" s="4" customFormat="1" ht="21.75" customHeight="1">
      <c r="A673" s="30">
        <v>53</v>
      </c>
      <c r="B673" s="38"/>
      <c r="C673" s="38"/>
      <c r="D673" s="39"/>
      <c r="E673" s="24"/>
      <c r="F673" s="24"/>
      <c r="G673" s="24"/>
      <c r="H673" s="24"/>
      <c r="I673" s="24"/>
      <c r="J673" s="39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73"/>
      <c r="AG673" s="272"/>
    </row>
    <row r="674" spans="1:33" s="4" customFormat="1" ht="21.75" customHeight="1" thickBot="1">
      <c r="A674" s="30">
        <v>54</v>
      </c>
      <c r="B674" s="38"/>
      <c r="C674" s="38"/>
      <c r="D674" s="39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74"/>
      <c r="AG674" s="275"/>
    </row>
    <row r="675" spans="2:33" s="1" customFormat="1" ht="46.5" customHeight="1">
      <c r="B675" s="233" t="s">
        <v>15</v>
      </c>
      <c r="C675" s="234"/>
      <c r="D675" s="234"/>
      <c r="E675" s="234"/>
      <c r="F675" s="234"/>
      <c r="G675" s="234"/>
      <c r="H675" s="234"/>
      <c r="I675" s="234"/>
      <c r="J675" s="234"/>
      <c r="K675" s="211" t="str">
        <f>IF(SUM(K621:K674)=0," ",ROUNDUP(SUM(K621:K674),0))</f>
        <v> </v>
      </c>
      <c r="L675" s="211" t="str">
        <f aca="true" t="shared" si="202" ref="L675:Z675">IF(SUM(L621:L674)=0," ",ROUNDUP(SUM(L621:L674),0))</f>
        <v> </v>
      </c>
      <c r="M675" s="211">
        <f t="shared" si="202"/>
        <v>10</v>
      </c>
      <c r="N675" s="211">
        <f t="shared" si="202"/>
        <v>36</v>
      </c>
      <c r="O675" s="211">
        <f t="shared" si="202"/>
        <v>29</v>
      </c>
      <c r="P675" s="211">
        <f t="shared" si="202"/>
        <v>109</v>
      </c>
      <c r="Q675" s="211" t="str">
        <f t="shared" si="202"/>
        <v> </v>
      </c>
      <c r="R675" s="211" t="str">
        <f t="shared" si="202"/>
        <v> </v>
      </c>
      <c r="S675" s="211" t="str">
        <f t="shared" si="202"/>
        <v> </v>
      </c>
      <c r="T675" s="211" t="str">
        <f t="shared" si="202"/>
        <v> </v>
      </c>
      <c r="U675" s="211" t="str">
        <f t="shared" si="202"/>
        <v> </v>
      </c>
      <c r="V675" s="211" t="str">
        <f t="shared" si="202"/>
        <v> </v>
      </c>
      <c r="W675" s="211" t="str">
        <f t="shared" si="202"/>
        <v> </v>
      </c>
      <c r="X675" s="211" t="str">
        <f t="shared" si="202"/>
        <v> </v>
      </c>
      <c r="Y675" s="211" t="str">
        <f t="shared" si="202"/>
        <v> </v>
      </c>
      <c r="Z675" s="211" t="str">
        <f t="shared" si="202"/>
        <v> </v>
      </c>
      <c r="AA675" s="211" t="str">
        <f>IF(SUM(AA621:AA674)=0," ",ROUNDUP(SUM(AA621:AA674),0))</f>
        <v> </v>
      </c>
      <c r="AB675" s="211" t="str">
        <f>IF(SUM(AB621:AB674)=0," ",ROUNDUP(SUM(AB621:AB674),0))</f>
        <v> </v>
      </c>
      <c r="AC675" s="211" t="str">
        <f>IF(SUM(AC621:AC674)=0," ",ROUNDUP(SUM(AC621:AC674),0))</f>
        <v> </v>
      </c>
      <c r="AD675" s="211" t="str">
        <f>IF(SUM(AD621:AD674)=0," ",ROUNDUP(SUM(AD621:AD674),0))</f>
        <v> </v>
      </c>
      <c r="AE675" s="211" t="str">
        <f>IF(SUM(AE621:AE674)=0," ",ROUNDUP(SUM(AE621:AE674),0))</f>
        <v> </v>
      </c>
      <c r="AF675" s="279">
        <v>11</v>
      </c>
      <c r="AG675" s="280"/>
    </row>
    <row r="676" spans="2:33" s="1" customFormat="1" ht="46.5" customHeight="1" thickBot="1">
      <c r="B676" s="236"/>
      <c r="C676" s="237"/>
      <c r="D676" s="237"/>
      <c r="E676" s="237"/>
      <c r="F676" s="237"/>
      <c r="G676" s="237"/>
      <c r="H676" s="237"/>
      <c r="I676" s="237"/>
      <c r="J676" s="237"/>
      <c r="K676" s="212"/>
      <c r="L676" s="212"/>
      <c r="M676" s="212"/>
      <c r="N676" s="212"/>
      <c r="O676" s="212"/>
      <c r="P676" s="212"/>
      <c r="Q676" s="212"/>
      <c r="R676" s="212"/>
      <c r="S676" s="212"/>
      <c r="T676" s="212"/>
      <c r="U676" s="212"/>
      <c r="V676" s="212"/>
      <c r="W676" s="212"/>
      <c r="X676" s="212"/>
      <c r="Y676" s="212"/>
      <c r="Z676" s="212"/>
      <c r="AA676" s="212"/>
      <c r="AB676" s="212"/>
      <c r="AC676" s="212"/>
      <c r="AD676" s="212"/>
      <c r="AE676" s="212"/>
      <c r="AF676" s="276">
        <f>$AF$68</f>
        <v>18</v>
      </c>
      <c r="AG676" s="277"/>
    </row>
    <row r="677" spans="1:34" ht="36" customHeight="1">
      <c r="A677" s="10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78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F677" s="49"/>
      <c r="AG677" s="49"/>
      <c r="AH677" s="11"/>
    </row>
    <row r="678" spans="2:33" ht="15"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79"/>
      <c r="P678" s="78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F678" s="49"/>
      <c r="AG678" s="49"/>
    </row>
    <row r="679" spans="2:33" ht="15"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79"/>
      <c r="P679" s="78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F679" s="49"/>
      <c r="AG679" s="49"/>
    </row>
    <row r="680" spans="2:33" ht="15.75">
      <c r="B680" s="153" t="s">
        <v>7</v>
      </c>
      <c r="C680" s="51"/>
      <c r="D680" s="51"/>
      <c r="E680" s="51"/>
      <c r="F680" s="51"/>
      <c r="G680" s="52"/>
      <c r="H680" s="53"/>
      <c r="I680" s="53"/>
      <c r="J680" s="53"/>
      <c r="K680" s="53"/>
      <c r="L680" s="80"/>
      <c r="M680" s="80">
        <v>100</v>
      </c>
      <c r="N680" s="53">
        <v>100</v>
      </c>
      <c r="O680" s="53">
        <v>2</v>
      </c>
      <c r="P680" s="53">
        <v>2</v>
      </c>
      <c r="Q680" s="53"/>
      <c r="R680" s="53"/>
      <c r="S680" s="94"/>
      <c r="T680" s="94"/>
      <c r="U680" s="95"/>
      <c r="V680" s="53"/>
      <c r="W680" s="82"/>
      <c r="X680" s="82"/>
      <c r="Y680" s="83"/>
      <c r="Z680" s="84"/>
      <c r="AF680" s="52"/>
      <c r="AG680" s="52"/>
    </row>
    <row r="681" spans="2:33" ht="15">
      <c r="B681" s="49"/>
      <c r="C681" s="49"/>
      <c r="D681" s="49"/>
      <c r="E681" s="49"/>
      <c r="F681" s="49"/>
      <c r="G681" s="49"/>
      <c r="H681" s="49"/>
      <c r="I681" s="49"/>
      <c r="J681" s="49"/>
      <c r="K681" s="146"/>
      <c r="L681" s="146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  <c r="AF681" s="49"/>
      <c r="AG681" s="49"/>
    </row>
    <row r="682" spans="2:33" ht="15">
      <c r="B682" s="49"/>
      <c r="C682" s="49"/>
      <c r="D682" s="49"/>
      <c r="E682" s="49"/>
      <c r="F682" s="49"/>
      <c r="G682" s="49"/>
      <c r="H682" s="49"/>
      <c r="I682" s="49"/>
      <c r="J682" s="49"/>
      <c r="K682" s="143" t="s">
        <v>62</v>
      </c>
      <c r="L682" s="144"/>
      <c r="M682" s="145">
        <v>0.6</v>
      </c>
      <c r="N682" s="145">
        <v>0.4</v>
      </c>
      <c r="O682" s="145">
        <v>0.6</v>
      </c>
      <c r="P682" s="145">
        <v>0.4</v>
      </c>
      <c r="Q682" s="145">
        <v>0.6</v>
      </c>
      <c r="R682" s="145">
        <v>0.4</v>
      </c>
      <c r="S682" s="145">
        <v>0.6</v>
      </c>
      <c r="T682" s="145">
        <v>0.4</v>
      </c>
      <c r="U682" s="145">
        <v>0.6</v>
      </c>
      <c r="V682" s="145">
        <v>0.4</v>
      </c>
      <c r="W682" s="145">
        <v>0.6</v>
      </c>
      <c r="X682" s="145">
        <v>0.4</v>
      </c>
      <c r="Y682" s="145">
        <v>0.6</v>
      </c>
      <c r="Z682" s="145">
        <v>0.4</v>
      </c>
      <c r="AF682" s="49"/>
      <c r="AG682" s="49"/>
    </row>
    <row r="683" spans="2:33" ht="15">
      <c r="B683" s="49"/>
      <c r="C683" s="49"/>
      <c r="D683" s="49"/>
      <c r="E683" s="49"/>
      <c r="F683" s="49"/>
      <c r="G683" s="49"/>
      <c r="H683" s="49"/>
      <c r="I683" s="49"/>
      <c r="J683" s="49"/>
      <c r="K683" s="139" t="s">
        <v>63</v>
      </c>
      <c r="L683" s="140"/>
      <c r="M683" s="122">
        <v>0.5</v>
      </c>
      <c r="N683" s="122">
        <v>0.5</v>
      </c>
      <c r="O683" s="122">
        <v>0.5</v>
      </c>
      <c r="P683" s="122">
        <v>0.5</v>
      </c>
      <c r="Q683" s="122">
        <v>0.5</v>
      </c>
      <c r="R683" s="122">
        <v>0.5</v>
      </c>
      <c r="S683" s="122">
        <v>0.5</v>
      </c>
      <c r="T683" s="122">
        <v>0.5</v>
      </c>
      <c r="U683" s="122">
        <v>0.5</v>
      </c>
      <c r="V683" s="122">
        <v>0.5</v>
      </c>
      <c r="W683" s="122">
        <v>0.5</v>
      </c>
      <c r="X683" s="122">
        <v>0.5</v>
      </c>
      <c r="Y683" s="122">
        <v>0.5</v>
      </c>
      <c r="Z683" s="122">
        <v>0.5</v>
      </c>
      <c r="AF683" s="49"/>
      <c r="AG683" s="49"/>
    </row>
    <row r="684" spans="2:33" ht="12.75"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85"/>
      <c r="U684" s="49"/>
      <c r="V684" s="49"/>
      <c r="W684" s="49"/>
      <c r="X684" s="49"/>
      <c r="Y684" s="49"/>
      <c r="Z684" s="49"/>
      <c r="AF684" s="49"/>
      <c r="AG684" s="49"/>
    </row>
    <row r="685" spans="2:33" ht="12.75"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85"/>
      <c r="U685" s="49"/>
      <c r="V685" s="49"/>
      <c r="W685" s="49"/>
      <c r="X685" s="49"/>
      <c r="Y685" s="49"/>
      <c r="Z685" s="49"/>
      <c r="AF685" s="49"/>
      <c r="AG685" s="49"/>
    </row>
    <row r="686" spans="2:33" ht="12.75"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85"/>
      <c r="U686" s="49"/>
      <c r="V686" s="49"/>
      <c r="W686" s="49"/>
      <c r="X686" s="49"/>
      <c r="Y686" s="49"/>
      <c r="Z686" s="49"/>
      <c r="AF686" s="49"/>
      <c r="AG686" s="49"/>
    </row>
    <row r="687" spans="1:34" s="3" customFormat="1" ht="36" customHeight="1" thickBot="1">
      <c r="A687" s="12"/>
      <c r="B687" s="54"/>
      <c r="C687" s="55"/>
      <c r="D687" s="55"/>
      <c r="E687" s="55"/>
      <c r="F687" s="55"/>
      <c r="G687" s="55"/>
      <c r="H687" s="55"/>
      <c r="I687" s="55"/>
      <c r="J687" s="55"/>
      <c r="K687" s="31"/>
      <c r="L687" s="257"/>
      <c r="M687" s="257"/>
      <c r="N687" s="257"/>
      <c r="O687" s="257"/>
      <c r="P687" s="257"/>
      <c r="Q687" s="257"/>
      <c r="R687" s="257"/>
      <c r="S687" s="257"/>
      <c r="T687" s="257"/>
      <c r="U687" s="257"/>
      <c r="V687" s="100"/>
      <c r="W687" s="100"/>
      <c r="AB687" s="31"/>
      <c r="AD687" s="31"/>
      <c r="AE687" s="31"/>
      <c r="AH687" s="13"/>
    </row>
    <row r="688" spans="2:33" s="4" customFormat="1" ht="21.75" customHeight="1">
      <c r="B688" s="233"/>
      <c r="C688" s="235"/>
      <c r="D688" s="251"/>
      <c r="E688" s="251"/>
      <c r="F688" s="251"/>
      <c r="G688" s="254"/>
      <c r="H688" s="254"/>
      <c r="I688" s="254"/>
      <c r="J688" s="251"/>
      <c r="K688" s="254"/>
      <c r="L688" s="216"/>
      <c r="M688" s="217"/>
      <c r="N688" s="216"/>
      <c r="O688" s="217"/>
      <c r="P688" s="216"/>
      <c r="Q688" s="217"/>
      <c r="R688" s="216"/>
      <c r="S688" s="217"/>
      <c r="T688" s="216"/>
      <c r="U688" s="217"/>
      <c r="V688" s="216"/>
      <c r="W688" s="217"/>
      <c r="X688" s="216"/>
      <c r="Y688" s="217"/>
      <c r="Z688" s="216"/>
      <c r="AA688" s="217"/>
      <c r="AB688" s="216"/>
      <c r="AC688" s="217"/>
      <c r="AD688" s="216"/>
      <c r="AE688" s="217"/>
      <c r="AF688" s="282"/>
      <c r="AG688" s="282"/>
    </row>
    <row r="689" spans="2:33" s="4" customFormat="1" ht="27.75" customHeight="1">
      <c r="B689" s="293"/>
      <c r="C689" s="294"/>
      <c r="D689" s="252"/>
      <c r="E689" s="252"/>
      <c r="F689" s="252"/>
      <c r="G689" s="255"/>
      <c r="H689" s="242"/>
      <c r="I689" s="242"/>
      <c r="J689" s="252"/>
      <c r="K689" s="255"/>
      <c r="L689" s="218"/>
      <c r="M689" s="219"/>
      <c r="N689" s="218"/>
      <c r="O689" s="219"/>
      <c r="P689" s="218"/>
      <c r="Q689" s="219"/>
      <c r="R689" s="218"/>
      <c r="S689" s="219"/>
      <c r="T689" s="218"/>
      <c r="U689" s="219"/>
      <c r="V689" s="218"/>
      <c r="W689" s="219"/>
      <c r="X689" s="218"/>
      <c r="Y689" s="219"/>
      <c r="Z689" s="218"/>
      <c r="AA689" s="219"/>
      <c r="AB689" s="218"/>
      <c r="AC689" s="219"/>
      <c r="AD689" s="218"/>
      <c r="AE689" s="219"/>
      <c r="AF689" s="283"/>
      <c r="AG689" s="304"/>
    </row>
    <row r="690" spans="2:33" s="4" customFormat="1" ht="27.75" customHeight="1" thickBot="1">
      <c r="B690" s="293"/>
      <c r="C690" s="294"/>
      <c r="D690" s="252"/>
      <c r="E690" s="252"/>
      <c r="F690" s="252"/>
      <c r="G690" s="255"/>
      <c r="H690" s="242"/>
      <c r="I690" s="242"/>
      <c r="J690" s="252"/>
      <c r="K690" s="255"/>
      <c r="L690" s="220"/>
      <c r="M690" s="221"/>
      <c r="N690" s="220"/>
      <c r="O690" s="221"/>
      <c r="P690" s="220"/>
      <c r="Q690" s="221"/>
      <c r="R690" s="220"/>
      <c r="S690" s="221"/>
      <c r="T690" s="220"/>
      <c r="U690" s="221"/>
      <c r="V690" s="220"/>
      <c r="W690" s="221"/>
      <c r="X690" s="220"/>
      <c r="Y690" s="221"/>
      <c r="Z690" s="220"/>
      <c r="AA690" s="221"/>
      <c r="AB690" s="220"/>
      <c r="AC690" s="221"/>
      <c r="AD690" s="220"/>
      <c r="AE690" s="221"/>
      <c r="AF690" s="284"/>
      <c r="AG690" s="304"/>
    </row>
    <row r="691" spans="2:33" s="4" customFormat="1" ht="27.75" customHeight="1">
      <c r="B691" s="293"/>
      <c r="C691" s="294"/>
      <c r="D691" s="252"/>
      <c r="E691" s="252"/>
      <c r="F691" s="252"/>
      <c r="G691" s="255"/>
      <c r="H691" s="242"/>
      <c r="I691" s="242"/>
      <c r="J691" s="252"/>
      <c r="K691" s="255"/>
      <c r="L691" s="220"/>
      <c r="M691" s="221"/>
      <c r="N691" s="220"/>
      <c r="O691" s="221"/>
      <c r="P691" s="220"/>
      <c r="Q691" s="221"/>
      <c r="R691" s="220"/>
      <c r="S691" s="221"/>
      <c r="T691" s="220"/>
      <c r="U691" s="221"/>
      <c r="V691" s="220"/>
      <c r="W691" s="221"/>
      <c r="X691" s="220"/>
      <c r="Y691" s="221"/>
      <c r="Z691" s="220"/>
      <c r="AA691" s="221"/>
      <c r="AB691" s="220"/>
      <c r="AC691" s="221"/>
      <c r="AD691" s="220"/>
      <c r="AE691" s="221"/>
      <c r="AF691" s="269"/>
      <c r="AG691" s="270"/>
    </row>
    <row r="692" spans="2:33" s="4" customFormat="1" ht="27.75" customHeight="1">
      <c r="B692" s="293"/>
      <c r="C692" s="294"/>
      <c r="D692" s="252"/>
      <c r="E692" s="252"/>
      <c r="F692" s="252"/>
      <c r="G692" s="255"/>
      <c r="H692" s="242"/>
      <c r="I692" s="242"/>
      <c r="J692" s="252"/>
      <c r="K692" s="255"/>
      <c r="L692" s="220"/>
      <c r="M692" s="221"/>
      <c r="N692" s="220"/>
      <c r="O692" s="221"/>
      <c r="P692" s="220"/>
      <c r="Q692" s="221"/>
      <c r="R692" s="220"/>
      <c r="S692" s="221"/>
      <c r="T692" s="220"/>
      <c r="U692" s="221"/>
      <c r="V692" s="220"/>
      <c r="W692" s="221"/>
      <c r="X692" s="220"/>
      <c r="Y692" s="221"/>
      <c r="Z692" s="220"/>
      <c r="AA692" s="221"/>
      <c r="AB692" s="220"/>
      <c r="AC692" s="221"/>
      <c r="AD692" s="220"/>
      <c r="AE692" s="221"/>
      <c r="AF692" s="271"/>
      <c r="AG692" s="272"/>
    </row>
    <row r="693" spans="2:33" s="4" customFormat="1" ht="27.75" customHeight="1">
      <c r="B693" s="293"/>
      <c r="C693" s="294"/>
      <c r="D693" s="252"/>
      <c r="E693" s="252"/>
      <c r="F693" s="252"/>
      <c r="G693" s="255"/>
      <c r="H693" s="242"/>
      <c r="I693" s="242"/>
      <c r="J693" s="252"/>
      <c r="K693" s="255"/>
      <c r="L693" s="220"/>
      <c r="M693" s="221"/>
      <c r="N693" s="220"/>
      <c r="O693" s="221"/>
      <c r="P693" s="220"/>
      <c r="Q693" s="221"/>
      <c r="R693" s="220"/>
      <c r="S693" s="221"/>
      <c r="T693" s="220"/>
      <c r="U693" s="221"/>
      <c r="V693" s="220"/>
      <c r="W693" s="221"/>
      <c r="X693" s="220"/>
      <c r="Y693" s="221"/>
      <c r="Z693" s="220"/>
      <c r="AA693" s="221"/>
      <c r="AB693" s="220"/>
      <c r="AC693" s="221"/>
      <c r="AD693" s="220"/>
      <c r="AE693" s="221"/>
      <c r="AF693" s="271"/>
      <c r="AG693" s="272"/>
    </row>
    <row r="694" spans="2:33" s="4" customFormat="1" ht="27.75" customHeight="1">
      <c r="B694" s="293"/>
      <c r="C694" s="294"/>
      <c r="D694" s="252"/>
      <c r="E694" s="252"/>
      <c r="F694" s="252"/>
      <c r="G694" s="255"/>
      <c r="H694" s="242"/>
      <c r="I694" s="242"/>
      <c r="J694" s="252"/>
      <c r="K694" s="255"/>
      <c r="L694" s="220"/>
      <c r="M694" s="221"/>
      <c r="N694" s="220"/>
      <c r="O694" s="221"/>
      <c r="P694" s="220"/>
      <c r="Q694" s="221"/>
      <c r="R694" s="220"/>
      <c r="S694" s="221"/>
      <c r="T694" s="220"/>
      <c r="U694" s="221"/>
      <c r="V694" s="220"/>
      <c r="W694" s="221"/>
      <c r="X694" s="220"/>
      <c r="Y694" s="221"/>
      <c r="Z694" s="220"/>
      <c r="AA694" s="221"/>
      <c r="AB694" s="220"/>
      <c r="AC694" s="221"/>
      <c r="AD694" s="220"/>
      <c r="AE694" s="221"/>
      <c r="AF694" s="271"/>
      <c r="AG694" s="272"/>
    </row>
    <row r="695" spans="2:33" s="4" customFormat="1" ht="27.75" customHeight="1">
      <c r="B695" s="293"/>
      <c r="C695" s="294"/>
      <c r="D695" s="252"/>
      <c r="E695" s="252"/>
      <c r="F695" s="252"/>
      <c r="G695" s="255"/>
      <c r="H695" s="242"/>
      <c r="I695" s="242"/>
      <c r="J695" s="252"/>
      <c r="K695" s="255"/>
      <c r="L695" s="220"/>
      <c r="M695" s="221"/>
      <c r="N695" s="220"/>
      <c r="O695" s="221"/>
      <c r="P695" s="220"/>
      <c r="Q695" s="221"/>
      <c r="R695" s="220"/>
      <c r="S695" s="221"/>
      <c r="T695" s="220"/>
      <c r="U695" s="221"/>
      <c r="V695" s="220"/>
      <c r="W695" s="221"/>
      <c r="X695" s="220"/>
      <c r="Y695" s="221"/>
      <c r="Z695" s="220"/>
      <c r="AA695" s="221"/>
      <c r="AB695" s="220"/>
      <c r="AC695" s="221"/>
      <c r="AD695" s="220"/>
      <c r="AE695" s="221"/>
      <c r="AF695" s="271"/>
      <c r="AG695" s="272"/>
    </row>
    <row r="696" spans="2:33" s="5" customFormat="1" ht="27.75" customHeight="1">
      <c r="B696" s="295"/>
      <c r="C696" s="296"/>
      <c r="D696" s="253"/>
      <c r="E696" s="253"/>
      <c r="F696" s="253"/>
      <c r="G696" s="256"/>
      <c r="H696" s="243"/>
      <c r="I696" s="243"/>
      <c r="J696" s="253"/>
      <c r="K696" s="256"/>
      <c r="L696" s="222"/>
      <c r="M696" s="223"/>
      <c r="N696" s="222"/>
      <c r="O696" s="223"/>
      <c r="P696" s="222"/>
      <c r="Q696" s="223"/>
      <c r="R696" s="222"/>
      <c r="S696" s="223"/>
      <c r="T696" s="222"/>
      <c r="U696" s="223"/>
      <c r="V696" s="222"/>
      <c r="W696" s="223"/>
      <c r="X696" s="222"/>
      <c r="Y696" s="223"/>
      <c r="Z696" s="222"/>
      <c r="AA696" s="223"/>
      <c r="AB696" s="222"/>
      <c r="AC696" s="223"/>
      <c r="AD696" s="222"/>
      <c r="AE696" s="223"/>
      <c r="AF696" s="271"/>
      <c r="AG696" s="272"/>
    </row>
    <row r="697" spans="2:33" s="7" customFormat="1" ht="21.75" customHeight="1" thickBot="1">
      <c r="B697" s="56"/>
      <c r="C697" s="56"/>
      <c r="D697" s="57"/>
      <c r="E697" s="57"/>
      <c r="F697" s="57"/>
      <c r="G697" s="57"/>
      <c r="H697" s="57"/>
      <c r="I697" s="57"/>
      <c r="J697" s="57"/>
      <c r="K697" s="57"/>
      <c r="L697" s="208"/>
      <c r="M697" s="210"/>
      <c r="N697" s="208"/>
      <c r="O697" s="210"/>
      <c r="P697" s="208"/>
      <c r="Q697" s="210"/>
      <c r="R697" s="208"/>
      <c r="S697" s="210"/>
      <c r="T697" s="208"/>
      <c r="U697" s="210"/>
      <c r="V697" s="208"/>
      <c r="W697" s="210"/>
      <c r="X697" s="208"/>
      <c r="Y697" s="210"/>
      <c r="Z697" s="208"/>
      <c r="AA697" s="210"/>
      <c r="AB697" s="208"/>
      <c r="AC697" s="210"/>
      <c r="AD697" s="208"/>
      <c r="AE697" s="210"/>
      <c r="AF697" s="271"/>
      <c r="AG697" s="272"/>
    </row>
    <row r="698" spans="1:33" s="4" customFormat="1" ht="21.75" customHeight="1">
      <c r="A698" s="30">
        <v>1</v>
      </c>
      <c r="B698" s="37"/>
      <c r="C698" s="38"/>
      <c r="D698" s="39"/>
      <c r="E698" s="24"/>
      <c r="F698" s="66"/>
      <c r="G698" s="24"/>
      <c r="H698" s="105"/>
      <c r="I698" s="105"/>
      <c r="J698" s="24"/>
      <c r="K698" s="24"/>
      <c r="L698" s="227"/>
      <c r="M698" s="227"/>
      <c r="N698" s="227"/>
      <c r="O698" s="227"/>
      <c r="P698" s="227"/>
      <c r="Q698" s="227"/>
      <c r="R698" s="227"/>
      <c r="S698" s="227"/>
      <c r="T698" s="227"/>
      <c r="U698" s="227"/>
      <c r="V698" s="227"/>
      <c r="W698" s="227"/>
      <c r="X698" s="227"/>
      <c r="Y698" s="227"/>
      <c r="Z698" s="227"/>
      <c r="AA698" s="227"/>
      <c r="AB698" s="227"/>
      <c r="AC698" s="227"/>
      <c r="AD698" s="227"/>
      <c r="AE698" s="227"/>
      <c r="AF698" s="271"/>
      <c r="AG698" s="272"/>
    </row>
    <row r="699" spans="1:33" s="4" customFormat="1" ht="21.75" customHeight="1">
      <c r="A699" s="30">
        <v>2</v>
      </c>
      <c r="B699" s="40"/>
      <c r="C699" s="41"/>
      <c r="D699" s="39"/>
      <c r="E699" s="24"/>
      <c r="F699" s="24"/>
      <c r="G699" s="24"/>
      <c r="H699" s="24"/>
      <c r="I699" s="61"/>
      <c r="J699" s="24"/>
      <c r="K699" s="24"/>
      <c r="L699" s="228"/>
      <c r="M699" s="228"/>
      <c r="N699" s="228"/>
      <c r="O699" s="228"/>
      <c r="P699" s="228"/>
      <c r="Q699" s="228"/>
      <c r="R699" s="228"/>
      <c r="S699" s="228"/>
      <c r="T699" s="228"/>
      <c r="U699" s="228"/>
      <c r="V699" s="228"/>
      <c r="W699" s="228"/>
      <c r="X699" s="228"/>
      <c r="Y699" s="228"/>
      <c r="Z699" s="228"/>
      <c r="AA699" s="228"/>
      <c r="AB699" s="228"/>
      <c r="AC699" s="228"/>
      <c r="AD699" s="228"/>
      <c r="AE699" s="228"/>
      <c r="AF699" s="271"/>
      <c r="AG699" s="272"/>
    </row>
    <row r="700" spans="1:33" s="4" customFormat="1" ht="21.75" customHeight="1">
      <c r="A700" s="30">
        <v>3</v>
      </c>
      <c r="B700" s="40"/>
      <c r="C700" s="41"/>
      <c r="D700" s="39"/>
      <c r="E700" s="24"/>
      <c r="F700" s="24"/>
      <c r="G700" s="24"/>
      <c r="H700" s="24"/>
      <c r="I700" s="61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39"/>
      <c r="AC700" s="24"/>
      <c r="AD700" s="24"/>
      <c r="AE700" s="24"/>
      <c r="AF700" s="271"/>
      <c r="AG700" s="272"/>
    </row>
    <row r="701" spans="1:33" s="4" customFormat="1" ht="21.75" customHeight="1">
      <c r="A701" s="30">
        <v>4</v>
      </c>
      <c r="B701" s="40"/>
      <c r="C701" s="41"/>
      <c r="D701" s="39"/>
      <c r="E701" s="24"/>
      <c r="F701" s="66"/>
      <c r="G701" s="24"/>
      <c r="H701" s="105"/>
      <c r="I701" s="105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39"/>
      <c r="AC701" s="24"/>
      <c r="AD701" s="24"/>
      <c r="AE701" s="24"/>
      <c r="AF701" s="271"/>
      <c r="AG701" s="272"/>
    </row>
    <row r="702" spans="1:33" s="4" customFormat="1" ht="21.75" customHeight="1">
      <c r="A702" s="30">
        <v>5</v>
      </c>
      <c r="B702" s="37"/>
      <c r="C702" s="38"/>
      <c r="D702" s="39"/>
      <c r="E702" s="24"/>
      <c r="F702" s="66"/>
      <c r="G702" s="24"/>
      <c r="H702" s="105"/>
      <c r="I702" s="105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71"/>
      <c r="AG702" s="272"/>
    </row>
    <row r="703" spans="1:33" s="4" customFormat="1" ht="21.75" customHeight="1">
      <c r="A703" s="30">
        <v>6</v>
      </c>
      <c r="B703" s="37"/>
      <c r="C703" s="38"/>
      <c r="D703" s="39"/>
      <c r="E703" s="24"/>
      <c r="F703" s="66"/>
      <c r="G703" s="24"/>
      <c r="H703" s="105"/>
      <c r="I703" s="105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71"/>
      <c r="AG703" s="272"/>
    </row>
    <row r="704" spans="1:33" s="4" customFormat="1" ht="21.75" customHeight="1">
      <c r="A704" s="30">
        <v>7</v>
      </c>
      <c r="B704" s="37"/>
      <c r="C704" s="38"/>
      <c r="D704" s="39"/>
      <c r="E704" s="24"/>
      <c r="F704" s="66"/>
      <c r="G704" s="24"/>
      <c r="H704" s="105"/>
      <c r="I704" s="105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71"/>
      <c r="AG704" s="272"/>
    </row>
    <row r="705" spans="1:33" s="4" customFormat="1" ht="21.75" customHeight="1">
      <c r="A705" s="30">
        <v>8</v>
      </c>
      <c r="B705" s="37"/>
      <c r="C705" s="38"/>
      <c r="D705" s="39"/>
      <c r="E705" s="24"/>
      <c r="F705" s="66"/>
      <c r="G705" s="24"/>
      <c r="H705" s="105"/>
      <c r="I705" s="105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71"/>
      <c r="AG705" s="272"/>
    </row>
    <row r="706" spans="1:33" s="4" customFormat="1" ht="21.75" customHeight="1">
      <c r="A706" s="30">
        <v>9</v>
      </c>
      <c r="B706" s="115"/>
      <c r="C706" s="116"/>
      <c r="D706" s="39"/>
      <c r="E706" s="24"/>
      <c r="F706" s="66"/>
      <c r="G706" s="66"/>
      <c r="H706" s="105"/>
      <c r="I706" s="105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71"/>
      <c r="AG706" s="272"/>
    </row>
    <row r="707" spans="1:33" s="4" customFormat="1" ht="21.75" customHeight="1">
      <c r="A707" s="30">
        <v>10</v>
      </c>
      <c r="B707" s="38"/>
      <c r="C707" s="103"/>
      <c r="D707" s="39"/>
      <c r="E707" s="24"/>
      <c r="F707" s="66"/>
      <c r="G707" s="74"/>
      <c r="H707" s="105"/>
      <c r="I707" s="105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71"/>
      <c r="AG707" s="272"/>
    </row>
    <row r="708" spans="1:33" s="4" customFormat="1" ht="21.75" customHeight="1">
      <c r="A708" s="30">
        <v>11</v>
      </c>
      <c r="B708" s="38"/>
      <c r="C708" s="38"/>
      <c r="D708" s="39"/>
      <c r="E708" s="24"/>
      <c r="F708" s="66"/>
      <c r="G708" s="66"/>
      <c r="H708" s="105"/>
      <c r="I708" s="105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71"/>
      <c r="AG708" s="272"/>
    </row>
    <row r="709" spans="1:33" s="4" customFormat="1" ht="21.75" customHeight="1">
      <c r="A709" s="30">
        <v>12</v>
      </c>
      <c r="B709" s="37"/>
      <c r="C709" s="38"/>
      <c r="D709" s="39"/>
      <c r="E709" s="24"/>
      <c r="F709" s="66"/>
      <c r="G709" s="24"/>
      <c r="H709" s="105"/>
      <c r="I709" s="61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71"/>
      <c r="AG709" s="272"/>
    </row>
    <row r="710" spans="1:33" s="4" customFormat="1" ht="21.75" customHeight="1">
      <c r="A710" s="30">
        <v>13</v>
      </c>
      <c r="B710" s="37"/>
      <c r="C710" s="38"/>
      <c r="D710" s="39"/>
      <c r="E710" s="24"/>
      <c r="F710" s="66"/>
      <c r="G710" s="24"/>
      <c r="H710" s="105"/>
      <c r="I710" s="105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71"/>
      <c r="AG710" s="272"/>
    </row>
    <row r="711" spans="1:33" s="4" customFormat="1" ht="21.75" customHeight="1">
      <c r="A711" s="30">
        <v>14</v>
      </c>
      <c r="B711" s="37"/>
      <c r="C711" s="38"/>
      <c r="D711" s="39"/>
      <c r="E711" s="24"/>
      <c r="F711" s="66"/>
      <c r="G711" s="66"/>
      <c r="H711" s="105"/>
      <c r="I711" s="105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71"/>
      <c r="AG711" s="272"/>
    </row>
    <row r="712" spans="1:33" s="16" customFormat="1" ht="21.75" customHeight="1">
      <c r="A712" s="30">
        <v>15</v>
      </c>
      <c r="B712" s="37"/>
      <c r="C712" s="38"/>
      <c r="D712" s="39"/>
      <c r="E712" s="24"/>
      <c r="F712" s="66"/>
      <c r="G712" s="74"/>
      <c r="H712" s="105"/>
      <c r="I712" s="105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71"/>
      <c r="AG712" s="272"/>
    </row>
    <row r="713" spans="1:33" s="16" customFormat="1" ht="21.75" customHeight="1">
      <c r="A713" s="30">
        <v>16</v>
      </c>
      <c r="B713" s="37"/>
      <c r="C713" s="38"/>
      <c r="D713" s="39"/>
      <c r="E713" s="24"/>
      <c r="F713" s="66"/>
      <c r="G713" s="66"/>
      <c r="H713" s="105"/>
      <c r="I713" s="105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71"/>
      <c r="AG713" s="272"/>
    </row>
    <row r="714" spans="1:33" s="16" customFormat="1" ht="21.75" customHeight="1">
      <c r="A714" s="30">
        <v>17</v>
      </c>
      <c r="B714" s="37"/>
      <c r="C714" s="38"/>
      <c r="D714" s="39"/>
      <c r="E714" s="24"/>
      <c r="F714" s="66"/>
      <c r="G714" s="24"/>
      <c r="H714" s="105"/>
      <c r="I714" s="105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71"/>
      <c r="AG714" s="272"/>
    </row>
    <row r="715" spans="1:33" s="16" customFormat="1" ht="21.75" customHeight="1">
      <c r="A715" s="30">
        <v>18</v>
      </c>
      <c r="B715" s="37"/>
      <c r="C715" s="38"/>
      <c r="D715" s="39"/>
      <c r="E715" s="24"/>
      <c r="F715" s="66"/>
      <c r="G715" s="66"/>
      <c r="H715" s="105"/>
      <c r="I715" s="105"/>
      <c r="J715" s="90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71"/>
      <c r="AG715" s="272"/>
    </row>
    <row r="716" spans="1:33" s="4" customFormat="1" ht="21.75" customHeight="1">
      <c r="A716" s="30">
        <v>19</v>
      </c>
      <c r="B716" s="38"/>
      <c r="C716" s="38"/>
      <c r="D716" s="39"/>
      <c r="E716" s="24"/>
      <c r="F716" s="66"/>
      <c r="G716" s="24"/>
      <c r="H716" s="24"/>
      <c r="I716" s="61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71"/>
      <c r="AG716" s="272"/>
    </row>
    <row r="717" spans="1:33" s="4" customFormat="1" ht="21.75" customHeight="1">
      <c r="A717" s="30">
        <v>20</v>
      </c>
      <c r="B717" s="37"/>
      <c r="C717" s="38"/>
      <c r="D717" s="39"/>
      <c r="E717" s="24"/>
      <c r="F717" s="66"/>
      <c r="G717" s="24"/>
      <c r="H717" s="105"/>
      <c r="I717" s="105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71"/>
      <c r="AG717" s="272"/>
    </row>
    <row r="718" spans="1:33" s="4" customFormat="1" ht="21.75" customHeight="1">
      <c r="A718" s="30">
        <v>21</v>
      </c>
      <c r="B718" s="37"/>
      <c r="C718" s="38"/>
      <c r="D718" s="39"/>
      <c r="E718" s="24"/>
      <c r="F718" s="66"/>
      <c r="G718" s="24"/>
      <c r="H718" s="105"/>
      <c r="I718" s="105"/>
      <c r="J718" s="90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71"/>
      <c r="AG718" s="272"/>
    </row>
    <row r="719" spans="1:33" s="4" customFormat="1" ht="21.75" customHeight="1">
      <c r="A719" s="30">
        <v>22</v>
      </c>
      <c r="B719" s="37"/>
      <c r="C719" s="38"/>
      <c r="D719" s="39"/>
      <c r="E719" s="24"/>
      <c r="F719" s="66"/>
      <c r="G719" s="24"/>
      <c r="H719" s="105"/>
      <c r="I719" s="105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71"/>
      <c r="AG719" s="272"/>
    </row>
    <row r="720" spans="1:33" s="4" customFormat="1" ht="21.75" customHeight="1">
      <c r="A720" s="30">
        <v>23</v>
      </c>
      <c r="B720" s="38"/>
      <c r="C720" s="38"/>
      <c r="D720" s="39"/>
      <c r="E720" s="24"/>
      <c r="F720" s="66"/>
      <c r="G720" s="24"/>
      <c r="H720" s="105"/>
      <c r="I720" s="105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71"/>
      <c r="AG720" s="272"/>
    </row>
    <row r="721" spans="1:33" s="4" customFormat="1" ht="21.75" customHeight="1">
      <c r="A721" s="30">
        <v>24</v>
      </c>
      <c r="B721" s="38"/>
      <c r="C721" s="38"/>
      <c r="D721" s="39"/>
      <c r="E721" s="24"/>
      <c r="F721" s="66"/>
      <c r="G721" s="105"/>
      <c r="H721" s="105"/>
      <c r="I721" s="105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71"/>
      <c r="AG721" s="272"/>
    </row>
    <row r="722" spans="1:33" s="4" customFormat="1" ht="21.75" customHeight="1">
      <c r="A722" s="30">
        <v>25</v>
      </c>
      <c r="B722" s="38"/>
      <c r="C722" s="38"/>
      <c r="D722" s="39"/>
      <c r="E722" s="24"/>
      <c r="F722" s="66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71"/>
      <c r="AG722" s="272"/>
    </row>
    <row r="723" spans="1:33" s="4" customFormat="1" ht="21.75" customHeight="1">
      <c r="A723" s="30">
        <v>26</v>
      </c>
      <c r="B723" s="38"/>
      <c r="C723" s="38"/>
      <c r="D723" s="39"/>
      <c r="E723" s="24"/>
      <c r="F723" s="66"/>
      <c r="G723" s="90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71"/>
      <c r="AG723" s="272"/>
    </row>
    <row r="724" spans="1:33" s="4" customFormat="1" ht="21.75" customHeight="1">
      <c r="A724" s="30">
        <v>27</v>
      </c>
      <c r="B724" s="38"/>
      <c r="C724" s="38"/>
      <c r="D724" s="39"/>
      <c r="E724" s="24"/>
      <c r="F724" s="66"/>
      <c r="G724" s="90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71"/>
      <c r="AG724" s="272"/>
    </row>
    <row r="725" spans="1:33" s="4" customFormat="1" ht="21.75" customHeight="1">
      <c r="A725" s="30">
        <v>28</v>
      </c>
      <c r="B725" s="37"/>
      <c r="C725" s="38"/>
      <c r="D725" s="39"/>
      <c r="E725" s="24"/>
      <c r="F725" s="66"/>
      <c r="G725" s="24"/>
      <c r="H725" s="105"/>
      <c r="I725" s="105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71"/>
      <c r="AG725" s="272"/>
    </row>
    <row r="726" spans="1:33" s="4" customFormat="1" ht="21.75" customHeight="1">
      <c r="A726" s="30">
        <v>29</v>
      </c>
      <c r="B726" s="38"/>
      <c r="C726" s="38"/>
      <c r="D726" s="39"/>
      <c r="E726" s="24"/>
      <c r="F726" s="66"/>
      <c r="G726" s="105"/>
      <c r="H726" s="105"/>
      <c r="I726" s="105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71"/>
      <c r="AG726" s="272"/>
    </row>
    <row r="727" spans="1:33" s="4" customFormat="1" ht="21.75" customHeight="1">
      <c r="A727" s="30">
        <v>30</v>
      </c>
      <c r="B727" s="37"/>
      <c r="C727" s="38"/>
      <c r="D727" s="39"/>
      <c r="E727" s="24"/>
      <c r="F727" s="66"/>
      <c r="G727" s="24"/>
      <c r="H727" s="105"/>
      <c r="I727" s="105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71"/>
      <c r="AG727" s="272"/>
    </row>
    <row r="728" spans="1:33" s="4" customFormat="1" ht="21.75" customHeight="1">
      <c r="A728" s="30">
        <v>31</v>
      </c>
      <c r="B728" s="38"/>
      <c r="C728" s="38"/>
      <c r="D728" s="39"/>
      <c r="E728" s="24"/>
      <c r="F728" s="66"/>
      <c r="G728" s="105"/>
      <c r="H728" s="105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71"/>
      <c r="AG728" s="272"/>
    </row>
    <row r="729" spans="1:33" s="4" customFormat="1" ht="21.75" customHeight="1">
      <c r="A729" s="30">
        <v>32</v>
      </c>
      <c r="B729" s="37"/>
      <c r="C729" s="38"/>
      <c r="D729" s="39"/>
      <c r="E729" s="24"/>
      <c r="F729" s="66"/>
      <c r="G729" s="24"/>
      <c r="H729" s="105"/>
      <c r="I729" s="105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71"/>
      <c r="AG729" s="272"/>
    </row>
    <row r="730" spans="1:33" s="4" customFormat="1" ht="21.75" customHeight="1">
      <c r="A730" s="30">
        <v>33</v>
      </c>
      <c r="B730" s="67"/>
      <c r="C730" s="38"/>
      <c r="D730" s="39"/>
      <c r="E730" s="24"/>
      <c r="F730" s="92"/>
      <c r="G730" s="24"/>
      <c r="H730" s="24"/>
      <c r="I730" s="61"/>
      <c r="J730" s="66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71"/>
      <c r="AG730" s="272"/>
    </row>
    <row r="731" spans="1:33" s="4" customFormat="1" ht="21.75" customHeight="1">
      <c r="A731" s="30">
        <v>34</v>
      </c>
      <c r="B731" s="38"/>
      <c r="C731" s="38"/>
      <c r="D731" s="39"/>
      <c r="E731" s="24"/>
      <c r="F731" s="24"/>
      <c r="G731" s="105"/>
      <c r="H731" s="105"/>
      <c r="I731" s="105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71"/>
      <c r="AG731" s="272"/>
    </row>
    <row r="732" spans="1:33" s="4" customFormat="1" ht="21.75" customHeight="1">
      <c r="A732" s="30">
        <v>35</v>
      </c>
      <c r="B732" s="38"/>
      <c r="C732" s="38"/>
      <c r="D732" s="39"/>
      <c r="E732" s="24"/>
      <c r="F732" s="24"/>
      <c r="G732" s="105"/>
      <c r="H732" s="105"/>
      <c r="I732" s="105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71"/>
      <c r="AG732" s="272"/>
    </row>
    <row r="733" spans="1:33" s="4" customFormat="1" ht="21.75" customHeight="1">
      <c r="A733" s="30">
        <v>36</v>
      </c>
      <c r="B733" s="38"/>
      <c r="C733" s="38"/>
      <c r="D733" s="39"/>
      <c r="E733" s="24"/>
      <c r="F733" s="66"/>
      <c r="G733" s="24"/>
      <c r="H733" s="105"/>
      <c r="I733" s="61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71"/>
      <c r="AG733" s="272"/>
    </row>
    <row r="734" spans="1:33" s="4" customFormat="1" ht="21.75" customHeight="1">
      <c r="A734" s="30">
        <v>37</v>
      </c>
      <c r="B734" s="37"/>
      <c r="C734" s="38"/>
      <c r="D734" s="39"/>
      <c r="E734" s="24"/>
      <c r="F734" s="66"/>
      <c r="G734" s="24"/>
      <c r="H734" s="105"/>
      <c r="I734" s="105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71"/>
      <c r="AG734" s="272"/>
    </row>
    <row r="735" spans="1:33" s="4" customFormat="1" ht="21.75" customHeight="1" thickBot="1">
      <c r="A735" s="30">
        <v>38</v>
      </c>
      <c r="B735" s="38"/>
      <c r="C735" s="38"/>
      <c r="D735" s="39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81"/>
      <c r="AG735" s="275"/>
    </row>
    <row r="736" spans="1:33" s="4" customFormat="1" ht="21.75" customHeight="1">
      <c r="A736" s="30">
        <v>39</v>
      </c>
      <c r="B736" s="38"/>
      <c r="C736" s="38"/>
      <c r="D736" s="39"/>
      <c r="E736" s="24"/>
      <c r="F736" s="66"/>
      <c r="G736" s="105"/>
      <c r="H736" s="105"/>
      <c r="I736" s="105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69"/>
      <c r="AG736" s="270"/>
    </row>
    <row r="737" spans="1:33" s="4" customFormat="1" ht="21.75" customHeight="1">
      <c r="A737" s="30">
        <v>40</v>
      </c>
      <c r="B737" s="38"/>
      <c r="C737" s="38"/>
      <c r="D737" s="39"/>
      <c r="E737" s="24"/>
      <c r="F737" s="66"/>
      <c r="G737" s="105"/>
      <c r="H737" s="105"/>
      <c r="I737" s="105"/>
      <c r="J737" s="66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71"/>
      <c r="AG737" s="272"/>
    </row>
    <row r="738" spans="1:33" s="4" customFormat="1" ht="21.75" customHeight="1">
      <c r="A738" s="30">
        <v>41</v>
      </c>
      <c r="B738" s="38"/>
      <c r="C738" s="38"/>
      <c r="D738" s="39"/>
      <c r="E738" s="24"/>
      <c r="F738" s="24"/>
      <c r="G738" s="105"/>
      <c r="H738" s="105"/>
      <c r="I738" s="105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71"/>
      <c r="AG738" s="272"/>
    </row>
    <row r="739" spans="1:33" s="4" customFormat="1" ht="21.75" customHeight="1">
      <c r="A739" s="30">
        <v>42</v>
      </c>
      <c r="B739" s="38"/>
      <c r="C739" s="38"/>
      <c r="D739" s="39"/>
      <c r="E739" s="24"/>
      <c r="F739" s="24"/>
      <c r="G739" s="105"/>
      <c r="H739" s="105"/>
      <c r="I739" s="105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71"/>
      <c r="AG739" s="272"/>
    </row>
    <row r="740" spans="1:33" s="4" customFormat="1" ht="21.75" customHeight="1">
      <c r="A740" s="30">
        <v>43</v>
      </c>
      <c r="B740" s="38"/>
      <c r="C740" s="38"/>
      <c r="D740" s="39"/>
      <c r="E740" s="24"/>
      <c r="F740" s="24"/>
      <c r="G740" s="105"/>
      <c r="H740" s="105"/>
      <c r="I740" s="105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71"/>
      <c r="AG740" s="272"/>
    </row>
    <row r="741" spans="1:33" s="4" customFormat="1" ht="21.75" customHeight="1">
      <c r="A741" s="30">
        <v>44</v>
      </c>
      <c r="B741" s="38"/>
      <c r="C741" s="38"/>
      <c r="D741" s="39"/>
      <c r="E741" s="24"/>
      <c r="F741" s="66"/>
      <c r="G741" s="105"/>
      <c r="H741" s="105"/>
      <c r="I741" s="105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71"/>
      <c r="AG741" s="272"/>
    </row>
    <row r="742" spans="1:33" s="4" customFormat="1" ht="21.75" customHeight="1">
      <c r="A742" s="30">
        <v>45</v>
      </c>
      <c r="B742" s="38"/>
      <c r="C742" s="46"/>
      <c r="D742" s="39"/>
      <c r="E742" s="24"/>
      <c r="F742" s="66"/>
      <c r="G742" s="105"/>
      <c r="H742" s="105"/>
      <c r="I742" s="105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71"/>
      <c r="AG742" s="272"/>
    </row>
    <row r="743" spans="1:33" s="4" customFormat="1" ht="21.75" customHeight="1">
      <c r="A743" s="30">
        <v>46</v>
      </c>
      <c r="B743" s="67"/>
      <c r="C743" s="38"/>
      <c r="D743" s="39"/>
      <c r="E743" s="24"/>
      <c r="F743" s="66"/>
      <c r="G743" s="24"/>
      <c r="H743" s="105"/>
      <c r="I743" s="105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71"/>
      <c r="AG743" s="272"/>
    </row>
    <row r="744" spans="1:33" s="4" customFormat="1" ht="21.75" customHeight="1">
      <c r="A744" s="30">
        <v>47</v>
      </c>
      <c r="B744" s="38"/>
      <c r="C744" s="38"/>
      <c r="D744" s="39"/>
      <c r="E744" s="24"/>
      <c r="F744" s="24"/>
      <c r="G744" s="105"/>
      <c r="H744" s="105"/>
      <c r="I744" s="105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71"/>
      <c r="AG744" s="272"/>
    </row>
    <row r="745" spans="1:33" s="4" customFormat="1" ht="21.75" customHeight="1">
      <c r="A745" s="30">
        <v>48</v>
      </c>
      <c r="B745" s="37"/>
      <c r="C745" s="38"/>
      <c r="D745" s="39"/>
      <c r="E745" s="24"/>
      <c r="F745" s="66"/>
      <c r="G745" s="24"/>
      <c r="H745" s="105"/>
      <c r="I745" s="105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71"/>
      <c r="AG745" s="272"/>
    </row>
    <row r="746" spans="1:33" s="4" customFormat="1" ht="21.75" customHeight="1">
      <c r="A746" s="30">
        <v>49</v>
      </c>
      <c r="B746" s="67"/>
      <c r="C746" s="38"/>
      <c r="D746" s="39"/>
      <c r="E746" s="24"/>
      <c r="F746" s="66"/>
      <c r="G746" s="24"/>
      <c r="H746" s="105"/>
      <c r="I746" s="105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71"/>
      <c r="AG746" s="272"/>
    </row>
    <row r="747" spans="1:33" s="4" customFormat="1" ht="21.75" customHeight="1">
      <c r="A747" s="30">
        <v>50</v>
      </c>
      <c r="B747" s="38"/>
      <c r="C747" s="38"/>
      <c r="D747" s="39"/>
      <c r="E747" s="24"/>
      <c r="F747" s="24"/>
      <c r="G747" s="105"/>
      <c r="H747" s="105"/>
      <c r="I747" s="105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71"/>
      <c r="AG747" s="272"/>
    </row>
    <row r="748" spans="1:33" s="4" customFormat="1" ht="21.75" customHeight="1">
      <c r="A748" s="30">
        <v>51</v>
      </c>
      <c r="B748" s="38"/>
      <c r="C748" s="38"/>
      <c r="D748" s="39"/>
      <c r="E748" s="24"/>
      <c r="F748" s="24"/>
      <c r="G748" s="105"/>
      <c r="H748" s="105"/>
      <c r="I748" s="105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71"/>
      <c r="AG748" s="272"/>
    </row>
    <row r="749" spans="1:33" s="4" customFormat="1" ht="21.75" customHeight="1">
      <c r="A749" s="30">
        <v>52</v>
      </c>
      <c r="B749" s="37"/>
      <c r="C749" s="38"/>
      <c r="D749" s="39"/>
      <c r="E749" s="24"/>
      <c r="F749" s="66"/>
      <c r="G749" s="24"/>
      <c r="H749" s="105"/>
      <c r="I749" s="105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73"/>
      <c r="AG749" s="272"/>
    </row>
    <row r="750" spans="1:33" s="4" customFormat="1" ht="21.75" customHeight="1">
      <c r="A750" s="30">
        <v>53</v>
      </c>
      <c r="B750" s="37"/>
      <c r="C750" s="38"/>
      <c r="D750" s="39"/>
      <c r="E750" s="24"/>
      <c r="F750" s="66"/>
      <c r="G750" s="24"/>
      <c r="H750" s="105"/>
      <c r="I750" s="105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73"/>
      <c r="AG750" s="272"/>
    </row>
    <row r="751" spans="1:33" s="4" customFormat="1" ht="21.75" customHeight="1" thickBot="1">
      <c r="A751" s="30">
        <v>54</v>
      </c>
      <c r="B751" s="37"/>
      <c r="C751" s="38"/>
      <c r="D751" s="39"/>
      <c r="E751" s="24"/>
      <c r="F751" s="66"/>
      <c r="G751" s="24"/>
      <c r="H751" s="105"/>
      <c r="I751" s="105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74"/>
      <c r="AG751" s="275"/>
    </row>
    <row r="752" spans="2:33" s="1" customFormat="1" ht="46.5" customHeight="1">
      <c r="B752" s="233"/>
      <c r="C752" s="234"/>
      <c r="D752" s="234"/>
      <c r="E752" s="234"/>
      <c r="F752" s="234"/>
      <c r="G752" s="234"/>
      <c r="H752" s="234"/>
      <c r="I752" s="234"/>
      <c r="J752" s="234"/>
      <c r="K752" s="234"/>
      <c r="L752" s="211"/>
      <c r="M752" s="211"/>
      <c r="N752" s="211"/>
      <c r="O752" s="211"/>
      <c r="P752" s="211"/>
      <c r="Q752" s="211"/>
      <c r="R752" s="211"/>
      <c r="S752" s="211"/>
      <c r="T752" s="211"/>
      <c r="U752" s="211"/>
      <c r="V752" s="211"/>
      <c r="W752" s="211"/>
      <c r="X752" s="211"/>
      <c r="Y752" s="211"/>
      <c r="Z752" s="211"/>
      <c r="AA752" s="211"/>
      <c r="AB752" s="211"/>
      <c r="AC752" s="211"/>
      <c r="AD752" s="211"/>
      <c r="AE752" s="211"/>
      <c r="AF752" s="279"/>
      <c r="AG752" s="280"/>
    </row>
    <row r="753" spans="2:33" s="1" customFormat="1" ht="46.5" customHeight="1" thickBot="1">
      <c r="B753" s="236"/>
      <c r="C753" s="237"/>
      <c r="D753" s="237"/>
      <c r="E753" s="237"/>
      <c r="F753" s="237"/>
      <c r="G753" s="237"/>
      <c r="H753" s="237"/>
      <c r="I753" s="237"/>
      <c r="J753" s="237"/>
      <c r="K753" s="237"/>
      <c r="L753" s="250"/>
      <c r="M753" s="250"/>
      <c r="N753" s="250"/>
      <c r="O753" s="250"/>
      <c r="P753" s="250"/>
      <c r="Q753" s="250"/>
      <c r="R753" s="250"/>
      <c r="S753" s="250"/>
      <c r="T753" s="212"/>
      <c r="U753" s="212"/>
      <c r="V753" s="212"/>
      <c r="W753" s="212"/>
      <c r="X753" s="212"/>
      <c r="Y753" s="212"/>
      <c r="Z753" s="212"/>
      <c r="AA753" s="212"/>
      <c r="AB753" s="250"/>
      <c r="AC753" s="212"/>
      <c r="AD753" s="250"/>
      <c r="AE753" s="250"/>
      <c r="AF753" s="276"/>
      <c r="AG753" s="277"/>
    </row>
    <row r="754" spans="1:34" ht="36" customHeight="1">
      <c r="A754" s="10"/>
      <c r="M754" s="28"/>
      <c r="T754"/>
      <c r="AH754" s="11"/>
    </row>
    <row r="755" spans="12:20" ht="15">
      <c r="L755" s="27"/>
      <c r="M755" s="28"/>
      <c r="T755"/>
    </row>
    <row r="756" spans="12:20" ht="15">
      <c r="L756" s="27"/>
      <c r="M756" s="28"/>
      <c r="T756"/>
    </row>
    <row r="757" spans="2:33" ht="15.75">
      <c r="B757" s="158"/>
      <c r="C757" s="131"/>
      <c r="D757" s="131"/>
      <c r="E757" s="131"/>
      <c r="F757" s="131"/>
      <c r="G757" s="26"/>
      <c r="H757" s="21"/>
      <c r="I757" s="21"/>
      <c r="J757" s="21"/>
      <c r="K757" s="21"/>
      <c r="L757" s="33"/>
      <c r="M757" s="32"/>
      <c r="N757" s="32"/>
      <c r="O757" s="34"/>
      <c r="P757" s="36"/>
      <c r="Q757" s="64"/>
      <c r="R757" s="34"/>
      <c r="S757" s="34"/>
      <c r="T757" s="34"/>
      <c r="U757" s="34"/>
      <c r="V757" s="64"/>
      <c r="W757" s="35"/>
      <c r="AB757" s="32"/>
      <c r="AD757" s="32"/>
      <c r="AE757" s="32"/>
      <c r="AF757" s="26"/>
      <c r="AG757" s="26"/>
    </row>
    <row r="758" spans="11:31" ht="15">
      <c r="K758" s="139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  <c r="AA758" s="122"/>
      <c r="AB758" s="122"/>
      <c r="AC758" s="122"/>
      <c r="AD758" s="122"/>
      <c r="AE758" s="122"/>
    </row>
    <row r="759" spans="11:31" ht="15">
      <c r="K759" s="139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  <c r="AA759" s="122"/>
      <c r="AB759" s="122"/>
      <c r="AC759" s="122"/>
      <c r="AD759" s="122"/>
      <c r="AE759" s="122"/>
    </row>
    <row r="761" spans="1:34" s="3" customFormat="1" ht="36" customHeight="1" thickBot="1">
      <c r="A761" s="12"/>
      <c r="B761" s="54"/>
      <c r="C761" s="55"/>
      <c r="D761" s="55"/>
      <c r="E761" s="55"/>
      <c r="F761" s="55"/>
      <c r="G761" s="55"/>
      <c r="H761" s="55"/>
      <c r="I761" s="55"/>
      <c r="J761" s="55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H761" s="13"/>
    </row>
    <row r="762" spans="2:33" s="4" customFormat="1" ht="21.75" customHeight="1">
      <c r="B762" s="233"/>
      <c r="C762" s="235"/>
      <c r="D762" s="251"/>
      <c r="E762" s="251"/>
      <c r="F762" s="251"/>
      <c r="G762" s="251"/>
      <c r="H762" s="258"/>
      <c r="I762" s="258"/>
      <c r="J762" s="258"/>
      <c r="K762" s="258"/>
      <c r="L762" s="254"/>
      <c r="M762" s="58"/>
      <c r="N762" s="58"/>
      <c r="O762" s="58"/>
      <c r="P762" s="58"/>
      <c r="Q762" s="58"/>
      <c r="R762" s="58"/>
      <c r="S762" s="58"/>
      <c r="T762" s="6"/>
      <c r="U762" s="6"/>
      <c r="V762" s="58"/>
      <c r="W762" s="6"/>
      <c r="X762" s="6"/>
      <c r="Y762" s="6"/>
      <c r="Z762" s="179"/>
      <c r="AA762" s="6"/>
      <c r="AB762" s="6"/>
      <c r="AC762" s="6"/>
      <c r="AD762" s="6"/>
      <c r="AE762" s="6"/>
      <c r="AF762" s="328"/>
      <c r="AG762" s="307"/>
    </row>
    <row r="763" spans="2:33" s="4" customFormat="1" ht="27.75" customHeight="1">
      <c r="B763" s="293"/>
      <c r="C763" s="294"/>
      <c r="D763" s="252"/>
      <c r="E763" s="252"/>
      <c r="F763" s="252"/>
      <c r="G763" s="252"/>
      <c r="H763" s="204"/>
      <c r="I763" s="204"/>
      <c r="J763" s="204"/>
      <c r="K763" s="204"/>
      <c r="L763" s="242"/>
      <c r="M763" s="241"/>
      <c r="N763" s="241"/>
      <c r="O763" s="241"/>
      <c r="P763" s="241"/>
      <c r="Q763" s="241"/>
      <c r="R763" s="241"/>
      <c r="S763" s="241"/>
      <c r="T763" s="203"/>
      <c r="U763" s="203"/>
      <c r="V763" s="241"/>
      <c r="W763" s="203"/>
      <c r="X763" s="203"/>
      <c r="Y763" s="203"/>
      <c r="Z763" s="327"/>
      <c r="AA763" s="203"/>
      <c r="AB763" s="203"/>
      <c r="AC763" s="203"/>
      <c r="AD763" s="203"/>
      <c r="AE763" s="203"/>
      <c r="AF763" s="329"/>
      <c r="AG763" s="308"/>
    </row>
    <row r="764" spans="2:33" s="4" customFormat="1" ht="27.75" customHeight="1" thickBot="1">
      <c r="B764" s="293"/>
      <c r="C764" s="294"/>
      <c r="D764" s="252"/>
      <c r="E764" s="252"/>
      <c r="F764" s="252"/>
      <c r="G764" s="252"/>
      <c r="H764" s="204"/>
      <c r="I764" s="204"/>
      <c r="J764" s="204"/>
      <c r="K764" s="204"/>
      <c r="L764" s="242"/>
      <c r="M764" s="242"/>
      <c r="N764" s="242"/>
      <c r="O764" s="242"/>
      <c r="P764" s="242"/>
      <c r="Q764" s="242"/>
      <c r="R764" s="242"/>
      <c r="S764" s="242"/>
      <c r="T764" s="204"/>
      <c r="U764" s="204"/>
      <c r="V764" s="242"/>
      <c r="W764" s="204"/>
      <c r="X764" s="204"/>
      <c r="Y764" s="204"/>
      <c r="Z764" s="206"/>
      <c r="AA764" s="204"/>
      <c r="AB764" s="204"/>
      <c r="AC764" s="204"/>
      <c r="AD764" s="204"/>
      <c r="AE764" s="204"/>
      <c r="AF764" s="330"/>
      <c r="AG764" s="309"/>
    </row>
    <row r="765" spans="2:33" s="4" customFormat="1" ht="27.75" customHeight="1">
      <c r="B765" s="293"/>
      <c r="C765" s="294"/>
      <c r="D765" s="252"/>
      <c r="E765" s="252"/>
      <c r="F765" s="252"/>
      <c r="G765" s="252"/>
      <c r="H765" s="204"/>
      <c r="I765" s="204"/>
      <c r="J765" s="204"/>
      <c r="K765" s="204"/>
      <c r="L765" s="242"/>
      <c r="M765" s="242"/>
      <c r="N765" s="242"/>
      <c r="O765" s="242"/>
      <c r="P765" s="242"/>
      <c r="Q765" s="242"/>
      <c r="R765" s="242"/>
      <c r="S765" s="242"/>
      <c r="T765" s="204"/>
      <c r="U765" s="204"/>
      <c r="V765" s="242"/>
      <c r="W765" s="204"/>
      <c r="X765" s="204"/>
      <c r="Y765" s="204"/>
      <c r="Z765" s="206"/>
      <c r="AA765" s="204"/>
      <c r="AB765" s="204"/>
      <c r="AC765" s="204"/>
      <c r="AD765" s="204"/>
      <c r="AE765" s="206"/>
      <c r="AF765" s="321"/>
      <c r="AG765" s="322"/>
    </row>
    <row r="766" spans="2:33" s="4" customFormat="1" ht="27.75" customHeight="1">
      <c r="B766" s="293"/>
      <c r="C766" s="294"/>
      <c r="D766" s="252"/>
      <c r="E766" s="252"/>
      <c r="F766" s="252"/>
      <c r="G766" s="252"/>
      <c r="H766" s="204"/>
      <c r="I766" s="204"/>
      <c r="J766" s="204"/>
      <c r="K766" s="204"/>
      <c r="L766" s="242"/>
      <c r="M766" s="242"/>
      <c r="N766" s="242"/>
      <c r="O766" s="242"/>
      <c r="P766" s="242"/>
      <c r="Q766" s="242"/>
      <c r="R766" s="242"/>
      <c r="S766" s="242"/>
      <c r="T766" s="204"/>
      <c r="U766" s="204"/>
      <c r="V766" s="242"/>
      <c r="W766" s="204"/>
      <c r="X766" s="204"/>
      <c r="Y766" s="204"/>
      <c r="Z766" s="206"/>
      <c r="AA766" s="204"/>
      <c r="AB766" s="204"/>
      <c r="AC766" s="204"/>
      <c r="AD766" s="204"/>
      <c r="AE766" s="206"/>
      <c r="AF766" s="323"/>
      <c r="AG766" s="324"/>
    </row>
    <row r="767" spans="2:33" s="4" customFormat="1" ht="27.75" customHeight="1">
      <c r="B767" s="293"/>
      <c r="C767" s="294"/>
      <c r="D767" s="252"/>
      <c r="E767" s="252"/>
      <c r="F767" s="252"/>
      <c r="G767" s="252"/>
      <c r="H767" s="204"/>
      <c r="I767" s="204"/>
      <c r="J767" s="204"/>
      <c r="K767" s="204"/>
      <c r="L767" s="242"/>
      <c r="M767" s="242"/>
      <c r="N767" s="242"/>
      <c r="O767" s="242"/>
      <c r="P767" s="242"/>
      <c r="Q767" s="242"/>
      <c r="R767" s="242"/>
      <c r="S767" s="242"/>
      <c r="T767" s="204"/>
      <c r="U767" s="204"/>
      <c r="V767" s="242"/>
      <c r="W767" s="204"/>
      <c r="X767" s="204"/>
      <c r="Y767" s="204"/>
      <c r="Z767" s="206"/>
      <c r="AA767" s="204"/>
      <c r="AB767" s="204"/>
      <c r="AC767" s="204"/>
      <c r="AD767" s="204"/>
      <c r="AE767" s="206"/>
      <c r="AF767" s="323"/>
      <c r="AG767" s="324"/>
    </row>
    <row r="768" spans="2:33" s="4" customFormat="1" ht="27.75" customHeight="1">
      <c r="B768" s="293"/>
      <c r="C768" s="294"/>
      <c r="D768" s="252"/>
      <c r="E768" s="252"/>
      <c r="F768" s="252"/>
      <c r="G768" s="252"/>
      <c r="H768" s="204"/>
      <c r="I768" s="204"/>
      <c r="J768" s="204"/>
      <c r="K768" s="204"/>
      <c r="L768" s="242"/>
      <c r="M768" s="242"/>
      <c r="N768" s="242"/>
      <c r="O768" s="242"/>
      <c r="P768" s="242"/>
      <c r="Q768" s="242"/>
      <c r="R768" s="242"/>
      <c r="S768" s="242"/>
      <c r="T768" s="204"/>
      <c r="U768" s="204"/>
      <c r="V768" s="242"/>
      <c r="W768" s="204"/>
      <c r="X768" s="204"/>
      <c r="Y768" s="204"/>
      <c r="Z768" s="206"/>
      <c r="AA768" s="204"/>
      <c r="AB768" s="204"/>
      <c r="AC768" s="204"/>
      <c r="AD768" s="204"/>
      <c r="AE768" s="206"/>
      <c r="AF768" s="323"/>
      <c r="AG768" s="324"/>
    </row>
    <row r="769" spans="2:33" s="4" customFormat="1" ht="27.75" customHeight="1">
      <c r="B769" s="293"/>
      <c r="C769" s="294"/>
      <c r="D769" s="252"/>
      <c r="E769" s="252"/>
      <c r="F769" s="252"/>
      <c r="G769" s="252"/>
      <c r="H769" s="204"/>
      <c r="I769" s="204"/>
      <c r="J769" s="204"/>
      <c r="K769" s="204"/>
      <c r="L769" s="242"/>
      <c r="M769" s="242"/>
      <c r="N769" s="242"/>
      <c r="O769" s="242"/>
      <c r="P769" s="242"/>
      <c r="Q769" s="242"/>
      <c r="R769" s="242"/>
      <c r="S769" s="242"/>
      <c r="T769" s="204"/>
      <c r="U769" s="204"/>
      <c r="V769" s="242"/>
      <c r="W769" s="204"/>
      <c r="X769" s="204"/>
      <c r="Y769" s="204"/>
      <c r="Z769" s="206"/>
      <c r="AA769" s="204"/>
      <c r="AB769" s="204"/>
      <c r="AC769" s="204"/>
      <c r="AD769" s="204"/>
      <c r="AE769" s="206"/>
      <c r="AF769" s="323"/>
      <c r="AG769" s="324"/>
    </row>
    <row r="770" spans="2:33" s="5" customFormat="1" ht="27.75" customHeight="1">
      <c r="B770" s="295"/>
      <c r="C770" s="296"/>
      <c r="D770" s="253"/>
      <c r="E770" s="253"/>
      <c r="F770" s="253"/>
      <c r="G770" s="253"/>
      <c r="H770" s="205"/>
      <c r="I770" s="205"/>
      <c r="J770" s="205"/>
      <c r="K770" s="205"/>
      <c r="L770" s="243"/>
      <c r="M770" s="243"/>
      <c r="N770" s="243"/>
      <c r="O770" s="243"/>
      <c r="P770" s="243"/>
      <c r="Q770" s="243"/>
      <c r="R770" s="243"/>
      <c r="S770" s="243"/>
      <c r="T770" s="205"/>
      <c r="U770" s="205"/>
      <c r="V770" s="243"/>
      <c r="W770" s="205"/>
      <c r="X770" s="205"/>
      <c r="Y770" s="205"/>
      <c r="Z770" s="207"/>
      <c r="AA770" s="205"/>
      <c r="AB770" s="205"/>
      <c r="AC770" s="205"/>
      <c r="AD770" s="205"/>
      <c r="AE770" s="207"/>
      <c r="AF770" s="323"/>
      <c r="AG770" s="324"/>
    </row>
    <row r="771" spans="2:33" s="7" customFormat="1" ht="21.75" customHeight="1" thickBot="1">
      <c r="B771" s="56"/>
      <c r="C771" s="56"/>
      <c r="D771" s="57"/>
      <c r="E771" s="57"/>
      <c r="F771" s="57"/>
      <c r="G771" s="57"/>
      <c r="H771" s="14"/>
      <c r="I771" s="14"/>
      <c r="J771" s="14"/>
      <c r="K771" s="14"/>
      <c r="L771" s="14"/>
      <c r="M771" s="14"/>
      <c r="N771" s="14"/>
      <c r="O771" s="57"/>
      <c r="P771" s="57"/>
      <c r="Q771" s="57"/>
      <c r="R771" s="57"/>
      <c r="S771" s="57"/>
      <c r="T771" s="14"/>
      <c r="U771" s="14"/>
      <c r="V771" s="57"/>
      <c r="W771" s="14"/>
      <c r="X771" s="14"/>
      <c r="Y771" s="14"/>
      <c r="Z771" s="180"/>
      <c r="AA771" s="180"/>
      <c r="AB771" s="180"/>
      <c r="AC771" s="180"/>
      <c r="AD771" s="180"/>
      <c r="AE771" s="180"/>
      <c r="AF771" s="323"/>
      <c r="AG771" s="324"/>
    </row>
    <row r="772" spans="1:33" s="4" customFormat="1" ht="21.75" customHeight="1">
      <c r="A772" s="30"/>
      <c r="B772" s="315"/>
      <c r="C772" s="316"/>
      <c r="D772" s="42"/>
      <c r="E772" s="42"/>
      <c r="F772" s="42"/>
      <c r="G772" s="42"/>
      <c r="H772" s="42"/>
      <c r="I772" s="43"/>
      <c r="J772" s="58"/>
      <c r="K772" s="6"/>
      <c r="L772" s="6"/>
      <c r="M772" s="19"/>
      <c r="N772" s="6"/>
      <c r="O772" s="6"/>
      <c r="P772" s="15"/>
      <c r="Q772" s="19"/>
      <c r="R772" s="19"/>
      <c r="S772" s="19"/>
      <c r="T772" s="19"/>
      <c r="U772" s="19"/>
      <c r="V772" s="19"/>
      <c r="W772" s="19"/>
      <c r="X772" s="19"/>
      <c r="Y772" s="19"/>
      <c r="Z772" s="181"/>
      <c r="AA772" s="184"/>
      <c r="AB772" s="184"/>
      <c r="AC772" s="184"/>
      <c r="AD772" s="184"/>
      <c r="AE772" s="189"/>
      <c r="AF772" s="323"/>
      <c r="AG772" s="324"/>
    </row>
    <row r="773" spans="1:33" s="4" customFormat="1" ht="21.75" customHeight="1">
      <c r="A773" s="30"/>
      <c r="B773" s="38"/>
      <c r="C773" s="38"/>
      <c r="D773" s="72"/>
      <c r="E773" s="24"/>
      <c r="F773" s="24"/>
      <c r="G773" s="24"/>
      <c r="H773" s="24"/>
      <c r="I773" s="43"/>
      <c r="J773" s="24"/>
      <c r="K773" s="24"/>
      <c r="L773" s="24"/>
      <c r="M773" s="24"/>
      <c r="N773" s="24"/>
      <c r="O773" s="24"/>
      <c r="P773" s="24"/>
      <c r="Q773" s="61"/>
      <c r="R773" s="25"/>
      <c r="S773" s="25"/>
      <c r="T773" s="25"/>
      <c r="U773" s="25"/>
      <c r="V773" s="24"/>
      <c r="W773" s="25"/>
      <c r="X773" s="25"/>
      <c r="Y773" s="25"/>
      <c r="Z773" s="182"/>
      <c r="AA773" s="184"/>
      <c r="AB773" s="184"/>
      <c r="AC773" s="184"/>
      <c r="AD773" s="184"/>
      <c r="AE773" s="189"/>
      <c r="AF773" s="323"/>
      <c r="AG773" s="324"/>
    </row>
    <row r="774" spans="1:33" s="4" customFormat="1" ht="21.75" customHeight="1">
      <c r="A774" s="30"/>
      <c r="B774" s="38"/>
      <c r="C774" s="38"/>
      <c r="D774" s="39"/>
      <c r="E774" s="24"/>
      <c r="F774" s="24"/>
      <c r="G774" s="24"/>
      <c r="H774" s="24"/>
      <c r="I774" s="45"/>
      <c r="J774" s="39"/>
      <c r="K774" s="24"/>
      <c r="L774" s="24"/>
      <c r="M774" s="24"/>
      <c r="N774" s="24"/>
      <c r="O774" s="24"/>
      <c r="P774" s="24"/>
      <c r="Q774" s="61"/>
      <c r="R774" s="25"/>
      <c r="S774" s="25"/>
      <c r="T774" s="25"/>
      <c r="U774" s="25"/>
      <c r="V774" s="24"/>
      <c r="W774" s="25"/>
      <c r="X774" s="25"/>
      <c r="Y774" s="25"/>
      <c r="Z774" s="182"/>
      <c r="AA774" s="184"/>
      <c r="AB774" s="184"/>
      <c r="AC774" s="184"/>
      <c r="AD774" s="184"/>
      <c r="AE774" s="189"/>
      <c r="AF774" s="323"/>
      <c r="AG774" s="324"/>
    </row>
    <row r="775" spans="1:33" s="4" customFormat="1" ht="21.75" customHeight="1">
      <c r="A775" s="30"/>
      <c r="B775" s="38"/>
      <c r="C775" s="38"/>
      <c r="D775" s="39"/>
      <c r="E775" s="24"/>
      <c r="F775" s="24"/>
      <c r="G775" s="24"/>
      <c r="H775" s="24"/>
      <c r="I775" s="45"/>
      <c r="J775" s="39"/>
      <c r="K775" s="24"/>
      <c r="L775" s="24"/>
      <c r="M775" s="24"/>
      <c r="N775" s="24"/>
      <c r="O775" s="24"/>
      <c r="P775" s="24"/>
      <c r="Q775" s="24"/>
      <c r="R775" s="9"/>
      <c r="S775" s="24"/>
      <c r="T775" s="9"/>
      <c r="U775" s="9"/>
      <c r="V775" s="24"/>
      <c r="W775" s="9"/>
      <c r="X775" s="9"/>
      <c r="Y775" s="9"/>
      <c r="Z775" s="183"/>
      <c r="AA775" s="184"/>
      <c r="AB775" s="184"/>
      <c r="AC775" s="184"/>
      <c r="AD775" s="184"/>
      <c r="AE775" s="189"/>
      <c r="AF775" s="323"/>
      <c r="AG775" s="324"/>
    </row>
    <row r="776" spans="1:33" s="4" customFormat="1" ht="21.75" customHeight="1">
      <c r="A776" s="30"/>
      <c r="B776" s="38"/>
      <c r="C776" s="38"/>
      <c r="D776" s="39"/>
      <c r="E776" s="24"/>
      <c r="F776" s="24"/>
      <c r="G776" s="24"/>
      <c r="H776" s="24"/>
      <c r="I776" s="45"/>
      <c r="J776" s="39"/>
      <c r="K776" s="24"/>
      <c r="L776" s="24"/>
      <c r="M776" s="24"/>
      <c r="N776" s="24"/>
      <c r="O776" s="24"/>
      <c r="P776" s="24"/>
      <c r="Q776" s="24"/>
      <c r="R776" s="9"/>
      <c r="S776" s="9"/>
      <c r="T776" s="9"/>
      <c r="U776" s="9"/>
      <c r="V776" s="24"/>
      <c r="W776" s="9"/>
      <c r="X776" s="9"/>
      <c r="Y776" s="9"/>
      <c r="Z776" s="183"/>
      <c r="AA776" s="184"/>
      <c r="AB776" s="184"/>
      <c r="AC776" s="184"/>
      <c r="AD776" s="184"/>
      <c r="AE776" s="189"/>
      <c r="AF776" s="323"/>
      <c r="AG776" s="324"/>
    </row>
    <row r="777" spans="1:33" s="4" customFormat="1" ht="21.75" customHeight="1">
      <c r="A777" s="30"/>
      <c r="B777" s="38"/>
      <c r="C777" s="38"/>
      <c r="D777" s="39"/>
      <c r="E777" s="24"/>
      <c r="F777" s="24"/>
      <c r="G777" s="24"/>
      <c r="H777" s="24"/>
      <c r="I777" s="45"/>
      <c r="J777" s="39"/>
      <c r="K777" s="24"/>
      <c r="L777" s="24"/>
      <c r="M777" s="24"/>
      <c r="N777" s="24"/>
      <c r="O777" s="24"/>
      <c r="P777" s="24"/>
      <c r="Q777" s="24"/>
      <c r="R777" s="9"/>
      <c r="S777" s="9"/>
      <c r="T777" s="9"/>
      <c r="U777" s="9"/>
      <c r="V777" s="24"/>
      <c r="W777" s="9"/>
      <c r="X777" s="9"/>
      <c r="Y777" s="9"/>
      <c r="Z777" s="183"/>
      <c r="AA777" s="184"/>
      <c r="AB777" s="184"/>
      <c r="AC777" s="184"/>
      <c r="AD777" s="184"/>
      <c r="AE777" s="189"/>
      <c r="AF777" s="323"/>
      <c r="AG777" s="324"/>
    </row>
    <row r="778" spans="1:33" s="4" customFormat="1" ht="21.75" customHeight="1">
      <c r="A778" s="30"/>
      <c r="B778" s="38"/>
      <c r="C778" s="38"/>
      <c r="D778" s="39"/>
      <c r="E778" s="24"/>
      <c r="F778" s="24"/>
      <c r="G778" s="24"/>
      <c r="H778" s="24"/>
      <c r="I778" s="24"/>
      <c r="J778" s="39"/>
      <c r="K778" s="24"/>
      <c r="L778" s="24"/>
      <c r="M778" s="24"/>
      <c r="N778" s="24"/>
      <c r="O778" s="24"/>
      <c r="P778" s="24"/>
      <c r="Q778" s="24"/>
      <c r="R778" s="9"/>
      <c r="S778" s="9"/>
      <c r="T778" s="9"/>
      <c r="U778" s="9"/>
      <c r="V778" s="24"/>
      <c r="W778" s="9"/>
      <c r="X778" s="9"/>
      <c r="Y778" s="9"/>
      <c r="Z778" s="183"/>
      <c r="AA778" s="184"/>
      <c r="AB778" s="184"/>
      <c r="AC778" s="184"/>
      <c r="AD778" s="184"/>
      <c r="AE778" s="189"/>
      <c r="AF778" s="323"/>
      <c r="AG778" s="324"/>
    </row>
    <row r="779" spans="1:33" s="4" customFormat="1" ht="21.75" customHeight="1">
      <c r="A779" s="30"/>
      <c r="B779" s="38"/>
      <c r="C779" s="38"/>
      <c r="D779" s="39"/>
      <c r="E779" s="24"/>
      <c r="F779" s="24"/>
      <c r="G779" s="24"/>
      <c r="H779" s="24"/>
      <c r="I779" s="24"/>
      <c r="J779" s="39"/>
      <c r="K779" s="24"/>
      <c r="L779" s="24"/>
      <c r="M779" s="24"/>
      <c r="N779" s="24"/>
      <c r="O779" s="24"/>
      <c r="P779" s="24"/>
      <c r="Q779" s="24"/>
      <c r="R779" s="9"/>
      <c r="S779" s="9"/>
      <c r="T779" s="9"/>
      <c r="U779" s="9"/>
      <c r="V779" s="24"/>
      <c r="W779" s="9"/>
      <c r="X779" s="9"/>
      <c r="Y779" s="9"/>
      <c r="Z779" s="183"/>
      <c r="AA779" s="184"/>
      <c r="AB779" s="184"/>
      <c r="AC779" s="184"/>
      <c r="AD779" s="184"/>
      <c r="AE779" s="189"/>
      <c r="AF779" s="323"/>
      <c r="AG779" s="324"/>
    </row>
    <row r="780" spans="1:33" s="4" customFormat="1" ht="21.75" customHeight="1">
      <c r="A780" s="30"/>
      <c r="B780" s="38"/>
      <c r="C780" s="38"/>
      <c r="D780" s="39"/>
      <c r="E780" s="24"/>
      <c r="F780" s="24"/>
      <c r="G780" s="24"/>
      <c r="H780" s="24"/>
      <c r="I780" s="24"/>
      <c r="J780" s="39"/>
      <c r="K780" s="24"/>
      <c r="L780" s="24"/>
      <c r="M780" s="24"/>
      <c r="N780" s="24"/>
      <c r="O780" s="24"/>
      <c r="P780" s="24"/>
      <c r="Q780" s="24"/>
      <c r="R780" s="9"/>
      <c r="S780" s="9"/>
      <c r="T780" s="9"/>
      <c r="U780" s="9"/>
      <c r="V780" s="24"/>
      <c r="W780" s="9"/>
      <c r="X780" s="9"/>
      <c r="Y780" s="9"/>
      <c r="Z780" s="183"/>
      <c r="AA780" s="184"/>
      <c r="AB780" s="184"/>
      <c r="AC780" s="184"/>
      <c r="AD780" s="184"/>
      <c r="AE780" s="189"/>
      <c r="AF780" s="323"/>
      <c r="AG780" s="324"/>
    </row>
    <row r="781" spans="1:33" s="4" customFormat="1" ht="21.75" customHeight="1">
      <c r="A781" s="30"/>
      <c r="B781" s="38"/>
      <c r="C781" s="38"/>
      <c r="D781" s="39"/>
      <c r="E781" s="24"/>
      <c r="F781" s="24"/>
      <c r="G781" s="24"/>
      <c r="H781" s="24"/>
      <c r="I781" s="24"/>
      <c r="J781" s="39"/>
      <c r="K781" s="24"/>
      <c r="L781" s="24"/>
      <c r="M781" s="24"/>
      <c r="N781" s="24"/>
      <c r="O781" s="24"/>
      <c r="P781" s="24"/>
      <c r="Q781" s="24"/>
      <c r="R781" s="9"/>
      <c r="S781" s="9"/>
      <c r="T781" s="9"/>
      <c r="U781" s="9"/>
      <c r="V781" s="24"/>
      <c r="W781" s="9"/>
      <c r="X781" s="9"/>
      <c r="Y781" s="9"/>
      <c r="Z781" s="183"/>
      <c r="AA781" s="184"/>
      <c r="AB781" s="184"/>
      <c r="AC781" s="184"/>
      <c r="AD781" s="184"/>
      <c r="AE781" s="189"/>
      <c r="AF781" s="323"/>
      <c r="AG781" s="324"/>
    </row>
    <row r="782" spans="1:33" s="4" customFormat="1" ht="21.75" customHeight="1">
      <c r="A782" s="30"/>
      <c r="B782" s="38"/>
      <c r="C782" s="38"/>
      <c r="D782" s="39"/>
      <c r="E782" s="24"/>
      <c r="F782" s="24"/>
      <c r="G782" s="24"/>
      <c r="H782" s="24"/>
      <c r="I782" s="24"/>
      <c r="J782" s="39"/>
      <c r="K782" s="24"/>
      <c r="L782" s="24"/>
      <c r="M782" s="24"/>
      <c r="N782" s="24"/>
      <c r="O782" s="24"/>
      <c r="P782" s="24"/>
      <c r="Q782" s="24"/>
      <c r="R782" s="9"/>
      <c r="S782" s="9"/>
      <c r="T782" s="9"/>
      <c r="U782" s="9"/>
      <c r="V782" s="24"/>
      <c r="W782" s="9"/>
      <c r="X782" s="9"/>
      <c r="Y782" s="9"/>
      <c r="Z782" s="183"/>
      <c r="AA782" s="184"/>
      <c r="AB782" s="184"/>
      <c r="AC782" s="184"/>
      <c r="AD782" s="184"/>
      <c r="AE782" s="189"/>
      <c r="AF782" s="323"/>
      <c r="AG782" s="324"/>
    </row>
    <row r="783" spans="1:33" s="4" customFormat="1" ht="21.75" customHeight="1">
      <c r="A783" s="30"/>
      <c r="B783" s="38"/>
      <c r="C783" s="38"/>
      <c r="D783" s="39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9"/>
      <c r="S783" s="9"/>
      <c r="T783" s="9"/>
      <c r="U783" s="9"/>
      <c r="V783" s="24"/>
      <c r="W783" s="9"/>
      <c r="X783" s="9"/>
      <c r="Y783" s="9"/>
      <c r="Z783" s="183"/>
      <c r="AA783" s="184"/>
      <c r="AB783" s="184"/>
      <c r="AC783" s="184"/>
      <c r="AD783" s="184"/>
      <c r="AE783" s="189"/>
      <c r="AF783" s="323"/>
      <c r="AG783" s="324"/>
    </row>
    <row r="784" spans="1:33" s="4" customFormat="1" ht="21.75" customHeight="1">
      <c r="A784" s="30"/>
      <c r="B784" s="38"/>
      <c r="C784" s="38"/>
      <c r="D784" s="39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9"/>
      <c r="S784" s="9"/>
      <c r="T784" s="9"/>
      <c r="U784" s="9"/>
      <c r="V784" s="24"/>
      <c r="W784" s="9"/>
      <c r="X784" s="9"/>
      <c r="Y784" s="9"/>
      <c r="Z784" s="183"/>
      <c r="AA784" s="184"/>
      <c r="AB784" s="184"/>
      <c r="AC784" s="184"/>
      <c r="AD784" s="184"/>
      <c r="AE784" s="189"/>
      <c r="AF784" s="323"/>
      <c r="AG784" s="324"/>
    </row>
    <row r="785" spans="1:33" s="16" customFormat="1" ht="21.75" customHeight="1">
      <c r="A785" s="30"/>
      <c r="B785" s="38"/>
      <c r="C785" s="38"/>
      <c r="D785" s="39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9"/>
      <c r="S785" s="9"/>
      <c r="T785" s="9"/>
      <c r="U785" s="9"/>
      <c r="V785" s="24"/>
      <c r="W785" s="9"/>
      <c r="X785" s="9"/>
      <c r="Y785" s="9"/>
      <c r="Z785" s="183"/>
      <c r="AA785" s="185"/>
      <c r="AB785" s="185"/>
      <c r="AC785" s="185"/>
      <c r="AD785" s="185"/>
      <c r="AE785" s="190"/>
      <c r="AF785" s="323"/>
      <c r="AG785" s="324"/>
    </row>
    <row r="786" spans="1:33" s="16" customFormat="1" ht="21.75" customHeight="1">
      <c r="A786" s="30"/>
      <c r="B786" s="38"/>
      <c r="C786" s="38"/>
      <c r="D786" s="39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9"/>
      <c r="S786" s="9"/>
      <c r="T786" s="9"/>
      <c r="U786" s="9"/>
      <c r="V786" s="24"/>
      <c r="W786" s="9"/>
      <c r="X786" s="9"/>
      <c r="Y786" s="9"/>
      <c r="Z786" s="183"/>
      <c r="AA786" s="185"/>
      <c r="AB786" s="185"/>
      <c r="AC786" s="185"/>
      <c r="AD786" s="185"/>
      <c r="AE786" s="190"/>
      <c r="AF786" s="323"/>
      <c r="AG786" s="324"/>
    </row>
    <row r="787" spans="1:33" s="16" customFormat="1" ht="21.75" customHeight="1">
      <c r="A787" s="30"/>
      <c r="B787" s="38"/>
      <c r="C787" s="38"/>
      <c r="D787" s="39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9"/>
      <c r="S787" s="9"/>
      <c r="T787" s="9"/>
      <c r="U787" s="9"/>
      <c r="V787" s="24"/>
      <c r="W787" s="9"/>
      <c r="X787" s="9"/>
      <c r="Y787" s="9"/>
      <c r="Z787" s="183"/>
      <c r="AA787" s="185"/>
      <c r="AB787" s="185"/>
      <c r="AC787" s="185"/>
      <c r="AD787" s="185"/>
      <c r="AE787" s="190"/>
      <c r="AF787" s="323"/>
      <c r="AG787" s="324"/>
    </row>
    <row r="788" spans="1:33" s="16" customFormat="1" ht="21.75" customHeight="1">
      <c r="A788" s="30"/>
      <c r="B788" s="38"/>
      <c r="C788" s="38"/>
      <c r="D788" s="39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9"/>
      <c r="S788" s="9"/>
      <c r="T788" s="9"/>
      <c r="U788" s="9"/>
      <c r="V788" s="24"/>
      <c r="W788" s="9"/>
      <c r="X788" s="9"/>
      <c r="Y788" s="9"/>
      <c r="Z788" s="183"/>
      <c r="AA788" s="185"/>
      <c r="AB788" s="185"/>
      <c r="AC788" s="185"/>
      <c r="AD788" s="185"/>
      <c r="AE788" s="190"/>
      <c r="AF788" s="323"/>
      <c r="AG788" s="324"/>
    </row>
    <row r="789" spans="1:33" s="4" customFormat="1" ht="21.75" customHeight="1">
      <c r="A789" s="30"/>
      <c r="B789" s="38"/>
      <c r="C789" s="38"/>
      <c r="D789" s="39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9"/>
      <c r="S789" s="9"/>
      <c r="T789" s="9"/>
      <c r="U789" s="9"/>
      <c r="V789" s="24"/>
      <c r="W789" s="9"/>
      <c r="X789" s="9"/>
      <c r="Y789" s="9"/>
      <c r="Z789" s="183"/>
      <c r="AA789" s="184"/>
      <c r="AB789" s="184"/>
      <c r="AC789" s="184"/>
      <c r="AD789" s="184"/>
      <c r="AE789" s="189"/>
      <c r="AF789" s="323"/>
      <c r="AG789" s="324"/>
    </row>
    <row r="790" spans="1:33" s="4" customFormat="1" ht="21.75" customHeight="1">
      <c r="A790" s="30"/>
      <c r="B790" s="38"/>
      <c r="C790" s="38"/>
      <c r="D790" s="39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9"/>
      <c r="S790" s="9"/>
      <c r="T790" s="9"/>
      <c r="U790" s="9"/>
      <c r="V790" s="24"/>
      <c r="W790" s="9"/>
      <c r="X790" s="9"/>
      <c r="Y790" s="9"/>
      <c r="Z790" s="183"/>
      <c r="AA790" s="184"/>
      <c r="AB790" s="184"/>
      <c r="AC790" s="184"/>
      <c r="AD790" s="184"/>
      <c r="AE790" s="189"/>
      <c r="AF790" s="323"/>
      <c r="AG790" s="324"/>
    </row>
    <row r="791" spans="1:33" s="4" customFormat="1" ht="21.75" customHeight="1">
      <c r="A791" s="30"/>
      <c r="B791" s="38"/>
      <c r="C791" s="38"/>
      <c r="D791" s="39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9"/>
      <c r="S791" s="9"/>
      <c r="T791" s="9"/>
      <c r="U791" s="9"/>
      <c r="V791" s="24"/>
      <c r="W791" s="9"/>
      <c r="X791" s="9"/>
      <c r="Y791" s="9"/>
      <c r="Z791" s="183"/>
      <c r="AA791" s="184"/>
      <c r="AB791" s="184"/>
      <c r="AC791" s="184"/>
      <c r="AD791" s="184"/>
      <c r="AE791" s="189"/>
      <c r="AF791" s="323"/>
      <c r="AG791" s="324"/>
    </row>
    <row r="792" spans="1:33" s="4" customFormat="1" ht="21.75" customHeight="1">
      <c r="A792" s="30"/>
      <c r="B792" s="38"/>
      <c r="C792" s="38"/>
      <c r="D792" s="39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9"/>
      <c r="S792" s="9"/>
      <c r="T792" s="9"/>
      <c r="U792" s="9"/>
      <c r="V792" s="24"/>
      <c r="W792" s="9"/>
      <c r="X792" s="9"/>
      <c r="Y792" s="9"/>
      <c r="Z792" s="183"/>
      <c r="AA792" s="184"/>
      <c r="AB792" s="184"/>
      <c r="AC792" s="184"/>
      <c r="AD792" s="184"/>
      <c r="AE792" s="189"/>
      <c r="AF792" s="323"/>
      <c r="AG792" s="324"/>
    </row>
    <row r="793" spans="1:33" s="4" customFormat="1" ht="21.75" customHeight="1">
      <c r="A793" s="30"/>
      <c r="B793" s="38"/>
      <c r="C793" s="38"/>
      <c r="D793" s="39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9"/>
      <c r="S793" s="9"/>
      <c r="T793" s="9"/>
      <c r="U793" s="9"/>
      <c r="V793" s="24"/>
      <c r="W793" s="9"/>
      <c r="X793" s="9"/>
      <c r="Y793" s="9"/>
      <c r="Z793" s="183"/>
      <c r="AA793" s="184"/>
      <c r="AB793" s="184"/>
      <c r="AC793" s="184"/>
      <c r="AD793" s="184"/>
      <c r="AE793" s="189"/>
      <c r="AF793" s="323"/>
      <c r="AG793" s="324"/>
    </row>
    <row r="794" spans="1:33" s="4" customFormat="1" ht="21.75" customHeight="1">
      <c r="A794" s="30"/>
      <c r="B794" s="38"/>
      <c r="C794" s="38"/>
      <c r="D794" s="39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9"/>
      <c r="S794" s="9"/>
      <c r="T794" s="9"/>
      <c r="U794" s="9"/>
      <c r="V794" s="24"/>
      <c r="W794" s="9"/>
      <c r="X794" s="9"/>
      <c r="Y794" s="9"/>
      <c r="Z794" s="183"/>
      <c r="AA794" s="184"/>
      <c r="AB794" s="184"/>
      <c r="AC794" s="184"/>
      <c r="AD794" s="184"/>
      <c r="AE794" s="189"/>
      <c r="AF794" s="323"/>
      <c r="AG794" s="324"/>
    </row>
    <row r="795" spans="1:33" s="4" customFormat="1" ht="21.75" customHeight="1">
      <c r="A795" s="30"/>
      <c r="B795" s="38"/>
      <c r="C795" s="38"/>
      <c r="D795" s="39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9"/>
      <c r="S795" s="9"/>
      <c r="T795" s="9"/>
      <c r="U795" s="9"/>
      <c r="V795" s="24"/>
      <c r="W795" s="9"/>
      <c r="X795" s="9"/>
      <c r="Y795" s="9"/>
      <c r="Z795" s="183"/>
      <c r="AA795" s="184"/>
      <c r="AB795" s="184"/>
      <c r="AC795" s="184"/>
      <c r="AD795" s="184"/>
      <c r="AE795" s="189"/>
      <c r="AF795" s="323"/>
      <c r="AG795" s="324"/>
    </row>
    <row r="796" spans="1:33" s="4" customFormat="1" ht="21.75" customHeight="1">
      <c r="A796" s="30"/>
      <c r="B796" s="38"/>
      <c r="C796" s="38"/>
      <c r="D796" s="39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9"/>
      <c r="S796" s="9"/>
      <c r="T796" s="9"/>
      <c r="U796" s="9"/>
      <c r="V796" s="24"/>
      <c r="W796" s="9"/>
      <c r="X796" s="9"/>
      <c r="Y796" s="9"/>
      <c r="Z796" s="183"/>
      <c r="AA796" s="184"/>
      <c r="AB796" s="184"/>
      <c r="AC796" s="184"/>
      <c r="AD796" s="184"/>
      <c r="AE796" s="189"/>
      <c r="AF796" s="323"/>
      <c r="AG796" s="324"/>
    </row>
    <row r="797" spans="1:33" s="4" customFormat="1" ht="21.75" customHeight="1">
      <c r="A797" s="30"/>
      <c r="B797" s="38"/>
      <c r="C797" s="38"/>
      <c r="D797" s="39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9"/>
      <c r="S797" s="9"/>
      <c r="T797" s="9"/>
      <c r="U797" s="9"/>
      <c r="V797" s="24"/>
      <c r="W797" s="9"/>
      <c r="X797" s="9"/>
      <c r="Y797" s="9"/>
      <c r="Z797" s="183"/>
      <c r="AA797" s="184"/>
      <c r="AB797" s="184"/>
      <c r="AC797" s="184"/>
      <c r="AD797" s="184"/>
      <c r="AE797" s="189"/>
      <c r="AF797" s="323"/>
      <c r="AG797" s="324"/>
    </row>
    <row r="798" spans="1:33" s="4" customFormat="1" ht="21.75" customHeight="1">
      <c r="A798" s="30"/>
      <c r="B798" s="38"/>
      <c r="C798" s="38"/>
      <c r="D798" s="39"/>
      <c r="E798" s="24"/>
      <c r="F798" s="24"/>
      <c r="G798" s="24"/>
      <c r="H798" s="24"/>
      <c r="I798" s="24"/>
      <c r="J798" s="39"/>
      <c r="K798" s="24"/>
      <c r="L798" s="24"/>
      <c r="M798" s="24"/>
      <c r="N798" s="24"/>
      <c r="O798" s="24"/>
      <c r="P798" s="24"/>
      <c r="Q798" s="24"/>
      <c r="R798" s="9"/>
      <c r="S798" s="9"/>
      <c r="T798" s="9"/>
      <c r="U798" s="9"/>
      <c r="V798" s="24"/>
      <c r="W798" s="9"/>
      <c r="X798" s="9"/>
      <c r="Y798" s="9"/>
      <c r="Z798" s="183"/>
      <c r="AA798" s="184"/>
      <c r="AB798" s="184"/>
      <c r="AC798" s="184"/>
      <c r="AD798" s="184"/>
      <c r="AE798" s="189"/>
      <c r="AF798" s="323"/>
      <c r="AG798" s="324"/>
    </row>
    <row r="799" spans="1:33" s="4" customFormat="1" ht="21.75" customHeight="1">
      <c r="A799" s="30"/>
      <c r="B799" s="38"/>
      <c r="C799" s="38"/>
      <c r="D799" s="39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61"/>
      <c r="R799" s="24"/>
      <c r="S799" s="24"/>
      <c r="T799" s="24"/>
      <c r="U799" s="24"/>
      <c r="V799" s="24"/>
      <c r="W799" s="24"/>
      <c r="X799" s="24"/>
      <c r="Y799" s="9"/>
      <c r="Z799" s="183"/>
      <c r="AA799" s="184"/>
      <c r="AB799" s="184"/>
      <c r="AC799" s="184"/>
      <c r="AD799" s="184"/>
      <c r="AE799" s="189"/>
      <c r="AF799" s="323"/>
      <c r="AG799" s="324"/>
    </row>
    <row r="800" spans="1:33" s="4" customFormat="1" ht="21.75" customHeight="1">
      <c r="A800" s="30"/>
      <c r="B800" s="38"/>
      <c r="C800" s="38"/>
      <c r="D800" s="39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9"/>
      <c r="Z800" s="183"/>
      <c r="AA800" s="184"/>
      <c r="AB800" s="184"/>
      <c r="AC800" s="184"/>
      <c r="AD800" s="184"/>
      <c r="AE800" s="189"/>
      <c r="AF800" s="323"/>
      <c r="AG800" s="324"/>
    </row>
    <row r="801" spans="1:33" s="4" customFormat="1" ht="21.75" customHeight="1">
      <c r="A801" s="30"/>
      <c r="B801" s="38"/>
      <c r="C801" s="38"/>
      <c r="D801" s="39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9"/>
      <c r="Z801" s="183"/>
      <c r="AA801" s="184"/>
      <c r="AB801" s="184"/>
      <c r="AC801" s="184"/>
      <c r="AD801" s="184"/>
      <c r="AE801" s="189"/>
      <c r="AF801" s="323"/>
      <c r="AG801" s="324"/>
    </row>
    <row r="802" spans="1:33" s="4" customFormat="1" ht="21.75" customHeight="1">
      <c r="A802" s="30"/>
      <c r="B802" s="38"/>
      <c r="C802" s="38"/>
      <c r="D802" s="39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9"/>
      <c r="Z802" s="183"/>
      <c r="AA802" s="184"/>
      <c r="AB802" s="184"/>
      <c r="AC802" s="184"/>
      <c r="AD802" s="184"/>
      <c r="AE802" s="189"/>
      <c r="AF802" s="323"/>
      <c r="AG802" s="324"/>
    </row>
    <row r="803" spans="1:33" s="4" customFormat="1" ht="21.75" customHeight="1">
      <c r="A803" s="30"/>
      <c r="B803" s="38"/>
      <c r="C803" s="38"/>
      <c r="D803" s="39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9"/>
      <c r="Z803" s="183"/>
      <c r="AA803" s="184"/>
      <c r="AB803" s="184"/>
      <c r="AC803" s="184"/>
      <c r="AD803" s="184"/>
      <c r="AE803" s="189"/>
      <c r="AF803" s="323"/>
      <c r="AG803" s="324"/>
    </row>
    <row r="804" spans="1:33" s="4" customFormat="1" ht="21.75" customHeight="1">
      <c r="A804" s="30"/>
      <c r="B804" s="38"/>
      <c r="C804" s="38"/>
      <c r="D804" s="39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9"/>
      <c r="Z804" s="183"/>
      <c r="AA804" s="184"/>
      <c r="AB804" s="184"/>
      <c r="AC804" s="184"/>
      <c r="AD804" s="184"/>
      <c r="AE804" s="189"/>
      <c r="AF804" s="323"/>
      <c r="AG804" s="324"/>
    </row>
    <row r="805" spans="1:33" s="4" customFormat="1" ht="21.75" customHeight="1">
      <c r="A805" s="30"/>
      <c r="B805" s="38"/>
      <c r="C805" s="38"/>
      <c r="D805" s="39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9"/>
      <c r="Z805" s="183"/>
      <c r="AA805" s="184"/>
      <c r="AB805" s="184"/>
      <c r="AC805" s="184"/>
      <c r="AD805" s="184"/>
      <c r="AE805" s="189"/>
      <c r="AF805" s="323"/>
      <c r="AG805" s="324"/>
    </row>
    <row r="806" spans="1:33" s="4" customFormat="1" ht="21.75" customHeight="1">
      <c r="A806" s="30"/>
      <c r="B806" s="38"/>
      <c r="C806" s="38"/>
      <c r="D806" s="39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9"/>
      <c r="Z806" s="183"/>
      <c r="AA806" s="184"/>
      <c r="AB806" s="184"/>
      <c r="AC806" s="184"/>
      <c r="AD806" s="184"/>
      <c r="AE806" s="189"/>
      <c r="AF806" s="323"/>
      <c r="AG806" s="324"/>
    </row>
    <row r="807" spans="1:33" s="4" customFormat="1" ht="21.75" customHeight="1">
      <c r="A807" s="30"/>
      <c r="B807" s="38"/>
      <c r="C807" s="38"/>
      <c r="D807" s="39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9"/>
      <c r="Z807" s="183"/>
      <c r="AA807" s="184"/>
      <c r="AB807" s="184"/>
      <c r="AC807" s="184"/>
      <c r="AD807" s="184"/>
      <c r="AE807" s="189"/>
      <c r="AF807" s="323"/>
      <c r="AG807" s="324"/>
    </row>
    <row r="808" spans="1:33" s="4" customFormat="1" ht="21.75" customHeight="1">
      <c r="A808" s="30"/>
      <c r="B808" s="38"/>
      <c r="C808" s="38"/>
      <c r="D808" s="39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9"/>
      <c r="Z808" s="183"/>
      <c r="AA808" s="184"/>
      <c r="AB808" s="184"/>
      <c r="AC808" s="184"/>
      <c r="AD808" s="184"/>
      <c r="AE808" s="189"/>
      <c r="AF808" s="323"/>
      <c r="AG808" s="324"/>
    </row>
    <row r="809" spans="1:33" s="4" customFormat="1" ht="21.75" customHeight="1" thickBot="1">
      <c r="A809" s="30"/>
      <c r="B809" s="38"/>
      <c r="C809" s="38"/>
      <c r="D809" s="39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9"/>
      <c r="Z809" s="183"/>
      <c r="AA809" s="184"/>
      <c r="AB809" s="184"/>
      <c r="AC809" s="184"/>
      <c r="AD809" s="184"/>
      <c r="AE809" s="189"/>
      <c r="AF809" s="325"/>
      <c r="AG809" s="326"/>
    </row>
    <row r="810" spans="1:33" s="4" customFormat="1" ht="21.75" customHeight="1">
      <c r="A810" s="30"/>
      <c r="B810" s="38"/>
      <c r="C810" s="38"/>
      <c r="D810" s="39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9"/>
      <c r="Z810" s="183"/>
      <c r="AA810" s="184"/>
      <c r="AB810" s="184"/>
      <c r="AC810" s="184"/>
      <c r="AD810" s="184"/>
      <c r="AE810" s="184"/>
      <c r="AF810" s="337"/>
      <c r="AG810" s="338"/>
    </row>
    <row r="811" spans="1:33" s="4" customFormat="1" ht="21.75" customHeight="1">
      <c r="A811" s="30"/>
      <c r="B811" s="38"/>
      <c r="C811" s="38"/>
      <c r="D811" s="39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9"/>
      <c r="Z811" s="183"/>
      <c r="AA811" s="184"/>
      <c r="AB811" s="184"/>
      <c r="AC811" s="184"/>
      <c r="AD811" s="184"/>
      <c r="AE811" s="184"/>
      <c r="AF811" s="339"/>
      <c r="AG811" s="340"/>
    </row>
    <row r="812" spans="1:33" s="4" customFormat="1" ht="21.75" customHeight="1">
      <c r="A812" s="30"/>
      <c r="B812" s="38"/>
      <c r="C812" s="38"/>
      <c r="D812" s="39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9"/>
      <c r="Z812" s="183"/>
      <c r="AA812" s="184"/>
      <c r="AB812" s="184"/>
      <c r="AC812" s="184"/>
      <c r="AD812" s="184"/>
      <c r="AE812" s="184"/>
      <c r="AF812" s="339"/>
      <c r="AG812" s="340"/>
    </row>
    <row r="813" spans="1:33" s="4" customFormat="1" ht="21.75" customHeight="1">
      <c r="A813" s="30"/>
      <c r="B813" s="38"/>
      <c r="C813" s="38"/>
      <c r="D813" s="39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9"/>
      <c r="Z813" s="183"/>
      <c r="AA813" s="184"/>
      <c r="AB813" s="184"/>
      <c r="AC813" s="184"/>
      <c r="AD813" s="184"/>
      <c r="AE813" s="184"/>
      <c r="AF813" s="339"/>
      <c r="AG813" s="340"/>
    </row>
    <row r="814" spans="1:33" s="4" customFormat="1" ht="21.75" customHeight="1">
      <c r="A814" s="30"/>
      <c r="B814" s="38"/>
      <c r="C814" s="38"/>
      <c r="D814" s="39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9"/>
      <c r="Z814" s="183"/>
      <c r="AA814" s="184"/>
      <c r="AB814" s="184"/>
      <c r="AC814" s="184"/>
      <c r="AD814" s="184"/>
      <c r="AE814" s="184"/>
      <c r="AF814" s="339"/>
      <c r="AG814" s="340"/>
    </row>
    <row r="815" spans="1:33" s="4" customFormat="1" ht="21.75" customHeight="1">
      <c r="A815" s="30"/>
      <c r="B815" s="38"/>
      <c r="C815" s="38"/>
      <c r="D815" s="39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9"/>
      <c r="Z815" s="183"/>
      <c r="AA815" s="184"/>
      <c r="AB815" s="184"/>
      <c r="AC815" s="184"/>
      <c r="AD815" s="184"/>
      <c r="AE815" s="184"/>
      <c r="AF815" s="339"/>
      <c r="AG815" s="340"/>
    </row>
    <row r="816" spans="1:33" s="4" customFormat="1" ht="21.75" customHeight="1">
      <c r="A816" s="30"/>
      <c r="B816" s="38"/>
      <c r="C816" s="38"/>
      <c r="D816" s="39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9"/>
      <c r="Z816" s="183"/>
      <c r="AA816" s="184"/>
      <c r="AB816" s="184"/>
      <c r="AC816" s="184"/>
      <c r="AD816" s="184"/>
      <c r="AE816" s="184"/>
      <c r="AF816" s="339"/>
      <c r="AG816" s="340"/>
    </row>
    <row r="817" spans="1:33" s="4" customFormat="1" ht="21.75" customHeight="1">
      <c r="A817" s="30"/>
      <c r="B817" s="38"/>
      <c r="C817" s="38"/>
      <c r="D817" s="39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9"/>
      <c r="Z817" s="183"/>
      <c r="AA817" s="184"/>
      <c r="AB817" s="184"/>
      <c r="AC817" s="184"/>
      <c r="AD817" s="184"/>
      <c r="AE817" s="184"/>
      <c r="AF817" s="339"/>
      <c r="AG817" s="340"/>
    </row>
    <row r="818" spans="1:33" s="4" customFormat="1" ht="21.75" customHeight="1">
      <c r="A818" s="30"/>
      <c r="B818" s="38"/>
      <c r="C818" s="38"/>
      <c r="D818" s="39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9"/>
      <c r="Z818" s="183"/>
      <c r="AA818" s="184"/>
      <c r="AB818" s="184"/>
      <c r="AC818" s="184"/>
      <c r="AD818" s="184"/>
      <c r="AE818" s="184"/>
      <c r="AF818" s="339"/>
      <c r="AG818" s="340"/>
    </row>
    <row r="819" spans="1:33" s="4" customFormat="1" ht="21.75" customHeight="1">
      <c r="A819" s="30"/>
      <c r="B819" s="38"/>
      <c r="C819" s="38"/>
      <c r="D819" s="39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9"/>
      <c r="Z819" s="183"/>
      <c r="AA819" s="184"/>
      <c r="AB819" s="184"/>
      <c r="AC819" s="184"/>
      <c r="AD819" s="184"/>
      <c r="AE819" s="184"/>
      <c r="AF819" s="339"/>
      <c r="AG819" s="340"/>
    </row>
    <row r="820" spans="1:33" s="4" customFormat="1" ht="21.75" customHeight="1">
      <c r="A820" s="30"/>
      <c r="B820" s="38"/>
      <c r="C820" s="38"/>
      <c r="D820" s="39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9"/>
      <c r="Z820" s="183"/>
      <c r="AA820" s="184"/>
      <c r="AB820" s="184"/>
      <c r="AC820" s="184"/>
      <c r="AD820" s="184"/>
      <c r="AE820" s="184"/>
      <c r="AF820" s="339"/>
      <c r="AG820" s="340"/>
    </row>
    <row r="821" spans="1:33" s="4" customFormat="1" ht="21.75" customHeight="1">
      <c r="A821" s="30"/>
      <c r="B821" s="38"/>
      <c r="C821" s="38"/>
      <c r="D821" s="39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9"/>
      <c r="Z821" s="183"/>
      <c r="AA821" s="184"/>
      <c r="AB821" s="184"/>
      <c r="AC821" s="184"/>
      <c r="AD821" s="184"/>
      <c r="AE821" s="184"/>
      <c r="AF821" s="339"/>
      <c r="AG821" s="340"/>
    </row>
    <row r="822" spans="1:33" s="4" customFormat="1" ht="21.75" customHeight="1">
      <c r="A822" s="30"/>
      <c r="B822" s="38"/>
      <c r="C822" s="38"/>
      <c r="D822" s="39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9"/>
      <c r="Z822" s="183"/>
      <c r="AA822" s="184"/>
      <c r="AB822" s="184"/>
      <c r="AC822" s="184"/>
      <c r="AD822" s="184"/>
      <c r="AE822" s="184"/>
      <c r="AF822" s="339"/>
      <c r="AG822" s="340"/>
    </row>
    <row r="823" spans="1:33" s="4" customFormat="1" ht="21.75" customHeight="1">
      <c r="A823" s="30"/>
      <c r="B823" s="38"/>
      <c r="C823" s="38"/>
      <c r="D823" s="39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9"/>
      <c r="Z823" s="183"/>
      <c r="AA823" s="184"/>
      <c r="AB823" s="184"/>
      <c r="AC823" s="184"/>
      <c r="AD823" s="184"/>
      <c r="AE823" s="184"/>
      <c r="AF823" s="339"/>
      <c r="AG823" s="340"/>
    </row>
    <row r="824" spans="1:33" s="4" customFormat="1" ht="21.75" customHeight="1">
      <c r="A824" s="30"/>
      <c r="B824" s="38"/>
      <c r="C824" s="38"/>
      <c r="D824" s="39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9"/>
      <c r="Z824" s="183"/>
      <c r="AA824" s="184"/>
      <c r="AB824" s="184"/>
      <c r="AC824" s="184"/>
      <c r="AD824" s="184"/>
      <c r="AE824" s="184"/>
      <c r="AF824" s="339"/>
      <c r="AG824" s="340"/>
    </row>
    <row r="825" spans="1:33" s="4" customFormat="1" ht="21.75" customHeight="1" thickBot="1">
      <c r="A825" s="30"/>
      <c r="B825" s="38"/>
      <c r="C825" s="38"/>
      <c r="D825" s="39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9"/>
      <c r="Z825" s="183"/>
      <c r="AA825" s="186"/>
      <c r="AB825" s="186"/>
      <c r="AC825" s="186"/>
      <c r="AD825" s="186"/>
      <c r="AE825" s="186"/>
      <c r="AF825" s="339"/>
      <c r="AG825" s="340"/>
    </row>
    <row r="826" spans="2:33" s="1" customFormat="1" ht="46.5" customHeight="1">
      <c r="B826" s="126"/>
      <c r="C826" s="127"/>
      <c r="D826" s="127"/>
      <c r="E826" s="127"/>
      <c r="F826" s="127"/>
      <c r="G826" s="127"/>
      <c r="H826" s="127"/>
      <c r="I826" s="127"/>
      <c r="J826" s="127"/>
      <c r="K826" s="287"/>
      <c r="L826" s="287"/>
      <c r="M826" s="287"/>
      <c r="N826" s="287"/>
      <c r="O826" s="287"/>
      <c r="P826" s="287"/>
      <c r="Q826" s="287"/>
      <c r="R826" s="287"/>
      <c r="S826" s="287"/>
      <c r="T826" s="287"/>
      <c r="U826" s="287"/>
      <c r="V826" s="287"/>
      <c r="W826" s="287"/>
      <c r="X826" s="287"/>
      <c r="Y826" s="239"/>
      <c r="Z826" s="305"/>
      <c r="AA826" s="187"/>
      <c r="AB826" s="187"/>
      <c r="AC826" s="187"/>
      <c r="AD826" s="187"/>
      <c r="AE826" s="187"/>
      <c r="AF826" s="319"/>
      <c r="AG826" s="320"/>
    </row>
    <row r="827" spans="2:33" s="1" customFormat="1" ht="46.5" customHeight="1" thickBot="1">
      <c r="B827" s="128"/>
      <c r="C827" s="129"/>
      <c r="D827" s="129"/>
      <c r="E827" s="129"/>
      <c r="F827" s="129"/>
      <c r="G827" s="129"/>
      <c r="H827" s="129"/>
      <c r="I827" s="129"/>
      <c r="J827" s="129"/>
      <c r="K827" s="288"/>
      <c r="L827" s="288"/>
      <c r="M827" s="288"/>
      <c r="N827" s="288"/>
      <c r="O827" s="288"/>
      <c r="P827" s="288"/>
      <c r="Q827" s="288"/>
      <c r="R827" s="288"/>
      <c r="S827" s="288"/>
      <c r="T827" s="288"/>
      <c r="U827" s="288"/>
      <c r="V827" s="288"/>
      <c r="W827" s="288"/>
      <c r="X827" s="288"/>
      <c r="Y827" s="240"/>
      <c r="Z827" s="306"/>
      <c r="AA827" s="188"/>
      <c r="AB827" s="188"/>
      <c r="AC827" s="188"/>
      <c r="AD827" s="188"/>
      <c r="AE827" s="188"/>
      <c r="AF827" s="331"/>
      <c r="AG827" s="332"/>
    </row>
    <row r="828" spans="1:34" ht="36" customHeight="1">
      <c r="A828" s="10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78"/>
      <c r="Q828" s="49"/>
      <c r="R828" s="49"/>
      <c r="S828" s="49"/>
      <c r="T828" s="49"/>
      <c r="U828" s="49"/>
      <c r="V828" s="49"/>
      <c r="W828" s="49"/>
      <c r="X828" s="49"/>
      <c r="AH828" s="11"/>
    </row>
    <row r="829" spans="12:20" ht="15">
      <c r="L829" s="27"/>
      <c r="M829" s="28"/>
      <c r="T829"/>
    </row>
    <row r="830" spans="12:20" ht="15">
      <c r="L830" s="27"/>
      <c r="M830" s="28"/>
      <c r="T830"/>
    </row>
    <row r="831" spans="2:33" ht="15.75">
      <c r="B831" s="158"/>
      <c r="C831" s="131"/>
      <c r="D831" s="131"/>
      <c r="E831" s="131"/>
      <c r="F831" s="131"/>
      <c r="G831" s="26"/>
      <c r="H831" s="21"/>
      <c r="I831" s="21"/>
      <c r="J831" s="21"/>
      <c r="K831" s="21"/>
      <c r="L831" s="33"/>
      <c r="M831" s="32"/>
      <c r="N831" s="32"/>
      <c r="O831" s="34"/>
      <c r="P831" s="36"/>
      <c r="Q831" s="64"/>
      <c r="R831" s="34"/>
      <c r="S831" s="34"/>
      <c r="T831" s="34"/>
      <c r="U831" s="34"/>
      <c r="V831" s="64"/>
      <c r="W831" s="35"/>
      <c r="AB831" s="32"/>
      <c r="AD831" s="32"/>
      <c r="AE831" s="32"/>
      <c r="AF831" s="26"/>
      <c r="AG831" s="26"/>
    </row>
    <row r="832" spans="11:31" ht="15">
      <c r="K832" s="139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  <c r="Z832" s="122"/>
      <c r="AA832" s="122"/>
      <c r="AB832" s="122"/>
      <c r="AC832" s="122"/>
      <c r="AD832" s="122"/>
      <c r="AE832" s="122"/>
    </row>
    <row r="833" spans="11:31" ht="15">
      <c r="K833" s="139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  <c r="Z833" s="122"/>
      <c r="AA833" s="122"/>
      <c r="AB833" s="122"/>
      <c r="AC833" s="122"/>
      <c r="AD833" s="122"/>
      <c r="AE833" s="122"/>
    </row>
    <row r="835" spans="1:34" s="3" customFormat="1" ht="36" customHeight="1" thickBot="1">
      <c r="A835" s="12"/>
      <c r="B835" s="54" t="s">
        <v>31</v>
      </c>
      <c r="C835" s="55"/>
      <c r="D835" s="55"/>
      <c r="E835" s="55"/>
      <c r="F835" s="55"/>
      <c r="G835" s="55"/>
      <c r="H835" s="55"/>
      <c r="I835" s="55"/>
      <c r="J835" s="55"/>
      <c r="K835" s="86"/>
      <c r="L835" s="257">
        <v>31</v>
      </c>
      <c r="M835" s="257"/>
      <c r="N835" s="229">
        <v>5</v>
      </c>
      <c r="O835" s="229"/>
      <c r="P835" s="229">
        <v>7</v>
      </c>
      <c r="Q835" s="229"/>
      <c r="R835" s="229">
        <v>2</v>
      </c>
      <c r="S835" s="229"/>
      <c r="T835" s="229">
        <v>3</v>
      </c>
      <c r="U835" s="229"/>
      <c r="V835" s="99"/>
      <c r="W835" s="86"/>
      <c r="AB835" s="142"/>
      <c r="AD835" s="229">
        <v>1</v>
      </c>
      <c r="AE835" s="229"/>
      <c r="AF835" s="98"/>
      <c r="AG835" s="98"/>
      <c r="AH835" s="13"/>
    </row>
    <row r="836" spans="2:33" s="4" customFormat="1" ht="21.75" customHeight="1">
      <c r="B836" s="233" t="s">
        <v>0</v>
      </c>
      <c r="C836" s="235"/>
      <c r="D836" s="251" t="s">
        <v>3</v>
      </c>
      <c r="E836" s="251" t="s">
        <v>4</v>
      </c>
      <c r="F836" s="251" t="s">
        <v>5</v>
      </c>
      <c r="G836" s="254" t="s">
        <v>43</v>
      </c>
      <c r="H836" s="254" t="s">
        <v>45</v>
      </c>
      <c r="I836" s="251" t="s">
        <v>6</v>
      </c>
      <c r="J836" s="254" t="s">
        <v>26</v>
      </c>
      <c r="K836" s="254" t="s">
        <v>116</v>
      </c>
      <c r="L836" s="216">
        <v>254</v>
      </c>
      <c r="M836" s="217"/>
      <c r="N836" s="216">
        <v>302</v>
      </c>
      <c r="O836" s="217"/>
      <c r="P836" s="216">
        <v>304</v>
      </c>
      <c r="Q836" s="217"/>
      <c r="R836" s="216">
        <v>407</v>
      </c>
      <c r="S836" s="217"/>
      <c r="T836" s="216">
        <v>442</v>
      </c>
      <c r="U836" s="217"/>
      <c r="V836" s="163"/>
      <c r="W836" s="163"/>
      <c r="X836" s="163"/>
      <c r="Y836" s="163"/>
      <c r="Z836" s="163"/>
      <c r="AA836" s="163"/>
      <c r="AB836" s="216">
        <v>442</v>
      </c>
      <c r="AC836" s="217"/>
      <c r="AD836" s="216">
        <v>442</v>
      </c>
      <c r="AE836" s="217"/>
      <c r="AF836" s="282" t="s">
        <v>38</v>
      </c>
      <c r="AG836" s="282" t="s">
        <v>58</v>
      </c>
    </row>
    <row r="837" spans="2:33" s="4" customFormat="1" ht="27.75" customHeight="1">
      <c r="B837" s="293"/>
      <c r="C837" s="294"/>
      <c r="D837" s="252"/>
      <c r="E837" s="252"/>
      <c r="F837" s="252"/>
      <c r="G837" s="242"/>
      <c r="H837" s="242"/>
      <c r="I837" s="252"/>
      <c r="J837" s="255"/>
      <c r="K837" s="242"/>
      <c r="L837" s="218" t="s">
        <v>132</v>
      </c>
      <c r="M837" s="219"/>
      <c r="N837" s="218" t="s">
        <v>37</v>
      </c>
      <c r="O837" s="219"/>
      <c r="P837" s="218" t="s">
        <v>121</v>
      </c>
      <c r="Q837" s="219"/>
      <c r="R837" s="218" t="s">
        <v>93</v>
      </c>
      <c r="S837" s="219"/>
      <c r="T837" s="218" t="s">
        <v>27</v>
      </c>
      <c r="U837" s="219"/>
      <c r="V837" s="219"/>
      <c r="W837" s="219"/>
      <c r="X837" s="219"/>
      <c r="Y837" s="219"/>
      <c r="Z837" s="219"/>
      <c r="AA837" s="219"/>
      <c r="AB837" s="218" t="s">
        <v>97</v>
      </c>
      <c r="AC837" s="219"/>
      <c r="AD837" s="218" t="s">
        <v>138</v>
      </c>
      <c r="AE837" s="219"/>
      <c r="AF837" s="283"/>
      <c r="AG837" s="304"/>
    </row>
    <row r="838" spans="2:33" s="4" customFormat="1" ht="27.75" customHeight="1" thickBot="1">
      <c r="B838" s="293"/>
      <c r="C838" s="294"/>
      <c r="D838" s="252"/>
      <c r="E838" s="252"/>
      <c r="F838" s="252"/>
      <c r="G838" s="242"/>
      <c r="H838" s="242"/>
      <c r="I838" s="252"/>
      <c r="J838" s="255"/>
      <c r="K838" s="242"/>
      <c r="L838" s="220"/>
      <c r="M838" s="221"/>
      <c r="N838" s="220"/>
      <c r="O838" s="221"/>
      <c r="P838" s="220"/>
      <c r="Q838" s="221"/>
      <c r="R838" s="220"/>
      <c r="S838" s="221"/>
      <c r="T838" s="220"/>
      <c r="U838" s="221"/>
      <c r="V838" s="221"/>
      <c r="W838" s="221"/>
      <c r="X838" s="221"/>
      <c r="Y838" s="221"/>
      <c r="Z838" s="221"/>
      <c r="AA838" s="221"/>
      <c r="AB838" s="220"/>
      <c r="AC838" s="221"/>
      <c r="AD838" s="220"/>
      <c r="AE838" s="221"/>
      <c r="AF838" s="284"/>
      <c r="AG838" s="304"/>
    </row>
    <row r="839" spans="2:33" s="4" customFormat="1" ht="27.75" customHeight="1">
      <c r="B839" s="293"/>
      <c r="C839" s="294"/>
      <c r="D839" s="252"/>
      <c r="E839" s="252"/>
      <c r="F839" s="252"/>
      <c r="G839" s="242"/>
      <c r="H839" s="242"/>
      <c r="I839" s="252"/>
      <c r="J839" s="255"/>
      <c r="K839" s="242"/>
      <c r="L839" s="220"/>
      <c r="M839" s="221"/>
      <c r="N839" s="220"/>
      <c r="O839" s="221"/>
      <c r="P839" s="220"/>
      <c r="Q839" s="221"/>
      <c r="R839" s="220"/>
      <c r="S839" s="221"/>
      <c r="T839" s="220"/>
      <c r="U839" s="221"/>
      <c r="V839" s="221"/>
      <c r="W839" s="221"/>
      <c r="X839" s="221"/>
      <c r="Y839" s="221"/>
      <c r="Z839" s="221"/>
      <c r="AA839" s="221"/>
      <c r="AB839" s="220"/>
      <c r="AC839" s="221"/>
      <c r="AD839" s="220"/>
      <c r="AE839" s="221"/>
      <c r="AF839" s="269" t="s">
        <v>8</v>
      </c>
      <c r="AG839" s="270"/>
    </row>
    <row r="840" spans="2:33" s="4" customFormat="1" ht="27.75" customHeight="1">
      <c r="B840" s="293"/>
      <c r="C840" s="294"/>
      <c r="D840" s="252"/>
      <c r="E840" s="252"/>
      <c r="F840" s="252"/>
      <c r="G840" s="242"/>
      <c r="H840" s="242"/>
      <c r="I840" s="252"/>
      <c r="J840" s="255"/>
      <c r="K840" s="242"/>
      <c r="L840" s="220"/>
      <c r="M840" s="221"/>
      <c r="N840" s="220"/>
      <c r="O840" s="221"/>
      <c r="P840" s="220"/>
      <c r="Q840" s="221"/>
      <c r="R840" s="220"/>
      <c r="S840" s="221"/>
      <c r="T840" s="220"/>
      <c r="U840" s="221"/>
      <c r="V840" s="221"/>
      <c r="W840" s="221"/>
      <c r="X840" s="221"/>
      <c r="Y840" s="221"/>
      <c r="Z840" s="221"/>
      <c r="AA840" s="221"/>
      <c r="AB840" s="220"/>
      <c r="AC840" s="221"/>
      <c r="AD840" s="220"/>
      <c r="AE840" s="221"/>
      <c r="AF840" s="271"/>
      <c r="AG840" s="272"/>
    </row>
    <row r="841" spans="2:33" s="4" customFormat="1" ht="27.75" customHeight="1">
      <c r="B841" s="293"/>
      <c r="C841" s="294"/>
      <c r="D841" s="252"/>
      <c r="E841" s="252"/>
      <c r="F841" s="252"/>
      <c r="G841" s="242"/>
      <c r="H841" s="242"/>
      <c r="I841" s="252"/>
      <c r="J841" s="255"/>
      <c r="K841" s="242"/>
      <c r="L841" s="220"/>
      <c r="M841" s="221"/>
      <c r="N841" s="220"/>
      <c r="O841" s="221"/>
      <c r="P841" s="220"/>
      <c r="Q841" s="221"/>
      <c r="R841" s="220"/>
      <c r="S841" s="221"/>
      <c r="T841" s="220"/>
      <c r="U841" s="221"/>
      <c r="V841" s="221"/>
      <c r="W841" s="221"/>
      <c r="X841" s="221"/>
      <c r="Y841" s="221"/>
      <c r="Z841" s="221"/>
      <c r="AA841" s="221"/>
      <c r="AB841" s="220"/>
      <c r="AC841" s="221"/>
      <c r="AD841" s="220"/>
      <c r="AE841" s="221"/>
      <c r="AF841" s="271"/>
      <c r="AG841" s="272"/>
    </row>
    <row r="842" spans="2:33" s="4" customFormat="1" ht="27.75" customHeight="1">
      <c r="B842" s="293"/>
      <c r="C842" s="294"/>
      <c r="D842" s="252"/>
      <c r="E842" s="252"/>
      <c r="F842" s="252"/>
      <c r="G842" s="242"/>
      <c r="H842" s="242"/>
      <c r="I842" s="252"/>
      <c r="J842" s="255"/>
      <c r="K842" s="242"/>
      <c r="L842" s="220"/>
      <c r="M842" s="221"/>
      <c r="N842" s="220"/>
      <c r="O842" s="221"/>
      <c r="P842" s="220"/>
      <c r="Q842" s="221"/>
      <c r="R842" s="220"/>
      <c r="S842" s="221"/>
      <c r="T842" s="220"/>
      <c r="U842" s="221"/>
      <c r="V842" s="221"/>
      <c r="W842" s="221"/>
      <c r="X842" s="221"/>
      <c r="Y842" s="221"/>
      <c r="Z842" s="221"/>
      <c r="AA842" s="221"/>
      <c r="AB842" s="220"/>
      <c r="AC842" s="221"/>
      <c r="AD842" s="220"/>
      <c r="AE842" s="221"/>
      <c r="AF842" s="271"/>
      <c r="AG842" s="272"/>
    </row>
    <row r="843" spans="2:33" s="4" customFormat="1" ht="27.75" customHeight="1">
      <c r="B843" s="293"/>
      <c r="C843" s="294"/>
      <c r="D843" s="252"/>
      <c r="E843" s="252"/>
      <c r="F843" s="252"/>
      <c r="G843" s="242"/>
      <c r="H843" s="242"/>
      <c r="I843" s="252"/>
      <c r="J843" s="255"/>
      <c r="K843" s="242"/>
      <c r="L843" s="220"/>
      <c r="M843" s="221"/>
      <c r="N843" s="220"/>
      <c r="O843" s="221"/>
      <c r="P843" s="220"/>
      <c r="Q843" s="221"/>
      <c r="R843" s="220"/>
      <c r="S843" s="221"/>
      <c r="T843" s="220"/>
      <c r="U843" s="221"/>
      <c r="V843" s="221"/>
      <c r="W843" s="221"/>
      <c r="X843" s="221"/>
      <c r="Y843" s="221"/>
      <c r="Z843" s="221"/>
      <c r="AA843" s="221"/>
      <c r="AB843" s="220"/>
      <c r="AC843" s="221"/>
      <c r="AD843" s="220"/>
      <c r="AE843" s="221"/>
      <c r="AF843" s="271"/>
      <c r="AG843" s="272"/>
    </row>
    <row r="844" spans="2:33" s="5" customFormat="1" ht="27.75" customHeight="1">
      <c r="B844" s="295"/>
      <c r="C844" s="296"/>
      <c r="D844" s="253"/>
      <c r="E844" s="253"/>
      <c r="F844" s="253"/>
      <c r="G844" s="243"/>
      <c r="H844" s="243"/>
      <c r="I844" s="253"/>
      <c r="J844" s="256"/>
      <c r="K844" s="243"/>
      <c r="L844" s="222"/>
      <c r="M844" s="223"/>
      <c r="N844" s="222"/>
      <c r="O844" s="223"/>
      <c r="P844" s="222"/>
      <c r="Q844" s="223"/>
      <c r="R844" s="222"/>
      <c r="S844" s="223"/>
      <c r="T844" s="222"/>
      <c r="U844" s="223"/>
      <c r="V844" s="223"/>
      <c r="W844" s="223"/>
      <c r="X844" s="223"/>
      <c r="Y844" s="223"/>
      <c r="Z844" s="223"/>
      <c r="AA844" s="223"/>
      <c r="AB844" s="222"/>
      <c r="AC844" s="223"/>
      <c r="AD844" s="222"/>
      <c r="AE844" s="223"/>
      <c r="AF844" s="271"/>
      <c r="AG844" s="272"/>
    </row>
    <row r="845" spans="2:33" s="7" customFormat="1" ht="21.75" customHeight="1" thickBot="1">
      <c r="B845" s="56" t="s">
        <v>1</v>
      </c>
      <c r="C845" s="56" t="s">
        <v>2</v>
      </c>
      <c r="D845" s="57"/>
      <c r="E845" s="57" t="s">
        <v>14</v>
      </c>
      <c r="F845" s="57" t="s">
        <v>14</v>
      </c>
      <c r="G845" s="57"/>
      <c r="H845" s="57"/>
      <c r="I845" s="57" t="s">
        <v>21</v>
      </c>
      <c r="J845" s="57" t="s">
        <v>21</v>
      </c>
      <c r="K845" s="57" t="s">
        <v>21</v>
      </c>
      <c r="L845" s="208" t="s">
        <v>40</v>
      </c>
      <c r="M845" s="210"/>
      <c r="N845" s="208" t="s">
        <v>20</v>
      </c>
      <c r="O845" s="210"/>
      <c r="P845" s="208" t="s">
        <v>20</v>
      </c>
      <c r="Q845" s="210"/>
      <c r="R845" s="208" t="s">
        <v>22</v>
      </c>
      <c r="S845" s="210"/>
      <c r="T845" s="208" t="s">
        <v>20</v>
      </c>
      <c r="U845" s="210"/>
      <c r="V845" s="164"/>
      <c r="W845" s="164"/>
      <c r="X845" s="164"/>
      <c r="Y845" s="164"/>
      <c r="Z845" s="164"/>
      <c r="AA845" s="164"/>
      <c r="AB845" s="208" t="s">
        <v>20</v>
      </c>
      <c r="AC845" s="210"/>
      <c r="AD845" s="208" t="s">
        <v>20</v>
      </c>
      <c r="AE845" s="210"/>
      <c r="AF845" s="271"/>
      <c r="AG845" s="272"/>
    </row>
    <row r="846" spans="1:33" s="4" customFormat="1" ht="21.75" customHeight="1">
      <c r="A846" s="30">
        <v>1</v>
      </c>
      <c r="B846" s="37"/>
      <c r="C846" s="38"/>
      <c r="D846" s="39"/>
      <c r="E846" s="24"/>
      <c r="F846" s="66"/>
      <c r="G846" s="105"/>
      <c r="H846" s="105"/>
      <c r="I846" s="24"/>
      <c r="J846" s="24"/>
      <c r="K846" s="24"/>
      <c r="L846" s="227" t="s">
        <v>59</v>
      </c>
      <c r="M846" s="227" t="s">
        <v>92</v>
      </c>
      <c r="N846" s="227" t="s">
        <v>59</v>
      </c>
      <c r="O846" s="227" t="s">
        <v>92</v>
      </c>
      <c r="P846" s="227" t="s">
        <v>59</v>
      </c>
      <c r="Q846" s="227" t="s">
        <v>92</v>
      </c>
      <c r="R846" s="227" t="s">
        <v>59</v>
      </c>
      <c r="S846" s="227" t="s">
        <v>92</v>
      </c>
      <c r="T846" s="227" t="s">
        <v>59</v>
      </c>
      <c r="U846" s="227" t="s">
        <v>92</v>
      </c>
      <c r="V846" s="227"/>
      <c r="W846" s="227"/>
      <c r="X846" s="227"/>
      <c r="Y846" s="227"/>
      <c r="Z846" s="227"/>
      <c r="AA846" s="227"/>
      <c r="AB846" s="227" t="s">
        <v>59</v>
      </c>
      <c r="AC846" s="227" t="s">
        <v>92</v>
      </c>
      <c r="AD846" s="227" t="s">
        <v>59</v>
      </c>
      <c r="AE846" s="227" t="s">
        <v>92</v>
      </c>
      <c r="AF846" s="271"/>
      <c r="AG846" s="272"/>
    </row>
    <row r="847" spans="1:33" s="4" customFormat="1" ht="21.75" customHeight="1">
      <c r="A847" s="30">
        <v>2</v>
      </c>
      <c r="B847" s="230" t="s">
        <v>87</v>
      </c>
      <c r="C847" s="231"/>
      <c r="D847" s="231"/>
      <c r="E847" s="231"/>
      <c r="F847" s="231"/>
      <c r="G847" s="231"/>
      <c r="H847" s="231"/>
      <c r="I847" s="232"/>
      <c r="J847" s="24"/>
      <c r="K847" s="24"/>
      <c r="L847" s="228"/>
      <c r="M847" s="228"/>
      <c r="N847" s="228"/>
      <c r="O847" s="228"/>
      <c r="P847" s="228"/>
      <c r="Q847" s="228"/>
      <c r="R847" s="228"/>
      <c r="S847" s="228"/>
      <c r="T847" s="228"/>
      <c r="U847" s="228"/>
      <c r="V847" s="228"/>
      <c r="W847" s="228"/>
      <c r="X847" s="228"/>
      <c r="Y847" s="228"/>
      <c r="Z847" s="228"/>
      <c r="AA847" s="228"/>
      <c r="AB847" s="228"/>
      <c r="AC847" s="228"/>
      <c r="AD847" s="228"/>
      <c r="AE847" s="228"/>
      <c r="AF847" s="271"/>
      <c r="AG847" s="272"/>
    </row>
    <row r="848" spans="1:33" s="4" customFormat="1" ht="21.75" customHeight="1">
      <c r="A848" s="30">
        <v>3</v>
      </c>
      <c r="B848" s="67" t="s">
        <v>42</v>
      </c>
      <c r="C848" s="46"/>
      <c r="D848" s="39"/>
      <c r="E848" s="24"/>
      <c r="F848" s="24"/>
      <c r="G848" s="24"/>
      <c r="H848" s="24"/>
      <c r="I848" s="24"/>
      <c r="J848" s="24"/>
      <c r="K848" s="24"/>
      <c r="L848" s="24"/>
      <c r="M848" s="61"/>
      <c r="N848" s="61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71"/>
      <c r="AG848" s="272"/>
    </row>
    <row r="849" spans="1:33" s="4" customFormat="1" ht="21.75" customHeight="1">
      <c r="A849" s="30">
        <v>4</v>
      </c>
      <c r="B849" s="38">
        <v>300016.87</v>
      </c>
      <c r="C849" s="38">
        <v>300288.88</v>
      </c>
      <c r="D849" s="39" t="s">
        <v>16</v>
      </c>
      <c r="E849" s="24">
        <f>C849-B849</f>
        <v>272.0100000000093</v>
      </c>
      <c r="F849" s="24">
        <v>8</v>
      </c>
      <c r="G849" s="105">
        <f>ROUND((7639.4373-(2/2))/7639.4373,4)</f>
        <v>0.9999</v>
      </c>
      <c r="H849" s="105">
        <f>ROUND((7639.4373-(2))/7639.4373,4)</f>
        <v>0.9997</v>
      </c>
      <c r="I849" s="24">
        <f>IF(G849=0,ROUND($E849*$F849,2),ROUND($E849*$F849*$G849,2))</f>
        <v>2175.86</v>
      </c>
      <c r="J849" s="24"/>
      <c r="K849" s="24"/>
      <c r="L849" s="24"/>
      <c r="M849" s="61"/>
      <c r="N849" s="24">
        <f>-ROUND((($I849)*(N$906/12))/27,2)</f>
        <v>-1.21</v>
      </c>
      <c r="O849" s="24"/>
      <c r="P849" s="24">
        <f>-ROUND((($I849)*(P$905/12))/27,2)</f>
        <v>-40.29</v>
      </c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71"/>
      <c r="AG849" s="272"/>
    </row>
    <row r="850" spans="1:33" s="4" customFormat="1" ht="21.75" customHeight="1">
      <c r="A850" s="30">
        <v>5</v>
      </c>
      <c r="B850" s="38">
        <f>C849</f>
        <v>300288.88</v>
      </c>
      <c r="C850" s="38">
        <v>300350</v>
      </c>
      <c r="D850" s="39" t="s">
        <v>16</v>
      </c>
      <c r="E850" s="24">
        <f>C850-B850</f>
        <v>61.11999999999534</v>
      </c>
      <c r="F850" s="24">
        <v>8</v>
      </c>
      <c r="G850" s="105">
        <f>ROUND((((1527.8875-(2/2))/1527.8875)+((487.6237-(10/2))/487.6237))/2,4)</f>
        <v>0.9945</v>
      </c>
      <c r="H850" s="105">
        <f>ROUND((((1527.8875-(2))/1527.8875)+((487.6237-(10))/487.6237))/2,4)</f>
        <v>0.9891</v>
      </c>
      <c r="I850" s="24">
        <f>IF(G850=0,ROUND($E850*$F850,2),ROUND($E850*$F850*$G850,2))</f>
        <v>486.27</v>
      </c>
      <c r="J850" s="24"/>
      <c r="K850" s="24"/>
      <c r="L850" s="24"/>
      <c r="M850" s="61"/>
      <c r="N850" s="24">
        <f>-ROUND((($I850)*(N$906/12))/27,2)</f>
        <v>-0.27</v>
      </c>
      <c r="O850" s="24"/>
      <c r="P850" s="24">
        <f>-ROUND((($I850)*(P$905/12))/27,2)</f>
        <v>-9.01</v>
      </c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71"/>
      <c r="AG850" s="272"/>
    </row>
    <row r="851" spans="1:33" s="4" customFormat="1" ht="21.75" customHeight="1">
      <c r="A851" s="30">
        <v>6</v>
      </c>
      <c r="B851" s="38"/>
      <c r="C851" s="38"/>
      <c r="D851" s="39"/>
      <c r="E851" s="24"/>
      <c r="F851" s="24"/>
      <c r="G851" s="24"/>
      <c r="H851" s="24"/>
      <c r="I851" s="24"/>
      <c r="J851" s="24"/>
      <c r="K851" s="24"/>
      <c r="L851" s="24"/>
      <c r="M851" s="61"/>
      <c r="N851" s="61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71"/>
      <c r="AG851" s="272"/>
    </row>
    <row r="852" spans="1:33" s="4" customFormat="1" ht="21.75" customHeight="1">
      <c r="A852" s="30">
        <v>7</v>
      </c>
      <c r="B852" s="141" t="s">
        <v>51</v>
      </c>
      <c r="C852" s="38"/>
      <c r="D852" s="39"/>
      <c r="E852" s="24"/>
      <c r="F852" s="24"/>
      <c r="G852" s="24"/>
      <c r="H852" s="24"/>
      <c r="I852" s="24"/>
      <c r="J852" s="24"/>
      <c r="K852" s="24"/>
      <c r="L852" s="24"/>
      <c r="M852" s="61"/>
      <c r="N852" s="61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71"/>
      <c r="AG852" s="272"/>
    </row>
    <row r="853" spans="1:33" s="4" customFormat="1" ht="21.75" customHeight="1">
      <c r="A853" s="30">
        <v>8</v>
      </c>
      <c r="B853" s="38">
        <v>507900</v>
      </c>
      <c r="C853" s="46">
        <v>507912.85</v>
      </c>
      <c r="D853" s="39" t="s">
        <v>17</v>
      </c>
      <c r="E853" s="24">
        <f aca="true" t="shared" si="203" ref="E853:E859">C853-B853</f>
        <v>12.849999999976717</v>
      </c>
      <c r="F853" s="24">
        <v>6</v>
      </c>
      <c r="G853" s="66"/>
      <c r="H853" s="24"/>
      <c r="I853" s="24">
        <f>IF(G853=0,ROUND($E853*$F853,2),ROUND($E853*$F853*$G853,2))</f>
        <v>77.1</v>
      </c>
      <c r="J853" s="24"/>
      <c r="K853" s="24"/>
      <c r="L853" s="24"/>
      <c r="M853" s="61"/>
      <c r="N853" s="24"/>
      <c r="O853" s="24">
        <f>-ROUND((($I853)*(O$905/12))/27,2)</f>
        <v>-0.79</v>
      </c>
      <c r="P853" s="24"/>
      <c r="Q853" s="24">
        <f>-ROUND((($I853)*(Q$905/12))/27,2)</f>
        <v>-1.43</v>
      </c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71"/>
      <c r="AG853" s="272"/>
    </row>
    <row r="854" spans="1:33" s="4" customFormat="1" ht="21.75" customHeight="1">
      <c r="A854" s="30">
        <v>9</v>
      </c>
      <c r="B854" s="38">
        <v>507912.85</v>
      </c>
      <c r="C854" s="46">
        <v>508012.79</v>
      </c>
      <c r="D854" s="39" t="s">
        <v>17</v>
      </c>
      <c r="E854" s="24">
        <f t="shared" si="203"/>
        <v>99.94000000000233</v>
      </c>
      <c r="F854" s="24">
        <v>6</v>
      </c>
      <c r="G854" s="105">
        <f>ROUND((1909.8596+10+($F854/2))/1909.8596,4)</f>
        <v>1.0068</v>
      </c>
      <c r="H854" s="105">
        <f>ROUND((1909.8596+10+($F854))/1909.8596,4)</f>
        <v>1.0084</v>
      </c>
      <c r="I854" s="24">
        <f>IF(G854=0,ROUND($E854*$F854,2),ROUND($E854*$F854*$G854,2))</f>
        <v>603.72</v>
      </c>
      <c r="J854" s="24"/>
      <c r="K854" s="24"/>
      <c r="L854" s="24"/>
      <c r="M854" s="61"/>
      <c r="N854" s="24"/>
      <c r="O854" s="24">
        <f>-ROUND((($I854)*(O$905/12))/27,2)</f>
        <v>-6.15</v>
      </c>
      <c r="P854" s="24"/>
      <c r="Q854" s="24">
        <f>-ROUND((($I854)*(Q$905/12))/27,2)</f>
        <v>-11.18</v>
      </c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71"/>
      <c r="AG854" s="272"/>
    </row>
    <row r="855" spans="1:33" s="4" customFormat="1" ht="21.75" customHeight="1">
      <c r="A855" s="30">
        <v>10</v>
      </c>
      <c r="B855" s="141"/>
      <c r="C855" s="38"/>
      <c r="D855" s="39"/>
      <c r="E855" s="24"/>
      <c r="F855" s="24"/>
      <c r="G855" s="24"/>
      <c r="H855" s="24"/>
      <c r="I855" s="24"/>
      <c r="J855" s="24"/>
      <c r="K855" s="24"/>
      <c r="L855" s="24"/>
      <c r="M855" s="61"/>
      <c r="N855" s="61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71"/>
      <c r="AG855" s="272"/>
    </row>
    <row r="856" spans="1:33" s="4" customFormat="1" ht="21.75" customHeight="1">
      <c r="A856" s="30">
        <v>11</v>
      </c>
      <c r="B856" s="38">
        <v>508436.06</v>
      </c>
      <c r="C856" s="38">
        <v>508456.78</v>
      </c>
      <c r="D856" s="39" t="s">
        <v>17</v>
      </c>
      <c r="E856" s="24">
        <f t="shared" si="203"/>
        <v>20.720000000030268</v>
      </c>
      <c r="F856" s="24">
        <v>6</v>
      </c>
      <c r="G856" s="105">
        <f>ROUND((545.6741+22+($F856/2))/545.6741,4)</f>
        <v>1.0458</v>
      </c>
      <c r="H856" s="105">
        <f>ROUND((545.6741+22+($F856))/545.6741,4)</f>
        <v>1.0513</v>
      </c>
      <c r="I856" s="24">
        <f>IF(G856=0,ROUND($E856*$F856,2),ROUND($E856*$F856*$G856,2))</f>
        <v>130.01</v>
      </c>
      <c r="J856" s="24"/>
      <c r="K856" s="24"/>
      <c r="L856" s="24"/>
      <c r="M856" s="61"/>
      <c r="N856" s="24"/>
      <c r="O856" s="24">
        <f>-ROUND((($I856)*(O$905/12))/27,2)</f>
        <v>-1.32</v>
      </c>
      <c r="P856" s="24"/>
      <c r="Q856" s="24">
        <f>-ROUND((($I856)*(Q$905/12))/27,2)</f>
        <v>-2.41</v>
      </c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71"/>
      <c r="AG856" s="272"/>
    </row>
    <row r="857" spans="1:33" s="4" customFormat="1" ht="21.75" customHeight="1">
      <c r="A857" s="30">
        <v>12</v>
      </c>
      <c r="B857" s="38"/>
      <c r="C857" s="38"/>
      <c r="D857" s="39"/>
      <c r="E857" s="24"/>
      <c r="F857" s="24"/>
      <c r="G857" s="24"/>
      <c r="H857" s="24"/>
      <c r="I857" s="24"/>
      <c r="J857" s="24"/>
      <c r="K857" s="24"/>
      <c r="L857" s="24"/>
      <c r="M857" s="61"/>
      <c r="N857" s="61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71"/>
      <c r="AG857" s="272"/>
    </row>
    <row r="858" spans="1:33" s="4" customFormat="1" ht="21.75" customHeight="1">
      <c r="A858" s="30">
        <v>13</v>
      </c>
      <c r="B858" s="38">
        <v>503113.25</v>
      </c>
      <c r="C858" s="38">
        <v>503137.85</v>
      </c>
      <c r="D858" s="39" t="s">
        <v>16</v>
      </c>
      <c r="E858" s="24">
        <f t="shared" si="203"/>
        <v>24.599999999976717</v>
      </c>
      <c r="F858" s="24">
        <v>6</v>
      </c>
      <c r="G858" s="105">
        <f>ROUND((4911.0668-12-11.13-($F858/2))/4911.0668,4)</f>
        <v>0.9947</v>
      </c>
      <c r="H858" s="105">
        <f>ROUND((4911.0668-12-11.13-($F858))/4911.0668,4)</f>
        <v>0.9941</v>
      </c>
      <c r="I858" s="24">
        <f>IF(G858=0,ROUND($E858*$F858,2),ROUND($E858*$F858*$G858,2))</f>
        <v>146.82</v>
      </c>
      <c r="J858" s="39"/>
      <c r="K858" s="24"/>
      <c r="L858" s="24"/>
      <c r="M858" s="61"/>
      <c r="N858" s="24"/>
      <c r="O858" s="24">
        <f>-ROUND((($I858)*(O$905/12))/27,2)</f>
        <v>-1.5</v>
      </c>
      <c r="P858" s="24"/>
      <c r="Q858" s="24">
        <f>-ROUND((($I858)*(Q$905/12))/27,2)</f>
        <v>-2.72</v>
      </c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71"/>
      <c r="AG858" s="272"/>
    </row>
    <row r="859" spans="1:33" s="16" customFormat="1" ht="21.75" customHeight="1">
      <c r="A859" s="30">
        <v>14</v>
      </c>
      <c r="B859" s="38">
        <v>503284.43</v>
      </c>
      <c r="C859" s="38">
        <v>503386.76</v>
      </c>
      <c r="D859" s="39" t="s">
        <v>16</v>
      </c>
      <c r="E859" s="24">
        <f t="shared" si="203"/>
        <v>102.3300000000163</v>
      </c>
      <c r="F859" s="24">
        <v>6</v>
      </c>
      <c r="G859" s="105">
        <f>ROUND((4911.0668-12-4.94-($F859/2))/4911.0668,4)</f>
        <v>0.9959</v>
      </c>
      <c r="H859" s="105">
        <f>ROUND((4911.0668-12-4.94-($F859))/4911.0668,4)</f>
        <v>0.9953</v>
      </c>
      <c r="I859" s="24">
        <f>IF(G859=0,ROUND($E859*$F859,2),ROUND($E859*$F859*$G859,2))</f>
        <v>611.46</v>
      </c>
      <c r="J859" s="39"/>
      <c r="K859" s="24"/>
      <c r="L859" s="24"/>
      <c r="M859" s="61"/>
      <c r="N859" s="61"/>
      <c r="O859" s="24">
        <f>-ROUND((($I859)*(O$905/12))/27,2)</f>
        <v>-6.23</v>
      </c>
      <c r="P859" s="24"/>
      <c r="Q859" s="24">
        <f>-ROUND((($I859)*(Q$905/12))/27,2)</f>
        <v>-11.32</v>
      </c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71"/>
      <c r="AG859" s="272"/>
    </row>
    <row r="860" spans="1:33" s="16" customFormat="1" ht="21.75" customHeight="1">
      <c r="A860" s="30">
        <v>15</v>
      </c>
      <c r="B860" s="38">
        <v>503386.76</v>
      </c>
      <c r="C860" s="38">
        <v>503483.94</v>
      </c>
      <c r="D860" s="39" t="s">
        <v>16</v>
      </c>
      <c r="E860" s="24">
        <f aca="true" t="shared" si="204" ref="E860:E866">C860-B860</f>
        <v>97.17999999999302</v>
      </c>
      <c r="F860" s="24">
        <v>6</v>
      </c>
      <c r="G860" s="105">
        <f>ROUND((4911.0668-12-4-($F860/2))/4911.0668,4)</f>
        <v>0.9961</v>
      </c>
      <c r="H860" s="105">
        <f>ROUND((4911.0668-12-4-($F860))/4911.0668,4)</f>
        <v>0.9955</v>
      </c>
      <c r="I860" s="24">
        <f>IF(G860=0,ROUND($E860*$F860,2),ROUND($E860*$F860*$G860,2))</f>
        <v>580.81</v>
      </c>
      <c r="J860" s="39"/>
      <c r="K860" s="24"/>
      <c r="L860" s="24"/>
      <c r="M860" s="61"/>
      <c r="N860" s="61"/>
      <c r="O860" s="24">
        <f>-ROUND((($I860)*(O$905/12))/27,2)</f>
        <v>-5.92</v>
      </c>
      <c r="P860" s="24"/>
      <c r="Q860" s="24">
        <f>-ROUND((($I860)*(Q$905/12))/27,2)</f>
        <v>-10.76</v>
      </c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71"/>
      <c r="AG860" s="272"/>
    </row>
    <row r="861" spans="1:33" s="16" customFormat="1" ht="21.75" customHeight="1">
      <c r="A861" s="30">
        <v>16</v>
      </c>
      <c r="B861" s="38"/>
      <c r="C861" s="38"/>
      <c r="D861" s="39"/>
      <c r="E861" s="24"/>
      <c r="F861" s="24"/>
      <c r="G861" s="24"/>
      <c r="H861" s="24"/>
      <c r="I861" s="24"/>
      <c r="J861" s="24"/>
      <c r="K861" s="24"/>
      <c r="L861" s="24"/>
      <c r="M861" s="61"/>
      <c r="N861" s="61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71"/>
      <c r="AG861" s="272"/>
    </row>
    <row r="862" spans="1:33" s="4" customFormat="1" ht="21.75" customHeight="1">
      <c r="A862" s="30">
        <v>17</v>
      </c>
      <c r="B862" s="38">
        <v>506364</v>
      </c>
      <c r="C862" s="38">
        <v>506650</v>
      </c>
      <c r="D862" s="39" t="s">
        <v>16</v>
      </c>
      <c r="E862" s="24">
        <f t="shared" si="204"/>
        <v>286</v>
      </c>
      <c r="F862" s="24">
        <v>6</v>
      </c>
      <c r="G862" s="105">
        <f>ROUND((2864.789-12-4-($F862/2))/2864.789,4)</f>
        <v>0.9934</v>
      </c>
      <c r="H862" s="105">
        <f>ROUND((2864.789-12-($F862))/2864.789,4)</f>
        <v>0.9937</v>
      </c>
      <c r="I862" s="24">
        <f>IF(G862=0,ROUND($E862*$F862,2),ROUND($E862*$F862*$G862,2))</f>
        <v>1704.67</v>
      </c>
      <c r="J862" s="39"/>
      <c r="K862" s="105"/>
      <c r="L862" s="24"/>
      <c r="M862" s="61"/>
      <c r="N862" s="61"/>
      <c r="O862" s="24">
        <f>-ROUND((($I862)*(O$905/12))/27,2)</f>
        <v>-17.36</v>
      </c>
      <c r="P862" s="24"/>
      <c r="Q862" s="24">
        <f>-ROUND((($I862)*(Q$905/12))/27,2)</f>
        <v>-31.57</v>
      </c>
      <c r="R862" s="24"/>
      <c r="S862" s="24"/>
      <c r="T862" s="24"/>
      <c r="U862" s="24"/>
      <c r="V862" s="24"/>
      <c r="W862" s="105"/>
      <c r="X862" s="24"/>
      <c r="Y862" s="24"/>
      <c r="Z862" s="24"/>
      <c r="AA862" s="24"/>
      <c r="AB862" s="24"/>
      <c r="AC862" s="24"/>
      <c r="AD862" s="24"/>
      <c r="AE862" s="24"/>
      <c r="AF862" s="271"/>
      <c r="AG862" s="272"/>
    </row>
    <row r="863" spans="1:33" s="4" customFormat="1" ht="21.75" customHeight="1">
      <c r="A863" s="30">
        <v>18</v>
      </c>
      <c r="B863" s="141"/>
      <c r="C863" s="38"/>
      <c r="D863" s="39"/>
      <c r="E863" s="24"/>
      <c r="F863" s="24"/>
      <c r="G863" s="24"/>
      <c r="H863" s="24"/>
      <c r="I863" s="24"/>
      <c r="J863" s="24"/>
      <c r="K863" s="24"/>
      <c r="L863" s="24"/>
      <c r="M863" s="61"/>
      <c r="N863" s="61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71"/>
      <c r="AG863" s="272"/>
    </row>
    <row r="864" spans="1:33" s="4" customFormat="1" ht="21.75" customHeight="1">
      <c r="A864" s="30">
        <v>19</v>
      </c>
      <c r="B864" s="38">
        <v>507447.22</v>
      </c>
      <c r="C864" s="38">
        <v>507608.84</v>
      </c>
      <c r="D864" s="39" t="s">
        <v>16</v>
      </c>
      <c r="E864" s="24">
        <f t="shared" si="204"/>
        <v>161.62000000005355</v>
      </c>
      <c r="F864" s="24">
        <v>8</v>
      </c>
      <c r="G864" s="105">
        <f>ROUND((3819.7186-12-2-($F864/2))/3819.7186,4)</f>
        <v>0.9953</v>
      </c>
      <c r="H864" s="105">
        <f>ROUND((3819.718-12-($F864))/3819.7186,4)</f>
        <v>0.9948</v>
      </c>
      <c r="I864" s="24">
        <f>IF(G864=0,ROUND($E864*$F864,2),ROUND($E864*$F864*$G864,2))</f>
        <v>1286.88</v>
      </c>
      <c r="J864" s="24"/>
      <c r="K864" s="24"/>
      <c r="L864" s="24"/>
      <c r="M864" s="61"/>
      <c r="N864" s="24"/>
      <c r="O864" s="24">
        <f>-ROUND((($I864)*(O$906/12))/27,2)</f>
        <v>-0.71</v>
      </c>
      <c r="P864" s="24"/>
      <c r="Q864" s="24">
        <f>-ROUND((($I864)*(Q$905/12))/27,2)</f>
        <v>-23.83</v>
      </c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71"/>
      <c r="AG864" s="272"/>
    </row>
    <row r="865" spans="1:33" s="4" customFormat="1" ht="21.75" customHeight="1">
      <c r="A865" s="30">
        <v>20</v>
      </c>
      <c r="B865" s="38">
        <v>507608.84</v>
      </c>
      <c r="C865" s="38">
        <v>507912.85</v>
      </c>
      <c r="D865" s="39" t="s">
        <v>16</v>
      </c>
      <c r="E865" s="24">
        <f t="shared" si="204"/>
        <v>304.0099999999511</v>
      </c>
      <c r="F865" s="24">
        <v>8</v>
      </c>
      <c r="G865" s="66"/>
      <c r="H865" s="24"/>
      <c r="I865" s="24">
        <f>IF(G865=0,ROUND($E865*$F865,2),ROUND($E865*$F865*$G865,2))</f>
        <v>2432.08</v>
      </c>
      <c r="J865" s="24"/>
      <c r="K865" s="24"/>
      <c r="L865" s="24"/>
      <c r="M865" s="61"/>
      <c r="N865" s="24"/>
      <c r="O865" s="24">
        <f>-ROUND((($I865)*(O$906/12))/27,2)</f>
        <v>-1.35</v>
      </c>
      <c r="P865" s="24"/>
      <c r="Q865" s="24">
        <f>-ROUND((($I865)*(Q$905/12))/27,2)</f>
        <v>-45.04</v>
      </c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71"/>
      <c r="AG865" s="272"/>
    </row>
    <row r="866" spans="1:33" s="4" customFormat="1" ht="21.75" customHeight="1">
      <c r="A866" s="30">
        <v>21</v>
      </c>
      <c r="B866" s="38">
        <v>507912.85</v>
      </c>
      <c r="C866" s="38">
        <v>508019.66</v>
      </c>
      <c r="D866" s="39" t="s">
        <v>16</v>
      </c>
      <c r="E866" s="24">
        <f t="shared" si="204"/>
        <v>106.80999999999767</v>
      </c>
      <c r="F866" s="24">
        <v>8</v>
      </c>
      <c r="G866" s="105">
        <f>ROUND((1909.8596-12-2-($F866/2))/1909.8596,4)</f>
        <v>0.9906</v>
      </c>
      <c r="H866" s="105">
        <f>ROUND((1909.8596-12-($F866))/1909.8596,4)</f>
        <v>0.9895</v>
      </c>
      <c r="I866" s="24">
        <f>IF(G866=0,ROUND($E866*$F866,2),ROUND($E866*$F866*$G866,2))</f>
        <v>846.45</v>
      </c>
      <c r="J866" s="39"/>
      <c r="K866" s="24"/>
      <c r="L866" s="24"/>
      <c r="M866" s="61"/>
      <c r="N866" s="24"/>
      <c r="O866" s="24">
        <f>-ROUND((($I866)*(O$906/12))/27,2)</f>
        <v>-0.47</v>
      </c>
      <c r="P866" s="24"/>
      <c r="Q866" s="24">
        <f>-ROUND((($I866)*(Q$905/12))/27,2)</f>
        <v>-15.68</v>
      </c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71"/>
      <c r="AG866" s="272"/>
    </row>
    <row r="867" spans="1:33" s="4" customFormat="1" ht="21.75" customHeight="1">
      <c r="A867" s="30">
        <v>22</v>
      </c>
      <c r="B867" s="38"/>
      <c r="C867" s="38"/>
      <c r="D867" s="39"/>
      <c r="E867" s="24"/>
      <c r="F867" s="24"/>
      <c r="G867" s="24"/>
      <c r="H867" s="24"/>
      <c r="I867" s="24"/>
      <c r="J867" s="24"/>
      <c r="K867" s="24"/>
      <c r="L867" s="24"/>
      <c r="M867" s="61"/>
      <c r="N867" s="61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71"/>
      <c r="AG867" s="272"/>
    </row>
    <row r="868" spans="1:33" s="4" customFormat="1" ht="21.75" customHeight="1">
      <c r="A868" s="30">
        <v>23</v>
      </c>
      <c r="B868" s="38">
        <v>508183.61</v>
      </c>
      <c r="C868" s="46">
        <v>508198.63</v>
      </c>
      <c r="D868" s="39" t="s">
        <v>16</v>
      </c>
      <c r="E868" s="24">
        <f>C868-B868</f>
        <v>15.020000000018626</v>
      </c>
      <c r="F868" s="24">
        <v>6</v>
      </c>
      <c r="G868" s="105">
        <f>ROUND((1909.8596-12-4-($F868/2))/1909.8596,4)</f>
        <v>0.9901</v>
      </c>
      <c r="H868" s="105">
        <f>ROUND((1909.8596-12-4-($F868))/1909.8596,4)</f>
        <v>0.9885</v>
      </c>
      <c r="I868" s="24">
        <f>IF(G868=0,ROUND($E868*$F868,2),ROUND($E868*$F868*$G868,2))</f>
        <v>89.23</v>
      </c>
      <c r="J868" s="24"/>
      <c r="K868" s="24"/>
      <c r="L868" s="24"/>
      <c r="M868" s="24"/>
      <c r="N868" s="61"/>
      <c r="O868" s="24">
        <f>-ROUND((($I868)*(O$905/12))/27,2)</f>
        <v>-0.91</v>
      </c>
      <c r="P868" s="24"/>
      <c r="Q868" s="24">
        <f>-ROUND((($I868)*(Q$905/12))/27,2)</f>
        <v>-1.65</v>
      </c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71"/>
      <c r="AG868" s="272"/>
    </row>
    <row r="869" spans="1:33" s="4" customFormat="1" ht="21.75" customHeight="1">
      <c r="A869" s="30">
        <v>24</v>
      </c>
      <c r="B869" s="38">
        <v>508198.63</v>
      </c>
      <c r="C869" s="38">
        <v>508420</v>
      </c>
      <c r="D869" s="39" t="s">
        <v>16</v>
      </c>
      <c r="E869" s="24">
        <f>C869-B869</f>
        <v>221.36999999999534</v>
      </c>
      <c r="F869" s="24">
        <v>6</v>
      </c>
      <c r="G869" s="66"/>
      <c r="H869" s="24"/>
      <c r="I869" s="24">
        <f>IF(G869=0,ROUND($E869*$F869,2),ROUND($E869*$F869*$G869,2))</f>
        <v>1328.22</v>
      </c>
      <c r="J869" s="24"/>
      <c r="K869" s="24"/>
      <c r="L869" s="24"/>
      <c r="M869" s="24"/>
      <c r="N869" s="61"/>
      <c r="O869" s="24">
        <f>-ROUND((($I869)*(O$905/12))/27,2)</f>
        <v>-13.53</v>
      </c>
      <c r="P869" s="24"/>
      <c r="Q869" s="24">
        <f>-ROUND((($I869)*(Q$905/12))/27,2)</f>
        <v>-24.6</v>
      </c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71"/>
      <c r="AG869" s="272"/>
    </row>
    <row r="870" spans="1:33" s="4" customFormat="1" ht="21.75" customHeight="1">
      <c r="A870" s="30">
        <v>25</v>
      </c>
      <c r="B870" s="38">
        <v>508420</v>
      </c>
      <c r="C870" s="38">
        <v>508456.78</v>
      </c>
      <c r="D870" s="39" t="s">
        <v>16</v>
      </c>
      <c r="E870" s="24">
        <f>C870-B870</f>
        <v>36.78000000002794</v>
      </c>
      <c r="F870" s="24">
        <v>6</v>
      </c>
      <c r="G870" s="105">
        <f>ROUND((545.6741-12-4-($F870/2))/545.6741,4)</f>
        <v>0.9652</v>
      </c>
      <c r="H870" s="105">
        <f>ROUND((545.6741-12-4-($F870))/545.6741,4)</f>
        <v>0.9597</v>
      </c>
      <c r="I870" s="24">
        <f>IF(G870=0,ROUND($E870*$F870,2),ROUND($E870*$F870*$G870,2))</f>
        <v>213</v>
      </c>
      <c r="J870" s="24"/>
      <c r="K870" s="24"/>
      <c r="L870" s="24"/>
      <c r="M870" s="61"/>
      <c r="N870" s="61"/>
      <c r="O870" s="24">
        <f>-ROUND((($I870)*(O$905/12))/27,2)</f>
        <v>-2.17</v>
      </c>
      <c r="P870" s="24"/>
      <c r="Q870" s="24">
        <f>-ROUND((($I870)*(Q$905/12))/27,2)</f>
        <v>-3.94</v>
      </c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71"/>
      <c r="AG870" s="272"/>
    </row>
    <row r="871" spans="1:33" s="4" customFormat="1" ht="21.75" customHeight="1">
      <c r="A871" s="30">
        <v>26</v>
      </c>
      <c r="B871" s="141"/>
      <c r="C871" s="38"/>
      <c r="D871" s="39"/>
      <c r="E871" s="24"/>
      <c r="F871" s="24"/>
      <c r="G871" s="24"/>
      <c r="H871" s="24"/>
      <c r="I871" s="24"/>
      <c r="J871" s="24"/>
      <c r="K871" s="24"/>
      <c r="L871" s="24"/>
      <c r="M871" s="61"/>
      <c r="N871" s="61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71"/>
      <c r="AG871" s="272"/>
    </row>
    <row r="872" spans="1:33" s="4" customFormat="1" ht="21.75" customHeight="1">
      <c r="A872" s="30">
        <v>27</v>
      </c>
      <c r="B872" s="230" t="s">
        <v>36</v>
      </c>
      <c r="C872" s="231"/>
      <c r="D872" s="231"/>
      <c r="E872" s="231"/>
      <c r="F872" s="231"/>
      <c r="G872" s="231"/>
      <c r="H872" s="231"/>
      <c r="I872" s="232"/>
      <c r="J872" s="24"/>
      <c r="K872" s="24"/>
      <c r="L872" s="24"/>
      <c r="M872" s="61"/>
      <c r="N872" s="61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71"/>
      <c r="AG872" s="272"/>
    </row>
    <row r="873" spans="1:33" s="4" customFormat="1" ht="21.75" customHeight="1">
      <c r="A873" s="30">
        <v>28</v>
      </c>
      <c r="B873" s="291" t="s">
        <v>49</v>
      </c>
      <c r="C873" s="292"/>
      <c r="D873" s="39"/>
      <c r="E873" s="24"/>
      <c r="F873" s="107"/>
      <c r="G873" s="90"/>
      <c r="H873" s="24"/>
      <c r="I873" s="24"/>
      <c r="J873" s="24"/>
      <c r="K873" s="24"/>
      <c r="L873" s="24"/>
      <c r="M873" s="61"/>
      <c r="N873" s="61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71"/>
      <c r="AG873" s="272"/>
    </row>
    <row r="874" spans="1:33" s="4" customFormat="1" ht="21.75" customHeight="1">
      <c r="A874" s="30">
        <v>29</v>
      </c>
      <c r="B874" s="38">
        <v>418625</v>
      </c>
      <c r="C874" s="38">
        <v>418887.47</v>
      </c>
      <c r="D874" s="39" t="s">
        <v>34</v>
      </c>
      <c r="E874" s="24">
        <f>C874-B874</f>
        <v>262.46999999997206</v>
      </c>
      <c r="F874" s="66">
        <f>ROUND((20.5+36)/2,2)</f>
        <v>28.25</v>
      </c>
      <c r="G874" s="24"/>
      <c r="H874" s="24"/>
      <c r="I874" s="24">
        <f>IF(G874=0,ROUND($E874*$F874,2),ROUND($E874*$F874*$G874,2))</f>
        <v>7414.78</v>
      </c>
      <c r="J874" s="24"/>
      <c r="K874" s="24"/>
      <c r="L874" s="24">
        <f>ROUND(($I874/9)*L$907,2)</f>
        <v>494.32</v>
      </c>
      <c r="M874" s="24">
        <f>ROUND(($I874/9)*M$907,2)</f>
        <v>329.55</v>
      </c>
      <c r="N874" s="61"/>
      <c r="O874" s="24"/>
      <c r="P874" s="24"/>
      <c r="Q874" s="24"/>
      <c r="R874" s="24">
        <f>ROUND(((($I874/9)*R$905)+(($I874/9)*R$906))*R$907,2)</f>
        <v>69.2</v>
      </c>
      <c r="S874" s="24">
        <f>ROUND(((($I874/9)*S$905)+(($I874/9)*S$906))*S$907,2)</f>
        <v>46.14</v>
      </c>
      <c r="T874" s="24">
        <f>ROUND((($I874*(T$905/12))/27)*T$907,2)</f>
        <v>24.03</v>
      </c>
      <c r="U874" s="24">
        <f>ROUND((($I874*(U$905/12))/27)*U$907,2)</f>
        <v>16.02</v>
      </c>
      <c r="V874" s="24"/>
      <c r="W874" s="24"/>
      <c r="X874" s="24"/>
      <c r="Y874" s="24"/>
      <c r="Z874" s="24"/>
      <c r="AA874" s="24"/>
      <c r="AB874" s="24">
        <f>AD874+T874</f>
        <v>44.63</v>
      </c>
      <c r="AC874" s="24">
        <f>AE874+U874</f>
        <v>29.75</v>
      </c>
      <c r="AD874" s="24">
        <f>ROUND((($I874*(AD$905/12))/27)*AD$907,2)</f>
        <v>20.6</v>
      </c>
      <c r="AE874" s="24">
        <f>ROUND((($I874*(AE$905/12))/27)*AE$907,2)</f>
        <v>13.73</v>
      </c>
      <c r="AF874" s="271"/>
      <c r="AG874" s="272"/>
    </row>
    <row r="875" spans="1:33" s="4" customFormat="1" ht="21.75" customHeight="1">
      <c r="A875" s="30">
        <v>30</v>
      </c>
      <c r="B875" s="38">
        <f>C874</f>
        <v>418887.47</v>
      </c>
      <c r="C875" s="46">
        <v>419040</v>
      </c>
      <c r="D875" s="39" t="s">
        <v>34</v>
      </c>
      <c r="E875" s="24">
        <f>C875-B875</f>
        <v>152.53000000002794</v>
      </c>
      <c r="F875" s="24">
        <v>36</v>
      </c>
      <c r="G875" s="24"/>
      <c r="H875" s="24"/>
      <c r="I875" s="24">
        <f>IF(G875=0,ROUND($E875*$F875,2),ROUND($E875*$F875*$G875,2))</f>
        <v>5491.08</v>
      </c>
      <c r="J875" s="24"/>
      <c r="K875" s="24"/>
      <c r="L875" s="24">
        <f>ROUND(($I875/9)*L$907,2)</f>
        <v>366.07</v>
      </c>
      <c r="M875" s="24">
        <f>ROUND(($I875/9)*M$907,2)</f>
        <v>244.05</v>
      </c>
      <c r="N875" s="61"/>
      <c r="O875" s="24"/>
      <c r="P875" s="24"/>
      <c r="Q875" s="24"/>
      <c r="R875" s="24">
        <f>ROUND(((($I875/9)*R$905)+(($I875/9)*R$906))*R$907,2)</f>
        <v>51.25</v>
      </c>
      <c r="S875" s="24">
        <f>ROUND(((($I875/9)*S$905)+(($I875/9)*S$906))*S$907,2)</f>
        <v>34.17</v>
      </c>
      <c r="T875" s="24">
        <f>ROUND((($I875*(T$905/12))/27)*T$907,2)</f>
        <v>17.8</v>
      </c>
      <c r="U875" s="24">
        <f>ROUND((($I875*(U$905/12))/27)*U$907,2)</f>
        <v>11.86</v>
      </c>
      <c r="V875" s="24"/>
      <c r="W875" s="24"/>
      <c r="X875" s="24"/>
      <c r="Y875" s="24"/>
      <c r="Z875" s="24"/>
      <c r="AA875" s="24"/>
      <c r="AB875" s="24">
        <f>AD875+T875</f>
        <v>33.05</v>
      </c>
      <c r="AC875" s="24">
        <f>AE875+U875</f>
        <v>22.03</v>
      </c>
      <c r="AD875" s="24">
        <f>ROUND((($I875*(AD$905/12))/27)*AD$907,2)</f>
        <v>15.25</v>
      </c>
      <c r="AE875" s="24">
        <f>ROUND((($I875*(AE$905/12))/27)*AE$907,2)</f>
        <v>10.17</v>
      </c>
      <c r="AF875" s="271"/>
      <c r="AG875" s="272"/>
    </row>
    <row r="876" spans="1:33" s="4" customFormat="1" ht="21.75" customHeight="1">
      <c r="A876" s="30">
        <v>31</v>
      </c>
      <c r="B876" s="38"/>
      <c r="C876" s="46"/>
      <c r="D876" s="39"/>
      <c r="E876" s="24"/>
      <c r="F876" s="39"/>
      <c r="G876" s="24"/>
      <c r="H876" s="24"/>
      <c r="I876" s="24"/>
      <c r="J876" s="24"/>
      <c r="K876" s="24"/>
      <c r="L876" s="24"/>
      <c r="M876" s="61"/>
      <c r="N876" s="61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71"/>
      <c r="AG876" s="272"/>
    </row>
    <row r="877" spans="1:33" s="4" customFormat="1" ht="21.75" customHeight="1">
      <c r="A877" s="30">
        <v>32</v>
      </c>
      <c r="B877" s="38"/>
      <c r="C877" s="38"/>
      <c r="D877" s="39"/>
      <c r="E877" s="24"/>
      <c r="F877" s="24"/>
      <c r="G877" s="24"/>
      <c r="H877" s="24"/>
      <c r="I877" s="24"/>
      <c r="J877" s="24"/>
      <c r="K877" s="24"/>
      <c r="L877" s="24"/>
      <c r="M877" s="61"/>
      <c r="N877" s="61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71"/>
      <c r="AG877" s="272"/>
    </row>
    <row r="878" spans="1:33" s="4" customFormat="1" ht="21.75" customHeight="1">
      <c r="A878" s="30">
        <v>33</v>
      </c>
      <c r="B878" s="38"/>
      <c r="C878" s="38"/>
      <c r="D878" s="39"/>
      <c r="E878" s="24"/>
      <c r="F878" s="24"/>
      <c r="G878" s="24"/>
      <c r="H878" s="24"/>
      <c r="I878" s="24"/>
      <c r="J878" s="24"/>
      <c r="K878" s="24"/>
      <c r="L878" s="24"/>
      <c r="M878" s="61"/>
      <c r="N878" s="61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71"/>
      <c r="AG878" s="272"/>
    </row>
    <row r="879" spans="1:33" s="4" customFormat="1" ht="21.75" customHeight="1">
      <c r="A879" s="30">
        <v>34</v>
      </c>
      <c r="B879" s="38"/>
      <c r="C879" s="38"/>
      <c r="D879" s="39"/>
      <c r="E879" s="24"/>
      <c r="F879" s="24"/>
      <c r="G879" s="24"/>
      <c r="H879" s="24"/>
      <c r="I879" s="24"/>
      <c r="J879" s="24"/>
      <c r="K879" s="24"/>
      <c r="L879" s="24"/>
      <c r="M879" s="61"/>
      <c r="N879" s="61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71"/>
      <c r="AG879" s="272"/>
    </row>
    <row r="880" spans="1:33" s="4" customFormat="1" ht="21.75" customHeight="1">
      <c r="A880" s="30">
        <v>35</v>
      </c>
      <c r="B880" s="38"/>
      <c r="C880" s="38"/>
      <c r="D880" s="39"/>
      <c r="E880" s="24"/>
      <c r="F880" s="24"/>
      <c r="G880" s="24"/>
      <c r="H880" s="24"/>
      <c r="I880" s="24"/>
      <c r="J880" s="24"/>
      <c r="K880" s="24"/>
      <c r="L880" s="24"/>
      <c r="M880" s="61"/>
      <c r="N880" s="61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71"/>
      <c r="AG880" s="272"/>
    </row>
    <row r="881" spans="1:33" s="4" customFormat="1" ht="21.75" customHeight="1">
      <c r="A881" s="30">
        <v>36</v>
      </c>
      <c r="B881" s="38"/>
      <c r="C881" s="38"/>
      <c r="D881" s="39"/>
      <c r="E881" s="24"/>
      <c r="F881" s="24"/>
      <c r="G881" s="24"/>
      <c r="H881" s="24"/>
      <c r="I881" s="24"/>
      <c r="J881" s="24"/>
      <c r="K881" s="24"/>
      <c r="L881" s="24"/>
      <c r="M881" s="61"/>
      <c r="N881" s="61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71"/>
      <c r="AG881" s="272"/>
    </row>
    <row r="882" spans="1:33" s="4" customFormat="1" ht="21.75" customHeight="1">
      <c r="A882" s="30">
        <v>37</v>
      </c>
      <c r="B882" s="38"/>
      <c r="C882" s="38"/>
      <c r="D882" s="39"/>
      <c r="E882" s="24"/>
      <c r="F882" s="24"/>
      <c r="G882" s="24"/>
      <c r="H882" s="24"/>
      <c r="I882" s="24"/>
      <c r="J882" s="24"/>
      <c r="K882" s="24"/>
      <c r="L882" s="24"/>
      <c r="M882" s="61"/>
      <c r="N882" s="61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71"/>
      <c r="AG882" s="272"/>
    </row>
    <row r="883" spans="1:33" s="4" customFormat="1" ht="21.75" customHeight="1" thickBot="1">
      <c r="A883" s="30">
        <v>38</v>
      </c>
      <c r="B883" s="38"/>
      <c r="C883" s="38"/>
      <c r="D883" s="39"/>
      <c r="E883" s="24"/>
      <c r="F883" s="24"/>
      <c r="G883" s="24"/>
      <c r="H883" s="24"/>
      <c r="I883" s="24"/>
      <c r="J883" s="24"/>
      <c r="K883" s="24"/>
      <c r="L883" s="24"/>
      <c r="M883" s="61"/>
      <c r="N883" s="61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81"/>
      <c r="AG883" s="275"/>
    </row>
    <row r="884" spans="1:33" s="4" customFormat="1" ht="21.75" customHeight="1">
      <c r="A884" s="30">
        <v>39</v>
      </c>
      <c r="B884" s="38"/>
      <c r="C884" s="38"/>
      <c r="D884" s="39"/>
      <c r="E884" s="24"/>
      <c r="F884" s="24"/>
      <c r="G884" s="24"/>
      <c r="H884" s="24"/>
      <c r="I884" s="24"/>
      <c r="J884" s="24"/>
      <c r="K884" s="24"/>
      <c r="L884" s="24"/>
      <c r="M884" s="61"/>
      <c r="N884" s="61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69" t="s">
        <v>39</v>
      </c>
      <c r="AG884" s="270"/>
    </row>
    <row r="885" spans="1:33" s="4" customFormat="1" ht="21.75" customHeight="1">
      <c r="A885" s="30">
        <v>40</v>
      </c>
      <c r="B885" s="38"/>
      <c r="C885" s="38"/>
      <c r="D885" s="39"/>
      <c r="E885" s="24"/>
      <c r="F885" s="24"/>
      <c r="G885" s="24"/>
      <c r="H885" s="24"/>
      <c r="I885" s="24"/>
      <c r="J885" s="24"/>
      <c r="K885" s="24"/>
      <c r="L885" s="24"/>
      <c r="M885" s="61"/>
      <c r="N885" s="61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71"/>
      <c r="AG885" s="272"/>
    </row>
    <row r="886" spans="1:33" s="4" customFormat="1" ht="21.75" customHeight="1">
      <c r="A886" s="30">
        <v>41</v>
      </c>
      <c r="B886" s="38"/>
      <c r="C886" s="38"/>
      <c r="D886" s="39"/>
      <c r="E886" s="24"/>
      <c r="F886" s="24"/>
      <c r="G886" s="24"/>
      <c r="H886" s="24"/>
      <c r="I886" s="24"/>
      <c r="J886" s="24"/>
      <c r="K886" s="24"/>
      <c r="L886" s="24"/>
      <c r="M886" s="61"/>
      <c r="N886" s="61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71"/>
      <c r="AG886" s="272"/>
    </row>
    <row r="887" spans="1:33" s="4" customFormat="1" ht="21.75" customHeight="1">
      <c r="A887" s="30">
        <v>42</v>
      </c>
      <c r="B887" s="38"/>
      <c r="C887" s="38"/>
      <c r="D887" s="39"/>
      <c r="E887" s="24"/>
      <c r="F887" s="66"/>
      <c r="G887" s="24"/>
      <c r="H887" s="24"/>
      <c r="I887" s="24"/>
      <c r="J887" s="24"/>
      <c r="K887" s="24"/>
      <c r="L887" s="24"/>
      <c r="M887" s="61"/>
      <c r="N887" s="61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71"/>
      <c r="AG887" s="272"/>
    </row>
    <row r="888" spans="1:33" s="4" customFormat="1" ht="21.75" customHeight="1">
      <c r="A888" s="30">
        <v>43</v>
      </c>
      <c r="B888" s="38"/>
      <c r="C888" s="38"/>
      <c r="D888" s="39"/>
      <c r="E888" s="24"/>
      <c r="F888" s="66"/>
      <c r="G888" s="24"/>
      <c r="H888" s="24"/>
      <c r="I888" s="24"/>
      <c r="J888" s="24"/>
      <c r="K888" s="24"/>
      <c r="L888" s="24"/>
      <c r="M888" s="61"/>
      <c r="N888" s="24"/>
      <c r="O888" s="61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71"/>
      <c r="AG888" s="272"/>
    </row>
    <row r="889" spans="1:33" s="4" customFormat="1" ht="21.75" customHeight="1">
      <c r="A889" s="30">
        <v>44</v>
      </c>
      <c r="B889" s="38"/>
      <c r="C889" s="38"/>
      <c r="D889" s="39"/>
      <c r="E889" s="24"/>
      <c r="F889" s="66"/>
      <c r="G889" s="24"/>
      <c r="H889" s="24"/>
      <c r="I889" s="24"/>
      <c r="J889" s="24"/>
      <c r="K889" s="24"/>
      <c r="L889" s="24"/>
      <c r="M889" s="61"/>
      <c r="N889" s="61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71"/>
      <c r="AG889" s="272"/>
    </row>
    <row r="890" spans="1:33" s="4" customFormat="1" ht="21.75" customHeight="1">
      <c r="A890" s="30">
        <v>45</v>
      </c>
      <c r="B890" s="38"/>
      <c r="C890" s="38"/>
      <c r="D890" s="39"/>
      <c r="E890" s="24"/>
      <c r="F890" s="66"/>
      <c r="G890" s="24"/>
      <c r="H890" s="24"/>
      <c r="I890" s="24"/>
      <c r="J890" s="24"/>
      <c r="K890" s="24"/>
      <c r="L890" s="24"/>
      <c r="M890" s="61"/>
      <c r="N890" s="61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71"/>
      <c r="AG890" s="272"/>
    </row>
    <row r="891" spans="1:33" s="4" customFormat="1" ht="21.75" customHeight="1">
      <c r="A891" s="30">
        <v>46</v>
      </c>
      <c r="B891" s="38"/>
      <c r="C891" s="38"/>
      <c r="D891" s="39"/>
      <c r="E891" s="24"/>
      <c r="F891" s="24"/>
      <c r="G891" s="24"/>
      <c r="H891" s="24"/>
      <c r="I891" s="24"/>
      <c r="J891" s="24"/>
      <c r="K891" s="24"/>
      <c r="L891" s="24"/>
      <c r="M891" s="61"/>
      <c r="N891" s="61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71"/>
      <c r="AG891" s="272"/>
    </row>
    <row r="892" spans="1:33" s="4" customFormat="1" ht="21.75" customHeight="1">
      <c r="A892" s="30">
        <v>47</v>
      </c>
      <c r="B892" s="38"/>
      <c r="C892" s="38"/>
      <c r="D892" s="39"/>
      <c r="E892" s="24"/>
      <c r="F892" s="66"/>
      <c r="G892" s="24"/>
      <c r="H892" s="24"/>
      <c r="I892" s="24"/>
      <c r="J892" s="24"/>
      <c r="K892" s="24"/>
      <c r="L892" s="24"/>
      <c r="M892" s="61"/>
      <c r="N892" s="61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71"/>
      <c r="AG892" s="272"/>
    </row>
    <row r="893" spans="1:33" s="4" customFormat="1" ht="21.75" customHeight="1">
      <c r="A893" s="30">
        <v>48</v>
      </c>
      <c r="B893" s="38"/>
      <c r="C893" s="38"/>
      <c r="D893" s="39"/>
      <c r="E893" s="24"/>
      <c r="F893" s="66"/>
      <c r="G893" s="24"/>
      <c r="H893" s="24"/>
      <c r="I893" s="24"/>
      <c r="J893" s="24"/>
      <c r="K893" s="24"/>
      <c r="L893" s="24"/>
      <c r="M893" s="61"/>
      <c r="N893" s="61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71"/>
      <c r="AG893" s="272"/>
    </row>
    <row r="894" spans="1:33" s="4" customFormat="1" ht="21.75" customHeight="1">
      <c r="A894" s="30">
        <v>49</v>
      </c>
      <c r="B894" s="38"/>
      <c r="C894" s="38"/>
      <c r="D894" s="39"/>
      <c r="E894" s="24"/>
      <c r="F894" s="66"/>
      <c r="G894" s="24"/>
      <c r="H894" s="24"/>
      <c r="I894" s="24"/>
      <c r="J894" s="24"/>
      <c r="K894" s="24"/>
      <c r="L894" s="24"/>
      <c r="M894" s="61"/>
      <c r="N894" s="61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71"/>
      <c r="AG894" s="272"/>
    </row>
    <row r="895" spans="1:33" s="4" customFormat="1" ht="21.75" customHeight="1">
      <c r="A895" s="30">
        <v>50</v>
      </c>
      <c r="B895" s="38"/>
      <c r="C895" s="38"/>
      <c r="D895" s="39"/>
      <c r="E895" s="24"/>
      <c r="F895" s="66"/>
      <c r="G895" s="24"/>
      <c r="H895" s="24"/>
      <c r="I895" s="24"/>
      <c r="J895" s="24"/>
      <c r="K895" s="24"/>
      <c r="L895" s="24"/>
      <c r="M895" s="61"/>
      <c r="N895" s="24"/>
      <c r="O895" s="61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71"/>
      <c r="AG895" s="272"/>
    </row>
    <row r="896" spans="1:33" s="4" customFormat="1" ht="21.75" customHeight="1">
      <c r="A896" s="30">
        <v>51</v>
      </c>
      <c r="B896" s="38"/>
      <c r="C896" s="38"/>
      <c r="D896" s="39"/>
      <c r="E896" s="24"/>
      <c r="F896" s="24"/>
      <c r="G896" s="24"/>
      <c r="H896" s="24"/>
      <c r="I896" s="24"/>
      <c r="J896" s="24"/>
      <c r="K896" s="24"/>
      <c r="L896" s="24"/>
      <c r="M896" s="61"/>
      <c r="N896" s="61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71"/>
      <c r="AG896" s="272"/>
    </row>
    <row r="897" spans="1:33" s="4" customFormat="1" ht="21.75" customHeight="1">
      <c r="A897" s="30">
        <v>52</v>
      </c>
      <c r="B897" s="38"/>
      <c r="C897" s="38"/>
      <c r="D897" s="39"/>
      <c r="E897" s="24"/>
      <c r="F897" s="24"/>
      <c r="G897" s="24"/>
      <c r="H897" s="24"/>
      <c r="I897" s="24"/>
      <c r="J897" s="24"/>
      <c r="K897" s="24"/>
      <c r="L897" s="24"/>
      <c r="M897" s="61"/>
      <c r="N897" s="61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73"/>
      <c r="AG897" s="272"/>
    </row>
    <row r="898" spans="1:33" s="4" customFormat="1" ht="21.75" customHeight="1">
      <c r="A898" s="30">
        <v>53</v>
      </c>
      <c r="B898" s="38"/>
      <c r="C898" s="38"/>
      <c r="D898" s="39"/>
      <c r="E898" s="24"/>
      <c r="F898" s="24"/>
      <c r="G898" s="24"/>
      <c r="H898" s="24"/>
      <c r="I898" s="24"/>
      <c r="J898" s="24"/>
      <c r="K898" s="24"/>
      <c r="L898" s="24"/>
      <c r="M898" s="61"/>
      <c r="N898" s="24"/>
      <c r="O898" s="61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73"/>
      <c r="AG898" s="272"/>
    </row>
    <row r="899" spans="1:33" s="4" customFormat="1" ht="21.75" customHeight="1" thickBot="1">
      <c r="A899" s="30">
        <v>54</v>
      </c>
      <c r="B899" s="38"/>
      <c r="C899" s="38"/>
      <c r="D899" s="39"/>
      <c r="E899" s="24"/>
      <c r="F899" s="24"/>
      <c r="G899" s="24"/>
      <c r="H899" s="24"/>
      <c r="I899" s="24"/>
      <c r="J899" s="24"/>
      <c r="K899" s="24"/>
      <c r="L899" s="24"/>
      <c r="M899" s="61"/>
      <c r="N899" s="24"/>
      <c r="O899" s="61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74"/>
      <c r="AG899" s="275"/>
    </row>
    <row r="900" spans="2:33" s="1" customFormat="1" ht="46.5" customHeight="1">
      <c r="B900" s="233" t="s">
        <v>15</v>
      </c>
      <c r="C900" s="234"/>
      <c r="D900" s="234"/>
      <c r="E900" s="234"/>
      <c r="F900" s="234"/>
      <c r="G900" s="234"/>
      <c r="H900" s="234"/>
      <c r="I900" s="234"/>
      <c r="J900" s="234"/>
      <c r="K900" s="234"/>
      <c r="L900" s="211">
        <f aca="true" t="shared" si="205" ref="L900:X900">IF(SUM(L846:L899)=0," ",ROUNDUP(SUM(L846:L899),0))</f>
        <v>861</v>
      </c>
      <c r="M900" s="211">
        <f t="shared" si="205"/>
        <v>574</v>
      </c>
      <c r="N900" s="211">
        <f t="shared" si="205"/>
        <v>-2</v>
      </c>
      <c r="O900" s="211">
        <f t="shared" si="205"/>
        <v>-59</v>
      </c>
      <c r="P900" s="211">
        <f t="shared" si="205"/>
        <v>-50</v>
      </c>
      <c r="Q900" s="211">
        <f t="shared" si="205"/>
        <v>-187</v>
      </c>
      <c r="R900" s="211">
        <f t="shared" si="205"/>
        <v>121</v>
      </c>
      <c r="S900" s="211">
        <f t="shared" si="205"/>
        <v>81</v>
      </c>
      <c r="T900" s="211">
        <f t="shared" si="205"/>
        <v>42</v>
      </c>
      <c r="U900" s="211">
        <f t="shared" si="205"/>
        <v>28</v>
      </c>
      <c r="V900" s="211" t="str">
        <f t="shared" si="205"/>
        <v> </v>
      </c>
      <c r="W900" s="211" t="str">
        <f t="shared" si="205"/>
        <v> </v>
      </c>
      <c r="X900" s="211" t="str">
        <f t="shared" si="205"/>
        <v> </v>
      </c>
      <c r="Y900" s="211" t="str">
        <f aca="true" t="shared" si="206" ref="Y900:AE900">IF(SUM(Y846:Y899)=0," ",ROUNDUP(SUM(Y846:Y899),0))</f>
        <v> </v>
      </c>
      <c r="Z900" s="211" t="str">
        <f t="shared" si="206"/>
        <v> </v>
      </c>
      <c r="AA900" s="211" t="str">
        <f t="shared" si="206"/>
        <v> </v>
      </c>
      <c r="AB900" s="211">
        <f t="shared" si="206"/>
        <v>78</v>
      </c>
      <c r="AC900" s="211">
        <f t="shared" si="206"/>
        <v>52</v>
      </c>
      <c r="AD900" s="211">
        <f t="shared" si="206"/>
        <v>36</v>
      </c>
      <c r="AE900" s="211">
        <f t="shared" si="206"/>
        <v>24</v>
      </c>
      <c r="AF900" s="279">
        <v>13</v>
      </c>
      <c r="AG900" s="280"/>
    </row>
    <row r="901" spans="2:33" s="1" customFormat="1" ht="46.5" customHeight="1" thickBot="1">
      <c r="B901" s="236"/>
      <c r="C901" s="237"/>
      <c r="D901" s="237"/>
      <c r="E901" s="237"/>
      <c r="F901" s="237"/>
      <c r="G901" s="237"/>
      <c r="H901" s="237"/>
      <c r="I901" s="237"/>
      <c r="J901" s="237"/>
      <c r="K901" s="237"/>
      <c r="L901" s="250"/>
      <c r="M901" s="250"/>
      <c r="N901" s="250"/>
      <c r="O901" s="250"/>
      <c r="P901" s="250"/>
      <c r="Q901" s="250"/>
      <c r="R901" s="250"/>
      <c r="S901" s="250"/>
      <c r="T901" s="250"/>
      <c r="U901" s="250"/>
      <c r="V901" s="212"/>
      <c r="W901" s="250"/>
      <c r="X901" s="212"/>
      <c r="Y901" s="212"/>
      <c r="Z901" s="212"/>
      <c r="AA901" s="212"/>
      <c r="AB901" s="212"/>
      <c r="AC901" s="212"/>
      <c r="AD901" s="212"/>
      <c r="AE901" s="212"/>
      <c r="AF901" s="276">
        <f>$AF$68</f>
        <v>18</v>
      </c>
      <c r="AG901" s="277"/>
    </row>
    <row r="902" spans="1:34" ht="36" customHeight="1">
      <c r="A902" s="10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78"/>
      <c r="P902" s="49"/>
      <c r="Q902" s="49"/>
      <c r="R902" s="49"/>
      <c r="S902" s="49"/>
      <c r="T902" s="49"/>
      <c r="U902" s="49"/>
      <c r="V902" s="49"/>
      <c r="W902" s="49"/>
      <c r="AB902" s="49"/>
      <c r="AD902" s="49"/>
      <c r="AE902" s="49"/>
      <c r="AF902" s="49"/>
      <c r="AG902" s="49"/>
      <c r="AH902" s="11"/>
    </row>
    <row r="903" spans="2:33" ht="15"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79"/>
      <c r="O903" s="78"/>
      <c r="P903" s="49"/>
      <c r="Q903" s="49"/>
      <c r="R903" s="49"/>
      <c r="S903" s="49"/>
      <c r="T903" s="49"/>
      <c r="U903" s="49"/>
      <c r="V903" s="49"/>
      <c r="W903" s="49"/>
      <c r="AB903" s="49"/>
      <c r="AD903" s="49"/>
      <c r="AE903" s="49"/>
      <c r="AF903" s="49"/>
      <c r="AG903" s="49"/>
    </row>
    <row r="904" spans="2:33" ht="15"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79"/>
      <c r="O904" s="78"/>
      <c r="P904" s="49"/>
      <c r="Q904" s="49"/>
      <c r="R904" s="49"/>
      <c r="S904" s="49"/>
      <c r="T904" s="49"/>
      <c r="U904" s="49"/>
      <c r="V904" s="49"/>
      <c r="W904" s="49"/>
      <c r="AB904" s="49"/>
      <c r="AD904" s="49"/>
      <c r="AE904" s="49"/>
      <c r="AF904" s="49"/>
      <c r="AG904" s="49"/>
    </row>
    <row r="905" spans="2:33" ht="15.75">
      <c r="B905" s="153" t="s">
        <v>7</v>
      </c>
      <c r="C905" s="51"/>
      <c r="D905" s="51"/>
      <c r="E905" s="51"/>
      <c r="F905" s="51"/>
      <c r="G905" s="52"/>
      <c r="H905" s="53"/>
      <c r="I905" s="53"/>
      <c r="J905" s="53"/>
      <c r="K905" s="53">
        <v>6</v>
      </c>
      <c r="L905" s="80">
        <v>6</v>
      </c>
      <c r="M905" s="53">
        <v>5</v>
      </c>
      <c r="N905" s="93">
        <v>3.3</v>
      </c>
      <c r="O905" s="53">
        <v>3.3</v>
      </c>
      <c r="P905" s="101">
        <v>6</v>
      </c>
      <c r="Q905" s="101">
        <v>6</v>
      </c>
      <c r="R905" s="93">
        <v>0.055</v>
      </c>
      <c r="S905" s="93">
        <v>0.055</v>
      </c>
      <c r="T905" s="101">
        <v>1.75</v>
      </c>
      <c r="U905" s="101">
        <v>1.75</v>
      </c>
      <c r="V905" s="166"/>
      <c r="W905" s="80"/>
      <c r="Y905" s="101"/>
      <c r="AA905" s="101"/>
      <c r="AB905" s="101">
        <v>3</v>
      </c>
      <c r="AC905" s="101">
        <v>3</v>
      </c>
      <c r="AD905" s="101">
        <v>1.5</v>
      </c>
      <c r="AE905" s="101">
        <v>1.5</v>
      </c>
      <c r="AF905" s="52"/>
      <c r="AG905" s="52"/>
    </row>
    <row r="906" spans="2:33" ht="15.75">
      <c r="B906" s="50"/>
      <c r="C906" s="51"/>
      <c r="D906" s="51"/>
      <c r="E906" s="51"/>
      <c r="F906" s="51"/>
      <c r="G906" s="52"/>
      <c r="H906" s="53"/>
      <c r="I906" s="53"/>
      <c r="J906" s="53"/>
      <c r="K906" s="53"/>
      <c r="L906" s="80"/>
      <c r="M906" s="49"/>
      <c r="N906" s="96">
        <v>0.18</v>
      </c>
      <c r="O906" s="96">
        <v>0.18</v>
      </c>
      <c r="R906" s="96">
        <v>0.085</v>
      </c>
      <c r="S906" s="96">
        <v>0.085</v>
      </c>
      <c r="T906" s="49"/>
      <c r="U906" s="49"/>
      <c r="AB906" s="85"/>
      <c r="AD906" s="83"/>
      <c r="AE906" s="84"/>
      <c r="AF906" s="52"/>
      <c r="AG906" s="52"/>
    </row>
    <row r="907" spans="2:33" ht="15.75">
      <c r="B907" s="50"/>
      <c r="C907" s="51"/>
      <c r="D907" s="51"/>
      <c r="E907" s="51"/>
      <c r="F907" s="51"/>
      <c r="G907" s="52"/>
      <c r="H907" s="53"/>
      <c r="I907" s="53"/>
      <c r="J907" s="53"/>
      <c r="K907" s="170" t="s">
        <v>62</v>
      </c>
      <c r="L907" s="122">
        <v>0.6</v>
      </c>
      <c r="M907" s="122">
        <v>0.4</v>
      </c>
      <c r="N907" s="122">
        <v>0.6</v>
      </c>
      <c r="O907" s="122">
        <v>0.4</v>
      </c>
      <c r="P907" s="122">
        <v>0.6</v>
      </c>
      <c r="Q907" s="122">
        <v>0.4</v>
      </c>
      <c r="R907" s="122">
        <v>0.6</v>
      </c>
      <c r="S907" s="122">
        <v>0.4</v>
      </c>
      <c r="T907" s="122">
        <v>0.6</v>
      </c>
      <c r="U907" s="122">
        <v>0.4</v>
      </c>
      <c r="V907" s="122"/>
      <c r="W907" s="171"/>
      <c r="X907" s="122"/>
      <c r="Y907" s="122"/>
      <c r="Z907" s="122"/>
      <c r="AA907" s="122"/>
      <c r="AB907" s="122"/>
      <c r="AC907" s="122"/>
      <c r="AD907" s="122">
        <v>0.6</v>
      </c>
      <c r="AE907" s="122">
        <v>0.4</v>
      </c>
      <c r="AF907" s="52"/>
      <c r="AG907" s="52"/>
    </row>
    <row r="908" spans="2:33" ht="15.75">
      <c r="B908" s="50"/>
      <c r="C908" s="51"/>
      <c r="D908" s="51"/>
      <c r="E908" s="51"/>
      <c r="F908" s="51"/>
      <c r="G908" s="52"/>
      <c r="H908" s="53"/>
      <c r="I908" s="53"/>
      <c r="J908" s="53"/>
      <c r="K908" s="170" t="s">
        <v>63</v>
      </c>
      <c r="L908" s="122">
        <v>0.5</v>
      </c>
      <c r="M908" s="122">
        <v>0.5</v>
      </c>
      <c r="N908" s="122">
        <v>0.5</v>
      </c>
      <c r="O908" s="122">
        <v>0.5</v>
      </c>
      <c r="P908" s="122">
        <v>0.5</v>
      </c>
      <c r="Q908" s="122">
        <v>0.5</v>
      </c>
      <c r="R908" s="122">
        <v>0.5</v>
      </c>
      <c r="S908" s="122">
        <v>0.5</v>
      </c>
      <c r="T908" s="122">
        <v>0.5</v>
      </c>
      <c r="U908" s="122">
        <v>0.5</v>
      </c>
      <c r="V908" s="122"/>
      <c r="W908" s="171"/>
      <c r="X908" s="122"/>
      <c r="Y908" s="122"/>
      <c r="Z908" s="122"/>
      <c r="AA908" s="122"/>
      <c r="AB908" s="122"/>
      <c r="AC908" s="122"/>
      <c r="AD908" s="122">
        <v>0.5</v>
      </c>
      <c r="AE908" s="122">
        <v>0.5</v>
      </c>
      <c r="AF908" s="52"/>
      <c r="AG908" s="52"/>
    </row>
    <row r="909" spans="1:34" s="3" customFormat="1" ht="36" customHeight="1" thickBot="1">
      <c r="A909" s="12"/>
      <c r="B909" s="54" t="s">
        <v>32</v>
      </c>
      <c r="C909" s="55"/>
      <c r="D909" s="55"/>
      <c r="E909" s="55"/>
      <c r="F909" s="55"/>
      <c r="G909" s="55"/>
      <c r="H909" s="55"/>
      <c r="I909" s="55"/>
      <c r="J909" s="55"/>
      <c r="K909" s="86"/>
      <c r="L909" s="86"/>
      <c r="M909" s="142"/>
      <c r="N909" s="259">
        <v>7</v>
      </c>
      <c r="O909" s="259"/>
      <c r="P909" s="259">
        <v>11</v>
      </c>
      <c r="Q909" s="259"/>
      <c r="R909" s="160">
        <v>2</v>
      </c>
      <c r="T909" s="160">
        <v>19</v>
      </c>
      <c r="V909" s="259">
        <v>9</v>
      </c>
      <c r="W909" s="259"/>
      <c r="X909" s="259">
        <v>10</v>
      </c>
      <c r="Y909" s="259"/>
      <c r="Z909" s="99">
        <v>36</v>
      </c>
      <c r="AA909" s="160">
        <v>14</v>
      </c>
      <c r="AB909" s="174">
        <v>13</v>
      </c>
      <c r="AC909" s="257">
        <v>51</v>
      </c>
      <c r="AD909" s="257"/>
      <c r="AE909" s="99"/>
      <c r="AF909" s="98"/>
      <c r="AG909" s="98"/>
      <c r="AH909" s="13"/>
    </row>
    <row r="910" spans="2:35" s="4" customFormat="1" ht="21.75" customHeight="1">
      <c r="B910" s="233" t="s">
        <v>0</v>
      </c>
      <c r="C910" s="235"/>
      <c r="D910" s="251" t="s">
        <v>3</v>
      </c>
      <c r="E910" s="251" t="s">
        <v>4</v>
      </c>
      <c r="F910" s="251" t="s">
        <v>5</v>
      </c>
      <c r="G910" s="254" t="s">
        <v>43</v>
      </c>
      <c r="H910" s="254" t="s">
        <v>45</v>
      </c>
      <c r="I910" s="251" t="s">
        <v>6</v>
      </c>
      <c r="J910" s="254" t="s">
        <v>26</v>
      </c>
      <c r="K910" s="254" t="s">
        <v>46</v>
      </c>
      <c r="L910" s="254" t="s">
        <v>67</v>
      </c>
      <c r="M910" s="254" t="s">
        <v>144</v>
      </c>
      <c r="N910" s="216">
        <v>304</v>
      </c>
      <c r="O910" s="217"/>
      <c r="P910" s="216">
        <v>305</v>
      </c>
      <c r="Q910" s="217"/>
      <c r="R910" s="216">
        <v>407</v>
      </c>
      <c r="S910" s="217"/>
      <c r="T910" s="216">
        <v>407</v>
      </c>
      <c r="U910" s="217"/>
      <c r="V910" s="216">
        <v>441</v>
      </c>
      <c r="W910" s="217"/>
      <c r="X910" s="216">
        <v>441</v>
      </c>
      <c r="Y910" s="217"/>
      <c r="Z910" s="58">
        <v>452</v>
      </c>
      <c r="AA910" s="121">
        <v>609</v>
      </c>
      <c r="AB910" s="121">
        <v>609</v>
      </c>
      <c r="AC910" s="216">
        <v>609</v>
      </c>
      <c r="AD910" s="217"/>
      <c r="AE910" s="58" t="s">
        <v>136</v>
      </c>
      <c r="AF910" s="282" t="s">
        <v>38</v>
      </c>
      <c r="AG910" s="282" t="s">
        <v>58</v>
      </c>
      <c r="AI910" s="165"/>
    </row>
    <row r="911" spans="2:35" s="4" customFormat="1" ht="27.75" customHeight="1">
      <c r="B911" s="293"/>
      <c r="C911" s="294"/>
      <c r="D911" s="252"/>
      <c r="E911" s="252"/>
      <c r="F911" s="252"/>
      <c r="G911" s="242"/>
      <c r="H911" s="242"/>
      <c r="I911" s="252"/>
      <c r="J911" s="255"/>
      <c r="K911" s="255"/>
      <c r="L911" s="255"/>
      <c r="M911" s="255"/>
      <c r="N911" s="218" t="s">
        <v>121</v>
      </c>
      <c r="O911" s="219"/>
      <c r="P911" s="218" t="s">
        <v>142</v>
      </c>
      <c r="Q911" s="219"/>
      <c r="R911" s="218" t="s">
        <v>94</v>
      </c>
      <c r="S911" s="219"/>
      <c r="T911" s="218" t="s">
        <v>98</v>
      </c>
      <c r="U911" s="219"/>
      <c r="V911" s="218" t="s">
        <v>148</v>
      </c>
      <c r="W911" s="219"/>
      <c r="X911" s="218" t="s">
        <v>56</v>
      </c>
      <c r="Y911" s="219"/>
      <c r="Z911" s="241" t="s">
        <v>143</v>
      </c>
      <c r="AA911" s="218" t="s">
        <v>96</v>
      </c>
      <c r="AB911" s="218" t="s">
        <v>151</v>
      </c>
      <c r="AC911" s="218" t="s">
        <v>96</v>
      </c>
      <c r="AD911" s="219"/>
      <c r="AE911" s="241" t="s">
        <v>135</v>
      </c>
      <c r="AF911" s="283"/>
      <c r="AG911" s="304"/>
      <c r="AI911" s="278"/>
    </row>
    <row r="912" spans="2:35" s="4" customFormat="1" ht="27.75" customHeight="1" thickBot="1">
      <c r="B912" s="293"/>
      <c r="C912" s="294"/>
      <c r="D912" s="252"/>
      <c r="E912" s="252"/>
      <c r="F912" s="252"/>
      <c r="G912" s="242"/>
      <c r="H912" s="242"/>
      <c r="I912" s="252"/>
      <c r="J912" s="255"/>
      <c r="K912" s="255"/>
      <c r="L912" s="255"/>
      <c r="M912" s="255"/>
      <c r="N912" s="220"/>
      <c r="O912" s="221"/>
      <c r="P912" s="220"/>
      <c r="Q912" s="221"/>
      <c r="R912" s="220"/>
      <c r="S912" s="221"/>
      <c r="T912" s="220"/>
      <c r="U912" s="221"/>
      <c r="V912" s="220"/>
      <c r="W912" s="221"/>
      <c r="X912" s="220"/>
      <c r="Y912" s="221"/>
      <c r="Z912" s="242"/>
      <c r="AA912" s="220"/>
      <c r="AB912" s="220"/>
      <c r="AC912" s="220"/>
      <c r="AD912" s="221"/>
      <c r="AE912" s="242"/>
      <c r="AF912" s="284"/>
      <c r="AG912" s="304"/>
      <c r="AI912" s="278"/>
    </row>
    <row r="913" spans="2:35" s="4" customFormat="1" ht="27.75" customHeight="1">
      <c r="B913" s="293"/>
      <c r="C913" s="294"/>
      <c r="D913" s="252"/>
      <c r="E913" s="252"/>
      <c r="F913" s="252"/>
      <c r="G913" s="242"/>
      <c r="H913" s="242"/>
      <c r="I913" s="252"/>
      <c r="J913" s="255"/>
      <c r="K913" s="255"/>
      <c r="L913" s="255"/>
      <c r="M913" s="255"/>
      <c r="N913" s="220"/>
      <c r="O913" s="221"/>
      <c r="P913" s="220"/>
      <c r="Q913" s="221"/>
      <c r="R913" s="220"/>
      <c r="S913" s="221"/>
      <c r="T913" s="220"/>
      <c r="U913" s="221"/>
      <c r="V913" s="220"/>
      <c r="W913" s="221"/>
      <c r="X913" s="220"/>
      <c r="Y913" s="221"/>
      <c r="Z913" s="242"/>
      <c r="AA913" s="220"/>
      <c r="AB913" s="220"/>
      <c r="AC913" s="220"/>
      <c r="AD913" s="221"/>
      <c r="AE913" s="242"/>
      <c r="AF913" s="269" t="s">
        <v>8</v>
      </c>
      <c r="AG913" s="270"/>
      <c r="AI913" s="278"/>
    </row>
    <row r="914" spans="2:35" s="4" customFormat="1" ht="27.75" customHeight="1">
      <c r="B914" s="293"/>
      <c r="C914" s="294"/>
      <c r="D914" s="252"/>
      <c r="E914" s="252"/>
      <c r="F914" s="252"/>
      <c r="G914" s="242"/>
      <c r="H914" s="242"/>
      <c r="I914" s="252"/>
      <c r="J914" s="255"/>
      <c r="K914" s="255"/>
      <c r="L914" s="255"/>
      <c r="M914" s="255"/>
      <c r="N914" s="220"/>
      <c r="O914" s="221"/>
      <c r="P914" s="220"/>
      <c r="Q914" s="221"/>
      <c r="R914" s="220"/>
      <c r="S914" s="221"/>
      <c r="T914" s="220"/>
      <c r="U914" s="221"/>
      <c r="V914" s="220"/>
      <c r="W914" s="221"/>
      <c r="X914" s="220"/>
      <c r="Y914" s="221"/>
      <c r="Z914" s="242"/>
      <c r="AA914" s="220"/>
      <c r="AB914" s="220"/>
      <c r="AC914" s="220"/>
      <c r="AD914" s="221"/>
      <c r="AE914" s="242"/>
      <c r="AF914" s="271"/>
      <c r="AG914" s="272"/>
      <c r="AI914" s="278"/>
    </row>
    <row r="915" spans="2:35" s="4" customFormat="1" ht="27.75" customHeight="1">
      <c r="B915" s="293"/>
      <c r="C915" s="294"/>
      <c r="D915" s="252"/>
      <c r="E915" s="252"/>
      <c r="F915" s="252"/>
      <c r="G915" s="242"/>
      <c r="H915" s="242"/>
      <c r="I915" s="252"/>
      <c r="J915" s="255"/>
      <c r="K915" s="255"/>
      <c r="L915" s="255"/>
      <c r="M915" s="255"/>
      <c r="N915" s="220"/>
      <c r="O915" s="221"/>
      <c r="P915" s="220"/>
      <c r="Q915" s="221"/>
      <c r="R915" s="220"/>
      <c r="S915" s="221"/>
      <c r="T915" s="220"/>
      <c r="U915" s="221"/>
      <c r="V915" s="220"/>
      <c r="W915" s="221"/>
      <c r="X915" s="220"/>
      <c r="Y915" s="221"/>
      <c r="Z915" s="242"/>
      <c r="AA915" s="220"/>
      <c r="AB915" s="220"/>
      <c r="AC915" s="220"/>
      <c r="AD915" s="221"/>
      <c r="AE915" s="242"/>
      <c r="AF915" s="271"/>
      <c r="AG915" s="272"/>
      <c r="AI915" s="278"/>
    </row>
    <row r="916" spans="2:35" s="4" customFormat="1" ht="27.75" customHeight="1">
      <c r="B916" s="293"/>
      <c r="C916" s="294"/>
      <c r="D916" s="252"/>
      <c r="E916" s="252"/>
      <c r="F916" s="252"/>
      <c r="G916" s="242"/>
      <c r="H916" s="242"/>
      <c r="I916" s="252"/>
      <c r="J916" s="255"/>
      <c r="K916" s="255"/>
      <c r="L916" s="255"/>
      <c r="M916" s="255"/>
      <c r="N916" s="220"/>
      <c r="O916" s="221"/>
      <c r="P916" s="220"/>
      <c r="Q916" s="221"/>
      <c r="R916" s="220"/>
      <c r="S916" s="221"/>
      <c r="T916" s="220"/>
      <c r="U916" s="221"/>
      <c r="V916" s="220"/>
      <c r="W916" s="221"/>
      <c r="X916" s="220"/>
      <c r="Y916" s="221"/>
      <c r="Z916" s="242"/>
      <c r="AA916" s="220"/>
      <c r="AB916" s="220"/>
      <c r="AC916" s="220"/>
      <c r="AD916" s="221"/>
      <c r="AE916" s="242"/>
      <c r="AF916" s="271"/>
      <c r="AG916" s="272"/>
      <c r="AI916" s="278"/>
    </row>
    <row r="917" spans="2:35" s="4" customFormat="1" ht="27.75" customHeight="1">
      <c r="B917" s="293"/>
      <c r="C917" s="294"/>
      <c r="D917" s="252"/>
      <c r="E917" s="252"/>
      <c r="F917" s="252"/>
      <c r="G917" s="242"/>
      <c r="H917" s="242"/>
      <c r="I917" s="252"/>
      <c r="J917" s="255"/>
      <c r="K917" s="255"/>
      <c r="L917" s="255"/>
      <c r="M917" s="255"/>
      <c r="N917" s="220"/>
      <c r="O917" s="221"/>
      <c r="P917" s="220"/>
      <c r="Q917" s="221"/>
      <c r="R917" s="220"/>
      <c r="S917" s="221"/>
      <c r="T917" s="220"/>
      <c r="U917" s="221"/>
      <c r="V917" s="220"/>
      <c r="W917" s="221"/>
      <c r="X917" s="220"/>
      <c r="Y917" s="221"/>
      <c r="Z917" s="242"/>
      <c r="AA917" s="220"/>
      <c r="AB917" s="220"/>
      <c r="AC917" s="220"/>
      <c r="AD917" s="221"/>
      <c r="AE917" s="242"/>
      <c r="AF917" s="271"/>
      <c r="AG917" s="272"/>
      <c r="AI917" s="278"/>
    </row>
    <row r="918" spans="2:35" s="5" customFormat="1" ht="27.75" customHeight="1">
      <c r="B918" s="295"/>
      <c r="C918" s="296"/>
      <c r="D918" s="253"/>
      <c r="E918" s="253"/>
      <c r="F918" s="253"/>
      <c r="G918" s="243"/>
      <c r="H918" s="243"/>
      <c r="I918" s="253"/>
      <c r="J918" s="256"/>
      <c r="K918" s="256"/>
      <c r="L918" s="256"/>
      <c r="M918" s="256"/>
      <c r="N918" s="222"/>
      <c r="O918" s="223"/>
      <c r="P918" s="222"/>
      <c r="Q918" s="223"/>
      <c r="R918" s="222"/>
      <c r="S918" s="223"/>
      <c r="T918" s="222"/>
      <c r="U918" s="223"/>
      <c r="V918" s="222"/>
      <c r="W918" s="223"/>
      <c r="X918" s="222"/>
      <c r="Y918" s="223"/>
      <c r="Z918" s="243"/>
      <c r="AA918" s="222"/>
      <c r="AB918" s="222"/>
      <c r="AC918" s="222"/>
      <c r="AD918" s="223"/>
      <c r="AE918" s="243"/>
      <c r="AF918" s="271"/>
      <c r="AG918" s="272"/>
      <c r="AI918" s="278"/>
    </row>
    <row r="919" spans="2:35" s="7" customFormat="1" ht="21.75" customHeight="1" thickBot="1">
      <c r="B919" s="56" t="s">
        <v>1</v>
      </c>
      <c r="C919" s="56" t="s">
        <v>2</v>
      </c>
      <c r="D919" s="57"/>
      <c r="E919" s="57" t="s">
        <v>14</v>
      </c>
      <c r="F919" s="57" t="s">
        <v>14</v>
      </c>
      <c r="G919" s="57"/>
      <c r="H919" s="57"/>
      <c r="I919" s="57" t="s">
        <v>21</v>
      </c>
      <c r="J919" s="57" t="s">
        <v>21</v>
      </c>
      <c r="K919" s="57" t="s">
        <v>21</v>
      </c>
      <c r="L919" s="57" t="s">
        <v>21</v>
      </c>
      <c r="M919" s="57" t="s">
        <v>21</v>
      </c>
      <c r="N919" s="208" t="s">
        <v>20</v>
      </c>
      <c r="O919" s="210"/>
      <c r="P919" s="208" t="s">
        <v>40</v>
      </c>
      <c r="Q919" s="210"/>
      <c r="R919" s="208" t="s">
        <v>22</v>
      </c>
      <c r="S919" s="210"/>
      <c r="T919" s="208" t="s">
        <v>22</v>
      </c>
      <c r="U919" s="210"/>
      <c r="V919" s="208" t="s">
        <v>20</v>
      </c>
      <c r="W919" s="210"/>
      <c r="X919" s="208" t="s">
        <v>20</v>
      </c>
      <c r="Y919" s="210"/>
      <c r="Z919" s="57" t="s">
        <v>40</v>
      </c>
      <c r="AA919" s="120" t="s">
        <v>14</v>
      </c>
      <c r="AB919" s="120" t="s">
        <v>14</v>
      </c>
      <c r="AC919" s="208" t="s">
        <v>14</v>
      </c>
      <c r="AD919" s="210"/>
      <c r="AE919" s="57" t="s">
        <v>14</v>
      </c>
      <c r="AF919" s="271"/>
      <c r="AG919" s="272"/>
      <c r="AI919" s="165"/>
    </row>
    <row r="920" spans="1:35" s="4" customFormat="1" ht="21.75" customHeight="1">
      <c r="A920" s="30">
        <v>1</v>
      </c>
      <c r="B920" s="37"/>
      <c r="C920" s="38"/>
      <c r="D920" s="39"/>
      <c r="E920" s="24"/>
      <c r="F920" s="66"/>
      <c r="G920" s="105"/>
      <c r="H920" s="105"/>
      <c r="I920" s="24"/>
      <c r="J920" s="24"/>
      <c r="K920" s="24"/>
      <c r="L920" s="24"/>
      <c r="M920" s="24"/>
      <c r="N920" s="227" t="s">
        <v>59</v>
      </c>
      <c r="O920" s="263" t="s">
        <v>131</v>
      </c>
      <c r="P920" s="227" t="s">
        <v>59</v>
      </c>
      <c r="Q920" s="263" t="s">
        <v>131</v>
      </c>
      <c r="R920" s="227" t="s">
        <v>59</v>
      </c>
      <c r="S920" s="263" t="s">
        <v>131</v>
      </c>
      <c r="T920" s="227" t="s">
        <v>59</v>
      </c>
      <c r="U920" s="263" t="s">
        <v>131</v>
      </c>
      <c r="V920" s="227" t="s">
        <v>59</v>
      </c>
      <c r="W920" s="263" t="s">
        <v>131</v>
      </c>
      <c r="X920" s="227" t="s">
        <v>59</v>
      </c>
      <c r="Y920" s="263" t="s">
        <v>131</v>
      </c>
      <c r="Z920" s="227" t="s">
        <v>59</v>
      </c>
      <c r="AA920" s="227" t="s">
        <v>59</v>
      </c>
      <c r="AB920" s="263" t="s">
        <v>125</v>
      </c>
      <c r="AC920" s="263" t="s">
        <v>131</v>
      </c>
      <c r="AD920" s="263"/>
      <c r="AE920" s="227" t="s">
        <v>59</v>
      </c>
      <c r="AF920" s="271"/>
      <c r="AG920" s="272"/>
      <c r="AI920" s="267"/>
    </row>
    <row r="921" spans="1:35" s="4" customFormat="1" ht="21.75" customHeight="1">
      <c r="A921" s="30">
        <v>2</v>
      </c>
      <c r="B921" s="230" t="s">
        <v>53</v>
      </c>
      <c r="C921" s="231"/>
      <c r="D921" s="231"/>
      <c r="E921" s="231"/>
      <c r="F921" s="231"/>
      <c r="G921" s="231"/>
      <c r="H921" s="231"/>
      <c r="I921" s="232"/>
      <c r="J921" s="24"/>
      <c r="K921" s="24"/>
      <c r="L921" s="24"/>
      <c r="M921" s="24"/>
      <c r="N921" s="228"/>
      <c r="O921" s="264"/>
      <c r="P921" s="228"/>
      <c r="Q921" s="264"/>
      <c r="R921" s="228"/>
      <c r="S921" s="264"/>
      <c r="T921" s="228"/>
      <c r="U921" s="264"/>
      <c r="V921" s="228"/>
      <c r="W921" s="264"/>
      <c r="X921" s="228"/>
      <c r="Y921" s="264"/>
      <c r="Z921" s="228"/>
      <c r="AA921" s="228"/>
      <c r="AB921" s="264"/>
      <c r="AC921" s="264"/>
      <c r="AD921" s="264"/>
      <c r="AE921" s="228"/>
      <c r="AF921" s="271"/>
      <c r="AG921" s="272"/>
      <c r="AI921" s="267"/>
    </row>
    <row r="922" spans="1:35" s="4" customFormat="1" ht="21.75" customHeight="1">
      <c r="A922" s="30">
        <v>3</v>
      </c>
      <c r="B922" s="67" t="s">
        <v>55</v>
      </c>
      <c r="C922" s="68"/>
      <c r="D922" s="39"/>
      <c r="E922" s="24"/>
      <c r="F922" s="24"/>
      <c r="G922" s="24"/>
      <c r="H922" s="61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39"/>
      <c r="Z922" s="24"/>
      <c r="AA922" s="24"/>
      <c r="AB922" s="24"/>
      <c r="AC922" s="24"/>
      <c r="AD922" s="24"/>
      <c r="AE922" s="24"/>
      <c r="AF922" s="271"/>
      <c r="AG922" s="272"/>
      <c r="AI922" s="78"/>
    </row>
    <row r="923" spans="1:35" s="4" customFormat="1" ht="21.75" customHeight="1">
      <c r="A923" s="30">
        <v>4</v>
      </c>
      <c r="B923" s="40">
        <v>20004.62</v>
      </c>
      <c r="C923" s="41">
        <v>20028.61</v>
      </c>
      <c r="D923" s="39" t="s">
        <v>17</v>
      </c>
      <c r="E923" s="24">
        <f aca="true" t="shared" si="207" ref="E923:E930">C923-B923</f>
        <v>23.9900000000016</v>
      </c>
      <c r="F923" s="66">
        <f>ROUND((0.45155+7.0454)/2,2)</f>
        <v>3.75</v>
      </c>
      <c r="G923" s="105"/>
      <c r="H923" s="61"/>
      <c r="I923" s="24">
        <f>IF($G923=0,ROUND($E923*$F923,2),ROUND($E923*$F923*$G923,2))</f>
        <v>89.96</v>
      </c>
      <c r="J923" s="24"/>
      <c r="K923" s="24"/>
      <c r="L923" s="24">
        <f aca="true" t="shared" si="208" ref="L923:L933">IF($H923=0,ROUND($E923*(L$979/12),2),ROUND($E923*$H923*(L$979/12),2))</f>
        <v>23.99</v>
      </c>
      <c r="M923" s="24"/>
      <c r="N923" s="24">
        <f aca="true" t="shared" si="209" ref="N923:N930">ROUND((($I923+$L923)*(N$979/12))/27,2)</f>
        <v>2.11</v>
      </c>
      <c r="O923" s="24"/>
      <c r="P923" s="24">
        <f aca="true" t="shared" si="210" ref="P923:P930">ROUND(($I923/9),2)</f>
        <v>10</v>
      </c>
      <c r="Q923" s="24"/>
      <c r="R923" s="24">
        <f aca="true" t="shared" si="211" ref="R923:R930">ROUND((($I923/9)*R$979),2)</f>
        <v>0.55</v>
      </c>
      <c r="S923" s="24"/>
      <c r="T923" s="24">
        <f aca="true" t="shared" si="212" ref="T923:T930">ROUND((($I923/9)*T$979),2)</f>
        <v>0.7</v>
      </c>
      <c r="U923" s="24"/>
      <c r="V923" s="24">
        <f aca="true" t="shared" si="213" ref="V923:V930">ROUND(($I923*(V$979/12))/27,2)</f>
        <v>0.35</v>
      </c>
      <c r="W923" s="24"/>
      <c r="X923" s="24">
        <f aca="true" t="shared" si="214" ref="X923:X930">ROUND(($I923*(X$979/12))/27,2)</f>
        <v>0.49</v>
      </c>
      <c r="Y923" s="39"/>
      <c r="Z923" s="24"/>
      <c r="AA923" s="24">
        <f aca="true" t="shared" si="215" ref="AA923:AA931">IF(H923=0,$E923,ROUND(E923*H923,2))</f>
        <v>23.9900000000016</v>
      </c>
      <c r="AB923" s="24"/>
      <c r="AC923" s="24"/>
      <c r="AD923" s="24"/>
      <c r="AE923" s="24"/>
      <c r="AF923" s="271"/>
      <c r="AG923" s="272"/>
      <c r="AI923" s="78"/>
    </row>
    <row r="924" spans="1:35" s="4" customFormat="1" ht="21.75" customHeight="1">
      <c r="A924" s="30">
        <v>5</v>
      </c>
      <c r="B924" s="37">
        <f aca="true" t="shared" si="216" ref="B924:B930">C923</f>
        <v>20028.61</v>
      </c>
      <c r="C924" s="38">
        <v>20041.49</v>
      </c>
      <c r="D924" s="39" t="s">
        <v>17</v>
      </c>
      <c r="E924" s="24">
        <f t="shared" si="207"/>
        <v>12.880000000001019</v>
      </c>
      <c r="F924" s="66">
        <f>ROUND((7.0454+10)/2,2)</f>
        <v>8.52</v>
      </c>
      <c r="G924" s="105">
        <f>ROUND((195.3265-($F924/2))/195.3265,4)</f>
        <v>0.9782</v>
      </c>
      <c r="H924" s="105">
        <f>ROUND((195.3265-($F924))/195.3265,4)</f>
        <v>0.9564</v>
      </c>
      <c r="I924" s="24">
        <f aca="true" t="shared" si="217" ref="I924:I929">IF($G924=0,ROUND($E924*$F924,2),ROUND($E924*$F924*$G924,2))</f>
        <v>107.35</v>
      </c>
      <c r="J924" s="24"/>
      <c r="K924" s="24"/>
      <c r="L924" s="24">
        <f t="shared" si="208"/>
        <v>12.32</v>
      </c>
      <c r="M924" s="24"/>
      <c r="N924" s="24">
        <f t="shared" si="209"/>
        <v>2.22</v>
      </c>
      <c r="O924" s="24"/>
      <c r="P924" s="24">
        <f t="shared" si="210"/>
        <v>11.93</v>
      </c>
      <c r="Q924" s="24"/>
      <c r="R924" s="24">
        <f t="shared" si="211"/>
        <v>0.66</v>
      </c>
      <c r="S924" s="24"/>
      <c r="T924" s="24">
        <f t="shared" si="212"/>
        <v>0.83</v>
      </c>
      <c r="U924" s="24"/>
      <c r="V924" s="24">
        <f t="shared" si="213"/>
        <v>0.41</v>
      </c>
      <c r="W924" s="24"/>
      <c r="X924" s="24">
        <f t="shared" si="214"/>
        <v>0.58</v>
      </c>
      <c r="Y924" s="24"/>
      <c r="Z924" s="24"/>
      <c r="AA924" s="24">
        <f t="shared" si="215"/>
        <v>12.32</v>
      </c>
      <c r="AB924" s="24"/>
      <c r="AC924" s="24"/>
      <c r="AD924" s="24"/>
      <c r="AE924" s="24"/>
      <c r="AF924" s="271"/>
      <c r="AG924" s="272"/>
      <c r="AI924" s="78"/>
    </row>
    <row r="925" spans="1:35" s="4" customFormat="1" ht="21.75" customHeight="1">
      <c r="A925" s="30">
        <v>6</v>
      </c>
      <c r="B925" s="37">
        <f t="shared" si="216"/>
        <v>20041.49</v>
      </c>
      <c r="C925" s="38">
        <v>20081.85</v>
      </c>
      <c r="D925" s="39" t="s">
        <v>17</v>
      </c>
      <c r="E925" s="24">
        <f t="shared" si="207"/>
        <v>40.359999999996944</v>
      </c>
      <c r="F925" s="66">
        <v>10</v>
      </c>
      <c r="G925" s="105">
        <f>ROUND((195.3265-($F925/2))/195.3265,4)</f>
        <v>0.9744</v>
      </c>
      <c r="H925" s="105">
        <f>ROUND((195.3265-($F925))/195.3265,4)</f>
        <v>0.9488</v>
      </c>
      <c r="I925" s="24">
        <f t="shared" si="217"/>
        <v>393.27</v>
      </c>
      <c r="J925" s="24"/>
      <c r="K925" s="24"/>
      <c r="L925" s="24">
        <f t="shared" si="208"/>
        <v>38.29</v>
      </c>
      <c r="M925" s="24"/>
      <c r="N925" s="24">
        <f t="shared" si="209"/>
        <v>7.99</v>
      </c>
      <c r="O925" s="24"/>
      <c r="P925" s="24">
        <f t="shared" si="210"/>
        <v>43.7</v>
      </c>
      <c r="Q925" s="24"/>
      <c r="R925" s="24">
        <f t="shared" si="211"/>
        <v>2.4</v>
      </c>
      <c r="S925" s="24"/>
      <c r="T925" s="24">
        <f t="shared" si="212"/>
        <v>3.06</v>
      </c>
      <c r="U925" s="24"/>
      <c r="V925" s="24">
        <f t="shared" si="213"/>
        <v>1.52</v>
      </c>
      <c r="W925" s="24"/>
      <c r="X925" s="24">
        <f t="shared" si="214"/>
        <v>2.12</v>
      </c>
      <c r="Y925" s="24"/>
      <c r="Z925" s="24"/>
      <c r="AA925" s="24">
        <f t="shared" si="215"/>
        <v>38.29</v>
      </c>
      <c r="AB925" s="24"/>
      <c r="AC925" s="24"/>
      <c r="AD925" s="24"/>
      <c r="AE925" s="24"/>
      <c r="AF925" s="271"/>
      <c r="AG925" s="272"/>
      <c r="AI925" s="78"/>
    </row>
    <row r="926" spans="1:35" s="4" customFormat="1" ht="21.75" customHeight="1">
      <c r="A926" s="30">
        <v>7</v>
      </c>
      <c r="B926" s="37">
        <f t="shared" si="216"/>
        <v>20081.85</v>
      </c>
      <c r="C926" s="38">
        <v>20088.85</v>
      </c>
      <c r="D926" s="39" t="s">
        <v>17</v>
      </c>
      <c r="E926" s="24">
        <f t="shared" si="207"/>
        <v>7</v>
      </c>
      <c r="F926" s="66">
        <f>ROUND((10+17)/2,2)</f>
        <v>13.5</v>
      </c>
      <c r="G926" s="39"/>
      <c r="H926" s="61"/>
      <c r="I926" s="24">
        <f t="shared" si="217"/>
        <v>94.5</v>
      </c>
      <c r="J926" s="24"/>
      <c r="K926" s="24"/>
      <c r="L926" s="24">
        <f t="shared" si="208"/>
        <v>7</v>
      </c>
      <c r="M926" s="24"/>
      <c r="N926" s="24">
        <f t="shared" si="209"/>
        <v>1.88</v>
      </c>
      <c r="O926" s="24"/>
      <c r="P926" s="24">
        <f t="shared" si="210"/>
        <v>10.5</v>
      </c>
      <c r="Q926" s="24"/>
      <c r="R926" s="24">
        <f t="shared" si="211"/>
        <v>0.58</v>
      </c>
      <c r="S926" s="24"/>
      <c r="T926" s="24">
        <f t="shared" si="212"/>
        <v>0.74</v>
      </c>
      <c r="U926" s="24"/>
      <c r="V926" s="24">
        <f t="shared" si="213"/>
        <v>0.36</v>
      </c>
      <c r="W926" s="24"/>
      <c r="X926" s="24">
        <f t="shared" si="214"/>
        <v>0.51</v>
      </c>
      <c r="Y926" s="24"/>
      <c r="Z926" s="24"/>
      <c r="AA926" s="24">
        <f t="shared" si="215"/>
        <v>7</v>
      </c>
      <c r="AB926" s="24"/>
      <c r="AC926" s="24"/>
      <c r="AD926" s="24"/>
      <c r="AE926" s="24"/>
      <c r="AF926" s="271"/>
      <c r="AG926" s="272"/>
      <c r="AI926" s="78"/>
    </row>
    <row r="927" spans="1:35" s="4" customFormat="1" ht="21.75" customHeight="1">
      <c r="A927" s="30">
        <v>8</v>
      </c>
      <c r="B927" s="37">
        <f t="shared" si="216"/>
        <v>20088.85</v>
      </c>
      <c r="C927" s="38">
        <v>20209.96</v>
      </c>
      <c r="D927" s="39" t="s">
        <v>17</v>
      </c>
      <c r="E927" s="24">
        <f t="shared" si="207"/>
        <v>121.11000000000058</v>
      </c>
      <c r="F927" s="66">
        <v>17</v>
      </c>
      <c r="G927" s="105"/>
      <c r="H927" s="61"/>
      <c r="I927" s="24">
        <f t="shared" si="217"/>
        <v>2058.87</v>
      </c>
      <c r="J927" s="24"/>
      <c r="K927" s="24"/>
      <c r="L927" s="24">
        <f t="shared" si="208"/>
        <v>121.11</v>
      </c>
      <c r="M927" s="24"/>
      <c r="N927" s="24">
        <f t="shared" si="209"/>
        <v>40.37</v>
      </c>
      <c r="O927" s="24"/>
      <c r="P927" s="24">
        <f t="shared" si="210"/>
        <v>228.76</v>
      </c>
      <c r="Q927" s="24"/>
      <c r="R927" s="24">
        <f t="shared" si="211"/>
        <v>12.58</v>
      </c>
      <c r="S927" s="24"/>
      <c r="T927" s="24">
        <f t="shared" si="212"/>
        <v>16.01</v>
      </c>
      <c r="U927" s="24"/>
      <c r="V927" s="24">
        <f t="shared" si="213"/>
        <v>7.94</v>
      </c>
      <c r="W927" s="24"/>
      <c r="X927" s="24">
        <f t="shared" si="214"/>
        <v>11.12</v>
      </c>
      <c r="Y927" s="24"/>
      <c r="Z927" s="24"/>
      <c r="AA927" s="24">
        <f t="shared" si="215"/>
        <v>121.11000000000058</v>
      </c>
      <c r="AB927" s="24"/>
      <c r="AC927" s="24"/>
      <c r="AD927" s="24"/>
      <c r="AE927" s="24"/>
      <c r="AF927" s="271"/>
      <c r="AG927" s="272"/>
      <c r="AI927" s="78"/>
    </row>
    <row r="928" spans="1:35" s="4" customFormat="1" ht="21.75" customHeight="1">
      <c r="A928" s="30">
        <v>9</v>
      </c>
      <c r="B928" s="37">
        <f t="shared" si="216"/>
        <v>20209.96</v>
      </c>
      <c r="C928" s="38">
        <v>20216.96</v>
      </c>
      <c r="D928" s="39" t="s">
        <v>17</v>
      </c>
      <c r="E928" s="24">
        <f t="shared" si="207"/>
        <v>7</v>
      </c>
      <c r="F928" s="66">
        <f>ROUND((10+17)/2,2)</f>
        <v>13.5</v>
      </c>
      <c r="G928" s="105"/>
      <c r="H928" s="61"/>
      <c r="I928" s="24">
        <f t="shared" si="217"/>
        <v>94.5</v>
      </c>
      <c r="J928" s="24"/>
      <c r="K928" s="24"/>
      <c r="L928" s="24">
        <f t="shared" si="208"/>
        <v>7</v>
      </c>
      <c r="M928" s="24"/>
      <c r="N928" s="24">
        <f t="shared" si="209"/>
        <v>1.88</v>
      </c>
      <c r="O928" s="24"/>
      <c r="P928" s="24">
        <f t="shared" si="210"/>
        <v>10.5</v>
      </c>
      <c r="Q928" s="24"/>
      <c r="R928" s="24">
        <f t="shared" si="211"/>
        <v>0.58</v>
      </c>
      <c r="S928" s="24"/>
      <c r="T928" s="24">
        <f t="shared" si="212"/>
        <v>0.74</v>
      </c>
      <c r="U928" s="24"/>
      <c r="V928" s="24">
        <f t="shared" si="213"/>
        <v>0.36</v>
      </c>
      <c r="W928" s="24"/>
      <c r="X928" s="24">
        <f t="shared" si="214"/>
        <v>0.51</v>
      </c>
      <c r="Y928" s="24"/>
      <c r="Z928" s="24"/>
      <c r="AA928" s="24">
        <f t="shared" si="215"/>
        <v>7</v>
      </c>
      <c r="AB928" s="24"/>
      <c r="AC928" s="24"/>
      <c r="AD928" s="24"/>
      <c r="AE928" s="24"/>
      <c r="AF928" s="271"/>
      <c r="AG928" s="272"/>
      <c r="AI928" s="78"/>
    </row>
    <row r="929" spans="1:35" s="4" customFormat="1" ht="21.75" customHeight="1">
      <c r="A929" s="30">
        <v>10</v>
      </c>
      <c r="B929" s="37">
        <f t="shared" si="216"/>
        <v>20216.96</v>
      </c>
      <c r="C929" s="38">
        <v>20244.29</v>
      </c>
      <c r="D929" s="39" t="s">
        <v>17</v>
      </c>
      <c r="E929" s="24">
        <f t="shared" si="207"/>
        <v>27.330000000001746</v>
      </c>
      <c r="F929" s="66">
        <f>ROUND((10+11.9613)/2,2)</f>
        <v>10.98</v>
      </c>
      <c r="G929" s="105">
        <f>ROUND((286.4789-($F929/2))/286.4789,4)</f>
        <v>0.9808</v>
      </c>
      <c r="H929" s="105">
        <f>ROUND((286.4789-($F929))/286.4789,4)</f>
        <v>0.9617</v>
      </c>
      <c r="I929" s="24">
        <f t="shared" si="217"/>
        <v>294.32</v>
      </c>
      <c r="J929" s="24"/>
      <c r="K929" s="24"/>
      <c r="L929" s="24">
        <f t="shared" si="208"/>
        <v>26.28</v>
      </c>
      <c r="M929" s="24"/>
      <c r="N929" s="24">
        <f t="shared" si="209"/>
        <v>5.94</v>
      </c>
      <c r="O929" s="24"/>
      <c r="P929" s="24">
        <f t="shared" si="210"/>
        <v>32.7</v>
      </c>
      <c r="Q929" s="24"/>
      <c r="R929" s="24">
        <f t="shared" si="211"/>
        <v>1.8</v>
      </c>
      <c r="S929" s="24"/>
      <c r="T929" s="24">
        <f t="shared" si="212"/>
        <v>2.29</v>
      </c>
      <c r="U929" s="24"/>
      <c r="V929" s="24">
        <f t="shared" si="213"/>
        <v>1.14</v>
      </c>
      <c r="W929" s="24"/>
      <c r="X929" s="24">
        <f t="shared" si="214"/>
        <v>1.59</v>
      </c>
      <c r="Y929" s="24"/>
      <c r="Z929" s="24"/>
      <c r="AA929" s="24">
        <f t="shared" si="215"/>
        <v>26.28</v>
      </c>
      <c r="AB929" s="24"/>
      <c r="AC929" s="24"/>
      <c r="AD929" s="24"/>
      <c r="AE929" s="24"/>
      <c r="AF929" s="271"/>
      <c r="AG929" s="272"/>
      <c r="AI929" s="78"/>
    </row>
    <row r="930" spans="1:35" s="4" customFormat="1" ht="21.75" customHeight="1">
      <c r="A930" s="30">
        <v>11</v>
      </c>
      <c r="B930" s="37">
        <f t="shared" si="216"/>
        <v>20244.29</v>
      </c>
      <c r="C930" s="38">
        <v>20245.37</v>
      </c>
      <c r="D930" s="39" t="s">
        <v>17</v>
      </c>
      <c r="E930" s="24">
        <f t="shared" si="207"/>
        <v>1.0799999999981083</v>
      </c>
      <c r="F930" s="66">
        <f>ROUND((11.9613+12)/2,2)</f>
        <v>11.98</v>
      </c>
      <c r="G930" s="105"/>
      <c r="H930" s="61"/>
      <c r="I930" s="24">
        <f>IF(G930=0,ROUND($E930*$F930,2),ROUND($E930*$F930*$G930,2))</f>
        <v>12.94</v>
      </c>
      <c r="J930" s="24"/>
      <c r="K930" s="24"/>
      <c r="L930" s="24">
        <f t="shared" si="208"/>
        <v>1.08</v>
      </c>
      <c r="M930" s="24"/>
      <c r="N930" s="24">
        <f t="shared" si="209"/>
        <v>0.26</v>
      </c>
      <c r="O930" s="24"/>
      <c r="P930" s="24">
        <f t="shared" si="210"/>
        <v>1.44</v>
      </c>
      <c r="Q930" s="24"/>
      <c r="R930" s="24">
        <f t="shared" si="211"/>
        <v>0.08</v>
      </c>
      <c r="S930" s="24"/>
      <c r="T930" s="24">
        <f t="shared" si="212"/>
        <v>0.1</v>
      </c>
      <c r="U930" s="24"/>
      <c r="V930" s="24">
        <f t="shared" si="213"/>
        <v>0.05</v>
      </c>
      <c r="W930" s="24"/>
      <c r="X930" s="24">
        <f t="shared" si="214"/>
        <v>0.07</v>
      </c>
      <c r="Y930" s="24"/>
      <c r="Z930" s="24"/>
      <c r="AA930" s="24">
        <f t="shared" si="215"/>
        <v>1.0799999999981083</v>
      </c>
      <c r="AB930" s="24"/>
      <c r="AC930" s="24"/>
      <c r="AD930" s="24"/>
      <c r="AE930" s="24"/>
      <c r="AF930" s="271"/>
      <c r="AG930" s="272"/>
      <c r="AI930" s="78"/>
    </row>
    <row r="931" spans="1:35" s="4" customFormat="1" ht="21.75" customHeight="1">
      <c r="A931" s="30">
        <v>12</v>
      </c>
      <c r="B931" s="37">
        <v>20366.42</v>
      </c>
      <c r="C931" s="38">
        <v>20402.12</v>
      </c>
      <c r="D931" s="39" t="s">
        <v>17</v>
      </c>
      <c r="E931" s="24">
        <v>38.33</v>
      </c>
      <c r="F931" s="213" t="s">
        <v>13</v>
      </c>
      <c r="G931" s="214"/>
      <c r="H931" s="214"/>
      <c r="I931" s="215"/>
      <c r="J931" s="24">
        <v>354.8273</v>
      </c>
      <c r="K931" s="24"/>
      <c r="L931" s="24">
        <f t="shared" si="208"/>
        <v>38.33</v>
      </c>
      <c r="M931" s="24"/>
      <c r="N931" s="24">
        <f>ROUND((($J931+$L931)*(N$979/12))/27,2)</f>
        <v>7.28</v>
      </c>
      <c r="O931" s="24"/>
      <c r="P931" s="24">
        <f>ROUND(($J931/9),2)</f>
        <v>39.43</v>
      </c>
      <c r="Q931" s="24"/>
      <c r="R931" s="24">
        <f>ROUND((($J931/9)*R$979),2)</f>
        <v>2.17</v>
      </c>
      <c r="S931" s="24"/>
      <c r="T931" s="24">
        <f>ROUND((($J931/9)*T$979),2)</f>
        <v>2.76</v>
      </c>
      <c r="U931" s="24"/>
      <c r="V931" s="24">
        <f>ROUND(($J931*(W$72/12))/27,2)</f>
        <v>1.64</v>
      </c>
      <c r="W931" s="24"/>
      <c r="X931" s="24">
        <f>ROUND(($J931*(X$979/12))/27,2)</f>
        <v>1.92</v>
      </c>
      <c r="Y931" s="24"/>
      <c r="Z931" s="24"/>
      <c r="AA931" s="24">
        <f t="shared" si="215"/>
        <v>38.33</v>
      </c>
      <c r="AB931" s="24"/>
      <c r="AC931" s="24"/>
      <c r="AD931" s="24"/>
      <c r="AE931" s="24"/>
      <c r="AF931" s="271"/>
      <c r="AG931" s="272"/>
      <c r="AI931" s="78"/>
    </row>
    <row r="932" spans="1:35" s="4" customFormat="1" ht="21.75" customHeight="1">
      <c r="A932" s="30">
        <v>13</v>
      </c>
      <c r="B932" s="37">
        <v>20402.12</v>
      </c>
      <c r="C932" s="38">
        <v>20731.89</v>
      </c>
      <c r="D932" s="39" t="s">
        <v>17</v>
      </c>
      <c r="E932" s="24">
        <f>C932-B932</f>
        <v>329.77000000000044</v>
      </c>
      <c r="F932" s="92">
        <v>23</v>
      </c>
      <c r="G932" s="24"/>
      <c r="H932" s="61"/>
      <c r="I932" s="24">
        <f>IF(G932=0,ROUND($E932*$F932,2),ROUND($E932*$F932*$G932,2))</f>
        <v>7584.71</v>
      </c>
      <c r="J932" s="24"/>
      <c r="K932" s="24"/>
      <c r="L932" s="24">
        <f t="shared" si="208"/>
        <v>329.77</v>
      </c>
      <c r="M932" s="24"/>
      <c r="N932" s="24"/>
      <c r="O932" s="24">
        <f>ROUND((($I932+$L932)*(O$979/12))/27,2)</f>
        <v>146.56</v>
      </c>
      <c r="P932" s="24"/>
      <c r="Q932" s="24">
        <f>ROUND(($I932/9),2)</f>
        <v>842.75</v>
      </c>
      <c r="R932" s="24"/>
      <c r="S932" s="24">
        <f>ROUND((($I932/9)*S$979),2)</f>
        <v>46.35</v>
      </c>
      <c r="T932" s="24"/>
      <c r="U932" s="24">
        <f>ROUND((($I932/9)*U$979),2)</f>
        <v>58.99</v>
      </c>
      <c r="V932" s="24"/>
      <c r="W932" s="24">
        <f>ROUND(($I932*(W$979/12))/27,2)</f>
        <v>29.26</v>
      </c>
      <c r="X932" s="24"/>
      <c r="Y932" s="24">
        <f>ROUND(($I932*(Y$979/12))/27,2)</f>
        <v>40.97</v>
      </c>
      <c r="Z932" s="24"/>
      <c r="AA932" s="24"/>
      <c r="AB932" s="24"/>
      <c r="AC932" s="24">
        <f>IF($H932=0,$E932,ROUND($E932*$H932,2))</f>
        <v>329.77000000000044</v>
      </c>
      <c r="AD932" s="24"/>
      <c r="AE932" s="24"/>
      <c r="AF932" s="271"/>
      <c r="AG932" s="272"/>
      <c r="AI932" s="78"/>
    </row>
    <row r="933" spans="1:35" s="4" customFormat="1" ht="21.75" customHeight="1">
      <c r="A933" s="30">
        <v>14</v>
      </c>
      <c r="B933" s="37">
        <f>C932</f>
        <v>20731.89</v>
      </c>
      <c r="C933" s="38">
        <v>20747</v>
      </c>
      <c r="D933" s="39" t="s">
        <v>17</v>
      </c>
      <c r="E933" s="24">
        <f>C933-B933</f>
        <v>15.110000000000582</v>
      </c>
      <c r="F933" s="66">
        <f>ROUND((23+6.6476)/2,2)</f>
        <v>14.82</v>
      </c>
      <c r="G933" s="39"/>
      <c r="H933" s="61"/>
      <c r="I933" s="24">
        <f>IF(G933=0,ROUND($E933*$F933,2),ROUND($E933*$F933*$G933,2))</f>
        <v>223.93</v>
      </c>
      <c r="J933" s="24"/>
      <c r="K933" s="24"/>
      <c r="L933" s="24">
        <f t="shared" si="208"/>
        <v>15.11</v>
      </c>
      <c r="M933" s="24"/>
      <c r="N933" s="24"/>
      <c r="O933" s="24">
        <f>ROUND((($I933+$L933)*(O$979/12))/27,2)</f>
        <v>4.43</v>
      </c>
      <c r="P933" s="24"/>
      <c r="Q933" s="24">
        <f>ROUND(($I933/9),2)</f>
        <v>24.88</v>
      </c>
      <c r="R933" s="24"/>
      <c r="S933" s="24">
        <f>ROUND((($I933/9)*S$979),2)</f>
        <v>1.37</v>
      </c>
      <c r="T933" s="24"/>
      <c r="U933" s="24">
        <f>ROUND((($I933/9)*U$979),2)</f>
        <v>1.74</v>
      </c>
      <c r="V933" s="24"/>
      <c r="W933" s="24">
        <f>ROUND(($I933*(W$979/12))/27,2)</f>
        <v>0.86</v>
      </c>
      <c r="X933" s="24"/>
      <c r="Y933" s="24">
        <f>ROUND(($I933*(Y$979/12))/27,2)</f>
        <v>1.21</v>
      </c>
      <c r="Z933" s="24"/>
      <c r="AA933" s="24"/>
      <c r="AB933" s="24"/>
      <c r="AC933" s="24">
        <f>IF($H933=0,$E933,ROUND($E933*$H933,2))</f>
        <v>15.110000000000582</v>
      </c>
      <c r="AD933" s="24"/>
      <c r="AE933" s="24"/>
      <c r="AF933" s="271"/>
      <c r="AG933" s="272"/>
      <c r="AI933" s="78"/>
    </row>
    <row r="934" spans="1:35" s="16" customFormat="1" ht="21.75" customHeight="1">
      <c r="A934" s="30">
        <v>15</v>
      </c>
      <c r="B934" s="37"/>
      <c r="C934" s="38"/>
      <c r="D934" s="39"/>
      <c r="E934" s="24"/>
      <c r="F934" s="66"/>
      <c r="G934" s="105"/>
      <c r="H934" s="105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71"/>
      <c r="AG934" s="272"/>
      <c r="AI934" s="78"/>
    </row>
    <row r="935" spans="1:35" s="16" customFormat="1" ht="21.75" customHeight="1">
      <c r="A935" s="30">
        <v>16</v>
      </c>
      <c r="B935" s="40">
        <v>20004.62</v>
      </c>
      <c r="C935" s="41">
        <v>20028.61</v>
      </c>
      <c r="D935" s="39" t="s">
        <v>16</v>
      </c>
      <c r="E935" s="24">
        <f aca="true" t="shared" si="218" ref="E935:E942">C935-B935</f>
        <v>23.9900000000016</v>
      </c>
      <c r="F935" s="66">
        <v>11</v>
      </c>
      <c r="G935" s="105"/>
      <c r="H935" s="61"/>
      <c r="I935" s="24">
        <f>IF(G935=0,ROUND($E935*$F935,2),ROUND($E935*$F935*$G935,2))</f>
        <v>263.89</v>
      </c>
      <c r="J935" s="24"/>
      <c r="K935" s="24"/>
      <c r="L935" s="24"/>
      <c r="M935" s="24">
        <f>IF($H935=0,ROUND($E935*(M$979/12),2),ROUND($E935*$H935*(M$979/12),2))</f>
        <v>35.99</v>
      </c>
      <c r="N935" s="24">
        <f>ROUND((($I935+$M935)*(N$979/12))/27,2)</f>
        <v>5.55</v>
      </c>
      <c r="O935" s="24"/>
      <c r="P935" s="24">
        <f>ROUND(($I935/9),2)</f>
        <v>29.32</v>
      </c>
      <c r="Q935" s="24"/>
      <c r="R935" s="24">
        <f>ROUND((($I935/9)*R$979),2)</f>
        <v>1.61</v>
      </c>
      <c r="S935" s="24"/>
      <c r="T935" s="24">
        <f>ROUND((($I935/9)*T$979),2)</f>
        <v>2.05</v>
      </c>
      <c r="U935" s="24"/>
      <c r="V935" s="24">
        <f>ROUND(($I935*(V$979/12))/27,2)</f>
        <v>1.02</v>
      </c>
      <c r="W935" s="24"/>
      <c r="X935" s="24">
        <f>ROUND(($I935*(X$979/12))/27,2)</f>
        <v>1.43</v>
      </c>
      <c r="Y935" s="24"/>
      <c r="Z935" s="24"/>
      <c r="AA935" s="24">
        <f>IF(H935=0,$E935,ROUND(E935*H935,2))</f>
        <v>23.9900000000016</v>
      </c>
      <c r="AB935" s="24"/>
      <c r="AC935" s="24"/>
      <c r="AD935" s="24"/>
      <c r="AE935" s="24"/>
      <c r="AF935" s="271"/>
      <c r="AG935" s="272"/>
      <c r="AI935" s="78"/>
    </row>
    <row r="936" spans="1:35" s="16" customFormat="1" ht="21.75" customHeight="1">
      <c r="A936" s="30">
        <v>17</v>
      </c>
      <c r="B936" s="37">
        <f>C935</f>
        <v>20028.61</v>
      </c>
      <c r="C936" s="38">
        <v>20081.85</v>
      </c>
      <c r="D936" s="39" t="s">
        <v>16</v>
      </c>
      <c r="E936" s="24">
        <f t="shared" si="218"/>
        <v>53.23999999999796</v>
      </c>
      <c r="F936" s="66">
        <v>11</v>
      </c>
      <c r="G936" s="105">
        <f>ROUND((195.3265+($F936/2))/195.3265,4)</f>
        <v>1.0282</v>
      </c>
      <c r="H936" s="105">
        <f>ROUND((195.3265+($F936))/195.3265,4)</f>
        <v>1.0563</v>
      </c>
      <c r="I936" s="24">
        <f>IF(G936=0,ROUND($E936*$F936,2),ROUND($E936*$F936*$G936,2))</f>
        <v>602.16</v>
      </c>
      <c r="J936" s="24"/>
      <c r="K936" s="24"/>
      <c r="L936" s="24"/>
      <c r="M936" s="24">
        <f>IF($H936=0,ROUND($E936*(M$979/12),2),ROUND($E936*$H936*(M$979/12),2))</f>
        <v>84.36</v>
      </c>
      <c r="N936" s="24">
        <f>ROUND((($I936+$M936)*(N$979/12))/27,2)</f>
        <v>12.71</v>
      </c>
      <c r="O936" s="24"/>
      <c r="P936" s="24">
        <f>ROUND(($I936/9),2)</f>
        <v>66.91</v>
      </c>
      <c r="Q936" s="24"/>
      <c r="R936" s="24">
        <f>ROUND((($I936/9)*R$979),2)</f>
        <v>3.68</v>
      </c>
      <c r="S936" s="24"/>
      <c r="T936" s="24">
        <f>ROUND((($I936/9)*T$979),2)</f>
        <v>4.68</v>
      </c>
      <c r="U936" s="24"/>
      <c r="V936" s="24">
        <f>ROUND(($I936*(V$979/12))/27,2)</f>
        <v>2.32</v>
      </c>
      <c r="W936" s="24"/>
      <c r="X936" s="24">
        <f>ROUND(($I936*(X$979/12))/27,2)</f>
        <v>3.25</v>
      </c>
      <c r="Y936" s="24"/>
      <c r="Z936" s="24"/>
      <c r="AA936" s="24"/>
      <c r="AB936" s="24"/>
      <c r="AC936" s="24"/>
      <c r="AD936" s="24"/>
      <c r="AE936" s="24"/>
      <c r="AF936" s="271"/>
      <c r="AG936" s="272"/>
      <c r="AI936" s="78"/>
    </row>
    <row r="937" spans="1:35" s="16" customFormat="1" ht="21.75" customHeight="1">
      <c r="A937" s="30">
        <v>18</v>
      </c>
      <c r="B937" s="37">
        <f>C936</f>
        <v>20081.85</v>
      </c>
      <c r="C937" s="38">
        <v>20101.09</v>
      </c>
      <c r="D937" s="39" t="s">
        <v>16</v>
      </c>
      <c r="E937" s="24">
        <f>C937-B937</f>
        <v>19.2400000000016</v>
      </c>
      <c r="F937" s="66">
        <v>10</v>
      </c>
      <c r="G937" s="104"/>
      <c r="H937" s="104"/>
      <c r="I937" s="24">
        <f>IF(G937=0,ROUND($E937*$F937,2),ROUND($E937*$F937*$G937,2))</f>
        <v>192.4</v>
      </c>
      <c r="J937" s="24"/>
      <c r="K937" s="24"/>
      <c r="L937" s="24"/>
      <c r="M937" s="24">
        <f>IF($H937=0,ROUND($E937*(M$979/12),2),ROUND($E937*$H937*(M$979/12),2))</f>
        <v>28.86</v>
      </c>
      <c r="N937" s="24">
        <f>ROUND((($I937+$M937)*(N$979/12))/27,2)</f>
        <v>4.1</v>
      </c>
      <c r="O937" s="24"/>
      <c r="P937" s="24">
        <f>ROUND(($I937/9),2)</f>
        <v>21.38</v>
      </c>
      <c r="Q937" s="24"/>
      <c r="R937" s="24">
        <f>ROUND((($I937/9)*R$979),2)</f>
        <v>1.18</v>
      </c>
      <c r="S937" s="24"/>
      <c r="T937" s="24">
        <f>ROUND((($I937/9)*T$979),2)</f>
        <v>1.5</v>
      </c>
      <c r="U937" s="24"/>
      <c r="V937" s="24">
        <f>ROUND(($I937*(V$979/12))/27,2)</f>
        <v>0.74</v>
      </c>
      <c r="W937" s="24"/>
      <c r="X937" s="24">
        <f>ROUND(($I937*(X$979/12))/27,2)</f>
        <v>1.04</v>
      </c>
      <c r="Y937" s="24"/>
      <c r="Z937" s="24"/>
      <c r="AA937" s="24"/>
      <c r="AB937" s="24"/>
      <c r="AC937" s="24"/>
      <c r="AD937" s="24"/>
      <c r="AE937" s="24"/>
      <c r="AF937" s="271"/>
      <c r="AG937" s="272"/>
      <c r="AI937" s="78"/>
    </row>
    <row r="938" spans="1:35" s="16" customFormat="1" ht="21.75" customHeight="1">
      <c r="A938" s="30">
        <v>19</v>
      </c>
      <c r="B938" s="37">
        <v>20028.61</v>
      </c>
      <c r="C938" s="38">
        <v>20101.09</v>
      </c>
      <c r="D938" s="39" t="s">
        <v>16</v>
      </c>
      <c r="E938" s="24">
        <f>ROUND(14.2618+20.357+8.9283+6.1167+27.4931,2)</f>
        <v>77.16</v>
      </c>
      <c r="F938" s="213" t="s">
        <v>13</v>
      </c>
      <c r="G938" s="214"/>
      <c r="H938" s="214"/>
      <c r="I938" s="215"/>
      <c r="J938" s="24">
        <f>781.95</f>
        <v>781.95</v>
      </c>
      <c r="K938" s="24"/>
      <c r="L938" s="24"/>
      <c r="M938" s="24">
        <f>ROUND($E938*M$979/12,2)</f>
        <v>115.74</v>
      </c>
      <c r="N938" s="24">
        <f>ROUND((($J938+$M938)*(N$979/12))/27,2)</f>
        <v>16.62</v>
      </c>
      <c r="O938" s="24"/>
      <c r="P938" s="24">
        <f>ROUND(($J938/9),2)</f>
        <v>86.88</v>
      </c>
      <c r="Q938" s="24"/>
      <c r="R938" s="24">
        <f>ROUND((($J938/9)*R$979),2)</f>
        <v>4.78</v>
      </c>
      <c r="S938" s="24"/>
      <c r="T938" s="24">
        <f>ROUND((($J938/9)*T$979),2)</f>
        <v>6.08</v>
      </c>
      <c r="U938" s="24"/>
      <c r="V938" s="24">
        <f>ROUND(($J938*(W$72/12))/27,2)</f>
        <v>3.62</v>
      </c>
      <c r="W938" s="24"/>
      <c r="X938" s="24">
        <f>ROUND(($J938*(X$979/12))/27,2)</f>
        <v>4.22</v>
      </c>
      <c r="Y938" s="24"/>
      <c r="Z938" s="24"/>
      <c r="AA938" s="24">
        <f>IF(H938=0,$E938,ROUND(E938*H938,2))</f>
        <v>77.16</v>
      </c>
      <c r="AB938" s="24"/>
      <c r="AC938" s="24"/>
      <c r="AD938" s="24"/>
      <c r="AE938" s="24"/>
      <c r="AF938" s="271"/>
      <c r="AG938" s="272"/>
      <c r="AI938" s="78"/>
    </row>
    <row r="939" spans="1:35" s="16" customFormat="1" ht="21.75" customHeight="1">
      <c r="A939" s="30">
        <v>20</v>
      </c>
      <c r="B939" s="37">
        <f>C937</f>
        <v>20101.09</v>
      </c>
      <c r="C939" s="38">
        <v>20216.99</v>
      </c>
      <c r="D939" s="39" t="s">
        <v>16</v>
      </c>
      <c r="E939" s="24">
        <f t="shared" si="218"/>
        <v>115.90000000000146</v>
      </c>
      <c r="F939" s="66">
        <v>10</v>
      </c>
      <c r="G939" s="105"/>
      <c r="H939" s="61"/>
      <c r="I939" s="24">
        <f aca="true" t="shared" si="219" ref="I939:I944">IF(G939=0,ROUND($E939*$F939,2),ROUND($E939*$F939*$G939,2))</f>
        <v>1159</v>
      </c>
      <c r="J939" s="24"/>
      <c r="K939" s="24"/>
      <c r="L939" s="24"/>
      <c r="M939" s="24">
        <f aca="true" t="shared" si="220" ref="M939:M944">IF($H939=0,ROUND($E939*(M$979/12),2),ROUND($E939*$H939*(M$979/12),2))</f>
        <v>173.85</v>
      </c>
      <c r="N939" s="24">
        <f>ROUND((($I939+$M939)*(N$979/12))/27,2)</f>
        <v>24.68</v>
      </c>
      <c r="O939" s="24"/>
      <c r="P939" s="24">
        <f>ROUND(($I939/9),2)</f>
        <v>128.78</v>
      </c>
      <c r="Q939" s="24"/>
      <c r="R939" s="24">
        <f>ROUND((($I939/9)*R$979),2)</f>
        <v>7.08</v>
      </c>
      <c r="S939" s="24"/>
      <c r="T939" s="24">
        <f>ROUND((($I939/9)*T$979),2)</f>
        <v>9.01</v>
      </c>
      <c r="U939" s="24"/>
      <c r="V939" s="24">
        <f>ROUND(($I939*(V$979/12))/27,2)</f>
        <v>4.47</v>
      </c>
      <c r="W939" s="24"/>
      <c r="X939" s="24">
        <f>ROUND(($I939*(X$979/12))/27,2)</f>
        <v>6.26</v>
      </c>
      <c r="Y939" s="24"/>
      <c r="Z939" s="24"/>
      <c r="AA939" s="24">
        <f>IF(H939=0,$E939,ROUND(E939*H939,2))</f>
        <v>115.90000000000146</v>
      </c>
      <c r="AB939" s="24"/>
      <c r="AC939" s="24"/>
      <c r="AD939" s="24"/>
      <c r="AE939" s="24"/>
      <c r="AF939" s="271"/>
      <c r="AG939" s="272"/>
      <c r="AI939" s="78"/>
    </row>
    <row r="940" spans="1:35" s="4" customFormat="1" ht="21.75" customHeight="1">
      <c r="A940" s="30">
        <v>21</v>
      </c>
      <c r="B940" s="37">
        <f>C939</f>
        <v>20216.99</v>
      </c>
      <c r="C940" s="38">
        <v>20244.29</v>
      </c>
      <c r="D940" s="39" t="s">
        <v>16</v>
      </c>
      <c r="E940" s="24">
        <f t="shared" si="218"/>
        <v>27.299999999999272</v>
      </c>
      <c r="F940" s="66">
        <f>ROUND((10+12.8)/2,2)</f>
        <v>11.4</v>
      </c>
      <c r="G940" s="105">
        <f>ROUND((286.4789+($F940/2))/286.4789,4)</f>
        <v>1.0199</v>
      </c>
      <c r="H940" s="105">
        <f>ROUND((286.4789+($F940))/286.4789,4)</f>
        <v>1.0398</v>
      </c>
      <c r="I940" s="24">
        <f t="shared" si="219"/>
        <v>317.41</v>
      </c>
      <c r="J940" s="24"/>
      <c r="K940" s="24"/>
      <c r="L940" s="24"/>
      <c r="M940" s="24">
        <f t="shared" si="220"/>
        <v>42.58</v>
      </c>
      <c r="N940" s="24">
        <f>ROUND((($I940+$M940)*(N$979/12))/27,2)</f>
        <v>6.67</v>
      </c>
      <c r="O940" s="24"/>
      <c r="P940" s="24">
        <f>ROUND(($I940/9),2)</f>
        <v>35.27</v>
      </c>
      <c r="Q940" s="24"/>
      <c r="R940" s="24">
        <f>ROUND((($I940/9)*R$979),2)</f>
        <v>1.94</v>
      </c>
      <c r="S940" s="24"/>
      <c r="T940" s="24">
        <f>ROUND((($I940/9)*T$979),2)</f>
        <v>2.47</v>
      </c>
      <c r="U940" s="24"/>
      <c r="V940" s="24">
        <f>ROUND(($I940*(V$979/12))/27,2)</f>
        <v>1.22</v>
      </c>
      <c r="W940" s="24"/>
      <c r="X940" s="24">
        <f>ROUND(($I940*(X$979/12))/27,2)</f>
        <v>1.71</v>
      </c>
      <c r="Y940" s="24"/>
      <c r="Z940" s="24"/>
      <c r="AA940" s="24">
        <f>IF(H940=0,$E940,ROUND(E940*H940,2))</f>
        <v>28.39</v>
      </c>
      <c r="AB940" s="24"/>
      <c r="AC940" s="24"/>
      <c r="AD940" s="24"/>
      <c r="AE940" s="24"/>
      <c r="AF940" s="271"/>
      <c r="AG940" s="272"/>
      <c r="AI940" s="78"/>
    </row>
    <row r="941" spans="1:35" s="4" customFormat="1" ht="21.75" customHeight="1">
      <c r="A941" s="30">
        <v>22</v>
      </c>
      <c r="B941" s="37">
        <f>C940</f>
        <v>20244.29</v>
      </c>
      <c r="C941" s="38">
        <v>20244.64</v>
      </c>
      <c r="D941" s="39" t="s">
        <v>16</v>
      </c>
      <c r="E941" s="24">
        <f t="shared" si="218"/>
        <v>0.3499999999985448</v>
      </c>
      <c r="F941" s="66">
        <v>12.8</v>
      </c>
      <c r="G941" s="24"/>
      <c r="H941" s="61"/>
      <c r="I941" s="24">
        <f t="shared" si="219"/>
        <v>4.48</v>
      </c>
      <c r="J941" s="24"/>
      <c r="K941" s="24"/>
      <c r="L941" s="24"/>
      <c r="M941" s="24">
        <f t="shared" si="220"/>
        <v>0.52</v>
      </c>
      <c r="N941" s="24">
        <f>ROUND((($I941+$M941)*(N$979/12))/27,2)</f>
        <v>0.09</v>
      </c>
      <c r="O941" s="24"/>
      <c r="P941" s="24">
        <f>ROUND(($I941/9),2)</f>
        <v>0.5</v>
      </c>
      <c r="Q941" s="24"/>
      <c r="R941" s="24">
        <f>ROUND((($I941/9)*R$979),2)</f>
        <v>0.03</v>
      </c>
      <c r="S941" s="24"/>
      <c r="T941" s="24">
        <f>ROUND((($I941/9)*T$979),2)</f>
        <v>0.03</v>
      </c>
      <c r="U941" s="24"/>
      <c r="V941" s="24">
        <f>ROUND(($I941*(V$979/12))/27,2)</f>
        <v>0.02</v>
      </c>
      <c r="W941" s="24"/>
      <c r="X941" s="24">
        <f>ROUND(($I941*(X$979/12))/27,2)</f>
        <v>0.02</v>
      </c>
      <c r="Y941" s="24"/>
      <c r="Z941" s="24"/>
      <c r="AA941" s="24">
        <f>IF(H941=0,$E941,ROUND(E941*H941,2))</f>
        <v>0.3499999999985448</v>
      </c>
      <c r="AB941" s="24"/>
      <c r="AC941" s="24"/>
      <c r="AD941" s="24"/>
      <c r="AE941" s="24"/>
      <c r="AF941" s="271"/>
      <c r="AG941" s="272"/>
      <c r="AI941" s="78"/>
    </row>
    <row r="942" spans="1:35" s="4" customFormat="1" ht="21.75" customHeight="1">
      <c r="A942" s="30">
        <v>23</v>
      </c>
      <c r="B942" s="37">
        <v>20402.12</v>
      </c>
      <c r="C942" s="38">
        <v>20633.97</v>
      </c>
      <c r="D942" s="39" t="s">
        <v>16</v>
      </c>
      <c r="E942" s="24">
        <f t="shared" si="218"/>
        <v>231.85000000000218</v>
      </c>
      <c r="F942" s="66">
        <v>16</v>
      </c>
      <c r="G942" s="105"/>
      <c r="H942" s="61"/>
      <c r="I942" s="24">
        <f t="shared" si="219"/>
        <v>3709.6</v>
      </c>
      <c r="J942" s="24"/>
      <c r="K942" s="24"/>
      <c r="L942" s="24"/>
      <c r="M942" s="24">
        <f t="shared" si="220"/>
        <v>347.78</v>
      </c>
      <c r="N942" s="24"/>
      <c r="O942" s="24">
        <f>ROUND((($I942+$M942)*(O$979/12))/27,2)</f>
        <v>75.14</v>
      </c>
      <c r="P942" s="24"/>
      <c r="Q942" s="24">
        <f>ROUND(($I942/9),2)</f>
        <v>412.18</v>
      </c>
      <c r="R942" s="24"/>
      <c r="S942" s="24">
        <f>ROUND((($I942/9)*S$979),2)</f>
        <v>22.67</v>
      </c>
      <c r="T942" s="24"/>
      <c r="U942" s="24">
        <f>ROUND((($I942/9)*U$979),2)</f>
        <v>28.85</v>
      </c>
      <c r="V942" s="24"/>
      <c r="W942" s="24">
        <f>ROUND(($I942*(W$979/12))/27,2)</f>
        <v>14.31</v>
      </c>
      <c r="X942" s="24"/>
      <c r="Y942" s="24">
        <f>ROUND(($I942*(Y$979/12))/27,2)</f>
        <v>20.04</v>
      </c>
      <c r="Z942" s="24"/>
      <c r="AA942" s="24"/>
      <c r="AB942" s="24"/>
      <c r="AC942" s="24">
        <f>IF($H942=0,$E942,ROUND($E942*$H942,2))</f>
        <v>231.85000000000218</v>
      </c>
      <c r="AD942" s="24"/>
      <c r="AE942" s="24"/>
      <c r="AF942" s="271"/>
      <c r="AG942" s="272"/>
      <c r="AI942" s="78"/>
    </row>
    <row r="943" spans="1:35" s="4" customFormat="1" ht="21.75" customHeight="1">
      <c r="A943" s="30">
        <v>24</v>
      </c>
      <c r="B943" s="37">
        <f>C942</f>
        <v>20633.97</v>
      </c>
      <c r="C943" s="38">
        <v>20700.26</v>
      </c>
      <c r="D943" s="39" t="s">
        <v>16</v>
      </c>
      <c r="E943" s="24">
        <f>C943-B943</f>
        <v>66.28999999999724</v>
      </c>
      <c r="F943" s="66">
        <f>ROUND((16+23)/2,2)</f>
        <v>19.5</v>
      </c>
      <c r="G943" s="105"/>
      <c r="H943" s="61"/>
      <c r="I943" s="24">
        <f t="shared" si="219"/>
        <v>1292.65</v>
      </c>
      <c r="J943" s="24"/>
      <c r="K943" s="24"/>
      <c r="L943" s="24"/>
      <c r="M943" s="24">
        <f t="shared" si="220"/>
        <v>99.43</v>
      </c>
      <c r="N943" s="24"/>
      <c r="O943" s="24">
        <f>ROUND((($I943+$M943)*(O$979/12))/27,2)</f>
        <v>25.78</v>
      </c>
      <c r="P943" s="24"/>
      <c r="Q943" s="24">
        <f>ROUND(($I943/9),2)</f>
        <v>143.63</v>
      </c>
      <c r="R943" s="24"/>
      <c r="S943" s="24">
        <f>ROUND((($I943/9)*S$979),2)</f>
        <v>7.9</v>
      </c>
      <c r="T943" s="24"/>
      <c r="U943" s="24">
        <f>ROUND((($I943/9)*U$979),2)</f>
        <v>10.05</v>
      </c>
      <c r="V943" s="24"/>
      <c r="W943" s="24">
        <f>ROUND(($I943*(W$979/12))/27,2)</f>
        <v>4.99</v>
      </c>
      <c r="X943" s="24"/>
      <c r="Y943" s="24">
        <f>ROUND(($I943*(Y$979/12))/27,2)</f>
        <v>6.98</v>
      </c>
      <c r="Z943" s="24"/>
      <c r="AA943" s="24"/>
      <c r="AB943" s="24"/>
      <c r="AC943" s="24">
        <f>IF($H943=0,$E943,ROUND($E943*$H943,2))</f>
        <v>66.28999999999724</v>
      </c>
      <c r="AD943" s="24"/>
      <c r="AE943" s="24"/>
      <c r="AF943" s="271"/>
      <c r="AG943" s="272"/>
      <c r="AI943" s="78"/>
    </row>
    <row r="944" spans="1:35" s="4" customFormat="1" ht="21.75" customHeight="1">
      <c r="A944" s="30">
        <v>25</v>
      </c>
      <c r="B944" s="38">
        <f>C943</f>
        <v>20700.26</v>
      </c>
      <c r="C944" s="38">
        <v>20774</v>
      </c>
      <c r="D944" s="39" t="s">
        <v>16</v>
      </c>
      <c r="E944" s="24">
        <f>C944-B944</f>
        <v>73.7400000000016</v>
      </c>
      <c r="F944" s="66">
        <f>ROUND((23+25.2363)/2,2)</f>
        <v>24.12</v>
      </c>
      <c r="G944" s="105"/>
      <c r="H944" s="61"/>
      <c r="I944" s="24">
        <f t="shared" si="219"/>
        <v>1778.61</v>
      </c>
      <c r="J944" s="24"/>
      <c r="K944" s="24"/>
      <c r="L944" s="24"/>
      <c r="M944" s="24">
        <f t="shared" si="220"/>
        <v>110.61</v>
      </c>
      <c r="N944" s="24"/>
      <c r="O944" s="24">
        <f>ROUND((($I944+$M944)*(O$979/12))/27,2)</f>
        <v>34.99</v>
      </c>
      <c r="P944" s="24"/>
      <c r="Q944" s="24">
        <f>ROUND(($I944/9),2)</f>
        <v>197.62</v>
      </c>
      <c r="R944" s="24"/>
      <c r="S944" s="24">
        <f>ROUND((($I944/9)*S$979),2)</f>
        <v>10.87</v>
      </c>
      <c r="T944" s="24"/>
      <c r="U944" s="24">
        <f>ROUND((($I944/9)*U$979),2)</f>
        <v>13.83</v>
      </c>
      <c r="V944" s="24"/>
      <c r="W944" s="24">
        <f>ROUND(($I944*(W$979/12))/27,2)</f>
        <v>6.86</v>
      </c>
      <c r="X944" s="24"/>
      <c r="Y944" s="24">
        <f>ROUND(($I944*(Y$979/12))/27,2)</f>
        <v>9.61</v>
      </c>
      <c r="Z944" s="24"/>
      <c r="AA944" s="24"/>
      <c r="AB944" s="24"/>
      <c r="AC944" s="24">
        <f>IF($H944=0,$E944,ROUND($E944*$H944,2))</f>
        <v>73.7400000000016</v>
      </c>
      <c r="AD944" s="24"/>
      <c r="AE944" s="24"/>
      <c r="AF944" s="271"/>
      <c r="AG944" s="272"/>
      <c r="AI944" s="78"/>
    </row>
    <row r="945" spans="1:35" s="4" customFormat="1" ht="21.75" customHeight="1">
      <c r="A945" s="30">
        <v>26</v>
      </c>
      <c r="B945" s="37"/>
      <c r="C945" s="38"/>
      <c r="D945" s="39"/>
      <c r="E945" s="24"/>
      <c r="F945" s="66"/>
      <c r="G945" s="105"/>
      <c r="H945" s="61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71"/>
      <c r="AG945" s="272"/>
      <c r="AI945" s="78"/>
    </row>
    <row r="946" spans="1:35" s="4" customFormat="1" ht="21.75" customHeight="1">
      <c r="A946" s="30">
        <v>27</v>
      </c>
      <c r="B946" s="230" t="s">
        <v>57</v>
      </c>
      <c r="C946" s="231"/>
      <c r="D946" s="231"/>
      <c r="E946" s="231"/>
      <c r="F946" s="231"/>
      <c r="G946" s="231"/>
      <c r="H946" s="231"/>
      <c r="I946" s="232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71"/>
      <c r="AG946" s="272"/>
      <c r="AI946" s="78"/>
    </row>
    <row r="947" spans="1:35" s="4" customFormat="1" ht="21.75" customHeight="1">
      <c r="A947" s="30">
        <v>28</v>
      </c>
      <c r="B947" s="67" t="s">
        <v>55</v>
      </c>
      <c r="C947" s="46"/>
      <c r="D947" s="39"/>
      <c r="E947" s="104"/>
      <c r="F947" s="107"/>
      <c r="G947" s="24"/>
      <c r="H947" s="61"/>
      <c r="I947" s="90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71"/>
      <c r="AG947" s="272"/>
      <c r="AI947" s="78"/>
    </row>
    <row r="948" spans="1:35" s="4" customFormat="1" ht="21.75" customHeight="1">
      <c r="A948" s="30">
        <v>29</v>
      </c>
      <c r="B948" s="37">
        <v>14775</v>
      </c>
      <c r="C948" s="38">
        <v>14787.46</v>
      </c>
      <c r="D948" s="24" t="s">
        <v>17</v>
      </c>
      <c r="E948" s="24">
        <f>C948-B948</f>
        <v>12.459999999999127</v>
      </c>
      <c r="F948" s="66">
        <v>23.5</v>
      </c>
      <c r="G948" s="105"/>
      <c r="H948" s="61"/>
      <c r="I948" s="24">
        <f>IF(G948=0,ROUND($E948*$F948,2),ROUND($E948*$F948*$G948,2))</f>
        <v>292.81</v>
      </c>
      <c r="J948" s="24"/>
      <c r="K948" s="24"/>
      <c r="L948" s="24"/>
      <c r="M948" s="24">
        <f>IF($H948=0,ROUND($E948*(M$979/12),2),ROUND($E948*$H948*(M$979/12),2))</f>
        <v>18.69</v>
      </c>
      <c r="N948" s="24">
        <f>ROUND((($I948+$M948)*(N$979/12))/27,2)</f>
        <v>5.77</v>
      </c>
      <c r="O948" s="24"/>
      <c r="P948" s="24">
        <f>ROUND(($I948/9),2)</f>
        <v>32.53</v>
      </c>
      <c r="Q948" s="24"/>
      <c r="R948" s="24">
        <f>ROUND((($I948/9)*R$979),2)</f>
        <v>1.79</v>
      </c>
      <c r="S948" s="24"/>
      <c r="T948" s="24">
        <f>ROUND((($I948/9)*T$979),2)</f>
        <v>2.28</v>
      </c>
      <c r="U948" s="24"/>
      <c r="V948" s="24">
        <f>ROUND(($I948*(V$979/12))/27,2)</f>
        <v>1.13</v>
      </c>
      <c r="W948" s="24"/>
      <c r="X948" s="24">
        <f>ROUND(($I948*(X$979/12))/27,2)</f>
        <v>1.58</v>
      </c>
      <c r="Y948" s="24"/>
      <c r="Z948" s="24"/>
      <c r="AA948" s="24">
        <f>IF($H948=0,$E948,ROUND($E948*$H948,2))</f>
        <v>12.459999999999127</v>
      </c>
      <c r="AB948" s="24"/>
      <c r="AC948" s="24"/>
      <c r="AD948" s="24"/>
      <c r="AE948" s="24"/>
      <c r="AF948" s="271"/>
      <c r="AG948" s="272"/>
      <c r="AI948" s="78"/>
    </row>
    <row r="949" spans="1:35" s="4" customFormat="1" ht="21.75" customHeight="1">
      <c r="A949" s="30">
        <v>30</v>
      </c>
      <c r="B949" s="37">
        <f>C948</f>
        <v>14787.46</v>
      </c>
      <c r="C949" s="38">
        <v>14819.22</v>
      </c>
      <c r="D949" s="24" t="s">
        <v>17</v>
      </c>
      <c r="E949" s="24">
        <f>C949-B949</f>
        <v>31.76000000000022</v>
      </c>
      <c r="F949" s="66">
        <f>ROUND((23.5+25.0901)/2,2)</f>
        <v>24.3</v>
      </c>
      <c r="G949" s="105"/>
      <c r="H949" s="61"/>
      <c r="I949" s="24">
        <f>IF(G949=0,ROUND($E949*$F949,2),ROUND($E949*$F949*$G949,2))</f>
        <v>771.77</v>
      </c>
      <c r="J949" s="24"/>
      <c r="K949" s="24"/>
      <c r="L949" s="24"/>
      <c r="M949" s="24">
        <f>IF($H949=0,ROUND($E949*(M$979/12),2),ROUND($E949*$H949*(M$979/12),2))</f>
        <v>47.64</v>
      </c>
      <c r="N949" s="24">
        <f>ROUND((($I949+$M949)*(N$979/12))/27,2)</f>
        <v>15.17</v>
      </c>
      <c r="O949" s="24"/>
      <c r="P949" s="24">
        <f>ROUND(($I949/9),2)</f>
        <v>85.75</v>
      </c>
      <c r="Q949" s="24"/>
      <c r="R949" s="24">
        <f>ROUND((($I949/9)*R$979),2)</f>
        <v>4.72</v>
      </c>
      <c r="S949" s="24"/>
      <c r="T949" s="24">
        <f>ROUND((($I949/9)*T$979),2)</f>
        <v>6</v>
      </c>
      <c r="U949" s="24"/>
      <c r="V949" s="24">
        <f>ROUND(($I949*(V$979/12))/27,2)</f>
        <v>2.98</v>
      </c>
      <c r="W949" s="24"/>
      <c r="X949" s="24">
        <f>ROUND(($I949*(X$979/12))/27,2)</f>
        <v>4.17</v>
      </c>
      <c r="Y949" s="24"/>
      <c r="Z949" s="24"/>
      <c r="AA949" s="24">
        <f>IF($H949=0,$E949,ROUND($E949*$H949,2))</f>
        <v>31.76000000000022</v>
      </c>
      <c r="AB949" s="24"/>
      <c r="AC949" s="24"/>
      <c r="AD949" s="24"/>
      <c r="AE949" s="24"/>
      <c r="AF949" s="271"/>
      <c r="AG949" s="272"/>
      <c r="AI949" s="78"/>
    </row>
    <row r="950" spans="1:35" s="4" customFormat="1" ht="21.75" customHeight="1">
      <c r="A950" s="30">
        <v>31</v>
      </c>
      <c r="B950" s="37">
        <f>C949</f>
        <v>14819.22</v>
      </c>
      <c r="C950" s="38">
        <v>14821.47</v>
      </c>
      <c r="D950" s="39" t="s">
        <v>17</v>
      </c>
      <c r="E950" s="24">
        <v>8.95</v>
      </c>
      <c r="F950" s="213" t="s">
        <v>13</v>
      </c>
      <c r="G950" s="214"/>
      <c r="H950" s="214"/>
      <c r="I950" s="215"/>
      <c r="J950" s="24">
        <v>108.13</v>
      </c>
      <c r="K950" s="24"/>
      <c r="L950" s="24"/>
      <c r="M950" s="24">
        <f>ROUND($E950*M$979/12,2)</f>
        <v>13.43</v>
      </c>
      <c r="N950" s="24">
        <f>ROUND((($J950+$M950)*(N$979/12))/27,2)</f>
        <v>2.25</v>
      </c>
      <c r="O950" s="24"/>
      <c r="P950" s="24">
        <f>ROUND(($J950/9),2)</f>
        <v>12.01</v>
      </c>
      <c r="Q950" s="24"/>
      <c r="R950" s="24">
        <f>ROUND((($J950/9)*R$979),2)</f>
        <v>0.66</v>
      </c>
      <c r="S950" s="24"/>
      <c r="T950" s="24">
        <f>ROUND((($J950/9)*T$979),2)</f>
        <v>0.84</v>
      </c>
      <c r="U950" s="24"/>
      <c r="V950" s="24">
        <f>ROUND(($J950*(V$979/12))/27,2)</f>
        <v>0.42</v>
      </c>
      <c r="W950" s="24"/>
      <c r="X950" s="24">
        <f>ROUND(($J950*(X$979/12))/27,2)</f>
        <v>0.58</v>
      </c>
      <c r="Y950" s="24"/>
      <c r="Z950" s="24"/>
      <c r="AA950" s="24">
        <f>IF($H950=0,$E950,ROUND($E950*$H950,2))</f>
        <v>8.95</v>
      </c>
      <c r="AB950" s="24"/>
      <c r="AC950" s="24"/>
      <c r="AD950" s="24"/>
      <c r="AE950" s="24"/>
      <c r="AF950" s="271"/>
      <c r="AG950" s="272"/>
      <c r="AI950" s="78"/>
    </row>
    <row r="951" spans="1:35" s="4" customFormat="1" ht="21.75" customHeight="1">
      <c r="A951" s="30">
        <v>32</v>
      </c>
      <c r="B951" s="115">
        <f>C950</f>
        <v>14821.47</v>
      </c>
      <c r="C951" s="116">
        <v>14825.58</v>
      </c>
      <c r="D951" s="39" t="s">
        <v>17</v>
      </c>
      <c r="E951" s="24">
        <v>4.26</v>
      </c>
      <c r="F951" s="213" t="s">
        <v>13</v>
      </c>
      <c r="G951" s="214"/>
      <c r="H951" s="214"/>
      <c r="I951" s="215"/>
      <c r="J951" s="24">
        <v>76.81</v>
      </c>
      <c r="K951" s="24"/>
      <c r="L951" s="24"/>
      <c r="M951" s="24">
        <f>ROUND($E951*M$979/12,2)</f>
        <v>6.39</v>
      </c>
      <c r="N951" s="24">
        <f>ROUND((($J951+$M951)*(N$979/12))/27,2)</f>
        <v>1.54</v>
      </c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75"/>
      <c r="Z951" s="24"/>
      <c r="AA951" s="24">
        <f>IF($H951=0,$E951,ROUND($E951*$H951,2))</f>
        <v>4.26</v>
      </c>
      <c r="AB951" s="24"/>
      <c r="AC951" s="24"/>
      <c r="AD951" s="24"/>
      <c r="AE951" s="24">
        <v>19.52</v>
      </c>
      <c r="AF951" s="271"/>
      <c r="AG951" s="272"/>
      <c r="AI951" s="78"/>
    </row>
    <row r="952" spans="1:35" s="4" customFormat="1" ht="21.75" customHeight="1">
      <c r="A952" s="30">
        <v>33</v>
      </c>
      <c r="B952" s="102">
        <f>C951</f>
        <v>14825.58</v>
      </c>
      <c r="C952" s="103">
        <v>14826.61</v>
      </c>
      <c r="D952" s="39" t="s">
        <v>17</v>
      </c>
      <c r="E952" s="24">
        <f>C952-B952</f>
        <v>1.0300000000006548</v>
      </c>
      <c r="F952" s="213" t="s">
        <v>13</v>
      </c>
      <c r="G952" s="214"/>
      <c r="H952" s="214"/>
      <c r="I952" s="215"/>
      <c r="J952" s="74">
        <v>19.17</v>
      </c>
      <c r="K952" s="24"/>
      <c r="L952" s="24"/>
      <c r="M952" s="24">
        <f>ROUND($E952*M$979/12,2)</f>
        <v>1.55</v>
      </c>
      <c r="N952" s="24"/>
      <c r="O952" s="24">
        <f>ROUND((($J952+$M952)*(O$979/12))/27,2)</f>
        <v>0.38</v>
      </c>
      <c r="P952" s="24"/>
      <c r="Q952" s="24"/>
      <c r="R952" s="24"/>
      <c r="S952" s="74"/>
      <c r="T952" s="24"/>
      <c r="U952" s="74"/>
      <c r="V952" s="24"/>
      <c r="W952" s="24"/>
      <c r="X952" s="24"/>
      <c r="Y952" s="24"/>
      <c r="Z952" s="24">
        <f>ROUND(($J952/9),2)</f>
        <v>2.13</v>
      </c>
      <c r="AA952" s="24">
        <f>IF($H952=0,$E952,ROUND($E952*$H952,2))</f>
        <v>1.0300000000006548</v>
      </c>
      <c r="AB952" s="24"/>
      <c r="AC952" s="24"/>
      <c r="AD952" s="24"/>
      <c r="AE952" s="74"/>
      <c r="AF952" s="271"/>
      <c r="AG952" s="272"/>
      <c r="AI952" s="78"/>
    </row>
    <row r="953" spans="1:35" s="4" customFormat="1" ht="21.75" customHeight="1">
      <c r="A953" s="30">
        <v>34</v>
      </c>
      <c r="B953" s="38"/>
      <c r="C953" s="38"/>
      <c r="D953" s="39"/>
      <c r="E953" s="24"/>
      <c r="F953" s="66"/>
      <c r="G953" s="105"/>
      <c r="H953" s="105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71"/>
      <c r="AG953" s="272"/>
      <c r="AI953" s="78"/>
    </row>
    <row r="954" spans="1:35" s="4" customFormat="1" ht="21.75" customHeight="1">
      <c r="A954" s="30">
        <v>35</v>
      </c>
      <c r="B954" s="38">
        <v>15139.35</v>
      </c>
      <c r="C954" s="38">
        <v>15140.35</v>
      </c>
      <c r="D954" s="39" t="s">
        <v>17</v>
      </c>
      <c r="E954" s="24">
        <f>C954-B954</f>
        <v>1</v>
      </c>
      <c r="F954" s="66">
        <f>ROUND((28.3056+28.286)/2,2)</f>
        <v>28.3</v>
      </c>
      <c r="G954" s="105"/>
      <c r="H954" s="105"/>
      <c r="I954" s="24">
        <f>IF(G954=0,ROUND($E954*$F954,2),ROUND($E954*$F954*$G954,2))</f>
        <v>28.3</v>
      </c>
      <c r="J954" s="24"/>
      <c r="K954" s="24"/>
      <c r="L954" s="24"/>
      <c r="M954" s="24">
        <f>IF($H954=0,ROUND($E954*(M$979/12),2),ROUND($E954*$H954*(M$979/12),2))</f>
        <v>1.5</v>
      </c>
      <c r="N954" s="24"/>
      <c r="O954" s="24">
        <f>ROUND((($I954+$M954)*(O$979/12))/27,2)</f>
        <v>0.55</v>
      </c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>
        <f>ROUND(($I954/9),2)</f>
        <v>3.14</v>
      </c>
      <c r="AA954" s="24"/>
      <c r="AB954" s="24">
        <f>IF($H954=0,$E954,ROUND($E954*$H954,2))</f>
        <v>1</v>
      </c>
      <c r="AC954" s="24"/>
      <c r="AD954" s="24"/>
      <c r="AE954" s="24"/>
      <c r="AF954" s="271"/>
      <c r="AG954" s="272"/>
      <c r="AI954" s="78"/>
    </row>
    <row r="955" spans="1:35" s="4" customFormat="1" ht="21.75" customHeight="1">
      <c r="A955" s="30">
        <v>36</v>
      </c>
      <c r="B955" s="37">
        <f>C954</f>
        <v>15140.35</v>
      </c>
      <c r="C955" s="38">
        <v>15144.35</v>
      </c>
      <c r="D955" s="39" t="s">
        <v>17</v>
      </c>
      <c r="E955" s="24">
        <f>C955-B955</f>
        <v>4</v>
      </c>
      <c r="F955" s="66">
        <f>ROUND((28.2074+28.286)/2,2)</f>
        <v>28.25</v>
      </c>
      <c r="G955" s="105"/>
      <c r="H955" s="105"/>
      <c r="I955" s="24">
        <f>IF(G955=0,ROUND($E955*$F955,2),ROUND($E955*$F955*$G955,2))</f>
        <v>113</v>
      </c>
      <c r="J955" s="24"/>
      <c r="K955" s="24"/>
      <c r="L955" s="24"/>
      <c r="M955" s="24">
        <f>IF($H955=0,ROUND($E955*(M$979/12),2),ROUND($E955*$H955*(M$979/12),2))</f>
        <v>6</v>
      </c>
      <c r="N955" s="24">
        <f>ROUND((($I955+$M955)*(N$979/12))/27,2)</f>
        <v>2.2</v>
      </c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>
        <f>IF($H955=0,$E955,ROUND($E955*$H955,2))</f>
        <v>4</v>
      </c>
      <c r="AC955" s="24"/>
      <c r="AD955" s="24"/>
      <c r="AE955" s="24">
        <v>28.29</v>
      </c>
      <c r="AF955" s="271"/>
      <c r="AG955" s="272"/>
      <c r="AI955" s="78"/>
    </row>
    <row r="956" spans="1:35" s="4" customFormat="1" ht="21.75" customHeight="1">
      <c r="A956" s="30">
        <v>37</v>
      </c>
      <c r="B956" s="37">
        <v>15144.35</v>
      </c>
      <c r="C956" s="38">
        <v>15250</v>
      </c>
      <c r="D956" s="39" t="s">
        <v>17</v>
      </c>
      <c r="E956" s="24">
        <f>C956-B956</f>
        <v>105.64999999999964</v>
      </c>
      <c r="F956" s="66">
        <f>ROUND((28.2074+26.1326)/2,2)</f>
        <v>27.17</v>
      </c>
      <c r="G956" s="105"/>
      <c r="H956" s="105"/>
      <c r="I956" s="24">
        <f>IF(G956=0,ROUND($E956*$F956,2),ROUND($E956*$F956*$G956,2))</f>
        <v>2870.51</v>
      </c>
      <c r="J956" s="24"/>
      <c r="K956" s="24"/>
      <c r="L956" s="24"/>
      <c r="M956" s="24">
        <f>IF($H956=0,ROUND($E956*(M$979/12),2),ROUND($E956*$H956*(M$979/12),2))</f>
        <v>158.47</v>
      </c>
      <c r="N956" s="24">
        <f>ROUND((($I956+$M956)*(N$979/12))/27,2)</f>
        <v>56.09</v>
      </c>
      <c r="O956" s="24"/>
      <c r="P956" s="24">
        <f>ROUND(($I956/9),2)</f>
        <v>318.95</v>
      </c>
      <c r="Q956" s="24"/>
      <c r="R956" s="24">
        <f>ROUND((($I956/9)*R$979),2)</f>
        <v>17.54</v>
      </c>
      <c r="S956" s="24"/>
      <c r="T956" s="24">
        <f>ROUND((($I956/9)*T$979),2)</f>
        <v>22.33</v>
      </c>
      <c r="U956" s="24"/>
      <c r="V956" s="24">
        <f>ROUND(($I956*(V$979/12))/27,2)</f>
        <v>11.07</v>
      </c>
      <c r="W956" s="24"/>
      <c r="X956" s="24">
        <f>ROUND(($I956*(X$979/12))/27,2)</f>
        <v>15.5</v>
      </c>
      <c r="Y956" s="24"/>
      <c r="Z956" s="24"/>
      <c r="AA956" s="24"/>
      <c r="AB956" s="24">
        <f>IF($H956=0,$E956,ROUND($E956*$H956,2))</f>
        <v>105.64999999999964</v>
      </c>
      <c r="AC956" s="24"/>
      <c r="AD956" s="24"/>
      <c r="AE956" s="24"/>
      <c r="AF956" s="271"/>
      <c r="AG956" s="272"/>
      <c r="AI956" s="78"/>
    </row>
    <row r="957" spans="1:35" s="4" customFormat="1" ht="21.75" customHeight="1" thickBot="1">
      <c r="A957" s="30">
        <v>38</v>
      </c>
      <c r="B957" s="38">
        <v>15520.64</v>
      </c>
      <c r="C957" s="38">
        <v>15521.64</v>
      </c>
      <c r="D957" s="39" t="s">
        <v>17</v>
      </c>
      <c r="E957" s="24">
        <f>C957-B957</f>
        <v>1</v>
      </c>
      <c r="F957" s="66">
        <v>26.95</v>
      </c>
      <c r="G957" s="66"/>
      <c r="H957" s="24"/>
      <c r="I957" s="24">
        <f>IF(G957=0,ROUND($E957*$F957,2),ROUND($E957*$F957*$G957,2))</f>
        <v>26.95</v>
      </c>
      <c r="J957" s="24"/>
      <c r="K957" s="24"/>
      <c r="L957" s="24"/>
      <c r="M957" s="24">
        <f>IF($H957=0,ROUND($E957*(M$979/12),2),ROUND($E957*$H957*(M$979/12),2))</f>
        <v>1.5</v>
      </c>
      <c r="N957" s="24"/>
      <c r="O957" s="24">
        <f>ROUND((($I957+$M957)*(O$979/12))/27,2)</f>
        <v>0.53</v>
      </c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>
        <f>ROUND(($I957/9),2)</f>
        <v>2.99</v>
      </c>
      <c r="AA957" s="24"/>
      <c r="AB957" s="24"/>
      <c r="AC957" s="24"/>
      <c r="AD957" s="24"/>
      <c r="AE957" s="24"/>
      <c r="AF957" s="281"/>
      <c r="AG957" s="275"/>
      <c r="AI957" s="78"/>
    </row>
    <row r="958" spans="1:35" s="4" customFormat="1" ht="21.75" customHeight="1">
      <c r="A958" s="30">
        <v>39</v>
      </c>
      <c r="B958" s="38"/>
      <c r="C958" s="38"/>
      <c r="D958" s="39"/>
      <c r="E958" s="24"/>
      <c r="F958" s="66"/>
      <c r="G958" s="105"/>
      <c r="H958" s="105"/>
      <c r="I958" s="24"/>
      <c r="J958" s="7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69" t="s">
        <v>39</v>
      </c>
      <c r="AG958" s="270"/>
      <c r="AI958" s="78"/>
    </row>
    <row r="959" spans="1:35" s="4" customFormat="1" ht="21.75" customHeight="1">
      <c r="A959" s="30">
        <v>40</v>
      </c>
      <c r="B959" s="37">
        <v>14775</v>
      </c>
      <c r="C959" s="38">
        <v>14778</v>
      </c>
      <c r="D959" s="39" t="s">
        <v>16</v>
      </c>
      <c r="E959" s="24">
        <f>C959-B959</f>
        <v>3</v>
      </c>
      <c r="F959" s="66">
        <f>ROUND((22.8317+22.75)/2,2)</f>
        <v>22.79</v>
      </c>
      <c r="G959" s="105"/>
      <c r="H959" s="105"/>
      <c r="I959" s="24">
        <f>IF(G959=0,ROUND($E959*$F959,2),ROUND($E959*$F959*$G959,2))</f>
        <v>68.37</v>
      </c>
      <c r="J959" s="24"/>
      <c r="K959" s="24"/>
      <c r="L959" s="24"/>
      <c r="M959" s="24">
        <f>IF($H959=0,ROUND($E959*(M$979/12),2),ROUND($E959*$H959*(M$979/12),2))</f>
        <v>4.5</v>
      </c>
      <c r="N959" s="24">
        <f>ROUND((($I959+$M959)*(N$979/12))/27,2)</f>
        <v>1.35</v>
      </c>
      <c r="O959" s="24"/>
      <c r="P959" s="24">
        <f>ROUND(($I959/9),2)</f>
        <v>7.6</v>
      </c>
      <c r="Q959" s="24"/>
      <c r="R959" s="24">
        <f>ROUND((($I959/9)*R$979),2)</f>
        <v>0.42</v>
      </c>
      <c r="S959" s="24"/>
      <c r="T959" s="24">
        <f>ROUND((($I959/9)*T$979),2)</f>
        <v>0.53</v>
      </c>
      <c r="U959" s="24"/>
      <c r="V959" s="24">
        <f>ROUND(($I959*(V$979/12))/27,2)</f>
        <v>0.26</v>
      </c>
      <c r="W959" s="24"/>
      <c r="X959" s="24">
        <f>ROUND(($I959*(X$979/12))/27,2)</f>
        <v>0.37</v>
      </c>
      <c r="Y959" s="24"/>
      <c r="Z959" s="24"/>
      <c r="AA959" s="24">
        <f>IF($H959=0,$E959,ROUND($E959*$H959,2))</f>
        <v>3</v>
      </c>
      <c r="AB959" s="24"/>
      <c r="AC959" s="24"/>
      <c r="AD959" s="24"/>
      <c r="AE959" s="24"/>
      <c r="AF959" s="271"/>
      <c r="AG959" s="272"/>
      <c r="AI959" s="78"/>
    </row>
    <row r="960" spans="1:35" s="4" customFormat="1" ht="21.75" customHeight="1">
      <c r="A960" s="30">
        <v>41</v>
      </c>
      <c r="B960" s="37">
        <f>C959</f>
        <v>14778</v>
      </c>
      <c r="C960" s="38">
        <v>14810.77</v>
      </c>
      <c r="D960" s="39" t="s">
        <v>16</v>
      </c>
      <c r="E960" s="24">
        <f>C960-B960</f>
        <v>32.77000000000044</v>
      </c>
      <c r="F960" s="66">
        <v>22.75</v>
      </c>
      <c r="G960" s="105"/>
      <c r="H960" s="105"/>
      <c r="I960" s="24">
        <f>IF(G960=0,ROUND($E960*$F960,2),ROUND($E960*$F960*$G960,2))</f>
        <v>745.52</v>
      </c>
      <c r="J960" s="24"/>
      <c r="K960" s="24"/>
      <c r="L960" s="24"/>
      <c r="M960" s="24">
        <f>IF($H960=0,ROUND($E960*(M$979/12),2),ROUND($E960*$H960*(M$979/12),2))</f>
        <v>49.16</v>
      </c>
      <c r="N960" s="24">
        <f>ROUND((($I960+$M960)*(N$979/12))/27,2)</f>
        <v>14.72</v>
      </c>
      <c r="O960" s="24"/>
      <c r="P960" s="24">
        <f>ROUND(($I960/9),2)</f>
        <v>82.84</v>
      </c>
      <c r="Q960" s="24"/>
      <c r="R960" s="24">
        <f>ROUND((($I960/9)*R$979),2)</f>
        <v>4.56</v>
      </c>
      <c r="S960" s="24"/>
      <c r="T960" s="24">
        <f>ROUND((($I960/9)*T$979),2)</f>
        <v>5.8</v>
      </c>
      <c r="U960" s="24"/>
      <c r="V960" s="24">
        <f>ROUND(($I960*(V$979/12))/27,2)</f>
        <v>2.88</v>
      </c>
      <c r="W960" s="24"/>
      <c r="X960" s="24">
        <f>ROUND(($I960*(X$979/12))/27,2)</f>
        <v>4.03</v>
      </c>
      <c r="Y960" s="24"/>
      <c r="Z960" s="24"/>
      <c r="AA960" s="24">
        <f>IF($H960=0,$E960,ROUND($E960*$H960,2))</f>
        <v>32.77000000000044</v>
      </c>
      <c r="AB960" s="24"/>
      <c r="AC960" s="24"/>
      <c r="AD960" s="24"/>
      <c r="AE960" s="24"/>
      <c r="AF960" s="271"/>
      <c r="AG960" s="272"/>
      <c r="AI960" s="78"/>
    </row>
    <row r="961" spans="1:35" s="4" customFormat="1" ht="21.75" customHeight="1">
      <c r="A961" s="30">
        <v>42</v>
      </c>
      <c r="B961" s="37">
        <f>C960</f>
        <v>14810.77</v>
      </c>
      <c r="C961" s="38">
        <v>14821.47</v>
      </c>
      <c r="D961" s="39" t="s">
        <v>16</v>
      </c>
      <c r="E961" s="24">
        <v>5.2</v>
      </c>
      <c r="F961" s="213" t="s">
        <v>13</v>
      </c>
      <c r="G961" s="214"/>
      <c r="H961" s="214"/>
      <c r="I961" s="215"/>
      <c r="J961" s="24">
        <v>182.64</v>
      </c>
      <c r="K961" s="24"/>
      <c r="L961" s="24"/>
      <c r="M961" s="24">
        <f>ROUND($E961*M$979/12,2)</f>
        <v>7.8</v>
      </c>
      <c r="N961" s="24">
        <f>ROUND((($J961+$M961)*(N$979/12))/27,2)</f>
        <v>3.53</v>
      </c>
      <c r="O961" s="24"/>
      <c r="P961" s="24">
        <f>ROUND(($J961/9),2)</f>
        <v>20.29</v>
      </c>
      <c r="Q961" s="24"/>
      <c r="R961" s="24">
        <f>ROUND((($J961/9)*R$979),2)</f>
        <v>1.12</v>
      </c>
      <c r="S961" s="24"/>
      <c r="T961" s="24">
        <f>ROUND((($J961/9)*T$979),2)</f>
        <v>1.42</v>
      </c>
      <c r="U961" s="24"/>
      <c r="V961" s="24">
        <f>ROUND(($J961*(V$979/12))/27,2)</f>
        <v>0.7</v>
      </c>
      <c r="W961" s="24"/>
      <c r="X961" s="24">
        <f>ROUND(($J961*(X$979/12))/27,2)</f>
        <v>0.99</v>
      </c>
      <c r="Y961" s="24"/>
      <c r="Z961" s="24"/>
      <c r="AA961" s="24">
        <f>IF($H961=0,$E961,ROUND($E961*$H961,2))</f>
        <v>5.2</v>
      </c>
      <c r="AB961" s="24"/>
      <c r="AC961" s="24"/>
      <c r="AD961" s="24"/>
      <c r="AE961" s="24"/>
      <c r="AF961" s="271"/>
      <c r="AG961" s="272"/>
      <c r="AI961" s="78"/>
    </row>
    <row r="962" spans="1:35" s="4" customFormat="1" ht="21.75" customHeight="1">
      <c r="A962" s="30">
        <v>43</v>
      </c>
      <c r="B962" s="37">
        <f>C961</f>
        <v>14821.47</v>
      </c>
      <c r="C962" s="38">
        <v>14825.58</v>
      </c>
      <c r="D962" s="39" t="s">
        <v>16</v>
      </c>
      <c r="E962" s="24">
        <v>4</v>
      </c>
      <c r="F962" s="213" t="s">
        <v>13</v>
      </c>
      <c r="G962" s="214"/>
      <c r="H962" s="214"/>
      <c r="I962" s="215"/>
      <c r="J962" s="24">
        <f>ROUND(96.6657,2)</f>
        <v>96.67</v>
      </c>
      <c r="K962" s="24"/>
      <c r="L962" s="24"/>
      <c r="M962" s="24">
        <f>ROUND($E962*M$979/12,2)</f>
        <v>6</v>
      </c>
      <c r="N962" s="24">
        <f>ROUND((($J962+$M962)*(N$979/12))/27,2)</f>
        <v>1.9</v>
      </c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>
        <f>IF($H962=0,$E962,ROUND($E962*$H962,2))</f>
        <v>4</v>
      </c>
      <c r="AB962" s="24"/>
      <c r="AC962" s="24"/>
      <c r="AD962" s="24"/>
      <c r="AE962" s="24">
        <v>24.2</v>
      </c>
      <c r="AF962" s="271"/>
      <c r="AG962" s="272"/>
      <c r="AI962" s="78"/>
    </row>
    <row r="963" spans="1:35" s="4" customFormat="1" ht="21.75" customHeight="1">
      <c r="A963" s="30">
        <v>44</v>
      </c>
      <c r="B963" s="37">
        <f>C962</f>
        <v>14825.58</v>
      </c>
      <c r="C963" s="38">
        <v>14826.61</v>
      </c>
      <c r="D963" s="39" t="s">
        <v>16</v>
      </c>
      <c r="E963" s="24">
        <f aca="true" t="shared" si="221" ref="E963:E969">C963-B963</f>
        <v>1.0300000000006548</v>
      </c>
      <c r="F963" s="213" t="s">
        <v>13</v>
      </c>
      <c r="G963" s="214"/>
      <c r="H963" s="214"/>
      <c r="I963" s="215"/>
      <c r="J963" s="24">
        <v>24.76</v>
      </c>
      <c r="K963" s="24"/>
      <c r="L963" s="24"/>
      <c r="M963" s="24">
        <f>ROUND($E963*M$979/12,2)</f>
        <v>1.55</v>
      </c>
      <c r="N963" s="24"/>
      <c r="O963" s="24">
        <f>ROUND((($J963+$M963)*(O$979/12))/27,2)</f>
        <v>0.49</v>
      </c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>
        <f>ROUND(($J963/9),2)</f>
        <v>2.75</v>
      </c>
      <c r="AA963" s="24">
        <f>IF($H963=0,$E963,ROUND($E963*$H963,2))</f>
        <v>1.0300000000006548</v>
      </c>
      <c r="AB963" s="24"/>
      <c r="AC963" s="24"/>
      <c r="AD963" s="24"/>
      <c r="AE963" s="24"/>
      <c r="AF963" s="271"/>
      <c r="AG963" s="272"/>
      <c r="AI963" s="78"/>
    </row>
    <row r="964" spans="1:35" s="4" customFormat="1" ht="21.75" customHeight="1">
      <c r="A964" s="30">
        <v>45</v>
      </c>
      <c r="B964" s="37"/>
      <c r="C964" s="38"/>
      <c r="D964" s="39"/>
      <c r="E964" s="24"/>
      <c r="F964" s="66"/>
      <c r="G964" s="105"/>
      <c r="H964" s="105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71"/>
      <c r="AG964" s="272"/>
      <c r="AI964" s="78"/>
    </row>
    <row r="965" spans="1:35" s="4" customFormat="1" ht="21.75" customHeight="1">
      <c r="A965" s="30">
        <v>46</v>
      </c>
      <c r="B965" s="38">
        <v>15139.35</v>
      </c>
      <c r="C965" s="38">
        <v>15140.35</v>
      </c>
      <c r="D965" s="39" t="s">
        <v>16</v>
      </c>
      <c r="E965" s="24">
        <f>C965-B965</f>
        <v>1</v>
      </c>
      <c r="F965" s="66">
        <v>26.6</v>
      </c>
      <c r="G965" s="105"/>
      <c r="H965" s="105"/>
      <c r="I965" s="24">
        <f aca="true" t="shared" si="222" ref="I965:I972">IF(G965=0,ROUND($E965*$F965,2),ROUND($E965*$F965*$G965,2))</f>
        <v>26.6</v>
      </c>
      <c r="J965" s="24"/>
      <c r="K965" s="24"/>
      <c r="L965" s="24">
        <f>IF($H965=0,ROUND($E965*(L$979/12),2),ROUND($E965*$H965*(L$979/12),2))</f>
        <v>1</v>
      </c>
      <c r="M965" s="24"/>
      <c r="N965" s="24"/>
      <c r="O965" s="24">
        <f>ROUND((($I965+$L965)*(O$979/12))/27,2)</f>
        <v>0.51</v>
      </c>
      <c r="P965" s="24"/>
      <c r="Q965" s="24"/>
      <c r="R965" s="24"/>
      <c r="S965" s="74"/>
      <c r="T965" s="24"/>
      <c r="U965" s="74"/>
      <c r="V965" s="24"/>
      <c r="W965" s="24"/>
      <c r="X965" s="24"/>
      <c r="Y965" s="24"/>
      <c r="Z965" s="24">
        <f>ROUND(($I965/9),2)</f>
        <v>2.96</v>
      </c>
      <c r="AA965" s="24"/>
      <c r="AB965" s="24">
        <f aca="true" t="shared" si="223" ref="AB965:AB971">IF($H965=0,$E965,ROUND($E965*$H965,2))</f>
        <v>1</v>
      </c>
      <c r="AC965" s="74"/>
      <c r="AD965" s="74"/>
      <c r="AE965" s="74"/>
      <c r="AF965" s="271"/>
      <c r="AG965" s="272"/>
      <c r="AI965" s="78"/>
    </row>
    <row r="966" spans="1:35" s="4" customFormat="1" ht="21.75" customHeight="1">
      <c r="A966" s="30">
        <v>47</v>
      </c>
      <c r="B966" s="37">
        <v>15140.35</v>
      </c>
      <c r="C966" s="38">
        <v>15144.35</v>
      </c>
      <c r="D966" s="39" t="s">
        <v>16</v>
      </c>
      <c r="E966" s="24">
        <f t="shared" si="221"/>
        <v>4</v>
      </c>
      <c r="F966" s="66">
        <v>26.6</v>
      </c>
      <c r="G966" s="105"/>
      <c r="H966" s="105"/>
      <c r="I966" s="24">
        <f t="shared" si="222"/>
        <v>106.4</v>
      </c>
      <c r="J966" s="24"/>
      <c r="K966" s="24">
        <f>IF($H966=0,ROUND($E966*(K$979/12),2),ROUND($E966*$H966*(K$979/12),2))</f>
        <v>2</v>
      </c>
      <c r="L966" s="24"/>
      <c r="M966" s="24"/>
      <c r="N966" s="24">
        <f>ROUND((($I966+$K966)*(N$979/12))/27,2)</f>
        <v>2.01</v>
      </c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>
        <f t="shared" si="223"/>
        <v>4</v>
      </c>
      <c r="AC966" s="24"/>
      <c r="AD966" s="24"/>
      <c r="AE966" s="24">
        <v>26.6</v>
      </c>
      <c r="AF966" s="271"/>
      <c r="AG966" s="272"/>
      <c r="AI966" s="78"/>
    </row>
    <row r="967" spans="1:35" s="4" customFormat="1" ht="21.75" customHeight="1">
      <c r="A967" s="30">
        <v>48</v>
      </c>
      <c r="B967" s="37">
        <v>15144.35</v>
      </c>
      <c r="C967" s="37">
        <v>15218.08</v>
      </c>
      <c r="D967" s="39" t="s">
        <v>16</v>
      </c>
      <c r="E967" s="24">
        <f t="shared" si="221"/>
        <v>73.72999999999956</v>
      </c>
      <c r="F967" s="66">
        <f>ROUND((26.6009+26.4842)/2,2)</f>
        <v>26.54</v>
      </c>
      <c r="G967" s="105"/>
      <c r="H967" s="105"/>
      <c r="I967" s="24">
        <f t="shared" si="222"/>
        <v>1956.79</v>
      </c>
      <c r="J967" s="24"/>
      <c r="K967" s="24">
        <f>IF($H967=0,ROUND($E967*(K$979/12),2),ROUND($E967*$H967*(K$979/12),2))</f>
        <v>36.86</v>
      </c>
      <c r="L967" s="24"/>
      <c r="M967" s="24"/>
      <c r="N967" s="24">
        <f>ROUND((($I967+$K967)*(N$979/12))/27,2)</f>
        <v>36.92</v>
      </c>
      <c r="O967" s="24"/>
      <c r="P967" s="24">
        <f>ROUND(($I967/9),2)</f>
        <v>217.42</v>
      </c>
      <c r="Q967" s="24"/>
      <c r="R967" s="24">
        <f>ROUND((($I967/9)*R$979),2)</f>
        <v>11.96</v>
      </c>
      <c r="S967" s="24"/>
      <c r="T967" s="24">
        <f>ROUND((($I967/9)*T$979),2)</f>
        <v>15.22</v>
      </c>
      <c r="U967" s="24"/>
      <c r="V967" s="24">
        <f>ROUND(($I967*(V$979/12))/27,2)</f>
        <v>7.55</v>
      </c>
      <c r="W967" s="24"/>
      <c r="X967" s="24">
        <f>ROUND(($I967*(X$979/12))/27,2)</f>
        <v>10.57</v>
      </c>
      <c r="Y967" s="24"/>
      <c r="Z967" s="24"/>
      <c r="AA967" s="24"/>
      <c r="AB967" s="24">
        <f>IF($H967=0,$E967,ROUND($E967*$H967,2))</f>
        <v>73.72999999999956</v>
      </c>
      <c r="AC967" s="24"/>
      <c r="AD967" s="24"/>
      <c r="AE967" s="24"/>
      <c r="AF967" s="271"/>
      <c r="AG967" s="272"/>
      <c r="AI967" s="78"/>
    </row>
    <row r="968" spans="1:35" s="4" customFormat="1" ht="21.75" customHeight="1">
      <c r="A968" s="30">
        <v>49</v>
      </c>
      <c r="B968" s="38">
        <v>15140.35</v>
      </c>
      <c r="C968" s="103">
        <v>15218.08</v>
      </c>
      <c r="D968" s="39" t="s">
        <v>16</v>
      </c>
      <c r="E968" s="24">
        <v>84.2</v>
      </c>
      <c r="F968" s="24">
        <v>7.5</v>
      </c>
      <c r="G968" s="105"/>
      <c r="H968" s="117"/>
      <c r="I968" s="24">
        <f t="shared" si="222"/>
        <v>631.5</v>
      </c>
      <c r="J968" s="74"/>
      <c r="K968" s="24"/>
      <c r="L968" s="24">
        <f aca="true" t="shared" si="224" ref="L968:M973">IF($H968=0,ROUND($E968*(L$979/12),2),ROUND($E968*$H968*(L$979/12),2))</f>
        <v>84.2</v>
      </c>
      <c r="M968" s="24"/>
      <c r="N968" s="24">
        <f>ROUND((($I968+$L968)*(N$979/12))/27,2)</f>
        <v>13.25</v>
      </c>
      <c r="O968" s="24"/>
      <c r="P968" s="24">
        <f>ROUND(($I968/9),2)</f>
        <v>70.17</v>
      </c>
      <c r="Q968" s="24"/>
      <c r="R968" s="24">
        <f>ROUND((($I968/9)*R$979),2)</f>
        <v>3.86</v>
      </c>
      <c r="S968" s="24"/>
      <c r="T968" s="24">
        <f>ROUND((($I968/9)*T$979),2)</f>
        <v>4.91</v>
      </c>
      <c r="U968" s="24"/>
      <c r="V968" s="24">
        <f>ROUND(($I968*(V$979/12))/27,2)</f>
        <v>2.44</v>
      </c>
      <c r="W968" s="24"/>
      <c r="X968" s="24">
        <f>ROUND(($I968*(X$979/12))/27,2)</f>
        <v>3.41</v>
      </c>
      <c r="Y968" s="24"/>
      <c r="Z968" s="24"/>
      <c r="AA968" s="24"/>
      <c r="AB968" s="24">
        <f>IF($H968=0,$E968,ROUND($E968*$H968,2))</f>
        <v>84.2</v>
      </c>
      <c r="AC968" s="24"/>
      <c r="AD968" s="24"/>
      <c r="AE968" s="24"/>
      <c r="AF968" s="271"/>
      <c r="AG968" s="272"/>
      <c r="AI968" s="78"/>
    </row>
    <row r="969" spans="1:35" s="4" customFormat="1" ht="21.75" customHeight="1">
      <c r="A969" s="30">
        <v>50</v>
      </c>
      <c r="B969" s="37">
        <v>15218.08</v>
      </c>
      <c r="C969" s="38">
        <v>15235.63</v>
      </c>
      <c r="D969" s="39" t="s">
        <v>16</v>
      </c>
      <c r="E969" s="24">
        <f t="shared" si="221"/>
        <v>17.549999999999272</v>
      </c>
      <c r="F969" s="66">
        <f>ROUND((26.4842+26.2688)/2,2)</f>
        <v>26.38</v>
      </c>
      <c r="G969" s="107"/>
      <c r="H969" s="104"/>
      <c r="I969" s="24">
        <f t="shared" si="222"/>
        <v>462.97</v>
      </c>
      <c r="J969" s="24"/>
      <c r="K969" s="24"/>
      <c r="L969" s="24">
        <f t="shared" si="224"/>
        <v>17.55</v>
      </c>
      <c r="M969" s="24"/>
      <c r="N969" s="24">
        <f>ROUND((($I969+$L969)*(N$979/12))/27,2)</f>
        <v>8.9</v>
      </c>
      <c r="O969" s="24"/>
      <c r="P969" s="24">
        <f>ROUND(($I969/9),2)</f>
        <v>51.44</v>
      </c>
      <c r="Q969" s="24"/>
      <c r="R969" s="24">
        <f>ROUND((($I969/9)*R$979),2)</f>
        <v>2.83</v>
      </c>
      <c r="S969" s="24"/>
      <c r="T969" s="24">
        <f>ROUND((($I969/9)*T$979),2)</f>
        <v>3.6</v>
      </c>
      <c r="U969" s="24"/>
      <c r="V969" s="24">
        <f>ROUND(($I969*(V$979/12))/27,2)</f>
        <v>1.79</v>
      </c>
      <c r="W969" s="24"/>
      <c r="X969" s="24">
        <f>ROUND(($I969*(X$979/12))/27,2)</f>
        <v>2.5</v>
      </c>
      <c r="Y969" s="24"/>
      <c r="Z969" s="24"/>
      <c r="AA969" s="24"/>
      <c r="AB969" s="24">
        <f t="shared" si="223"/>
        <v>17.549999999999272</v>
      </c>
      <c r="AC969" s="24"/>
      <c r="AD969" s="24"/>
      <c r="AE969" s="24"/>
      <c r="AF969" s="271"/>
      <c r="AG969" s="272"/>
      <c r="AI969" s="78"/>
    </row>
    <row r="970" spans="1:35" s="4" customFormat="1" ht="21.75" customHeight="1">
      <c r="A970" s="30">
        <v>51</v>
      </c>
      <c r="B970" s="37">
        <v>15235.63</v>
      </c>
      <c r="C970" s="38">
        <v>15247.66</v>
      </c>
      <c r="D970" s="39" t="s">
        <v>16</v>
      </c>
      <c r="E970" s="24">
        <f>C970-B970</f>
        <v>12.030000000000655</v>
      </c>
      <c r="F970" s="66">
        <f>ROUND((26.2688+26.5892)/2,2)</f>
        <v>26.43</v>
      </c>
      <c r="G970" s="105"/>
      <c r="H970" s="105"/>
      <c r="I970" s="24">
        <f t="shared" si="222"/>
        <v>317.95</v>
      </c>
      <c r="J970" s="24"/>
      <c r="K970" s="24"/>
      <c r="L970" s="24">
        <f t="shared" si="224"/>
        <v>12.03</v>
      </c>
      <c r="M970" s="24"/>
      <c r="N970" s="24">
        <f>ROUND((($I970+$L970)*(N$979/12))/27,2)</f>
        <v>6.11</v>
      </c>
      <c r="O970" s="24"/>
      <c r="P970" s="24">
        <f>ROUND(($I970/9),2)</f>
        <v>35.33</v>
      </c>
      <c r="Q970" s="24"/>
      <c r="R970" s="24">
        <f>ROUND((($I970/9)*R$979),2)</f>
        <v>1.94</v>
      </c>
      <c r="S970" s="24"/>
      <c r="T970" s="24">
        <f>ROUND((($I970/9)*T$979),2)</f>
        <v>2.47</v>
      </c>
      <c r="U970" s="24"/>
      <c r="V970" s="24">
        <f>ROUND(($I970*(V$979/12))/27,2)</f>
        <v>1.23</v>
      </c>
      <c r="W970" s="24"/>
      <c r="X970" s="24">
        <f>ROUND(($I970*(X$979/12))/27,2)</f>
        <v>1.72</v>
      </c>
      <c r="Y970" s="24"/>
      <c r="Z970" s="24"/>
      <c r="AA970" s="24"/>
      <c r="AB970" s="24">
        <f t="shared" si="223"/>
        <v>12.030000000000655</v>
      </c>
      <c r="AC970" s="24"/>
      <c r="AD970" s="24"/>
      <c r="AE970" s="24"/>
      <c r="AF970" s="271"/>
      <c r="AG970" s="272"/>
      <c r="AI970" s="78"/>
    </row>
    <row r="971" spans="1:35" s="4" customFormat="1" ht="21.75" customHeight="1">
      <c r="A971" s="30">
        <v>52</v>
      </c>
      <c r="B971" s="38">
        <f>C970</f>
        <v>15247.66</v>
      </c>
      <c r="C971" s="38">
        <v>15250</v>
      </c>
      <c r="D971" s="39" t="s">
        <v>16</v>
      </c>
      <c r="E971" s="24">
        <f>C971-B971</f>
        <v>2.3400000000001455</v>
      </c>
      <c r="F971" s="66">
        <f>ROUND((26.5892+26.5827)/2,2)</f>
        <v>26.59</v>
      </c>
      <c r="G971" s="105"/>
      <c r="H971" s="105"/>
      <c r="I971" s="24">
        <f t="shared" si="222"/>
        <v>62.22</v>
      </c>
      <c r="J971" s="24"/>
      <c r="K971" s="24"/>
      <c r="L971" s="24">
        <f t="shared" si="224"/>
        <v>2.34</v>
      </c>
      <c r="M971" s="24"/>
      <c r="N971" s="24">
        <f>ROUND((($I971+$L971)*(N$979/12))/27,2)</f>
        <v>1.2</v>
      </c>
      <c r="O971" s="24"/>
      <c r="P971" s="24">
        <f>ROUND(($I971/9),2)</f>
        <v>6.91</v>
      </c>
      <c r="Q971" s="24"/>
      <c r="R971" s="24">
        <f>ROUND((($I971/9)*R$979),2)</f>
        <v>0.38</v>
      </c>
      <c r="S971" s="24"/>
      <c r="T971" s="24">
        <f>ROUND((($I971/9)*T$979),2)</f>
        <v>0.48</v>
      </c>
      <c r="U971" s="24"/>
      <c r="V971" s="24">
        <f>ROUND(($I971*(V$979/12))/27,2)</f>
        <v>0.24</v>
      </c>
      <c r="W971" s="24"/>
      <c r="X971" s="24">
        <f>ROUND(($I971*(X$979/12))/27,2)</f>
        <v>0.34</v>
      </c>
      <c r="Y971" s="24"/>
      <c r="Z971" s="24"/>
      <c r="AA971" s="24"/>
      <c r="AB971" s="24">
        <f t="shared" si="223"/>
        <v>2.3400000000001455</v>
      </c>
      <c r="AC971" s="24"/>
      <c r="AD971" s="24"/>
      <c r="AE971" s="24"/>
      <c r="AF971" s="273"/>
      <c r="AG971" s="272"/>
      <c r="AI971" s="78"/>
    </row>
    <row r="972" spans="1:35" s="4" customFormat="1" ht="21.75" customHeight="1">
      <c r="A972" s="30">
        <v>53</v>
      </c>
      <c r="B972" s="38">
        <v>15520.64</v>
      </c>
      <c r="C972" s="38">
        <v>15521.64</v>
      </c>
      <c r="D972" s="39" t="s">
        <v>16</v>
      </c>
      <c r="E972" s="24">
        <f>C972-B972</f>
        <v>1</v>
      </c>
      <c r="F972" s="66">
        <v>25.66</v>
      </c>
      <c r="G972" s="66"/>
      <c r="H972" s="24"/>
      <c r="I972" s="24">
        <f t="shared" si="222"/>
        <v>25.66</v>
      </c>
      <c r="J972" s="74"/>
      <c r="K972" s="24"/>
      <c r="L972" s="24">
        <f t="shared" si="224"/>
        <v>1</v>
      </c>
      <c r="M972" s="24"/>
      <c r="N972" s="24"/>
      <c r="O972" s="24">
        <f>ROUND((($I972+$L972)*(O$979/12))/27,2)</f>
        <v>0.49</v>
      </c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>
        <f>ROUND(($I972/9),2)</f>
        <v>2.85</v>
      </c>
      <c r="AA972" s="24"/>
      <c r="AB972" s="24"/>
      <c r="AC972" s="24"/>
      <c r="AD972" s="24"/>
      <c r="AE972" s="24"/>
      <c r="AF972" s="273"/>
      <c r="AG972" s="272"/>
      <c r="AI972" s="78"/>
    </row>
    <row r="973" spans="1:35" s="4" customFormat="1" ht="21.75" customHeight="1" thickBot="1">
      <c r="A973" s="30">
        <v>54</v>
      </c>
      <c r="B973" s="37">
        <v>14848.2</v>
      </c>
      <c r="C973" s="38">
        <v>14861.92</v>
      </c>
      <c r="D973" s="39" t="s">
        <v>34</v>
      </c>
      <c r="E973" s="24">
        <f>ROUND(17.3655+18.9394,2)</f>
        <v>36.3</v>
      </c>
      <c r="F973" s="213" t="s">
        <v>13</v>
      </c>
      <c r="G973" s="214"/>
      <c r="H973" s="214"/>
      <c r="I973" s="215"/>
      <c r="J973" s="24">
        <v>1061.59</v>
      </c>
      <c r="K973" s="24"/>
      <c r="L973" s="24"/>
      <c r="M973" s="24">
        <f t="shared" si="224"/>
        <v>54.45</v>
      </c>
      <c r="N973" s="24">
        <f>ROUND((($J973+$M973)*(N$979/12))/27,2)</f>
        <v>20.67</v>
      </c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>
        <f>ROUND(($J973/9),2)</f>
        <v>117.95</v>
      </c>
      <c r="AA973" s="24">
        <f>IF($H973=0,$E973,ROUND($E973*$H973,2))</f>
        <v>36.3</v>
      </c>
      <c r="AB973" s="24"/>
      <c r="AC973" s="24"/>
      <c r="AD973" s="24"/>
      <c r="AE973" s="24"/>
      <c r="AF973" s="274"/>
      <c r="AG973" s="275"/>
      <c r="AI973" s="78"/>
    </row>
    <row r="974" spans="2:35" s="1" customFormat="1" ht="46.5" customHeight="1">
      <c r="B974" s="233" t="s">
        <v>15</v>
      </c>
      <c r="C974" s="234"/>
      <c r="D974" s="234"/>
      <c r="E974" s="234"/>
      <c r="F974" s="234"/>
      <c r="G974" s="234"/>
      <c r="H974" s="234"/>
      <c r="I974" s="234"/>
      <c r="J974" s="234"/>
      <c r="K974" s="234"/>
      <c r="L974" s="234"/>
      <c r="M974" s="235"/>
      <c r="N974" s="211">
        <f aca="true" t="shared" si="225" ref="N974:AE974">IF(SUM(N920:N973)=0," ",ROUNDUP(SUM(N920:N973),0))</f>
        <v>334</v>
      </c>
      <c r="O974" s="211">
        <f t="shared" si="225"/>
        <v>290</v>
      </c>
      <c r="P974" s="211">
        <f t="shared" si="225"/>
        <v>1700</v>
      </c>
      <c r="Q974" s="211">
        <f t="shared" si="225"/>
        <v>1622</v>
      </c>
      <c r="R974" s="211">
        <f t="shared" si="225"/>
        <v>94</v>
      </c>
      <c r="S974" s="211">
        <f t="shared" si="225"/>
        <v>90</v>
      </c>
      <c r="T974" s="211">
        <f t="shared" si="225"/>
        <v>119</v>
      </c>
      <c r="U974" s="211">
        <f t="shared" si="225"/>
        <v>114</v>
      </c>
      <c r="V974" s="211">
        <f t="shared" si="225"/>
        <v>60</v>
      </c>
      <c r="W974" s="211">
        <f t="shared" si="225"/>
        <v>57</v>
      </c>
      <c r="X974" s="211">
        <f t="shared" si="225"/>
        <v>83</v>
      </c>
      <c r="Y974" s="211">
        <f t="shared" si="225"/>
        <v>79</v>
      </c>
      <c r="Z974" s="211">
        <f t="shared" si="225"/>
        <v>135</v>
      </c>
      <c r="AA974" s="211">
        <f t="shared" si="225"/>
        <v>662</v>
      </c>
      <c r="AB974" s="211">
        <f t="shared" si="225"/>
        <v>306</v>
      </c>
      <c r="AC974" s="211">
        <f t="shared" si="225"/>
        <v>717</v>
      </c>
      <c r="AD974" s="211" t="str">
        <f t="shared" si="225"/>
        <v> </v>
      </c>
      <c r="AE974" s="211">
        <f t="shared" si="225"/>
        <v>99</v>
      </c>
      <c r="AF974" s="279">
        <v>14</v>
      </c>
      <c r="AG974" s="280"/>
      <c r="AI974" s="268"/>
    </row>
    <row r="975" spans="2:35" s="1" customFormat="1" ht="46.5" customHeight="1" thickBot="1">
      <c r="B975" s="236"/>
      <c r="C975" s="237"/>
      <c r="D975" s="237"/>
      <c r="E975" s="237"/>
      <c r="F975" s="237"/>
      <c r="G975" s="237"/>
      <c r="H975" s="237"/>
      <c r="I975" s="237"/>
      <c r="J975" s="237"/>
      <c r="K975" s="237"/>
      <c r="L975" s="237"/>
      <c r="M975" s="238"/>
      <c r="N975" s="250"/>
      <c r="O975" s="250"/>
      <c r="P975" s="250"/>
      <c r="Q975" s="250"/>
      <c r="R975" s="250"/>
      <c r="S975" s="250"/>
      <c r="T975" s="250"/>
      <c r="U975" s="250"/>
      <c r="V975" s="250"/>
      <c r="W975" s="250"/>
      <c r="X975" s="250"/>
      <c r="Y975" s="250"/>
      <c r="Z975" s="212"/>
      <c r="AA975" s="212"/>
      <c r="AB975" s="212"/>
      <c r="AC975" s="212"/>
      <c r="AD975" s="212"/>
      <c r="AE975" s="212"/>
      <c r="AF975" s="276">
        <f>$AF$68</f>
        <v>18</v>
      </c>
      <c r="AG975" s="277"/>
      <c r="AI975" s="268"/>
    </row>
    <row r="976" spans="1:34" ht="36" customHeight="1">
      <c r="A976" s="10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78"/>
      <c r="R976" s="49"/>
      <c r="T976" s="49"/>
      <c r="V976" s="49"/>
      <c r="W976" s="49"/>
      <c r="X976" s="49"/>
      <c r="Y976" s="49"/>
      <c r="Z976" s="49"/>
      <c r="AA976" s="49"/>
      <c r="AB976" s="49"/>
      <c r="AF976" s="49"/>
      <c r="AG976" s="49"/>
      <c r="AH976" s="11"/>
    </row>
    <row r="977" spans="2:33" ht="15"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79"/>
      <c r="Q977" s="78"/>
      <c r="R977" s="49"/>
      <c r="T977" s="49"/>
      <c r="V977" s="49"/>
      <c r="W977" s="49"/>
      <c r="X977" s="49"/>
      <c r="Y977" s="49"/>
      <c r="Z977" s="49"/>
      <c r="AA977" s="49"/>
      <c r="AB977" s="49"/>
      <c r="AF977" s="49"/>
      <c r="AG977" s="49"/>
    </row>
    <row r="978" spans="2:33" ht="15"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79"/>
      <c r="Q978" s="78"/>
      <c r="R978" s="49"/>
      <c r="T978" s="49"/>
      <c r="V978" s="49"/>
      <c r="W978" s="49"/>
      <c r="X978" s="49"/>
      <c r="Y978" s="49"/>
      <c r="Z978" s="49"/>
      <c r="AA978" s="49"/>
      <c r="AB978" s="49"/>
      <c r="AF978" s="49"/>
      <c r="AG978" s="49"/>
    </row>
    <row r="979" spans="2:33" ht="15.75">
      <c r="B979" s="224" t="s">
        <v>7</v>
      </c>
      <c r="C979" s="225"/>
      <c r="D979" s="225"/>
      <c r="E979" s="225"/>
      <c r="F979" s="225"/>
      <c r="G979" s="226"/>
      <c r="H979" s="53"/>
      <c r="I979" s="53"/>
      <c r="J979" s="53"/>
      <c r="K979" s="53">
        <v>6</v>
      </c>
      <c r="L979" s="138">
        <v>12</v>
      </c>
      <c r="M979" s="83">
        <v>18</v>
      </c>
      <c r="N979" s="138">
        <v>6</v>
      </c>
      <c r="O979" s="138">
        <v>6</v>
      </c>
      <c r="P979" s="93"/>
      <c r="Q979" s="53"/>
      <c r="R979" s="53">
        <v>0.055</v>
      </c>
      <c r="S979" s="53">
        <v>0.055</v>
      </c>
      <c r="T979" s="53">
        <v>0.07</v>
      </c>
      <c r="U979" s="53">
        <v>0.07</v>
      </c>
      <c r="V979" s="53">
        <v>1.25</v>
      </c>
      <c r="W979" s="53">
        <v>1.25</v>
      </c>
      <c r="X979" s="94">
        <v>1.75</v>
      </c>
      <c r="Y979" s="94">
        <v>1.75</v>
      </c>
      <c r="Z979" s="101"/>
      <c r="AA979" s="83"/>
      <c r="AB979" s="53"/>
      <c r="AF979" s="52"/>
      <c r="AG979" s="52"/>
    </row>
    <row r="980" spans="2:33" ht="15.75">
      <c r="B980" s="50"/>
      <c r="C980" s="51"/>
      <c r="D980" s="51"/>
      <c r="E980" s="51"/>
      <c r="F980" s="51"/>
      <c r="G980" s="52"/>
      <c r="H980" s="53"/>
      <c r="I980" s="53"/>
      <c r="J980" s="53"/>
      <c r="K980" s="53"/>
      <c r="L980" s="80"/>
      <c r="N980" s="80"/>
      <c r="O980" s="49"/>
      <c r="P980" s="96"/>
      <c r="Q980" s="53"/>
      <c r="R980" s="53"/>
      <c r="S980" s="53"/>
      <c r="T980" s="85"/>
      <c r="V980" s="49"/>
      <c r="W980" s="49"/>
      <c r="X980" s="49"/>
      <c r="Y980" s="49"/>
      <c r="Z980" s="49"/>
      <c r="AA980" s="83"/>
      <c r="AB980" s="84"/>
      <c r="AF980" s="52"/>
      <c r="AG980" s="52"/>
    </row>
    <row r="981" spans="2:33" ht="15.75">
      <c r="B981" s="50"/>
      <c r="C981" s="51"/>
      <c r="D981" s="51"/>
      <c r="E981" s="51"/>
      <c r="F981" s="51"/>
      <c r="G981" s="52"/>
      <c r="H981" s="53"/>
      <c r="I981" s="53"/>
      <c r="J981" s="53"/>
      <c r="K981" s="53"/>
      <c r="L981" s="80"/>
      <c r="M981" s="80"/>
      <c r="N981" s="49"/>
      <c r="O981" s="96"/>
      <c r="P981" s="49"/>
      <c r="Q981" s="49"/>
      <c r="R981" s="49"/>
      <c r="S981" s="85"/>
      <c r="T981" s="49"/>
      <c r="U981" s="49"/>
      <c r="V981" s="49"/>
      <c r="W981" s="49"/>
      <c r="X981" s="49"/>
      <c r="Y981" s="83"/>
      <c r="Z981" s="84"/>
      <c r="AF981" s="52"/>
      <c r="AG981" s="52"/>
    </row>
    <row r="982" spans="2:33" ht="15.75">
      <c r="B982" s="50"/>
      <c r="C982" s="51"/>
      <c r="D982" s="51"/>
      <c r="E982" s="51"/>
      <c r="F982" s="51"/>
      <c r="G982" s="52"/>
      <c r="H982" s="53"/>
      <c r="I982" s="53"/>
      <c r="J982" s="53"/>
      <c r="K982" s="53"/>
      <c r="L982" s="80"/>
      <c r="M982" s="80"/>
      <c r="N982" s="49"/>
      <c r="O982" s="49"/>
      <c r="P982" s="49"/>
      <c r="Q982" s="49"/>
      <c r="R982" s="49"/>
      <c r="S982" s="49"/>
      <c r="T982" s="85"/>
      <c r="U982" s="49"/>
      <c r="V982" s="49"/>
      <c r="W982" s="49"/>
      <c r="X982" s="49"/>
      <c r="Y982" s="83"/>
      <c r="Z982" s="84"/>
      <c r="AF982" s="52"/>
      <c r="AG982" s="52"/>
    </row>
    <row r="983" spans="2:33" ht="15.75">
      <c r="B983" s="50"/>
      <c r="C983" s="51"/>
      <c r="D983" s="51"/>
      <c r="E983" s="51"/>
      <c r="F983" s="51"/>
      <c r="G983" s="52"/>
      <c r="H983" s="53"/>
      <c r="I983" s="53"/>
      <c r="J983" s="53"/>
      <c r="K983" s="53"/>
      <c r="L983" s="80"/>
      <c r="M983" s="80"/>
      <c r="N983" s="80"/>
      <c r="O983" s="81"/>
      <c r="P983" s="78"/>
      <c r="Q983" s="80"/>
      <c r="R983" s="82"/>
      <c r="S983" s="83"/>
      <c r="T983" s="84"/>
      <c r="U983" s="82"/>
      <c r="V983" s="82"/>
      <c r="W983" s="82"/>
      <c r="X983" s="82"/>
      <c r="Y983" s="83"/>
      <c r="Z983" s="84"/>
      <c r="AF983" s="52"/>
      <c r="AG983" s="52"/>
    </row>
    <row r="984" spans="1:34" s="3" customFormat="1" ht="36" customHeight="1" thickBot="1">
      <c r="A984" s="12"/>
      <c r="B984" s="54"/>
      <c r="C984" s="55"/>
      <c r="D984" s="55"/>
      <c r="E984" s="55"/>
      <c r="F984" s="55"/>
      <c r="G984" s="55"/>
      <c r="H984" s="55"/>
      <c r="I984" s="55"/>
      <c r="J984" s="55"/>
      <c r="K984" s="86"/>
      <c r="L984" s="86"/>
      <c r="M984" s="99"/>
      <c r="N984" s="99"/>
      <c r="O984" s="229"/>
      <c r="P984" s="229"/>
      <c r="Q984" s="229"/>
      <c r="R984" s="229"/>
      <c r="S984" s="229"/>
      <c r="T984" s="229"/>
      <c r="U984" s="229"/>
      <c r="V984" s="229"/>
      <c r="W984" s="229"/>
      <c r="X984" s="229"/>
      <c r="Y984" s="229"/>
      <c r="Z984" s="229"/>
      <c r="AA984" s="229"/>
      <c r="AB984" s="99"/>
      <c r="AC984" s="161"/>
      <c r="AD984" s="100"/>
      <c r="AE984" s="99"/>
      <c r="AF984" s="98"/>
      <c r="AG984" s="98"/>
      <c r="AH984" s="13"/>
    </row>
    <row r="985" spans="2:33" s="4" customFormat="1" ht="21.75" customHeight="1">
      <c r="B985" s="233"/>
      <c r="C985" s="235"/>
      <c r="D985" s="251"/>
      <c r="E985" s="251"/>
      <c r="F985" s="251"/>
      <c r="G985" s="254"/>
      <c r="H985" s="254"/>
      <c r="I985" s="251"/>
      <c r="J985" s="254"/>
      <c r="K985" s="254"/>
      <c r="L985" s="254"/>
      <c r="M985" s="58"/>
      <c r="N985" s="58"/>
      <c r="O985" s="216"/>
      <c r="P985" s="336"/>
      <c r="Q985" s="217"/>
      <c r="R985" s="216"/>
      <c r="S985" s="217"/>
      <c r="T985" s="216"/>
      <c r="U985" s="217"/>
      <c r="V985" s="216"/>
      <c r="W985" s="217"/>
      <c r="X985" s="216"/>
      <c r="Y985" s="217"/>
      <c r="Z985" s="216"/>
      <c r="AA985" s="217"/>
      <c r="AB985" s="58"/>
      <c r="AC985" s="121"/>
      <c r="AD985" s="58"/>
      <c r="AE985" s="58"/>
      <c r="AF985" s="282"/>
      <c r="AG985" s="282"/>
    </row>
    <row r="986" spans="2:33" s="4" customFormat="1" ht="27.75" customHeight="1">
      <c r="B986" s="293"/>
      <c r="C986" s="294"/>
      <c r="D986" s="252"/>
      <c r="E986" s="252"/>
      <c r="F986" s="252"/>
      <c r="G986" s="242"/>
      <c r="H986" s="242"/>
      <c r="I986" s="252"/>
      <c r="J986" s="255"/>
      <c r="K986" s="255"/>
      <c r="L986" s="242"/>
      <c r="M986" s="241"/>
      <c r="N986" s="241"/>
      <c r="O986" s="218"/>
      <c r="P986" s="341"/>
      <c r="Q986" s="219"/>
      <c r="R986" s="218"/>
      <c r="S986" s="219"/>
      <c r="T986" s="218"/>
      <c r="U986" s="219"/>
      <c r="V986" s="218"/>
      <c r="W986" s="219"/>
      <c r="X986" s="218"/>
      <c r="Y986" s="219"/>
      <c r="Z986" s="218"/>
      <c r="AA986" s="219"/>
      <c r="AB986" s="241"/>
      <c r="AC986" s="218"/>
      <c r="AD986" s="241"/>
      <c r="AE986" s="241"/>
      <c r="AF986" s="283"/>
      <c r="AG986" s="304"/>
    </row>
    <row r="987" spans="2:33" s="4" customFormat="1" ht="27.75" customHeight="1" thickBot="1">
      <c r="B987" s="293"/>
      <c r="C987" s="294"/>
      <c r="D987" s="252"/>
      <c r="E987" s="252"/>
      <c r="F987" s="252"/>
      <c r="G987" s="242"/>
      <c r="H987" s="242"/>
      <c r="I987" s="252"/>
      <c r="J987" s="255"/>
      <c r="K987" s="255"/>
      <c r="L987" s="242"/>
      <c r="M987" s="255"/>
      <c r="N987" s="255"/>
      <c r="O987" s="220"/>
      <c r="P987" s="278"/>
      <c r="Q987" s="221"/>
      <c r="R987" s="220"/>
      <c r="S987" s="221"/>
      <c r="T987" s="220"/>
      <c r="U987" s="221"/>
      <c r="V987" s="220"/>
      <c r="W987" s="221"/>
      <c r="X987" s="220"/>
      <c r="Y987" s="221"/>
      <c r="Z987" s="220"/>
      <c r="AA987" s="221"/>
      <c r="AB987" s="242"/>
      <c r="AC987" s="220"/>
      <c r="AD987" s="242"/>
      <c r="AE987" s="242"/>
      <c r="AF987" s="284"/>
      <c r="AG987" s="304"/>
    </row>
    <row r="988" spans="2:33" s="4" customFormat="1" ht="27.75" customHeight="1">
      <c r="B988" s="293"/>
      <c r="C988" s="294"/>
      <c r="D988" s="252"/>
      <c r="E988" s="252"/>
      <c r="F988" s="252"/>
      <c r="G988" s="242"/>
      <c r="H988" s="242"/>
      <c r="I988" s="252"/>
      <c r="J988" s="255"/>
      <c r="K988" s="255"/>
      <c r="L988" s="242"/>
      <c r="M988" s="255"/>
      <c r="N988" s="255"/>
      <c r="O988" s="220"/>
      <c r="P988" s="278"/>
      <c r="Q988" s="221"/>
      <c r="R988" s="220"/>
      <c r="S988" s="221"/>
      <c r="T988" s="220"/>
      <c r="U988" s="221"/>
      <c r="V988" s="220"/>
      <c r="W988" s="221"/>
      <c r="X988" s="220"/>
      <c r="Y988" s="221"/>
      <c r="Z988" s="220"/>
      <c r="AA988" s="221"/>
      <c r="AB988" s="242"/>
      <c r="AC988" s="220"/>
      <c r="AD988" s="242"/>
      <c r="AE988" s="242"/>
      <c r="AF988" s="269"/>
      <c r="AG988" s="270"/>
    </row>
    <row r="989" spans="2:33" s="4" customFormat="1" ht="27.75" customHeight="1">
      <c r="B989" s="293"/>
      <c r="C989" s="294"/>
      <c r="D989" s="252"/>
      <c r="E989" s="252"/>
      <c r="F989" s="252"/>
      <c r="G989" s="242"/>
      <c r="H989" s="242"/>
      <c r="I989" s="252"/>
      <c r="J989" s="255"/>
      <c r="K989" s="255"/>
      <c r="L989" s="242"/>
      <c r="M989" s="255"/>
      <c r="N989" s="255"/>
      <c r="O989" s="220"/>
      <c r="P989" s="278"/>
      <c r="Q989" s="221"/>
      <c r="R989" s="220"/>
      <c r="S989" s="221"/>
      <c r="T989" s="220"/>
      <c r="U989" s="221"/>
      <c r="V989" s="220"/>
      <c r="W989" s="221"/>
      <c r="X989" s="220"/>
      <c r="Y989" s="221"/>
      <c r="Z989" s="220"/>
      <c r="AA989" s="221"/>
      <c r="AB989" s="242"/>
      <c r="AC989" s="220"/>
      <c r="AD989" s="242"/>
      <c r="AE989" s="242"/>
      <c r="AF989" s="271"/>
      <c r="AG989" s="272"/>
    </row>
    <row r="990" spans="2:33" s="4" customFormat="1" ht="27.75" customHeight="1">
      <c r="B990" s="293"/>
      <c r="C990" s="294"/>
      <c r="D990" s="252"/>
      <c r="E990" s="252"/>
      <c r="F990" s="252"/>
      <c r="G990" s="242"/>
      <c r="H990" s="242"/>
      <c r="I990" s="252"/>
      <c r="J990" s="255"/>
      <c r="K990" s="255"/>
      <c r="L990" s="242"/>
      <c r="M990" s="255"/>
      <c r="N990" s="255"/>
      <c r="O990" s="220"/>
      <c r="P990" s="278"/>
      <c r="Q990" s="221"/>
      <c r="R990" s="220"/>
      <c r="S990" s="221"/>
      <c r="T990" s="220"/>
      <c r="U990" s="221"/>
      <c r="V990" s="220"/>
      <c r="W990" s="221"/>
      <c r="X990" s="220"/>
      <c r="Y990" s="221"/>
      <c r="Z990" s="220"/>
      <c r="AA990" s="221"/>
      <c r="AB990" s="242"/>
      <c r="AC990" s="220"/>
      <c r="AD990" s="242"/>
      <c r="AE990" s="242"/>
      <c r="AF990" s="271"/>
      <c r="AG990" s="272"/>
    </row>
    <row r="991" spans="2:33" s="4" customFormat="1" ht="27.75" customHeight="1">
      <c r="B991" s="293"/>
      <c r="C991" s="294"/>
      <c r="D991" s="252"/>
      <c r="E991" s="252"/>
      <c r="F991" s="252"/>
      <c r="G991" s="242"/>
      <c r="H991" s="242"/>
      <c r="I991" s="252"/>
      <c r="J991" s="255"/>
      <c r="K991" s="255"/>
      <c r="L991" s="242"/>
      <c r="M991" s="255"/>
      <c r="N991" s="255"/>
      <c r="O991" s="220"/>
      <c r="P991" s="278"/>
      <c r="Q991" s="221"/>
      <c r="R991" s="220"/>
      <c r="S991" s="221"/>
      <c r="T991" s="220"/>
      <c r="U991" s="221"/>
      <c r="V991" s="220"/>
      <c r="W991" s="221"/>
      <c r="X991" s="220"/>
      <c r="Y991" s="221"/>
      <c r="Z991" s="220"/>
      <c r="AA991" s="221"/>
      <c r="AB991" s="242"/>
      <c r="AC991" s="220"/>
      <c r="AD991" s="242"/>
      <c r="AE991" s="242"/>
      <c r="AF991" s="271"/>
      <c r="AG991" s="272"/>
    </row>
    <row r="992" spans="2:33" s="4" customFormat="1" ht="27.75" customHeight="1">
      <c r="B992" s="293"/>
      <c r="C992" s="294"/>
      <c r="D992" s="252"/>
      <c r="E992" s="252"/>
      <c r="F992" s="252"/>
      <c r="G992" s="242"/>
      <c r="H992" s="242"/>
      <c r="I992" s="252"/>
      <c r="J992" s="255"/>
      <c r="K992" s="255"/>
      <c r="L992" s="242"/>
      <c r="M992" s="255"/>
      <c r="N992" s="255"/>
      <c r="O992" s="220"/>
      <c r="P992" s="278"/>
      <c r="Q992" s="221"/>
      <c r="R992" s="220"/>
      <c r="S992" s="221"/>
      <c r="T992" s="220"/>
      <c r="U992" s="221"/>
      <c r="V992" s="220"/>
      <c r="W992" s="221"/>
      <c r="X992" s="220"/>
      <c r="Y992" s="221"/>
      <c r="Z992" s="220"/>
      <c r="AA992" s="221"/>
      <c r="AB992" s="242"/>
      <c r="AC992" s="220"/>
      <c r="AD992" s="242"/>
      <c r="AE992" s="242"/>
      <c r="AF992" s="271"/>
      <c r="AG992" s="272"/>
    </row>
    <row r="993" spans="2:33" s="5" customFormat="1" ht="27.75" customHeight="1">
      <c r="B993" s="295"/>
      <c r="C993" s="296"/>
      <c r="D993" s="253"/>
      <c r="E993" s="253"/>
      <c r="F993" s="253"/>
      <c r="G993" s="243"/>
      <c r="H993" s="243"/>
      <c r="I993" s="253"/>
      <c r="J993" s="256"/>
      <c r="K993" s="256"/>
      <c r="L993" s="243"/>
      <c r="M993" s="256"/>
      <c r="N993" s="256"/>
      <c r="O993" s="222"/>
      <c r="P993" s="342"/>
      <c r="Q993" s="223"/>
      <c r="R993" s="222"/>
      <c r="S993" s="223"/>
      <c r="T993" s="222"/>
      <c r="U993" s="223"/>
      <c r="V993" s="222"/>
      <c r="W993" s="223"/>
      <c r="X993" s="222"/>
      <c r="Y993" s="223"/>
      <c r="Z993" s="222"/>
      <c r="AA993" s="223"/>
      <c r="AB993" s="243"/>
      <c r="AC993" s="222"/>
      <c r="AD993" s="243"/>
      <c r="AE993" s="243"/>
      <c r="AF993" s="271"/>
      <c r="AG993" s="272"/>
    </row>
    <row r="994" spans="2:33" s="7" customFormat="1" ht="21.75" customHeight="1" thickBot="1">
      <c r="B994" s="56"/>
      <c r="C994" s="56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208"/>
      <c r="P994" s="209"/>
      <c r="Q994" s="210"/>
      <c r="R994" s="208"/>
      <c r="S994" s="210"/>
      <c r="T994" s="208"/>
      <c r="U994" s="210"/>
      <c r="V994" s="208"/>
      <c r="W994" s="210"/>
      <c r="X994" s="208"/>
      <c r="Y994" s="210"/>
      <c r="Z994" s="208"/>
      <c r="AA994" s="210"/>
      <c r="AB994" s="57"/>
      <c r="AC994" s="120"/>
      <c r="AD994" s="57"/>
      <c r="AE994" s="57"/>
      <c r="AF994" s="271"/>
      <c r="AG994" s="272"/>
    </row>
    <row r="995" spans="1:33" s="4" customFormat="1" ht="21.75" customHeight="1">
      <c r="A995" s="30"/>
      <c r="B995" s="37"/>
      <c r="C995" s="38"/>
      <c r="D995" s="39"/>
      <c r="E995" s="24"/>
      <c r="F995" s="66"/>
      <c r="G995" s="105"/>
      <c r="H995" s="105"/>
      <c r="I995" s="24"/>
      <c r="J995" s="24"/>
      <c r="K995" s="24"/>
      <c r="L995" s="24"/>
      <c r="M995" s="227"/>
      <c r="N995" s="227"/>
      <c r="O995" s="227"/>
      <c r="P995" s="227"/>
      <c r="Q995" s="263"/>
      <c r="R995" s="227"/>
      <c r="S995" s="227"/>
      <c r="T995" s="227"/>
      <c r="U995" s="227"/>
      <c r="V995" s="227"/>
      <c r="W995" s="227"/>
      <c r="X995" s="227"/>
      <c r="Y995" s="227"/>
      <c r="Z995" s="227"/>
      <c r="AA995" s="227"/>
      <c r="AB995" s="263"/>
      <c r="AC995" s="227"/>
      <c r="AD995" s="263"/>
      <c r="AE995" s="227"/>
      <c r="AF995" s="271"/>
      <c r="AG995" s="272"/>
    </row>
    <row r="996" spans="1:33" s="4" customFormat="1" ht="21.75" customHeight="1">
      <c r="A996" s="30"/>
      <c r="B996" s="38"/>
      <c r="C996" s="38"/>
      <c r="D996" s="39"/>
      <c r="E996" s="104"/>
      <c r="F996" s="107"/>
      <c r="G996" s="24"/>
      <c r="H996" s="61"/>
      <c r="I996" s="90"/>
      <c r="J996" s="24"/>
      <c r="K996" s="24"/>
      <c r="L996" s="24"/>
      <c r="M996" s="228"/>
      <c r="N996" s="228"/>
      <c r="O996" s="228"/>
      <c r="P996" s="228"/>
      <c r="Q996" s="264"/>
      <c r="R996" s="228"/>
      <c r="S996" s="228"/>
      <c r="T996" s="228"/>
      <c r="U996" s="228"/>
      <c r="V996" s="228"/>
      <c r="W996" s="228"/>
      <c r="X996" s="228"/>
      <c r="Y996" s="228"/>
      <c r="Z996" s="228"/>
      <c r="AA996" s="228"/>
      <c r="AB996" s="264"/>
      <c r="AC996" s="228"/>
      <c r="AD996" s="264"/>
      <c r="AE996" s="228"/>
      <c r="AF996" s="271"/>
      <c r="AG996" s="272"/>
    </row>
    <row r="997" spans="1:33" s="4" customFormat="1" ht="21.75" customHeight="1">
      <c r="A997" s="30"/>
      <c r="B997" s="38"/>
      <c r="C997" s="38"/>
      <c r="D997" s="39"/>
      <c r="E997" s="104"/>
      <c r="F997" s="107"/>
      <c r="G997" s="24"/>
      <c r="H997" s="61"/>
      <c r="I997" s="90"/>
      <c r="J997" s="24"/>
      <c r="K997" s="24"/>
      <c r="L997" s="24"/>
      <c r="M997" s="24"/>
      <c r="N997" s="24"/>
      <c r="O997" s="24"/>
      <c r="P997" s="61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71"/>
      <c r="AG997" s="272"/>
    </row>
    <row r="998" spans="1:33" s="4" customFormat="1" ht="21.75" customHeight="1">
      <c r="A998" s="30"/>
      <c r="B998" s="38"/>
      <c r="C998" s="38"/>
      <c r="D998" s="39"/>
      <c r="E998" s="24"/>
      <c r="F998" s="66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71"/>
      <c r="AG998" s="272"/>
    </row>
    <row r="999" spans="1:33" s="4" customFormat="1" ht="21.75" customHeight="1">
      <c r="A999" s="30"/>
      <c r="B999" s="38"/>
      <c r="C999" s="38"/>
      <c r="D999" s="39"/>
      <c r="E999" s="24"/>
      <c r="F999" s="66"/>
      <c r="G999" s="66"/>
      <c r="H999" s="24"/>
      <c r="I999" s="24"/>
      <c r="J999" s="24"/>
      <c r="K999" s="24"/>
      <c r="L999" s="24"/>
      <c r="M999" s="24"/>
      <c r="N999" s="24"/>
      <c r="O999" s="24"/>
      <c r="P999" s="61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71"/>
      <c r="AG999" s="272"/>
    </row>
    <row r="1000" spans="1:33" s="4" customFormat="1" ht="21.75" customHeight="1">
      <c r="A1000" s="30"/>
      <c r="B1000" s="38"/>
      <c r="C1000" s="38"/>
      <c r="D1000" s="39"/>
      <c r="E1000" s="24"/>
      <c r="F1000" s="66"/>
      <c r="G1000" s="66"/>
      <c r="H1000" s="24"/>
      <c r="I1000" s="24"/>
      <c r="J1000" s="24"/>
      <c r="K1000" s="24"/>
      <c r="L1000" s="24"/>
      <c r="M1000" s="24"/>
      <c r="N1000" s="24"/>
      <c r="O1000" s="24"/>
      <c r="P1000" s="61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71"/>
      <c r="AG1000" s="272"/>
    </row>
    <row r="1001" spans="1:33" s="4" customFormat="1" ht="21.75" customHeight="1">
      <c r="A1001" s="30"/>
      <c r="B1001" s="38"/>
      <c r="C1001" s="38"/>
      <c r="D1001" s="39"/>
      <c r="E1001" s="24"/>
      <c r="F1001" s="66"/>
      <c r="G1001" s="66"/>
      <c r="H1001" s="24"/>
      <c r="I1001" s="24"/>
      <c r="J1001" s="24"/>
      <c r="K1001" s="24"/>
      <c r="L1001" s="24"/>
      <c r="M1001" s="24"/>
      <c r="N1001" s="24"/>
      <c r="O1001" s="24"/>
      <c r="P1001" s="61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71"/>
      <c r="AG1001" s="272"/>
    </row>
    <row r="1002" spans="1:33" s="4" customFormat="1" ht="21.75" customHeight="1">
      <c r="A1002" s="30"/>
      <c r="B1002" s="38"/>
      <c r="C1002" s="38"/>
      <c r="D1002" s="39"/>
      <c r="E1002" s="24"/>
      <c r="F1002" s="24"/>
      <c r="G1002" s="66"/>
      <c r="H1002" s="24"/>
      <c r="I1002" s="45"/>
      <c r="J1002" s="39"/>
      <c r="K1002" s="24"/>
      <c r="L1002" s="24"/>
      <c r="M1002" s="24"/>
      <c r="N1002" s="24"/>
      <c r="O1002" s="24"/>
      <c r="P1002" s="61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71"/>
      <c r="AG1002" s="272"/>
    </row>
    <row r="1003" spans="1:33" s="4" customFormat="1" ht="21.75" customHeight="1">
      <c r="A1003" s="30"/>
      <c r="B1003" s="38"/>
      <c r="C1003" s="38"/>
      <c r="D1003" s="39"/>
      <c r="E1003" s="24"/>
      <c r="F1003" s="24"/>
      <c r="G1003" s="66"/>
      <c r="H1003" s="24"/>
      <c r="I1003" s="45"/>
      <c r="J1003" s="24"/>
      <c r="K1003" s="24"/>
      <c r="L1003" s="39"/>
      <c r="M1003" s="39"/>
      <c r="N1003" s="76"/>
      <c r="O1003" s="125"/>
      <c r="P1003" s="24"/>
      <c r="Q1003" s="76"/>
      <c r="R1003" s="125"/>
      <c r="S1003" s="76"/>
      <c r="T1003" s="125"/>
      <c r="U1003" s="24"/>
      <c r="V1003" s="76"/>
      <c r="W1003" s="24"/>
      <c r="X1003" s="125"/>
      <c r="Y1003" s="24"/>
      <c r="Z1003" s="125"/>
      <c r="AA1003" s="24"/>
      <c r="AB1003" s="76"/>
      <c r="AC1003" s="125"/>
      <c r="AD1003" s="24"/>
      <c r="AE1003" s="124"/>
      <c r="AF1003" s="271"/>
      <c r="AG1003" s="272"/>
    </row>
    <row r="1004" spans="1:33" s="4" customFormat="1" ht="21.75" customHeight="1">
      <c r="A1004" s="30"/>
      <c r="B1004" s="38"/>
      <c r="C1004" s="38"/>
      <c r="D1004" s="39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61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71"/>
      <c r="AG1004" s="272"/>
    </row>
    <row r="1005" spans="1:33" s="4" customFormat="1" ht="21.75" customHeight="1">
      <c r="A1005" s="30"/>
      <c r="B1005" s="38"/>
      <c r="C1005" s="38"/>
      <c r="D1005" s="39"/>
      <c r="E1005" s="24"/>
      <c r="F1005" s="66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71"/>
      <c r="AG1005" s="272"/>
    </row>
    <row r="1006" spans="1:33" s="4" customFormat="1" ht="21.75" customHeight="1">
      <c r="A1006" s="30"/>
      <c r="B1006" s="38"/>
      <c r="C1006" s="38"/>
      <c r="D1006" s="39"/>
      <c r="E1006" s="24"/>
      <c r="F1006" s="66"/>
      <c r="G1006" s="24"/>
      <c r="H1006" s="24"/>
      <c r="I1006" s="24"/>
      <c r="J1006" s="24"/>
      <c r="K1006" s="24"/>
      <c r="L1006" s="24"/>
      <c r="M1006" s="24"/>
      <c r="N1006" s="24"/>
      <c r="O1006" s="24"/>
      <c r="P1006" s="61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71"/>
      <c r="AG1006" s="272"/>
    </row>
    <row r="1007" spans="1:33" s="4" customFormat="1" ht="21.75" customHeight="1">
      <c r="A1007" s="30"/>
      <c r="B1007" s="38"/>
      <c r="C1007" s="38"/>
      <c r="D1007" s="39"/>
      <c r="E1007" s="24"/>
      <c r="F1007" s="66"/>
      <c r="G1007" s="24"/>
      <c r="H1007" s="24"/>
      <c r="I1007" s="24"/>
      <c r="J1007" s="24"/>
      <c r="K1007" s="24"/>
      <c r="L1007" s="24"/>
      <c r="M1007" s="24"/>
      <c r="N1007" s="24"/>
      <c r="O1007" s="24"/>
      <c r="P1007" s="61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71"/>
      <c r="AG1007" s="272"/>
    </row>
    <row r="1008" spans="1:33" s="4" customFormat="1" ht="21.75" customHeight="1">
      <c r="A1008" s="30"/>
      <c r="B1008" s="38"/>
      <c r="C1008" s="38"/>
      <c r="D1008" s="39"/>
      <c r="E1008" s="24"/>
      <c r="F1008" s="66"/>
      <c r="G1008" s="24"/>
      <c r="H1008" s="24"/>
      <c r="I1008" s="24"/>
      <c r="J1008" s="24"/>
      <c r="K1008" s="24"/>
      <c r="L1008" s="24"/>
      <c r="M1008" s="24"/>
      <c r="N1008" s="24"/>
      <c r="O1008" s="24"/>
      <c r="P1008" s="61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71"/>
      <c r="AG1008" s="272"/>
    </row>
    <row r="1009" spans="1:33" s="16" customFormat="1" ht="21.75" customHeight="1">
      <c r="A1009" s="30"/>
      <c r="B1009" s="38"/>
      <c r="C1009" s="38"/>
      <c r="D1009" s="39"/>
      <c r="E1009" s="24"/>
      <c r="F1009" s="66"/>
      <c r="G1009" s="24"/>
      <c r="H1009" s="24"/>
      <c r="I1009" s="24"/>
      <c r="J1009" s="24"/>
      <c r="K1009" s="24"/>
      <c r="L1009" s="24"/>
      <c r="M1009" s="24"/>
      <c r="N1009" s="24"/>
      <c r="O1009" s="24"/>
      <c r="P1009" s="61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71"/>
      <c r="AG1009" s="272"/>
    </row>
    <row r="1010" spans="1:33" s="16" customFormat="1" ht="21.75" customHeight="1">
      <c r="A1010" s="30"/>
      <c r="B1010" s="38"/>
      <c r="C1010" s="38"/>
      <c r="D1010" s="39"/>
      <c r="E1010" s="24"/>
      <c r="F1010" s="66"/>
      <c r="G1010" s="24"/>
      <c r="H1010" s="24"/>
      <c r="I1010" s="24"/>
      <c r="J1010" s="24"/>
      <c r="K1010" s="24"/>
      <c r="L1010" s="24"/>
      <c r="M1010" s="24"/>
      <c r="N1010" s="24"/>
      <c r="O1010" s="24"/>
      <c r="P1010" s="61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71"/>
      <c r="AG1010" s="272"/>
    </row>
    <row r="1011" spans="1:33" s="16" customFormat="1" ht="21.75" customHeight="1">
      <c r="A1011" s="30"/>
      <c r="B1011" s="38"/>
      <c r="C1011" s="38"/>
      <c r="D1011" s="39"/>
      <c r="E1011" s="24"/>
      <c r="F1011" s="66"/>
      <c r="G1011" s="24"/>
      <c r="H1011" s="24"/>
      <c r="I1011" s="24"/>
      <c r="J1011" s="24"/>
      <c r="K1011" s="24"/>
      <c r="L1011" s="24"/>
      <c r="M1011" s="24"/>
      <c r="N1011" s="24"/>
      <c r="O1011" s="24"/>
      <c r="P1011" s="61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71"/>
      <c r="AG1011" s="272"/>
    </row>
    <row r="1012" spans="1:33" s="16" customFormat="1" ht="21.75" customHeight="1">
      <c r="A1012" s="30"/>
      <c r="B1012" s="38"/>
      <c r="C1012" s="46"/>
      <c r="D1012" s="39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61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71"/>
      <c r="AG1012" s="272"/>
    </row>
    <row r="1013" spans="1:33" s="4" customFormat="1" ht="21.75" customHeight="1">
      <c r="A1013" s="30"/>
      <c r="B1013" s="38"/>
      <c r="C1013" s="38"/>
      <c r="D1013" s="39"/>
      <c r="E1013" s="24"/>
      <c r="F1013" s="66"/>
      <c r="G1013" s="24"/>
      <c r="H1013" s="24"/>
      <c r="I1013" s="24"/>
      <c r="J1013" s="24"/>
      <c r="K1013" s="24"/>
      <c r="L1013" s="24"/>
      <c r="M1013" s="24"/>
      <c r="N1013" s="24"/>
      <c r="O1013" s="24"/>
      <c r="P1013" s="61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71"/>
      <c r="AG1013" s="272"/>
    </row>
    <row r="1014" spans="1:33" s="4" customFormat="1" ht="21.75" customHeight="1">
      <c r="A1014" s="30"/>
      <c r="B1014" s="38"/>
      <c r="C1014" s="46"/>
      <c r="D1014" s="39"/>
      <c r="E1014" s="24"/>
      <c r="F1014" s="66"/>
      <c r="G1014" s="24"/>
      <c r="H1014" s="24"/>
      <c r="I1014" s="24"/>
      <c r="J1014" s="24"/>
      <c r="K1014" s="24"/>
      <c r="L1014" s="24"/>
      <c r="M1014" s="24"/>
      <c r="N1014" s="24"/>
      <c r="O1014" s="24"/>
      <c r="P1014" s="61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71"/>
      <c r="AG1014" s="272"/>
    </row>
    <row r="1015" spans="1:33" s="4" customFormat="1" ht="21.75" customHeight="1">
      <c r="A1015" s="30"/>
      <c r="B1015" s="38"/>
      <c r="C1015" s="38"/>
      <c r="D1015" s="39"/>
      <c r="E1015" s="24"/>
      <c r="F1015" s="66"/>
      <c r="G1015" s="24"/>
      <c r="H1015" s="24"/>
      <c r="I1015" s="24"/>
      <c r="J1015" s="24"/>
      <c r="K1015" s="24"/>
      <c r="L1015" s="24"/>
      <c r="M1015" s="24"/>
      <c r="N1015" s="24"/>
      <c r="O1015" s="24"/>
      <c r="P1015" s="61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71"/>
      <c r="AG1015" s="272"/>
    </row>
    <row r="1016" spans="1:33" s="4" customFormat="1" ht="21.75" customHeight="1">
      <c r="A1016" s="30"/>
      <c r="B1016" s="38"/>
      <c r="C1016" s="46"/>
      <c r="D1016" s="39"/>
      <c r="E1016" s="24"/>
      <c r="F1016" s="66"/>
      <c r="G1016" s="24"/>
      <c r="H1016" s="24"/>
      <c r="I1016" s="24"/>
      <c r="J1016" s="24"/>
      <c r="K1016" s="24"/>
      <c r="L1016" s="24"/>
      <c r="M1016" s="24"/>
      <c r="N1016" s="24"/>
      <c r="O1016" s="24"/>
      <c r="P1016" s="61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71"/>
      <c r="AG1016" s="272"/>
    </row>
    <row r="1017" spans="1:33" s="4" customFormat="1" ht="21.75" customHeight="1">
      <c r="A1017" s="30"/>
      <c r="B1017" s="38"/>
      <c r="C1017" s="46"/>
      <c r="D1017" s="39"/>
      <c r="E1017" s="24"/>
      <c r="F1017" s="66"/>
      <c r="G1017" s="24"/>
      <c r="H1017" s="24"/>
      <c r="I1017" s="24"/>
      <c r="J1017" s="24"/>
      <c r="K1017" s="24"/>
      <c r="L1017" s="24"/>
      <c r="M1017" s="24"/>
      <c r="N1017" s="24"/>
      <c r="O1017" s="24"/>
      <c r="P1017" s="61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71"/>
      <c r="AG1017" s="272"/>
    </row>
    <row r="1018" spans="1:33" s="4" customFormat="1" ht="21.75" customHeight="1">
      <c r="A1018" s="30"/>
      <c r="B1018" s="38"/>
      <c r="C1018" s="38"/>
      <c r="D1018" s="39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61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71"/>
      <c r="AG1018" s="272"/>
    </row>
    <row r="1019" spans="1:33" s="4" customFormat="1" ht="21.75" customHeight="1">
      <c r="A1019" s="30"/>
      <c r="B1019" s="38"/>
      <c r="C1019" s="38"/>
      <c r="D1019" s="39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61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71"/>
      <c r="AG1019" s="272"/>
    </row>
    <row r="1020" spans="1:33" s="4" customFormat="1" ht="21.75" customHeight="1">
      <c r="A1020" s="30"/>
      <c r="B1020" s="38"/>
      <c r="C1020" s="38"/>
      <c r="D1020" s="39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61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71"/>
      <c r="AG1020" s="272"/>
    </row>
    <row r="1021" spans="1:33" s="4" customFormat="1" ht="21.75" customHeight="1">
      <c r="A1021" s="30"/>
      <c r="B1021" s="38"/>
      <c r="C1021" s="38"/>
      <c r="D1021" s="39"/>
      <c r="E1021" s="24"/>
      <c r="F1021" s="66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71"/>
      <c r="AG1021" s="272"/>
    </row>
    <row r="1022" spans="1:33" s="4" customFormat="1" ht="21.75" customHeight="1">
      <c r="A1022" s="30"/>
      <c r="B1022" s="38"/>
      <c r="C1022" s="38"/>
      <c r="D1022" s="39"/>
      <c r="E1022" s="24"/>
      <c r="F1022" s="66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71"/>
      <c r="AG1022" s="272"/>
    </row>
    <row r="1023" spans="1:33" s="4" customFormat="1" ht="21.75" customHeight="1">
      <c r="A1023" s="30"/>
      <c r="B1023" s="38"/>
      <c r="C1023" s="38"/>
      <c r="D1023" s="39"/>
      <c r="E1023" s="24"/>
      <c r="F1023" s="66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71"/>
      <c r="AG1023" s="272"/>
    </row>
    <row r="1024" spans="1:33" s="4" customFormat="1" ht="21.75" customHeight="1">
      <c r="A1024" s="30"/>
      <c r="B1024" s="38"/>
      <c r="C1024" s="38"/>
      <c r="D1024" s="39"/>
      <c r="E1024" s="24"/>
      <c r="F1024" s="66"/>
      <c r="G1024" s="66"/>
      <c r="H1024" s="24"/>
      <c r="I1024" s="24"/>
      <c r="J1024" s="7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71"/>
      <c r="AG1024" s="272"/>
    </row>
    <row r="1025" spans="1:33" s="4" customFormat="1" ht="21.75" customHeight="1">
      <c r="A1025" s="30"/>
      <c r="B1025" s="38"/>
      <c r="C1025" s="38"/>
      <c r="D1025" s="39"/>
      <c r="E1025" s="24"/>
      <c r="F1025" s="66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71"/>
      <c r="AG1025" s="272"/>
    </row>
    <row r="1026" spans="1:33" s="4" customFormat="1" ht="21.75" customHeight="1">
      <c r="A1026" s="30"/>
      <c r="B1026" s="38"/>
      <c r="C1026" s="38"/>
      <c r="D1026" s="39"/>
      <c r="E1026" s="24"/>
      <c r="F1026" s="66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71"/>
      <c r="AG1026" s="272"/>
    </row>
    <row r="1027" spans="1:33" s="4" customFormat="1" ht="21.75" customHeight="1">
      <c r="A1027" s="30"/>
      <c r="B1027" s="38"/>
      <c r="C1027" s="38"/>
      <c r="D1027" s="39"/>
      <c r="E1027" s="24"/>
      <c r="F1027" s="66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71"/>
      <c r="AG1027" s="272"/>
    </row>
    <row r="1028" spans="1:33" s="4" customFormat="1" ht="21.75" customHeight="1">
      <c r="A1028" s="30"/>
      <c r="B1028" s="38"/>
      <c r="C1028" s="38"/>
      <c r="D1028" s="39"/>
      <c r="E1028" s="24"/>
      <c r="F1028" s="24"/>
      <c r="G1028" s="24"/>
      <c r="H1028" s="24"/>
      <c r="I1028" s="45"/>
      <c r="J1028" s="39"/>
      <c r="K1028" s="24"/>
      <c r="L1028" s="24"/>
      <c r="M1028" s="24"/>
      <c r="N1028" s="24"/>
      <c r="O1028" s="24"/>
      <c r="P1028" s="61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71"/>
      <c r="AG1028" s="272"/>
    </row>
    <row r="1029" spans="1:33" s="4" customFormat="1" ht="21.75" customHeight="1">
      <c r="A1029" s="30"/>
      <c r="B1029" s="38"/>
      <c r="C1029" s="38"/>
      <c r="D1029" s="39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61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71"/>
      <c r="AG1029" s="272"/>
    </row>
    <row r="1030" spans="1:33" s="4" customFormat="1" ht="21.75" customHeight="1">
      <c r="A1030" s="30"/>
      <c r="B1030" s="38"/>
      <c r="C1030" s="38"/>
      <c r="D1030" s="39"/>
      <c r="E1030" s="24"/>
      <c r="F1030" s="66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71"/>
      <c r="AG1030" s="272"/>
    </row>
    <row r="1031" spans="1:33" s="4" customFormat="1" ht="21.75" customHeight="1">
      <c r="A1031" s="30"/>
      <c r="B1031" s="38"/>
      <c r="C1031" s="38"/>
      <c r="D1031" s="39"/>
      <c r="E1031" s="24"/>
      <c r="F1031" s="66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71"/>
      <c r="AG1031" s="272"/>
    </row>
    <row r="1032" spans="1:33" s="4" customFormat="1" ht="21.75" customHeight="1" thickBot="1">
      <c r="A1032" s="30"/>
      <c r="B1032" s="38"/>
      <c r="C1032" s="38"/>
      <c r="D1032" s="39"/>
      <c r="E1032" s="24"/>
      <c r="F1032" s="66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81"/>
      <c r="AG1032" s="275"/>
    </row>
    <row r="1033" spans="1:33" s="4" customFormat="1" ht="21.75" customHeight="1">
      <c r="A1033" s="30"/>
      <c r="B1033" s="38"/>
      <c r="C1033" s="38"/>
      <c r="D1033" s="39"/>
      <c r="E1033" s="24"/>
      <c r="F1033" s="66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69"/>
      <c r="AG1033" s="270"/>
    </row>
    <row r="1034" spans="1:33" s="4" customFormat="1" ht="21.75" customHeight="1">
      <c r="A1034" s="30"/>
      <c r="B1034" s="38"/>
      <c r="C1034" s="38"/>
      <c r="D1034" s="39"/>
      <c r="E1034" s="24"/>
      <c r="F1034" s="66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71"/>
      <c r="AG1034" s="272"/>
    </row>
    <row r="1035" spans="1:33" s="4" customFormat="1" ht="21.75" customHeight="1">
      <c r="A1035" s="30"/>
      <c r="B1035" s="38"/>
      <c r="C1035" s="38"/>
      <c r="D1035" s="39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61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71"/>
      <c r="AG1035" s="272"/>
    </row>
    <row r="1036" spans="1:33" s="4" customFormat="1" ht="21.75" customHeight="1">
      <c r="A1036" s="30"/>
      <c r="B1036" s="38"/>
      <c r="C1036" s="38"/>
      <c r="D1036" s="39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61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71"/>
      <c r="AG1036" s="272"/>
    </row>
    <row r="1037" spans="1:33" s="4" customFormat="1" ht="21.75" customHeight="1">
      <c r="A1037" s="30"/>
      <c r="B1037" s="38"/>
      <c r="C1037" s="38"/>
      <c r="D1037" s="39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61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71"/>
      <c r="AG1037" s="272"/>
    </row>
    <row r="1038" spans="1:33" s="4" customFormat="1" ht="21.75" customHeight="1">
      <c r="A1038" s="30"/>
      <c r="B1038" s="38"/>
      <c r="C1038" s="38"/>
      <c r="D1038" s="39"/>
      <c r="E1038" s="24"/>
      <c r="F1038" s="66"/>
      <c r="G1038" s="24"/>
      <c r="H1038" s="24"/>
      <c r="I1038" s="24"/>
      <c r="J1038" s="24"/>
      <c r="K1038" s="24"/>
      <c r="L1038" s="24"/>
      <c r="M1038" s="24"/>
      <c r="N1038" s="24"/>
      <c r="O1038" s="24"/>
      <c r="P1038" s="61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71"/>
      <c r="AG1038" s="272"/>
    </row>
    <row r="1039" spans="1:33" s="4" customFormat="1" ht="21.75" customHeight="1">
      <c r="A1039" s="30"/>
      <c r="B1039" s="38"/>
      <c r="C1039" s="38"/>
      <c r="D1039" s="39"/>
      <c r="E1039" s="24"/>
      <c r="F1039" s="66"/>
      <c r="G1039" s="66"/>
      <c r="H1039" s="24"/>
      <c r="I1039" s="24"/>
      <c r="J1039" s="24"/>
      <c r="K1039" s="24"/>
      <c r="L1039" s="24"/>
      <c r="M1039" s="24"/>
      <c r="N1039" s="24"/>
      <c r="O1039" s="24"/>
      <c r="P1039" s="61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71"/>
      <c r="AG1039" s="272"/>
    </row>
    <row r="1040" spans="1:33" s="4" customFormat="1" ht="21.75" customHeight="1">
      <c r="A1040" s="30"/>
      <c r="B1040" s="67"/>
      <c r="C1040" s="103"/>
      <c r="D1040" s="39"/>
      <c r="E1040" s="24"/>
      <c r="F1040" s="66"/>
      <c r="G1040" s="66"/>
      <c r="H1040" s="24"/>
      <c r="I1040" s="24"/>
      <c r="J1040" s="7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74"/>
      <c r="AF1040" s="271"/>
      <c r="AG1040" s="272"/>
    </row>
    <row r="1041" spans="1:33" s="4" customFormat="1" ht="21.75" customHeight="1">
      <c r="A1041" s="30"/>
      <c r="B1041" s="67"/>
      <c r="C1041" s="103"/>
      <c r="D1041" s="39"/>
      <c r="E1041" s="24"/>
      <c r="F1041" s="66"/>
      <c r="G1041" s="66"/>
      <c r="H1041" s="24"/>
      <c r="I1041" s="24"/>
      <c r="J1041" s="24"/>
      <c r="K1041" s="24"/>
      <c r="L1041" s="24"/>
      <c r="M1041" s="24"/>
      <c r="N1041" s="24"/>
      <c r="O1041" s="24"/>
      <c r="P1041" s="61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71"/>
      <c r="AG1041" s="272"/>
    </row>
    <row r="1042" spans="1:33" s="4" customFormat="1" ht="21.75" customHeight="1">
      <c r="A1042" s="30"/>
      <c r="B1042" s="67"/>
      <c r="C1042" s="103"/>
      <c r="D1042" s="39"/>
      <c r="E1042" s="24"/>
      <c r="F1042" s="66"/>
      <c r="G1042" s="66"/>
      <c r="H1042" s="24"/>
      <c r="I1042" s="24"/>
      <c r="J1042" s="24"/>
      <c r="K1042" s="24"/>
      <c r="L1042" s="24"/>
      <c r="M1042" s="24"/>
      <c r="N1042" s="24"/>
      <c r="O1042" s="24"/>
      <c r="P1042" s="61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71"/>
      <c r="AG1042" s="272"/>
    </row>
    <row r="1043" spans="1:33" s="4" customFormat="1" ht="21.75" customHeight="1">
      <c r="A1043" s="30"/>
      <c r="B1043" s="38"/>
      <c r="C1043" s="38"/>
      <c r="D1043" s="39"/>
      <c r="E1043" s="24"/>
      <c r="F1043" s="66"/>
      <c r="G1043" s="24"/>
      <c r="H1043" s="24"/>
      <c r="I1043" s="24"/>
      <c r="J1043" s="39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71"/>
      <c r="AG1043" s="272"/>
    </row>
    <row r="1044" spans="1:33" s="4" customFormat="1" ht="21.75" customHeight="1">
      <c r="A1044" s="30"/>
      <c r="B1044" s="38"/>
      <c r="C1044" s="38"/>
      <c r="D1044" s="39"/>
      <c r="E1044" s="24"/>
      <c r="F1044" s="104"/>
      <c r="G1044" s="107"/>
      <c r="H1044" s="24"/>
      <c r="I1044" s="24"/>
      <c r="J1044" s="24"/>
      <c r="K1044" s="24"/>
      <c r="L1044" s="24"/>
      <c r="M1044" s="24"/>
      <c r="N1044" s="24"/>
      <c r="O1044" s="24"/>
      <c r="P1044" s="61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71"/>
      <c r="AG1044" s="272"/>
    </row>
    <row r="1045" spans="1:33" s="4" customFormat="1" ht="21.75" customHeight="1">
      <c r="A1045" s="30"/>
      <c r="B1045" s="38"/>
      <c r="C1045" s="38"/>
      <c r="D1045" s="39"/>
      <c r="E1045" s="24"/>
      <c r="F1045" s="66"/>
      <c r="G1045" s="105"/>
      <c r="H1045" s="105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71"/>
      <c r="AG1045" s="272"/>
    </row>
    <row r="1046" spans="1:33" s="4" customFormat="1" ht="21.75" customHeight="1">
      <c r="A1046" s="30"/>
      <c r="B1046" s="38"/>
      <c r="C1046" s="38"/>
      <c r="D1046" s="39"/>
      <c r="E1046" s="24"/>
      <c r="F1046" s="66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73"/>
      <c r="AG1046" s="272"/>
    </row>
    <row r="1047" spans="1:33" s="4" customFormat="1" ht="21.75" customHeight="1">
      <c r="A1047" s="30"/>
      <c r="B1047" s="38"/>
      <c r="C1047" s="38"/>
      <c r="D1047" s="39"/>
      <c r="E1047" s="24"/>
      <c r="F1047" s="66"/>
      <c r="G1047" s="24"/>
      <c r="H1047" s="24"/>
      <c r="I1047" s="24"/>
      <c r="J1047" s="7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73"/>
      <c r="AG1047" s="272"/>
    </row>
    <row r="1048" spans="1:33" s="4" customFormat="1" ht="21.75" customHeight="1" thickBot="1">
      <c r="A1048" s="30"/>
      <c r="B1048" s="38"/>
      <c r="C1048" s="38"/>
      <c r="D1048" s="39"/>
      <c r="E1048" s="24"/>
      <c r="F1048" s="66"/>
      <c r="G1048" s="66"/>
      <c r="H1048" s="24"/>
      <c r="I1048" s="24"/>
      <c r="J1048" s="7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74"/>
      <c r="AG1048" s="275"/>
    </row>
    <row r="1049" spans="2:33" s="1" customFormat="1" ht="46.5" customHeight="1">
      <c r="B1049" s="233"/>
      <c r="C1049" s="234"/>
      <c r="D1049" s="234"/>
      <c r="E1049" s="234"/>
      <c r="F1049" s="234"/>
      <c r="G1049" s="234"/>
      <c r="H1049" s="234"/>
      <c r="I1049" s="234"/>
      <c r="J1049" s="234"/>
      <c r="K1049" s="234"/>
      <c r="L1049" s="234"/>
      <c r="M1049" s="211"/>
      <c r="N1049" s="211"/>
      <c r="O1049" s="211"/>
      <c r="P1049" s="211"/>
      <c r="Q1049" s="211"/>
      <c r="R1049" s="211"/>
      <c r="S1049" s="211"/>
      <c r="T1049" s="211"/>
      <c r="U1049" s="211"/>
      <c r="V1049" s="211"/>
      <c r="W1049" s="211"/>
      <c r="X1049" s="211"/>
      <c r="Y1049" s="211"/>
      <c r="Z1049" s="211"/>
      <c r="AA1049" s="211"/>
      <c r="AB1049" s="211"/>
      <c r="AC1049" s="211"/>
      <c r="AD1049" s="211"/>
      <c r="AE1049" s="211"/>
      <c r="AF1049" s="279"/>
      <c r="AG1049" s="280"/>
    </row>
    <row r="1050" spans="2:33" s="1" customFormat="1" ht="46.5" customHeight="1" thickBot="1">
      <c r="B1050" s="236"/>
      <c r="C1050" s="237"/>
      <c r="D1050" s="237"/>
      <c r="E1050" s="237"/>
      <c r="F1050" s="237"/>
      <c r="G1050" s="237"/>
      <c r="H1050" s="237"/>
      <c r="I1050" s="237"/>
      <c r="J1050" s="237"/>
      <c r="K1050" s="237"/>
      <c r="L1050" s="237"/>
      <c r="M1050" s="250"/>
      <c r="N1050" s="250"/>
      <c r="O1050" s="250"/>
      <c r="P1050" s="250"/>
      <c r="Q1050" s="250"/>
      <c r="R1050" s="250"/>
      <c r="S1050" s="212"/>
      <c r="T1050" s="250"/>
      <c r="U1050" s="212"/>
      <c r="V1050" s="250"/>
      <c r="W1050" s="212"/>
      <c r="X1050" s="250"/>
      <c r="Y1050" s="212"/>
      <c r="Z1050" s="250"/>
      <c r="AA1050" s="212"/>
      <c r="AB1050" s="212"/>
      <c r="AC1050" s="212"/>
      <c r="AD1050" s="212"/>
      <c r="AE1050" s="212"/>
      <c r="AF1050" s="276"/>
      <c r="AG1050" s="277"/>
    </row>
    <row r="1051" spans="1:34" ht="36" customHeight="1">
      <c r="A1051" s="10"/>
      <c r="B1051" s="49"/>
      <c r="C1051" s="49"/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 s="49"/>
      <c r="V1051" s="49"/>
      <c r="X1051" s="49"/>
      <c r="Z1051" s="49"/>
      <c r="AB1051" s="78"/>
      <c r="AC1051" s="49"/>
      <c r="AD1051" s="49"/>
      <c r="AF1051" s="49"/>
      <c r="AG1051" s="49"/>
      <c r="AH1051" s="11"/>
    </row>
    <row r="1052" spans="2:33" ht="15">
      <c r="B1052" s="49"/>
      <c r="C1052" s="49"/>
      <c r="D1052" s="49"/>
      <c r="E1052" s="49"/>
      <c r="F1052" s="49"/>
      <c r="G1052" s="49"/>
      <c r="H1052" s="49"/>
      <c r="I1052" s="159"/>
      <c r="J1052" s="49"/>
      <c r="K1052" s="49"/>
      <c r="L1052" s="49"/>
      <c r="M1052" s="49"/>
      <c r="N1052" s="49"/>
      <c r="O1052" s="79"/>
      <c r="P1052" s="49"/>
      <c r="Q1052" s="49"/>
      <c r="R1052" s="49"/>
      <c r="S1052" s="49"/>
      <c r="T1052" s="49"/>
      <c r="V1052" s="49"/>
      <c r="X1052" s="49"/>
      <c r="Z1052" s="49"/>
      <c r="AB1052" s="78"/>
      <c r="AC1052" s="49"/>
      <c r="AD1052" s="49"/>
      <c r="AF1052" s="49"/>
      <c r="AG1052" s="49"/>
    </row>
    <row r="1053" spans="2:33" ht="15">
      <c r="B1053" s="49"/>
      <c r="C1053" s="49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79"/>
      <c r="P1053" s="49"/>
      <c r="Q1053" s="49"/>
      <c r="R1053" s="49"/>
      <c r="S1053" s="49"/>
      <c r="T1053" s="49"/>
      <c r="V1053" s="49"/>
      <c r="X1053" s="49"/>
      <c r="Z1053" s="49"/>
      <c r="AB1053" s="78"/>
      <c r="AC1053" s="49"/>
      <c r="AD1053" s="49"/>
      <c r="AF1053" s="49"/>
      <c r="AG1053" s="49"/>
    </row>
    <row r="1054" spans="2:33" ht="15.75">
      <c r="B1054" s="224"/>
      <c r="C1054" s="225"/>
      <c r="D1054" s="225"/>
      <c r="E1054" s="225"/>
      <c r="F1054" s="225"/>
      <c r="G1054" s="226"/>
      <c r="H1054" s="53"/>
      <c r="I1054" s="53"/>
      <c r="J1054" s="53"/>
      <c r="K1054" s="138"/>
      <c r="L1054" s="138"/>
      <c r="M1054" s="138"/>
      <c r="N1054" s="53"/>
      <c r="O1054" s="93"/>
      <c r="P1054" s="138"/>
      <c r="Q1054" s="93"/>
      <c r="R1054" s="53"/>
      <c r="S1054" s="53"/>
      <c r="T1054" s="94"/>
      <c r="U1054" s="94"/>
      <c r="V1054" s="53"/>
      <c r="W1054" s="53"/>
      <c r="X1054" s="53"/>
      <c r="Y1054" s="53"/>
      <c r="Z1054" s="101"/>
      <c r="AA1054" s="53"/>
      <c r="AB1054" s="53"/>
      <c r="AC1054" s="83"/>
      <c r="AD1054" s="84"/>
      <c r="AF1054" s="52"/>
      <c r="AG1054" s="52"/>
    </row>
    <row r="1055" spans="2:33" ht="15.75">
      <c r="B1055" s="50"/>
      <c r="C1055" s="51"/>
      <c r="D1055" s="51"/>
      <c r="E1055" s="51"/>
      <c r="F1055" s="51"/>
      <c r="G1055" s="52"/>
      <c r="H1055" s="53"/>
      <c r="I1055" s="53"/>
      <c r="J1055" s="53"/>
      <c r="K1055" s="53"/>
      <c r="L1055" s="80"/>
      <c r="M1055" s="80"/>
      <c r="N1055" s="49"/>
      <c r="O1055" s="96"/>
      <c r="P1055" s="53"/>
      <c r="Q1055" s="49"/>
      <c r="R1055" s="53"/>
      <c r="S1055" s="49"/>
      <c r="T1055" s="53"/>
      <c r="U1055" s="53"/>
      <c r="V1055" s="85"/>
      <c r="X1055" s="49"/>
      <c r="Z1055" s="49"/>
      <c r="AB1055" s="49"/>
      <c r="AC1055" s="83"/>
      <c r="AD1055" s="84"/>
      <c r="AF1055" s="52"/>
      <c r="AG1055" s="52"/>
    </row>
    <row r="1056" spans="2:33" ht="15.75">
      <c r="B1056" s="50"/>
      <c r="C1056" s="51"/>
      <c r="D1056" s="51"/>
      <c r="E1056" s="51"/>
      <c r="F1056" s="51"/>
      <c r="G1056" s="52"/>
      <c r="H1056" s="53"/>
      <c r="I1056" s="53"/>
      <c r="J1056" s="53"/>
      <c r="K1056" s="53"/>
      <c r="L1056" s="80"/>
      <c r="M1056" s="80"/>
      <c r="N1056" s="49"/>
      <c r="O1056" s="96"/>
      <c r="P1056" s="49"/>
      <c r="Q1056" s="49"/>
      <c r="R1056" s="49"/>
      <c r="T1056" s="85"/>
      <c r="V1056" s="49"/>
      <c r="X1056" s="49"/>
      <c r="Y1056" s="49"/>
      <c r="Z1056" s="49"/>
      <c r="AA1056" s="49"/>
      <c r="AB1056" s="83"/>
      <c r="AC1056" s="84"/>
      <c r="AF1056" s="52"/>
      <c r="AG1056" s="52"/>
    </row>
    <row r="1057" spans="2:33" ht="15.75">
      <c r="B1057" s="50"/>
      <c r="C1057" s="51"/>
      <c r="D1057" s="51"/>
      <c r="E1057" s="51"/>
      <c r="F1057" s="51"/>
      <c r="G1057" s="52"/>
      <c r="H1057" s="53"/>
      <c r="I1057" s="53"/>
      <c r="J1057" s="53"/>
      <c r="K1057" s="53"/>
      <c r="L1057" s="80"/>
      <c r="M1057" s="80"/>
      <c r="N1057" s="49"/>
      <c r="O1057" s="49"/>
      <c r="P1057" s="49"/>
      <c r="Q1057" s="49"/>
      <c r="R1057" s="49"/>
      <c r="S1057" s="49"/>
      <c r="T1057" s="85"/>
      <c r="U1057" s="49"/>
      <c r="V1057" s="49"/>
      <c r="X1057" s="49"/>
      <c r="Y1057" s="49"/>
      <c r="Z1057" s="83"/>
      <c r="AA1057" s="84"/>
      <c r="AF1057" s="52"/>
      <c r="AG1057" s="52"/>
    </row>
    <row r="1058" spans="2:33" ht="15.75">
      <c r="B1058" s="50"/>
      <c r="C1058" s="51"/>
      <c r="D1058" s="51"/>
      <c r="E1058" s="51"/>
      <c r="F1058" s="51"/>
      <c r="G1058" s="52"/>
      <c r="H1058" s="53"/>
      <c r="I1058" s="53"/>
      <c r="J1058" s="53"/>
      <c r="K1058" s="53"/>
      <c r="L1058" s="80"/>
      <c r="M1058" s="81"/>
      <c r="N1058" s="81"/>
      <c r="O1058" s="81"/>
      <c r="P1058" s="78"/>
      <c r="Q1058" s="81"/>
      <c r="R1058" s="155"/>
      <c r="S1058" s="83"/>
      <c r="T1058" s="84"/>
      <c r="U1058" s="82"/>
      <c r="V1058" s="82"/>
      <c r="W1058" s="82"/>
      <c r="X1058" s="82"/>
      <c r="Y1058" s="83"/>
      <c r="Z1058" s="84"/>
      <c r="AF1058" s="52"/>
      <c r="AG1058" s="52"/>
    </row>
    <row r="1059" spans="1:34" s="3" customFormat="1" ht="36" customHeight="1" thickBot="1">
      <c r="A1059" s="12"/>
      <c r="B1059" s="54" t="s">
        <v>89</v>
      </c>
      <c r="C1059" s="55"/>
      <c r="D1059" s="55"/>
      <c r="E1059" s="55"/>
      <c r="F1059" s="55"/>
      <c r="G1059" s="55"/>
      <c r="H1059" s="55"/>
      <c r="I1059" s="55"/>
      <c r="J1059" s="55"/>
      <c r="K1059" s="86"/>
      <c r="L1059" s="86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  <c r="AF1059" s="98"/>
      <c r="AG1059" s="98"/>
      <c r="AH1059" s="13"/>
    </row>
    <row r="1060" spans="2:33" s="4" customFormat="1" ht="21.75" customHeight="1">
      <c r="B1060" s="233" t="s">
        <v>0</v>
      </c>
      <c r="C1060" s="235"/>
      <c r="D1060" s="251" t="s">
        <v>3</v>
      </c>
      <c r="E1060" s="251" t="s">
        <v>4</v>
      </c>
      <c r="F1060" s="251" t="s">
        <v>5</v>
      </c>
      <c r="G1060" s="254" t="s">
        <v>43</v>
      </c>
      <c r="H1060" s="254" t="s">
        <v>45</v>
      </c>
      <c r="I1060" s="251" t="s">
        <v>6</v>
      </c>
      <c r="J1060" s="254" t="s">
        <v>26</v>
      </c>
      <c r="K1060" s="254"/>
      <c r="L1060" s="254" t="s">
        <v>144</v>
      </c>
      <c r="M1060" s="58">
        <v>608</v>
      </c>
      <c r="N1060" s="58">
        <v>609</v>
      </c>
      <c r="O1060" s="216">
        <v>609</v>
      </c>
      <c r="P1060" s="217"/>
      <c r="Q1060" s="216"/>
      <c r="R1060" s="217"/>
      <c r="S1060" s="310">
        <v>304</v>
      </c>
      <c r="T1060" s="311"/>
      <c r="U1060" s="312"/>
      <c r="V1060" s="216"/>
      <c r="W1060" s="217"/>
      <c r="X1060" s="216">
        <v>618</v>
      </c>
      <c r="Y1060" s="217"/>
      <c r="Z1060" s="216"/>
      <c r="AA1060" s="217"/>
      <c r="AB1060" s="216"/>
      <c r="AC1060" s="217"/>
      <c r="AD1060" s="216"/>
      <c r="AE1060" s="217"/>
      <c r="AF1060" s="282" t="s">
        <v>38</v>
      </c>
      <c r="AG1060" s="282" t="s">
        <v>58</v>
      </c>
    </row>
    <row r="1061" spans="2:33" s="4" customFormat="1" ht="27.75" customHeight="1">
      <c r="B1061" s="293"/>
      <c r="C1061" s="294"/>
      <c r="D1061" s="252"/>
      <c r="E1061" s="252"/>
      <c r="F1061" s="252"/>
      <c r="G1061" s="242"/>
      <c r="H1061" s="242"/>
      <c r="I1061" s="252"/>
      <c r="J1061" s="255"/>
      <c r="K1061" s="255"/>
      <c r="L1061" s="255"/>
      <c r="M1061" s="241" t="s">
        <v>128</v>
      </c>
      <c r="N1061" s="241" t="s">
        <v>151</v>
      </c>
      <c r="O1061" s="218" t="s">
        <v>96</v>
      </c>
      <c r="P1061" s="219"/>
      <c r="Q1061" s="218"/>
      <c r="R1061" s="219"/>
      <c r="S1061" s="218" t="s">
        <v>121</v>
      </c>
      <c r="T1061" s="341"/>
      <c r="U1061" s="219"/>
      <c r="V1061" s="218"/>
      <c r="W1061" s="219"/>
      <c r="X1061" s="218" t="s">
        <v>118</v>
      </c>
      <c r="Y1061" s="219"/>
      <c r="Z1061" s="218"/>
      <c r="AA1061" s="219"/>
      <c r="AB1061" s="218"/>
      <c r="AC1061" s="219"/>
      <c r="AD1061" s="218"/>
      <c r="AE1061" s="219"/>
      <c r="AF1061" s="283"/>
      <c r="AG1061" s="304"/>
    </row>
    <row r="1062" spans="2:33" s="4" customFormat="1" ht="27.75" customHeight="1" thickBot="1">
      <c r="B1062" s="293"/>
      <c r="C1062" s="294"/>
      <c r="D1062" s="252"/>
      <c r="E1062" s="252"/>
      <c r="F1062" s="252"/>
      <c r="G1062" s="242"/>
      <c r="H1062" s="242"/>
      <c r="I1062" s="252"/>
      <c r="J1062" s="255"/>
      <c r="K1062" s="255"/>
      <c r="L1062" s="255"/>
      <c r="M1062" s="255"/>
      <c r="N1062" s="242"/>
      <c r="O1062" s="220"/>
      <c r="P1062" s="221"/>
      <c r="Q1062" s="220"/>
      <c r="R1062" s="221"/>
      <c r="S1062" s="220"/>
      <c r="T1062" s="278"/>
      <c r="U1062" s="221"/>
      <c r="V1062" s="220"/>
      <c r="W1062" s="221"/>
      <c r="X1062" s="220"/>
      <c r="Y1062" s="221"/>
      <c r="Z1062" s="220"/>
      <c r="AA1062" s="221"/>
      <c r="AB1062" s="220"/>
      <c r="AC1062" s="221"/>
      <c r="AD1062" s="220"/>
      <c r="AE1062" s="221"/>
      <c r="AF1062" s="284"/>
      <c r="AG1062" s="304"/>
    </row>
    <row r="1063" spans="2:33" s="4" customFormat="1" ht="27.75" customHeight="1">
      <c r="B1063" s="293"/>
      <c r="C1063" s="294"/>
      <c r="D1063" s="252"/>
      <c r="E1063" s="252"/>
      <c r="F1063" s="252"/>
      <c r="G1063" s="242"/>
      <c r="H1063" s="242"/>
      <c r="I1063" s="252"/>
      <c r="J1063" s="255"/>
      <c r="K1063" s="255"/>
      <c r="L1063" s="255"/>
      <c r="M1063" s="255"/>
      <c r="N1063" s="242"/>
      <c r="O1063" s="220"/>
      <c r="P1063" s="221"/>
      <c r="Q1063" s="220"/>
      <c r="R1063" s="221"/>
      <c r="S1063" s="220"/>
      <c r="T1063" s="278"/>
      <c r="U1063" s="221"/>
      <c r="V1063" s="220"/>
      <c r="W1063" s="221"/>
      <c r="X1063" s="220"/>
      <c r="Y1063" s="221"/>
      <c r="Z1063" s="220"/>
      <c r="AA1063" s="221"/>
      <c r="AB1063" s="220"/>
      <c r="AC1063" s="221"/>
      <c r="AD1063" s="220"/>
      <c r="AE1063" s="221"/>
      <c r="AF1063" s="269" t="s">
        <v>8</v>
      </c>
      <c r="AG1063" s="270"/>
    </row>
    <row r="1064" spans="2:33" s="4" customFormat="1" ht="27.75" customHeight="1">
      <c r="B1064" s="293"/>
      <c r="C1064" s="294"/>
      <c r="D1064" s="252"/>
      <c r="E1064" s="252"/>
      <c r="F1064" s="252"/>
      <c r="G1064" s="242"/>
      <c r="H1064" s="242"/>
      <c r="I1064" s="252"/>
      <c r="J1064" s="255"/>
      <c r="K1064" s="255"/>
      <c r="L1064" s="255"/>
      <c r="M1064" s="255"/>
      <c r="N1064" s="242"/>
      <c r="O1064" s="220"/>
      <c r="P1064" s="221"/>
      <c r="Q1064" s="220"/>
      <c r="R1064" s="221"/>
      <c r="S1064" s="220"/>
      <c r="T1064" s="278"/>
      <c r="U1064" s="221"/>
      <c r="V1064" s="220"/>
      <c r="W1064" s="221"/>
      <c r="X1064" s="220"/>
      <c r="Y1064" s="221"/>
      <c r="Z1064" s="220"/>
      <c r="AA1064" s="221"/>
      <c r="AB1064" s="220"/>
      <c r="AC1064" s="221"/>
      <c r="AD1064" s="220"/>
      <c r="AE1064" s="221"/>
      <c r="AF1064" s="271"/>
      <c r="AG1064" s="272"/>
    </row>
    <row r="1065" spans="2:33" s="4" customFormat="1" ht="27.75" customHeight="1">
      <c r="B1065" s="293"/>
      <c r="C1065" s="294"/>
      <c r="D1065" s="252"/>
      <c r="E1065" s="252"/>
      <c r="F1065" s="252"/>
      <c r="G1065" s="242"/>
      <c r="H1065" s="242"/>
      <c r="I1065" s="252"/>
      <c r="J1065" s="255"/>
      <c r="K1065" s="255"/>
      <c r="L1065" s="255"/>
      <c r="M1065" s="255"/>
      <c r="N1065" s="242"/>
      <c r="O1065" s="220"/>
      <c r="P1065" s="221"/>
      <c r="Q1065" s="220"/>
      <c r="R1065" s="221"/>
      <c r="S1065" s="220"/>
      <c r="T1065" s="278"/>
      <c r="U1065" s="221"/>
      <c r="V1065" s="220"/>
      <c r="W1065" s="221"/>
      <c r="X1065" s="220"/>
      <c r="Y1065" s="221"/>
      <c r="Z1065" s="220"/>
      <c r="AA1065" s="221"/>
      <c r="AB1065" s="220"/>
      <c r="AC1065" s="221"/>
      <c r="AD1065" s="220"/>
      <c r="AE1065" s="221"/>
      <c r="AF1065" s="271"/>
      <c r="AG1065" s="272"/>
    </row>
    <row r="1066" spans="2:33" s="4" customFormat="1" ht="27.75" customHeight="1">
      <c r="B1066" s="293"/>
      <c r="C1066" s="294"/>
      <c r="D1066" s="252"/>
      <c r="E1066" s="252"/>
      <c r="F1066" s="252"/>
      <c r="G1066" s="242"/>
      <c r="H1066" s="242"/>
      <c r="I1066" s="252"/>
      <c r="J1066" s="255"/>
      <c r="K1066" s="255"/>
      <c r="L1066" s="255"/>
      <c r="M1066" s="255"/>
      <c r="N1066" s="242"/>
      <c r="O1066" s="220"/>
      <c r="P1066" s="221"/>
      <c r="Q1066" s="220"/>
      <c r="R1066" s="221"/>
      <c r="S1066" s="220"/>
      <c r="T1066" s="278"/>
      <c r="U1066" s="221"/>
      <c r="V1066" s="220"/>
      <c r="W1066" s="221"/>
      <c r="X1066" s="220"/>
      <c r="Y1066" s="221"/>
      <c r="Z1066" s="220"/>
      <c r="AA1066" s="221"/>
      <c r="AB1066" s="220"/>
      <c r="AC1066" s="221"/>
      <c r="AD1066" s="220"/>
      <c r="AE1066" s="221"/>
      <c r="AF1066" s="271"/>
      <c r="AG1066" s="272"/>
    </row>
    <row r="1067" spans="2:33" s="4" customFormat="1" ht="27.75" customHeight="1">
      <c r="B1067" s="293"/>
      <c r="C1067" s="294"/>
      <c r="D1067" s="252"/>
      <c r="E1067" s="252"/>
      <c r="F1067" s="252"/>
      <c r="G1067" s="242"/>
      <c r="H1067" s="242"/>
      <c r="I1067" s="252"/>
      <c r="J1067" s="255"/>
      <c r="K1067" s="255"/>
      <c r="L1067" s="255"/>
      <c r="M1067" s="255"/>
      <c r="N1067" s="242"/>
      <c r="O1067" s="220"/>
      <c r="P1067" s="221"/>
      <c r="Q1067" s="220"/>
      <c r="R1067" s="221"/>
      <c r="S1067" s="220"/>
      <c r="T1067" s="278"/>
      <c r="U1067" s="221"/>
      <c r="V1067" s="220"/>
      <c r="W1067" s="221"/>
      <c r="X1067" s="220"/>
      <c r="Y1067" s="221"/>
      <c r="Z1067" s="220"/>
      <c r="AA1067" s="221"/>
      <c r="AB1067" s="220"/>
      <c r="AC1067" s="221"/>
      <c r="AD1067" s="220"/>
      <c r="AE1067" s="221"/>
      <c r="AF1067" s="271"/>
      <c r="AG1067" s="272"/>
    </row>
    <row r="1068" spans="2:33" s="5" customFormat="1" ht="27.75" customHeight="1">
      <c r="B1068" s="295"/>
      <c r="C1068" s="296"/>
      <c r="D1068" s="253"/>
      <c r="E1068" s="253"/>
      <c r="F1068" s="253"/>
      <c r="G1068" s="243"/>
      <c r="H1068" s="243"/>
      <c r="I1068" s="253"/>
      <c r="J1068" s="256"/>
      <c r="K1068" s="256"/>
      <c r="L1068" s="256"/>
      <c r="M1068" s="256"/>
      <c r="N1068" s="243"/>
      <c r="O1068" s="222"/>
      <c r="P1068" s="223"/>
      <c r="Q1068" s="222"/>
      <c r="R1068" s="223"/>
      <c r="S1068" s="222"/>
      <c r="T1068" s="342"/>
      <c r="U1068" s="223"/>
      <c r="V1068" s="222"/>
      <c r="W1068" s="223"/>
      <c r="X1068" s="222"/>
      <c r="Y1068" s="223"/>
      <c r="Z1068" s="222"/>
      <c r="AA1068" s="223"/>
      <c r="AB1068" s="222"/>
      <c r="AC1068" s="223"/>
      <c r="AD1068" s="222"/>
      <c r="AE1068" s="223"/>
      <c r="AF1068" s="271"/>
      <c r="AG1068" s="272"/>
    </row>
    <row r="1069" spans="2:33" s="7" customFormat="1" ht="21.75" customHeight="1" thickBot="1">
      <c r="B1069" s="56" t="s">
        <v>1</v>
      </c>
      <c r="C1069" s="56" t="s">
        <v>2</v>
      </c>
      <c r="D1069" s="57"/>
      <c r="E1069" s="57" t="s">
        <v>14</v>
      </c>
      <c r="F1069" s="57" t="s">
        <v>14</v>
      </c>
      <c r="G1069" s="57"/>
      <c r="H1069" s="57"/>
      <c r="I1069" s="57" t="s">
        <v>21</v>
      </c>
      <c r="J1069" s="57" t="s">
        <v>21</v>
      </c>
      <c r="K1069" s="57"/>
      <c r="L1069" s="57" t="s">
        <v>21</v>
      </c>
      <c r="M1069" s="57" t="s">
        <v>40</v>
      </c>
      <c r="N1069" s="57" t="s">
        <v>14</v>
      </c>
      <c r="O1069" s="208" t="s">
        <v>14</v>
      </c>
      <c r="P1069" s="210"/>
      <c r="Q1069" s="208"/>
      <c r="R1069" s="210"/>
      <c r="S1069" s="208" t="s">
        <v>20</v>
      </c>
      <c r="T1069" s="209"/>
      <c r="U1069" s="210"/>
      <c r="V1069" s="208"/>
      <c r="W1069" s="210"/>
      <c r="X1069" s="208" t="s">
        <v>119</v>
      </c>
      <c r="Y1069" s="210"/>
      <c r="Z1069" s="208"/>
      <c r="AA1069" s="210"/>
      <c r="AB1069" s="208"/>
      <c r="AC1069" s="210"/>
      <c r="AD1069" s="208"/>
      <c r="AE1069" s="210"/>
      <c r="AF1069" s="271"/>
      <c r="AG1069" s="272"/>
    </row>
    <row r="1070" spans="1:33" s="4" customFormat="1" ht="21.75" customHeight="1">
      <c r="A1070" s="30">
        <v>1</v>
      </c>
      <c r="B1070" s="291"/>
      <c r="C1070" s="292"/>
      <c r="D1070" s="42"/>
      <c r="E1070" s="24"/>
      <c r="F1070" s="42"/>
      <c r="G1070" s="42"/>
      <c r="H1070" s="42"/>
      <c r="I1070" s="43"/>
      <c r="J1070" s="58"/>
      <c r="K1070" s="58"/>
      <c r="L1070" s="58"/>
      <c r="M1070" s="263" t="s">
        <v>131</v>
      </c>
      <c r="N1070" s="263" t="s">
        <v>125</v>
      </c>
      <c r="O1070" s="263" t="s">
        <v>131</v>
      </c>
      <c r="P1070" s="227" t="s">
        <v>59</v>
      </c>
      <c r="Q1070" s="227"/>
      <c r="R1070" s="227"/>
      <c r="S1070" s="227" t="s">
        <v>59</v>
      </c>
      <c r="T1070" s="227" t="s">
        <v>92</v>
      </c>
      <c r="U1070" s="263" t="s">
        <v>131</v>
      </c>
      <c r="V1070" s="227"/>
      <c r="W1070" s="227"/>
      <c r="X1070" s="227" t="s">
        <v>59</v>
      </c>
      <c r="Y1070" s="227" t="s">
        <v>92</v>
      </c>
      <c r="Z1070" s="227"/>
      <c r="AA1070" s="227"/>
      <c r="AB1070" s="227"/>
      <c r="AC1070" s="227"/>
      <c r="AD1070" s="227"/>
      <c r="AE1070" s="227"/>
      <c r="AF1070" s="271"/>
      <c r="AG1070" s="272"/>
    </row>
    <row r="1071" spans="1:33" s="4" customFormat="1" ht="21.75" customHeight="1">
      <c r="A1071" s="30">
        <v>2</v>
      </c>
      <c r="B1071" s="260" t="s">
        <v>99</v>
      </c>
      <c r="C1071" s="261"/>
      <c r="D1071" s="261"/>
      <c r="E1071" s="261"/>
      <c r="F1071" s="261"/>
      <c r="G1071" s="261"/>
      <c r="H1071" s="261"/>
      <c r="I1071" s="262"/>
      <c r="J1071" s="39"/>
      <c r="K1071" s="39"/>
      <c r="L1071" s="39"/>
      <c r="M1071" s="264"/>
      <c r="N1071" s="264"/>
      <c r="O1071" s="264"/>
      <c r="P1071" s="228"/>
      <c r="Q1071" s="228"/>
      <c r="R1071" s="228"/>
      <c r="S1071" s="228"/>
      <c r="T1071" s="228"/>
      <c r="U1071" s="264"/>
      <c r="V1071" s="228"/>
      <c r="W1071" s="228"/>
      <c r="X1071" s="228"/>
      <c r="Y1071" s="228"/>
      <c r="Z1071" s="228"/>
      <c r="AA1071" s="228"/>
      <c r="AB1071" s="228"/>
      <c r="AC1071" s="228"/>
      <c r="AD1071" s="228"/>
      <c r="AE1071" s="228"/>
      <c r="AF1071" s="271"/>
      <c r="AG1071" s="272"/>
    </row>
    <row r="1072" spans="1:33" s="4" customFormat="1" ht="21.75" customHeight="1">
      <c r="A1072" s="30">
        <v>3</v>
      </c>
      <c r="B1072" s="38">
        <v>2348.52</v>
      </c>
      <c r="C1072" s="38">
        <v>2521.36</v>
      </c>
      <c r="D1072" s="39" t="s">
        <v>17</v>
      </c>
      <c r="E1072" s="24">
        <v>184.88</v>
      </c>
      <c r="F1072" s="24"/>
      <c r="G1072" s="24"/>
      <c r="H1072" s="24"/>
      <c r="I1072" s="24"/>
      <c r="J1072" s="24"/>
      <c r="K1072" s="24"/>
      <c r="L1072" s="24"/>
      <c r="M1072" s="61"/>
      <c r="N1072" s="24"/>
      <c r="O1072" s="24"/>
      <c r="P1072" s="24">
        <f>E1072</f>
        <v>184.88</v>
      </c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71"/>
      <c r="AG1072" s="272"/>
    </row>
    <row r="1073" spans="1:33" s="4" customFormat="1" ht="21.75" customHeight="1">
      <c r="A1073" s="30">
        <v>4</v>
      </c>
      <c r="B1073" s="38"/>
      <c r="C1073" s="38"/>
      <c r="D1073" s="39"/>
      <c r="E1073" s="24"/>
      <c r="F1073" s="24"/>
      <c r="G1073" s="24"/>
      <c r="H1073" s="24"/>
      <c r="I1073" s="24"/>
      <c r="J1073" s="24"/>
      <c r="K1073" s="24"/>
      <c r="L1073" s="24"/>
      <c r="M1073" s="61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71"/>
      <c r="AG1073" s="272"/>
    </row>
    <row r="1074" spans="1:33" s="4" customFormat="1" ht="21.75" customHeight="1">
      <c r="A1074" s="30">
        <v>5</v>
      </c>
      <c r="B1074" s="260" t="s">
        <v>81</v>
      </c>
      <c r="C1074" s="261"/>
      <c r="D1074" s="261"/>
      <c r="E1074" s="261"/>
      <c r="F1074" s="261"/>
      <c r="G1074" s="261"/>
      <c r="H1074" s="261"/>
      <c r="I1074" s="262"/>
      <c r="J1074" s="24"/>
      <c r="K1074" s="24"/>
      <c r="L1074" s="24"/>
      <c r="M1074" s="61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71"/>
      <c r="AG1074" s="272"/>
    </row>
    <row r="1075" spans="1:33" s="4" customFormat="1" ht="21.75" customHeight="1">
      <c r="A1075" s="30">
        <v>6</v>
      </c>
      <c r="B1075" s="67" t="s">
        <v>57</v>
      </c>
      <c r="C1075" s="46"/>
      <c r="D1075" s="39"/>
      <c r="E1075" s="24"/>
      <c r="F1075" s="24"/>
      <c r="G1075" s="24"/>
      <c r="H1075" s="24"/>
      <c r="I1075" s="24"/>
      <c r="J1075" s="24"/>
      <c r="K1075" s="24"/>
      <c r="L1075" s="24"/>
      <c r="M1075" s="61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71"/>
      <c r="AG1075" s="272"/>
    </row>
    <row r="1076" spans="1:33" s="4" customFormat="1" ht="21.75" customHeight="1">
      <c r="A1076" s="30">
        <v>7</v>
      </c>
      <c r="B1076" s="38">
        <v>14826.61</v>
      </c>
      <c r="C1076" s="38">
        <v>14848.2</v>
      </c>
      <c r="D1076" s="39" t="s">
        <v>34</v>
      </c>
      <c r="E1076" s="24">
        <f>ROUND(23.6419+23.0939,2)</f>
        <v>46.74</v>
      </c>
      <c r="F1076" s="213" t="s">
        <v>13</v>
      </c>
      <c r="G1076" s="214"/>
      <c r="H1076" s="214"/>
      <c r="I1076" s="215"/>
      <c r="J1076" s="24">
        <v>1071.71</v>
      </c>
      <c r="K1076" s="24"/>
      <c r="L1076" s="24">
        <f>IF($H1076=0,ROUND($E1076*(L$1129/12),2),ROUND($E1076*$H1076*(L$1129/12),2))</f>
        <v>70.11</v>
      </c>
      <c r="M1076" s="24">
        <f>ROUND(($J1076+L1076),2)</f>
        <v>1141.82</v>
      </c>
      <c r="N1076" s="24"/>
      <c r="O1076" s="24">
        <f>$E1076</f>
        <v>46.74</v>
      </c>
      <c r="P1076" s="24"/>
      <c r="Q1076" s="24"/>
      <c r="R1076" s="24"/>
      <c r="S1076" s="24"/>
      <c r="T1076" s="24"/>
      <c r="U1076" s="24">
        <f>ROUND(((($L1076)*(U$1129/12))/27),2)</f>
        <v>1.3</v>
      </c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71"/>
      <c r="AG1076" s="272"/>
    </row>
    <row r="1077" spans="1:33" s="4" customFormat="1" ht="21.75" customHeight="1">
      <c r="A1077" s="30">
        <v>8</v>
      </c>
      <c r="B1077" s="38"/>
      <c r="C1077" s="38"/>
      <c r="D1077" s="39"/>
      <c r="E1077" s="24"/>
      <c r="F1077" s="24"/>
      <c r="G1077" s="24"/>
      <c r="H1077" s="24"/>
      <c r="I1077" s="24"/>
      <c r="J1077" s="24"/>
      <c r="K1077" s="24"/>
      <c r="L1077" s="24"/>
      <c r="M1077" s="61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71"/>
      <c r="AG1077" s="272"/>
    </row>
    <row r="1078" spans="1:33" s="4" customFormat="1" ht="21.75" customHeight="1">
      <c r="A1078" s="30">
        <v>9</v>
      </c>
      <c r="B1078" s="38">
        <v>15119.35</v>
      </c>
      <c r="C1078" s="38">
        <v>15139.35</v>
      </c>
      <c r="D1078" s="39" t="s">
        <v>34</v>
      </c>
      <c r="E1078" s="24">
        <f>ROUND(4.1163+18.6613+20,2)</f>
        <v>42.78</v>
      </c>
      <c r="F1078" s="213" t="s">
        <v>13</v>
      </c>
      <c r="G1078" s="214"/>
      <c r="H1078" s="214"/>
      <c r="I1078" s="215"/>
      <c r="J1078" s="24">
        <v>1140.76</v>
      </c>
      <c r="K1078" s="24"/>
      <c r="L1078" s="24">
        <f>IF($H1078=0,ROUND($E1078*(L$1129/12),2),ROUND($E1078*$H1078*(L$1129/12),2))</f>
        <v>64.17</v>
      </c>
      <c r="M1078" s="24">
        <f>ROUND(($J1078+L1078),2)</f>
        <v>1204.93</v>
      </c>
      <c r="N1078" s="24">
        <f>$E1078</f>
        <v>42.78</v>
      </c>
      <c r="O1078" s="24"/>
      <c r="P1078" s="24"/>
      <c r="Q1078" s="24"/>
      <c r="R1078" s="24"/>
      <c r="S1078" s="24"/>
      <c r="T1078" s="24"/>
      <c r="U1078" s="24">
        <f>ROUND(((($L1078)*(U$1129/12))/27),2)</f>
        <v>1.19</v>
      </c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71"/>
      <c r="AG1078" s="272"/>
    </row>
    <row r="1079" spans="1:33" s="4" customFormat="1" ht="21.75" customHeight="1">
      <c r="A1079" s="30">
        <v>10</v>
      </c>
      <c r="B1079" s="38"/>
      <c r="C1079" s="38"/>
      <c r="D1079" s="39"/>
      <c r="E1079" s="24"/>
      <c r="F1079" s="24"/>
      <c r="G1079" s="24"/>
      <c r="H1079" s="24"/>
      <c r="I1079" s="24"/>
      <c r="J1079" s="24"/>
      <c r="K1079" s="24"/>
      <c r="L1079" s="24"/>
      <c r="M1079" s="61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71"/>
      <c r="AG1079" s="272"/>
    </row>
    <row r="1080" spans="1:33" s="4" customFormat="1" ht="21.75" customHeight="1">
      <c r="A1080" s="30">
        <v>11</v>
      </c>
      <c r="B1080" s="38">
        <v>15521.64</v>
      </c>
      <c r="C1080" s="38">
        <v>15535.89</v>
      </c>
      <c r="D1080" s="39" t="s">
        <v>34</v>
      </c>
      <c r="E1080" s="213" t="s">
        <v>13</v>
      </c>
      <c r="F1080" s="214"/>
      <c r="G1080" s="214"/>
      <c r="H1080" s="214"/>
      <c r="I1080" s="215"/>
      <c r="J1080" s="24">
        <v>762.59</v>
      </c>
      <c r="K1080" s="24"/>
      <c r="L1080" s="24"/>
      <c r="M1080" s="24">
        <f>ROUND(($J1080+L1080),2)</f>
        <v>762.59</v>
      </c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71"/>
      <c r="AG1080" s="272"/>
    </row>
    <row r="1081" spans="1:33" s="4" customFormat="1" ht="21.75" customHeight="1">
      <c r="A1081" s="30">
        <v>12</v>
      </c>
      <c r="B1081" s="38"/>
      <c r="C1081" s="38"/>
      <c r="D1081" s="39"/>
      <c r="E1081" s="24"/>
      <c r="F1081" s="24"/>
      <c r="G1081" s="24"/>
      <c r="H1081" s="24"/>
      <c r="I1081" s="24"/>
      <c r="J1081" s="24"/>
      <c r="K1081" s="24"/>
      <c r="L1081" s="24"/>
      <c r="M1081" s="61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71"/>
      <c r="AG1081" s="272"/>
    </row>
    <row r="1082" spans="1:33" s="4" customFormat="1" ht="21.75" customHeight="1">
      <c r="A1082" s="30">
        <v>13</v>
      </c>
      <c r="B1082" s="67" t="s">
        <v>66</v>
      </c>
      <c r="C1082" s="38"/>
      <c r="D1082" s="39"/>
      <c r="E1082" s="24"/>
      <c r="F1082" s="24"/>
      <c r="G1082" s="24"/>
      <c r="H1082" s="24"/>
      <c r="I1082" s="24"/>
      <c r="J1082" s="24"/>
      <c r="K1082" s="24"/>
      <c r="L1082" s="24"/>
      <c r="M1082" s="61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71"/>
      <c r="AG1082" s="272"/>
    </row>
    <row r="1083" spans="1:33" s="4" customFormat="1" ht="21.75" customHeight="1">
      <c r="A1083" s="30">
        <v>14</v>
      </c>
      <c r="B1083" s="38">
        <v>1150.86</v>
      </c>
      <c r="C1083" s="38">
        <v>1169.68</v>
      </c>
      <c r="D1083" s="39" t="s">
        <v>34</v>
      </c>
      <c r="E1083" s="213" t="s">
        <v>13</v>
      </c>
      <c r="F1083" s="214"/>
      <c r="G1083" s="214"/>
      <c r="H1083" s="214"/>
      <c r="I1083" s="215"/>
      <c r="J1083" s="24">
        <v>957.51</v>
      </c>
      <c r="K1083" s="24"/>
      <c r="L1083" s="24"/>
      <c r="M1083" s="24">
        <f>ROUND(($J1083+L1083),2)</f>
        <v>957.51</v>
      </c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71"/>
      <c r="AG1083" s="272"/>
    </row>
    <row r="1084" spans="1:33" s="4" customFormat="1" ht="21.75" customHeight="1">
      <c r="A1084" s="30">
        <v>15</v>
      </c>
      <c r="B1084" s="38"/>
      <c r="C1084" s="38"/>
      <c r="D1084" s="39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71"/>
      <c r="AG1084" s="272"/>
    </row>
    <row r="1085" spans="1:33" s="16" customFormat="1" ht="21.75" customHeight="1">
      <c r="A1085" s="30">
        <v>16</v>
      </c>
      <c r="B1085" s="38">
        <v>1233.37</v>
      </c>
      <c r="C1085" s="38">
        <v>1252.78</v>
      </c>
      <c r="D1085" s="39" t="s">
        <v>34</v>
      </c>
      <c r="E1085" s="213" t="s">
        <v>13</v>
      </c>
      <c r="F1085" s="214"/>
      <c r="G1085" s="214"/>
      <c r="H1085" s="214"/>
      <c r="I1085" s="215"/>
      <c r="J1085" s="24">
        <v>976.86</v>
      </c>
      <c r="K1085" s="24"/>
      <c r="L1085" s="24"/>
      <c r="M1085" s="24">
        <f>ROUND(($J1085+L1085),2)</f>
        <v>976.86</v>
      </c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71"/>
      <c r="AG1085" s="272"/>
    </row>
    <row r="1086" spans="1:33" s="16" customFormat="1" ht="21.75" customHeight="1">
      <c r="A1086" s="30">
        <v>17</v>
      </c>
      <c r="B1086" s="38"/>
      <c r="C1086" s="38"/>
      <c r="D1086" s="39"/>
      <c r="E1086" s="24"/>
      <c r="F1086" s="24"/>
      <c r="G1086" s="24"/>
      <c r="H1086" s="24"/>
      <c r="I1086" s="24"/>
      <c r="J1086" s="24"/>
      <c r="K1086" s="24"/>
      <c r="L1086" s="24"/>
      <c r="M1086" s="61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71"/>
      <c r="AG1086" s="272"/>
    </row>
    <row r="1087" spans="1:33" s="16" customFormat="1" ht="21.75" customHeight="1">
      <c r="A1087" s="30">
        <v>18</v>
      </c>
      <c r="B1087" s="230"/>
      <c r="C1087" s="231"/>
      <c r="D1087" s="231"/>
      <c r="E1087" s="231"/>
      <c r="F1087" s="231"/>
      <c r="G1087" s="231"/>
      <c r="H1087" s="231"/>
      <c r="I1087" s="232"/>
      <c r="J1087" s="24"/>
      <c r="K1087" s="24"/>
      <c r="L1087" s="24"/>
      <c r="M1087" s="61"/>
      <c r="N1087" s="24"/>
      <c r="O1087" s="24"/>
      <c r="P1087" s="24"/>
      <c r="Q1087" s="24"/>
      <c r="R1087" s="24"/>
      <c r="S1087" s="24"/>
      <c r="T1087" s="61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71"/>
      <c r="AG1087" s="272"/>
    </row>
    <row r="1088" spans="1:33" s="16" customFormat="1" ht="21.75" customHeight="1">
      <c r="A1088" s="30">
        <v>19</v>
      </c>
      <c r="B1088" s="260" t="s">
        <v>117</v>
      </c>
      <c r="C1088" s="261"/>
      <c r="D1088" s="261"/>
      <c r="E1088" s="261"/>
      <c r="F1088" s="261"/>
      <c r="G1088" s="261"/>
      <c r="H1088" s="261"/>
      <c r="I1088" s="262"/>
      <c r="J1088" s="24"/>
      <c r="K1088" s="24"/>
      <c r="L1088" s="24"/>
      <c r="M1088" s="61"/>
      <c r="N1088" s="24"/>
      <c r="O1088" s="24"/>
      <c r="P1088" s="24"/>
      <c r="Q1088" s="24"/>
      <c r="R1088" s="24"/>
      <c r="S1088" s="24"/>
      <c r="T1088" s="61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71"/>
      <c r="AG1088" s="272"/>
    </row>
    <row r="1089" spans="1:33" s="4" customFormat="1" ht="21.75" customHeight="1">
      <c r="A1089" s="30">
        <v>20</v>
      </c>
      <c r="B1089" s="67" t="s">
        <v>36</v>
      </c>
      <c r="C1089" s="38"/>
      <c r="D1089" s="39"/>
      <c r="E1089" s="24"/>
      <c r="F1089" s="39"/>
      <c r="G1089" s="24"/>
      <c r="H1089" s="24"/>
      <c r="I1089" s="45"/>
      <c r="J1089" s="24"/>
      <c r="K1089" s="24"/>
      <c r="L1089" s="24"/>
      <c r="M1089" s="24"/>
      <c r="N1089" s="24"/>
      <c r="O1089" s="61"/>
      <c r="P1089" s="61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71"/>
      <c r="AG1089" s="272"/>
    </row>
    <row r="1090" spans="1:33" s="4" customFormat="1" ht="21.75" customHeight="1">
      <c r="A1090" s="30">
        <v>21</v>
      </c>
      <c r="B1090" s="40">
        <v>12596</v>
      </c>
      <c r="C1090" s="41">
        <v>12697.69</v>
      </c>
      <c r="D1090" s="39" t="s">
        <v>17</v>
      </c>
      <c r="E1090" s="24">
        <f>C1090-B1090</f>
        <v>101.69000000000051</v>
      </c>
      <c r="F1090" s="39"/>
      <c r="G1090" s="24"/>
      <c r="H1090" s="24"/>
      <c r="I1090" s="45"/>
      <c r="J1090" s="24"/>
      <c r="K1090" s="24"/>
      <c r="L1090" s="24"/>
      <c r="M1090" s="24"/>
      <c r="N1090" s="24"/>
      <c r="O1090" s="61"/>
      <c r="P1090" s="61"/>
      <c r="Q1090" s="24"/>
      <c r="R1090" s="24"/>
      <c r="S1090" s="24"/>
      <c r="T1090" s="24"/>
      <c r="U1090" s="24"/>
      <c r="V1090" s="24"/>
      <c r="W1090" s="24"/>
      <c r="X1090" s="24">
        <f>ROUND(($E1090/X$1127)*X$1129,2)</f>
        <v>0.01</v>
      </c>
      <c r="Y1090" s="24">
        <f>ROUND(($E1090/Y$1127)*Y$1129,2)</f>
        <v>0.01</v>
      </c>
      <c r="Z1090" s="24"/>
      <c r="AA1090" s="24"/>
      <c r="AB1090" s="24"/>
      <c r="AC1090" s="24"/>
      <c r="AD1090" s="24"/>
      <c r="AE1090" s="24"/>
      <c r="AF1090" s="271"/>
      <c r="AG1090" s="272"/>
    </row>
    <row r="1091" spans="1:33" s="4" customFormat="1" ht="21.75" customHeight="1">
      <c r="A1091" s="30">
        <v>22</v>
      </c>
      <c r="B1091" s="37">
        <v>12826.12</v>
      </c>
      <c r="C1091" s="38">
        <v>12950</v>
      </c>
      <c r="D1091" s="39" t="s">
        <v>17</v>
      </c>
      <c r="E1091" s="24">
        <f>C1091-B1091</f>
        <v>123.8799999999992</v>
      </c>
      <c r="F1091" s="39"/>
      <c r="G1091" s="24"/>
      <c r="H1091" s="24"/>
      <c r="I1091" s="45"/>
      <c r="J1091" s="24"/>
      <c r="K1091" s="24"/>
      <c r="L1091" s="24"/>
      <c r="M1091" s="24"/>
      <c r="N1091" s="24"/>
      <c r="O1091" s="61"/>
      <c r="P1091" s="61"/>
      <c r="Q1091" s="24"/>
      <c r="R1091" s="24"/>
      <c r="S1091" s="24"/>
      <c r="T1091" s="24"/>
      <c r="U1091" s="24"/>
      <c r="V1091" s="24"/>
      <c r="W1091" s="24"/>
      <c r="X1091" s="24">
        <f>ROUND(($E1091/X$1127)*X$1129,2)</f>
        <v>0.01</v>
      </c>
      <c r="Y1091" s="24">
        <f>ROUND(($E1091/Y$1127)*Y$1129,2)</f>
        <v>0.01</v>
      </c>
      <c r="Z1091" s="24"/>
      <c r="AA1091" s="24"/>
      <c r="AB1091" s="24"/>
      <c r="AC1091" s="24"/>
      <c r="AD1091" s="24"/>
      <c r="AE1091" s="24"/>
      <c r="AF1091" s="271"/>
      <c r="AG1091" s="272"/>
    </row>
    <row r="1092" spans="1:33" s="4" customFormat="1" ht="21.75" customHeight="1">
      <c r="A1092" s="30">
        <v>23</v>
      </c>
      <c r="B1092" s="37"/>
      <c r="C1092" s="38"/>
      <c r="D1092" s="39"/>
      <c r="E1092" s="24"/>
      <c r="F1092" s="39"/>
      <c r="G1092" s="24"/>
      <c r="H1092" s="24"/>
      <c r="I1092" s="24"/>
      <c r="J1092" s="24"/>
      <c r="K1092" s="24"/>
      <c r="L1092" s="24"/>
      <c r="M1092" s="24"/>
      <c r="N1092" s="24"/>
      <c r="O1092" s="61"/>
      <c r="P1092" s="61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71"/>
      <c r="AG1092" s="272"/>
    </row>
    <row r="1093" spans="1:33" s="4" customFormat="1" ht="21.75" customHeight="1">
      <c r="A1093" s="30">
        <v>24</v>
      </c>
      <c r="B1093" s="37">
        <v>11998.35</v>
      </c>
      <c r="C1093" s="38">
        <v>12697.69</v>
      </c>
      <c r="D1093" s="39" t="s">
        <v>16</v>
      </c>
      <c r="E1093" s="24">
        <f>C1093-B1093</f>
        <v>699.3400000000001</v>
      </c>
      <c r="F1093" s="39"/>
      <c r="G1093" s="24"/>
      <c r="H1093" s="24"/>
      <c r="I1093" s="24"/>
      <c r="J1093" s="24"/>
      <c r="K1093" s="24"/>
      <c r="L1093" s="24"/>
      <c r="M1093" s="24"/>
      <c r="N1093" s="24"/>
      <c r="O1093" s="61"/>
      <c r="P1093" s="61"/>
      <c r="Q1093" s="24"/>
      <c r="R1093" s="24"/>
      <c r="S1093" s="24"/>
      <c r="T1093" s="24"/>
      <c r="U1093" s="24"/>
      <c r="V1093" s="24"/>
      <c r="W1093" s="24"/>
      <c r="X1093" s="24">
        <f>ROUND(($E1093/X$1127)*X$1129,2)</f>
        <v>0.08</v>
      </c>
      <c r="Y1093" s="24">
        <f>ROUND(($E1093/Y$1127)*Y$1129,2)</f>
        <v>0.05</v>
      </c>
      <c r="Z1093" s="24"/>
      <c r="AA1093" s="24"/>
      <c r="AB1093" s="24"/>
      <c r="AC1093" s="24"/>
      <c r="AD1093" s="24"/>
      <c r="AE1093" s="24"/>
      <c r="AF1093" s="271"/>
      <c r="AG1093" s="272"/>
    </row>
    <row r="1094" spans="1:33" s="4" customFormat="1" ht="21.75" customHeight="1">
      <c r="A1094" s="30">
        <v>25</v>
      </c>
      <c r="B1094" s="37">
        <v>12826.12</v>
      </c>
      <c r="C1094" s="38">
        <v>13445</v>
      </c>
      <c r="D1094" s="39" t="s">
        <v>16</v>
      </c>
      <c r="E1094" s="24">
        <f>C1094-B1094</f>
        <v>618.8799999999992</v>
      </c>
      <c r="F1094" s="39"/>
      <c r="G1094" s="24"/>
      <c r="H1094" s="24"/>
      <c r="I1094" s="24"/>
      <c r="J1094" s="24"/>
      <c r="K1094" s="24"/>
      <c r="L1094" s="24"/>
      <c r="M1094" s="24"/>
      <c r="N1094" s="24"/>
      <c r="O1094" s="61"/>
      <c r="P1094" s="61"/>
      <c r="Q1094" s="24"/>
      <c r="R1094" s="24"/>
      <c r="S1094" s="24"/>
      <c r="T1094" s="24"/>
      <c r="U1094" s="24"/>
      <c r="V1094" s="24"/>
      <c r="W1094" s="24"/>
      <c r="X1094" s="24">
        <f>ROUND(($E1094/X$1127)*X$1129,2)</f>
        <v>0.07</v>
      </c>
      <c r="Y1094" s="24">
        <f>ROUND(($E1094/Y$1127)*Y$1129,2)</f>
        <v>0.05</v>
      </c>
      <c r="Z1094" s="24"/>
      <c r="AA1094" s="24"/>
      <c r="AB1094" s="24"/>
      <c r="AC1094" s="24"/>
      <c r="AD1094" s="24"/>
      <c r="AE1094" s="24"/>
      <c r="AF1094" s="271"/>
      <c r="AG1094" s="272"/>
    </row>
    <row r="1095" spans="1:33" s="4" customFormat="1" ht="21.75" customHeight="1">
      <c r="A1095" s="30">
        <v>26</v>
      </c>
      <c r="B1095" s="38"/>
      <c r="C1095" s="38"/>
      <c r="D1095" s="39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61"/>
      <c r="P1095" s="61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71"/>
      <c r="AG1095" s="272"/>
    </row>
    <row r="1096" spans="1:33" s="4" customFormat="1" ht="21.75" customHeight="1">
      <c r="A1096" s="30">
        <v>27</v>
      </c>
      <c r="B1096" s="37"/>
      <c r="C1096" s="38"/>
      <c r="D1096" s="39"/>
      <c r="E1096" s="24"/>
      <c r="F1096" s="39"/>
      <c r="G1096" s="24"/>
      <c r="H1096" s="24"/>
      <c r="I1096" s="24"/>
      <c r="J1096" s="24"/>
      <c r="K1096" s="24"/>
      <c r="L1096" s="24"/>
      <c r="M1096" s="24"/>
      <c r="N1096" s="24"/>
      <c r="O1096" s="61"/>
      <c r="P1096" s="61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71"/>
      <c r="AG1096" s="272"/>
    </row>
    <row r="1097" spans="1:33" s="4" customFormat="1" ht="21.75" customHeight="1">
      <c r="A1097" s="30">
        <v>28</v>
      </c>
      <c r="B1097" s="37"/>
      <c r="C1097" s="38"/>
      <c r="D1097" s="39"/>
      <c r="E1097" s="24"/>
      <c r="F1097" s="39"/>
      <c r="G1097" s="24"/>
      <c r="H1097" s="24"/>
      <c r="I1097" s="24"/>
      <c r="J1097" s="24"/>
      <c r="K1097" s="24"/>
      <c r="L1097" s="24"/>
      <c r="M1097" s="24"/>
      <c r="N1097" s="24"/>
      <c r="O1097" s="61"/>
      <c r="P1097" s="61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71"/>
      <c r="AG1097" s="272"/>
    </row>
    <row r="1098" spans="1:33" s="4" customFormat="1" ht="21.75" customHeight="1">
      <c r="A1098" s="30">
        <v>29</v>
      </c>
      <c r="B1098" s="67" t="s">
        <v>41</v>
      </c>
      <c r="C1098" s="38"/>
      <c r="D1098" s="39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61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271"/>
      <c r="AG1098" s="272"/>
    </row>
    <row r="1099" spans="1:33" s="4" customFormat="1" ht="21.75" customHeight="1">
      <c r="A1099" s="30">
        <v>30</v>
      </c>
      <c r="B1099" s="38">
        <v>25286.4</v>
      </c>
      <c r="C1099" s="38">
        <v>25767</v>
      </c>
      <c r="D1099" s="39" t="s">
        <v>16</v>
      </c>
      <c r="E1099" s="24">
        <f>C1099-B1099</f>
        <v>480.59999999999854</v>
      </c>
      <c r="F1099" s="24"/>
      <c r="G1099" s="24"/>
      <c r="H1099" s="24"/>
      <c r="I1099" s="24"/>
      <c r="J1099" s="24"/>
      <c r="K1099" s="24"/>
      <c r="L1099" s="24"/>
      <c r="M1099" s="24"/>
      <c r="N1099" s="24"/>
      <c r="O1099" s="61"/>
      <c r="P1099" s="61"/>
      <c r="Q1099" s="24"/>
      <c r="R1099" s="24"/>
      <c r="S1099" s="24"/>
      <c r="T1099" s="24"/>
      <c r="U1099" s="24"/>
      <c r="V1099" s="24"/>
      <c r="W1099" s="24"/>
      <c r="X1099" s="24">
        <f>ROUND(($E1099/X$1127)*X$1130,2)</f>
        <v>0.05</v>
      </c>
      <c r="Y1099" s="24">
        <f>ROUND(($E1099/Y$1127)*Y$1130,2)</f>
        <v>0.05</v>
      </c>
      <c r="Z1099" s="24"/>
      <c r="AA1099" s="24"/>
      <c r="AB1099" s="24"/>
      <c r="AC1099" s="24"/>
      <c r="AD1099" s="24"/>
      <c r="AE1099" s="24"/>
      <c r="AF1099" s="271"/>
      <c r="AG1099" s="272"/>
    </row>
    <row r="1100" spans="1:33" s="4" customFormat="1" ht="21.75" customHeight="1">
      <c r="A1100" s="30">
        <v>31</v>
      </c>
      <c r="B1100" s="38">
        <f>C1099</f>
        <v>25767</v>
      </c>
      <c r="C1100" s="46">
        <v>25890.12</v>
      </c>
      <c r="D1100" s="39" t="s">
        <v>16</v>
      </c>
      <c r="E1100" s="24">
        <f>C1100-B1100</f>
        <v>123.11999999999898</v>
      </c>
      <c r="F1100" s="24"/>
      <c r="G1100" s="24"/>
      <c r="H1100" s="24"/>
      <c r="I1100" s="24"/>
      <c r="J1100" s="24"/>
      <c r="K1100" s="24"/>
      <c r="L1100" s="24"/>
      <c r="M1100" s="24"/>
      <c r="N1100" s="24"/>
      <c r="O1100" s="61"/>
      <c r="P1100" s="61"/>
      <c r="Q1100" s="24"/>
      <c r="R1100" s="24"/>
      <c r="S1100" s="24"/>
      <c r="T1100" s="24"/>
      <c r="U1100" s="24"/>
      <c r="V1100" s="24"/>
      <c r="W1100" s="24"/>
      <c r="X1100" s="24">
        <f aca="true" t="shared" si="226" ref="X1100:Y1103">ROUND(($E1100/X$1127)*X$1130,2)</f>
        <v>0.01</v>
      </c>
      <c r="Y1100" s="24">
        <f t="shared" si="226"/>
        <v>0.01</v>
      </c>
      <c r="Z1100" s="24"/>
      <c r="AA1100" s="24"/>
      <c r="AB1100" s="24"/>
      <c r="AC1100" s="24"/>
      <c r="AD1100" s="24"/>
      <c r="AE1100" s="24"/>
      <c r="AF1100" s="271"/>
      <c r="AG1100" s="272"/>
    </row>
    <row r="1101" spans="1:33" s="4" customFormat="1" ht="21.75" customHeight="1">
      <c r="A1101" s="30">
        <v>32</v>
      </c>
      <c r="B1101" s="38"/>
      <c r="C1101" s="46"/>
      <c r="D1101" s="39"/>
      <c r="E1101" s="24"/>
      <c r="F1101" s="24"/>
      <c r="G1101" s="66"/>
      <c r="H1101" s="24"/>
      <c r="I1101" s="24"/>
      <c r="J1101" s="24"/>
      <c r="K1101" s="24"/>
      <c r="L1101" s="24"/>
      <c r="M1101" s="24"/>
      <c r="N1101" s="24"/>
      <c r="O1101" s="61"/>
      <c r="P1101" s="61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71"/>
      <c r="AG1101" s="272"/>
    </row>
    <row r="1102" spans="1:33" s="4" customFormat="1" ht="21.75" customHeight="1">
      <c r="A1102" s="30">
        <v>33</v>
      </c>
      <c r="B1102" s="38">
        <v>25867</v>
      </c>
      <c r="C1102" s="38">
        <v>26312.5</v>
      </c>
      <c r="D1102" s="39" t="s">
        <v>17</v>
      </c>
      <c r="E1102" s="24">
        <f>C1102-B1102</f>
        <v>445.5</v>
      </c>
      <c r="F1102" s="24"/>
      <c r="G1102" s="24"/>
      <c r="H1102" s="24"/>
      <c r="I1102" s="24"/>
      <c r="J1102" s="24"/>
      <c r="K1102" s="24"/>
      <c r="L1102" s="24"/>
      <c r="M1102" s="24"/>
      <c r="N1102" s="24"/>
      <c r="O1102" s="61"/>
      <c r="P1102" s="61"/>
      <c r="Q1102" s="24"/>
      <c r="R1102" s="24"/>
      <c r="S1102" s="24"/>
      <c r="T1102" s="24"/>
      <c r="U1102" s="24"/>
      <c r="V1102" s="24"/>
      <c r="W1102" s="24"/>
      <c r="X1102" s="24">
        <f t="shared" si="226"/>
        <v>0.04</v>
      </c>
      <c r="Y1102" s="24">
        <f t="shared" si="226"/>
        <v>0.04</v>
      </c>
      <c r="Z1102" s="24"/>
      <c r="AA1102" s="24"/>
      <c r="AB1102" s="24"/>
      <c r="AC1102" s="24"/>
      <c r="AD1102" s="24"/>
      <c r="AE1102" s="24"/>
      <c r="AF1102" s="271"/>
      <c r="AG1102" s="272"/>
    </row>
    <row r="1103" spans="1:33" s="4" customFormat="1" ht="21.75" customHeight="1">
      <c r="A1103" s="30">
        <v>34</v>
      </c>
      <c r="B1103" s="38">
        <v>26086.4</v>
      </c>
      <c r="C1103" s="38">
        <v>26312.5</v>
      </c>
      <c r="D1103" s="39" t="s">
        <v>16</v>
      </c>
      <c r="E1103" s="24">
        <f>C1103-B1103</f>
        <v>226.09999999999854</v>
      </c>
      <c r="F1103" s="24"/>
      <c r="G1103" s="24"/>
      <c r="H1103" s="24"/>
      <c r="I1103" s="24"/>
      <c r="J1103" s="24"/>
      <c r="K1103" s="24"/>
      <c r="L1103" s="24"/>
      <c r="M1103" s="24"/>
      <c r="N1103" s="24"/>
      <c r="O1103" s="61"/>
      <c r="P1103" s="61"/>
      <c r="Q1103" s="24"/>
      <c r="R1103" s="24"/>
      <c r="S1103" s="24"/>
      <c r="T1103" s="24"/>
      <c r="U1103" s="24"/>
      <c r="V1103" s="24"/>
      <c r="W1103" s="24"/>
      <c r="X1103" s="24">
        <f t="shared" si="226"/>
        <v>0.02</v>
      </c>
      <c r="Y1103" s="24">
        <f t="shared" si="226"/>
        <v>0.02</v>
      </c>
      <c r="Z1103" s="24"/>
      <c r="AA1103" s="24"/>
      <c r="AB1103" s="24"/>
      <c r="AC1103" s="24"/>
      <c r="AD1103" s="24"/>
      <c r="AE1103" s="24"/>
      <c r="AF1103" s="271"/>
      <c r="AG1103" s="272"/>
    </row>
    <row r="1104" spans="1:33" s="4" customFormat="1" ht="21.75" customHeight="1">
      <c r="A1104" s="30">
        <v>35</v>
      </c>
      <c r="B1104" s="38"/>
      <c r="C1104" s="38"/>
      <c r="D1104" s="39"/>
      <c r="E1104" s="24"/>
      <c r="F1104" s="66"/>
      <c r="G1104" s="24"/>
      <c r="H1104" s="24"/>
      <c r="I1104" s="24"/>
      <c r="J1104" s="24"/>
      <c r="K1104" s="24"/>
      <c r="L1104" s="24"/>
      <c r="M1104" s="24"/>
      <c r="N1104" s="24"/>
      <c r="O1104" s="61"/>
      <c r="P1104" s="61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71"/>
      <c r="AG1104" s="272"/>
    </row>
    <row r="1105" spans="1:33" s="4" customFormat="1" ht="21.75" customHeight="1">
      <c r="A1105" s="30">
        <v>36</v>
      </c>
      <c r="B1105" s="38"/>
      <c r="C1105" s="38"/>
      <c r="D1105" s="39"/>
      <c r="E1105" s="24"/>
      <c r="F1105" s="66"/>
      <c r="G1105" s="24"/>
      <c r="H1105" s="24"/>
      <c r="I1105" s="24"/>
      <c r="J1105" s="24"/>
      <c r="K1105" s="24"/>
      <c r="L1105" s="24"/>
      <c r="M1105" s="24"/>
      <c r="N1105" s="24"/>
      <c r="O1105" s="61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71"/>
      <c r="AG1105" s="272"/>
    </row>
    <row r="1106" spans="1:33" s="4" customFormat="1" ht="21.75" customHeight="1">
      <c r="A1106" s="30">
        <v>37</v>
      </c>
      <c r="B1106" s="38"/>
      <c r="C1106" s="38"/>
      <c r="D1106" s="39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71"/>
      <c r="AG1106" s="272"/>
    </row>
    <row r="1107" spans="1:33" s="4" customFormat="1" ht="21.75" customHeight="1" thickBot="1">
      <c r="A1107" s="30">
        <v>38</v>
      </c>
      <c r="B1107" s="38"/>
      <c r="C1107" s="38"/>
      <c r="D1107" s="39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81"/>
      <c r="AG1107" s="275"/>
    </row>
    <row r="1108" spans="1:33" s="4" customFormat="1" ht="21.75" customHeight="1">
      <c r="A1108" s="30">
        <v>39</v>
      </c>
      <c r="B1108" s="38"/>
      <c r="C1108" s="38"/>
      <c r="D1108" s="39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69" t="s">
        <v>39</v>
      </c>
      <c r="AG1108" s="270"/>
    </row>
    <row r="1109" spans="1:33" s="4" customFormat="1" ht="21.75" customHeight="1">
      <c r="A1109" s="30">
        <v>40</v>
      </c>
      <c r="B1109" s="38"/>
      <c r="C1109" s="38"/>
      <c r="D1109" s="39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71"/>
      <c r="AG1109" s="272"/>
    </row>
    <row r="1110" spans="1:33" s="4" customFormat="1" ht="21.75" customHeight="1">
      <c r="A1110" s="30">
        <v>41</v>
      </c>
      <c r="B1110" s="38"/>
      <c r="C1110" s="38"/>
      <c r="D1110" s="39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271"/>
      <c r="AG1110" s="272"/>
    </row>
    <row r="1111" spans="1:33" s="4" customFormat="1" ht="21.75" customHeight="1">
      <c r="A1111" s="30">
        <v>42</v>
      </c>
      <c r="B1111" s="38"/>
      <c r="C1111" s="38"/>
      <c r="D1111" s="39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271"/>
      <c r="AG1111" s="272"/>
    </row>
    <row r="1112" spans="1:33" s="4" customFormat="1" ht="21.75" customHeight="1">
      <c r="A1112" s="30">
        <v>43</v>
      </c>
      <c r="B1112" s="38"/>
      <c r="C1112" s="38"/>
      <c r="D1112" s="39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71"/>
      <c r="AG1112" s="272"/>
    </row>
    <row r="1113" spans="1:33" s="4" customFormat="1" ht="21.75" customHeight="1">
      <c r="A1113" s="30">
        <v>44</v>
      </c>
      <c r="B1113" s="38"/>
      <c r="C1113" s="38"/>
      <c r="D1113" s="39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71"/>
      <c r="AG1113" s="272"/>
    </row>
    <row r="1114" spans="1:33" s="4" customFormat="1" ht="21.75" customHeight="1">
      <c r="A1114" s="30">
        <v>45</v>
      </c>
      <c r="B1114" s="38"/>
      <c r="C1114" s="38"/>
      <c r="D1114" s="39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271"/>
      <c r="AG1114" s="272"/>
    </row>
    <row r="1115" spans="1:33" s="4" customFormat="1" ht="21.75" customHeight="1">
      <c r="A1115" s="30">
        <v>46</v>
      </c>
      <c r="B1115" s="38"/>
      <c r="C1115" s="38"/>
      <c r="D1115" s="39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71"/>
      <c r="AG1115" s="272"/>
    </row>
    <row r="1116" spans="1:33" s="4" customFormat="1" ht="21.75" customHeight="1">
      <c r="A1116" s="30">
        <v>47</v>
      </c>
      <c r="B1116" s="38"/>
      <c r="C1116" s="38"/>
      <c r="D1116" s="39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F1116" s="271"/>
      <c r="AG1116" s="272"/>
    </row>
    <row r="1117" spans="1:33" s="4" customFormat="1" ht="21.75" customHeight="1">
      <c r="A1117" s="30">
        <v>48</v>
      </c>
      <c r="B1117" s="38"/>
      <c r="C1117" s="46"/>
      <c r="D1117" s="39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271"/>
      <c r="AG1117" s="272"/>
    </row>
    <row r="1118" spans="1:33" s="4" customFormat="1" ht="21.75" customHeight="1">
      <c r="A1118" s="30">
        <v>49</v>
      </c>
      <c r="B1118" s="38"/>
      <c r="C1118" s="46"/>
      <c r="D1118" s="39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71"/>
      <c r="AG1118" s="272"/>
    </row>
    <row r="1119" spans="1:33" s="4" customFormat="1" ht="21.75" customHeight="1">
      <c r="A1119" s="30">
        <v>50</v>
      </c>
      <c r="B1119" s="38"/>
      <c r="C1119" s="46"/>
      <c r="D1119" s="39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71"/>
      <c r="AG1119" s="272"/>
    </row>
    <row r="1120" spans="1:33" s="4" customFormat="1" ht="21.75" customHeight="1">
      <c r="A1120" s="30">
        <v>51</v>
      </c>
      <c r="B1120" s="38"/>
      <c r="C1120" s="46"/>
      <c r="D1120" s="39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F1120" s="271"/>
      <c r="AG1120" s="272"/>
    </row>
    <row r="1121" spans="1:33" s="4" customFormat="1" ht="21.75" customHeight="1">
      <c r="A1121" s="30">
        <v>52</v>
      </c>
      <c r="B1121" s="38"/>
      <c r="C1121" s="46"/>
      <c r="D1121" s="39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73"/>
      <c r="AG1121" s="272"/>
    </row>
    <row r="1122" spans="1:33" s="4" customFormat="1" ht="21.75" customHeight="1">
      <c r="A1122" s="30">
        <v>53</v>
      </c>
      <c r="B1122" s="38"/>
      <c r="C1122" s="38"/>
      <c r="D1122" s="39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273"/>
      <c r="AG1122" s="272"/>
    </row>
    <row r="1123" spans="1:33" s="4" customFormat="1" ht="21.75" customHeight="1" thickBot="1">
      <c r="A1123" s="30">
        <v>54</v>
      </c>
      <c r="B1123" s="38"/>
      <c r="C1123" s="38"/>
      <c r="D1123" s="39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61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74"/>
      <c r="AG1123" s="275"/>
    </row>
    <row r="1124" spans="2:33" s="1" customFormat="1" ht="46.5" customHeight="1">
      <c r="B1124" s="233" t="s">
        <v>15</v>
      </c>
      <c r="C1124" s="234"/>
      <c r="D1124" s="234"/>
      <c r="E1124" s="234"/>
      <c r="F1124" s="234"/>
      <c r="G1124" s="234"/>
      <c r="H1124" s="234"/>
      <c r="I1124" s="234"/>
      <c r="J1124" s="234"/>
      <c r="K1124" s="234"/>
      <c r="L1124" s="235"/>
      <c r="M1124" s="211">
        <f aca="true" t="shared" si="227" ref="M1124:AE1124">IF(SUM(M1070:M1123)=0," ",ROUNDUP(SUM(M1070:M1123),0))</f>
        <v>5044</v>
      </c>
      <c r="N1124" s="211">
        <f t="shared" si="227"/>
        <v>43</v>
      </c>
      <c r="O1124" s="211">
        <f t="shared" si="227"/>
        <v>47</v>
      </c>
      <c r="P1124" s="211">
        <f t="shared" si="227"/>
        <v>185</v>
      </c>
      <c r="Q1124" s="211" t="str">
        <f>IF(SUM(Q1070:Q1123)=0," ",ROUNDUP(SUM(Q1070:Q1123),0))</f>
        <v> </v>
      </c>
      <c r="R1124" s="211" t="str">
        <f>IF(SUM(R1070:R1123)=0," ",ROUNDUP(SUM(R1070:R1123),0))</f>
        <v> </v>
      </c>
      <c r="S1124" s="211" t="str">
        <f>IF(SUM(S1070:S1123)=0," ",ROUNDUP(SUM(S1070:S1123),0))</f>
        <v> </v>
      </c>
      <c r="T1124" s="211" t="str">
        <f>IF(SUM(T1070:T1123)=0," ",ROUNDUP(SUM(T1070:T1123),0))</f>
        <v> </v>
      </c>
      <c r="U1124" s="211">
        <f>IF(SUM(U1070:U1123)=0," ",ROUNDUP(SUM(U1070:U1123),0))</f>
        <v>3</v>
      </c>
      <c r="V1124" s="211" t="str">
        <f t="shared" si="227"/>
        <v> </v>
      </c>
      <c r="W1124" s="211" t="str">
        <f t="shared" si="227"/>
        <v> </v>
      </c>
      <c r="X1124" s="211">
        <f t="shared" si="227"/>
        <v>1</v>
      </c>
      <c r="Y1124" s="211">
        <f t="shared" si="227"/>
        <v>1</v>
      </c>
      <c r="Z1124" s="211" t="str">
        <f t="shared" si="227"/>
        <v> </v>
      </c>
      <c r="AA1124" s="211" t="str">
        <f t="shared" si="227"/>
        <v> </v>
      </c>
      <c r="AB1124" s="211" t="str">
        <f t="shared" si="227"/>
        <v> </v>
      </c>
      <c r="AC1124" s="211" t="str">
        <f t="shared" si="227"/>
        <v> </v>
      </c>
      <c r="AD1124" s="211" t="str">
        <f t="shared" si="227"/>
        <v> </v>
      </c>
      <c r="AE1124" s="211" t="str">
        <f t="shared" si="227"/>
        <v> </v>
      </c>
      <c r="AF1124" s="279">
        <v>16</v>
      </c>
      <c r="AG1124" s="280"/>
    </row>
    <row r="1125" spans="2:33" s="1" customFormat="1" ht="46.5" customHeight="1" thickBot="1">
      <c r="B1125" s="236"/>
      <c r="C1125" s="237"/>
      <c r="D1125" s="237"/>
      <c r="E1125" s="237"/>
      <c r="F1125" s="237"/>
      <c r="G1125" s="237"/>
      <c r="H1125" s="237"/>
      <c r="I1125" s="237"/>
      <c r="J1125" s="237"/>
      <c r="K1125" s="237"/>
      <c r="L1125" s="238"/>
      <c r="M1125" s="212"/>
      <c r="N1125" s="212"/>
      <c r="O1125" s="212"/>
      <c r="P1125" s="212"/>
      <c r="Q1125" s="212"/>
      <c r="R1125" s="212"/>
      <c r="S1125" s="212"/>
      <c r="T1125" s="212"/>
      <c r="U1125" s="212"/>
      <c r="V1125" s="212"/>
      <c r="W1125" s="212"/>
      <c r="X1125" s="212"/>
      <c r="Y1125" s="212"/>
      <c r="Z1125" s="212"/>
      <c r="AA1125" s="212"/>
      <c r="AB1125" s="212"/>
      <c r="AC1125" s="212"/>
      <c r="AD1125" s="212"/>
      <c r="AE1125" s="212"/>
      <c r="AF1125" s="276">
        <f>$AF$68</f>
        <v>18</v>
      </c>
      <c r="AG1125" s="277"/>
    </row>
    <row r="1126" spans="1:34" ht="36" customHeight="1">
      <c r="A1126" s="10"/>
      <c r="M1126" s="28"/>
      <c r="T1126"/>
      <c r="AH1126" s="11"/>
    </row>
    <row r="1127" spans="13:25" ht="15">
      <c r="M1127" s="28"/>
      <c r="R1127" s="27"/>
      <c r="T1127"/>
      <c r="X1127" s="101">
        <v>5280</v>
      </c>
      <c r="Y1127" s="101">
        <v>5280</v>
      </c>
    </row>
    <row r="1128" spans="13:20" ht="15">
      <c r="M1128" s="28"/>
      <c r="R1128" s="27"/>
      <c r="T1128"/>
    </row>
    <row r="1129" spans="2:33" ht="15.75">
      <c r="B1129" s="130" t="s">
        <v>7</v>
      </c>
      <c r="C1129" s="131"/>
      <c r="D1129" s="131"/>
      <c r="E1129" s="131"/>
      <c r="F1129" s="131"/>
      <c r="G1129" s="26"/>
      <c r="H1129" s="21"/>
      <c r="I1129" s="21"/>
      <c r="J1129" s="21"/>
      <c r="K1129" s="21"/>
      <c r="L1129" s="21">
        <v>18</v>
      </c>
      <c r="M1129" s="21"/>
      <c r="N1129" s="21"/>
      <c r="O1129" s="21"/>
      <c r="P1129" s="23"/>
      <c r="Q1129" s="173"/>
      <c r="R1129" s="173"/>
      <c r="S1129" s="173"/>
      <c r="T1129" s="173"/>
      <c r="U1129" s="157">
        <v>6</v>
      </c>
      <c r="W1129" s="170" t="s">
        <v>62</v>
      </c>
      <c r="X1129" s="122">
        <v>0.6</v>
      </c>
      <c r="Y1129" s="122">
        <v>0.4</v>
      </c>
      <c r="Z1129" s="35"/>
      <c r="AA1129" s="63"/>
      <c r="AB1129" s="63"/>
      <c r="AC1129" s="63"/>
      <c r="AD1129" s="21"/>
      <c r="AE1129" s="21"/>
      <c r="AF1129" s="26"/>
      <c r="AG1129" s="26"/>
    </row>
    <row r="1130" spans="14:31" ht="15">
      <c r="N1130" s="62"/>
      <c r="O1130" s="21"/>
      <c r="P1130" s="21"/>
      <c r="Q1130" s="62"/>
      <c r="R1130" s="62"/>
      <c r="S1130" s="62"/>
      <c r="T1130" s="62"/>
      <c r="V1130" s="62"/>
      <c r="W1130" s="170" t="s">
        <v>63</v>
      </c>
      <c r="X1130" s="122">
        <v>0.5</v>
      </c>
      <c r="Y1130" s="122">
        <v>0.5</v>
      </c>
      <c r="Z1130" s="62"/>
      <c r="AA1130" s="62"/>
      <c r="AB1130" s="62"/>
      <c r="AC1130" s="62"/>
      <c r="AD1130" s="62"/>
      <c r="AE1130" s="62"/>
    </row>
    <row r="1131" spans="15:20" ht="15">
      <c r="O1131" s="62"/>
      <c r="S1131" s="18"/>
      <c r="T1131"/>
    </row>
    <row r="1134" spans="1:34" s="3" customFormat="1" ht="36" customHeight="1" thickBot="1">
      <c r="A1134" s="12"/>
      <c r="B1134" s="54" t="s">
        <v>154</v>
      </c>
      <c r="C1134" s="55"/>
      <c r="D1134" s="55"/>
      <c r="E1134" s="55"/>
      <c r="F1134" s="55"/>
      <c r="G1134" s="55"/>
      <c r="H1134" s="55"/>
      <c r="I1134" s="55"/>
      <c r="J1134" s="55"/>
      <c r="K1134" s="31"/>
      <c r="L1134" s="31"/>
      <c r="M1134" s="100"/>
      <c r="N1134" s="100"/>
      <c r="O1134" s="100"/>
      <c r="P1134" s="100"/>
      <c r="Q1134" s="229">
        <v>7</v>
      </c>
      <c r="R1134" s="229"/>
      <c r="S1134" s="100"/>
      <c r="T1134" s="100"/>
      <c r="U1134" s="100"/>
      <c r="V1134" s="100"/>
      <c r="W1134" s="100"/>
      <c r="X1134" s="100"/>
      <c r="Y1134" s="100"/>
      <c r="Z1134" s="100"/>
      <c r="AA1134" s="167"/>
      <c r="AB1134" s="167"/>
      <c r="AC1134" s="167"/>
      <c r="AD1134" s="167"/>
      <c r="AE1134" s="167"/>
      <c r="AH1134" s="13"/>
    </row>
    <row r="1135" spans="2:33" s="4" customFormat="1" ht="21.75" customHeight="1">
      <c r="B1135" s="233" t="s">
        <v>0</v>
      </c>
      <c r="C1135" s="235"/>
      <c r="D1135" s="251" t="s">
        <v>3</v>
      </c>
      <c r="E1135" s="251" t="s">
        <v>4</v>
      </c>
      <c r="F1135" s="251" t="s">
        <v>5</v>
      </c>
      <c r="G1135" s="254" t="s">
        <v>43</v>
      </c>
      <c r="H1135" s="254" t="s">
        <v>45</v>
      </c>
      <c r="I1135" s="251" t="s">
        <v>6</v>
      </c>
      <c r="J1135" s="254" t="s">
        <v>26</v>
      </c>
      <c r="K1135" s="254" t="s">
        <v>46</v>
      </c>
      <c r="L1135" s="254" t="s">
        <v>82</v>
      </c>
      <c r="M1135" s="58"/>
      <c r="N1135" s="58"/>
      <c r="O1135" s="58"/>
      <c r="P1135" s="58"/>
      <c r="Q1135" s="216">
        <v>304</v>
      </c>
      <c r="R1135" s="217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307" t="s">
        <v>38</v>
      </c>
      <c r="AG1135" s="307" t="s">
        <v>58</v>
      </c>
    </row>
    <row r="1136" spans="2:33" s="4" customFormat="1" ht="27.75" customHeight="1">
      <c r="B1136" s="293"/>
      <c r="C1136" s="294"/>
      <c r="D1136" s="252"/>
      <c r="E1136" s="252"/>
      <c r="F1136" s="252"/>
      <c r="G1136" s="242"/>
      <c r="H1136" s="242"/>
      <c r="I1136" s="252"/>
      <c r="J1136" s="255"/>
      <c r="K1136" s="255"/>
      <c r="L1136" s="242"/>
      <c r="M1136" s="241"/>
      <c r="N1136" s="241"/>
      <c r="O1136" s="241"/>
      <c r="P1136" s="241"/>
      <c r="Q1136" s="218" t="s">
        <v>121</v>
      </c>
      <c r="R1136" s="219"/>
      <c r="S1136" s="241"/>
      <c r="T1136" s="241"/>
      <c r="U1136" s="241"/>
      <c r="V1136" s="241"/>
      <c r="W1136" s="241"/>
      <c r="X1136" s="241"/>
      <c r="Y1136" s="241"/>
      <c r="Z1136" s="241"/>
      <c r="AA1136" s="241"/>
      <c r="AB1136" s="241"/>
      <c r="AC1136" s="241"/>
      <c r="AD1136" s="241"/>
      <c r="AE1136" s="241"/>
      <c r="AF1136" s="308"/>
      <c r="AG1136" s="308"/>
    </row>
    <row r="1137" spans="2:33" s="4" customFormat="1" ht="27.75" customHeight="1" thickBot="1">
      <c r="B1137" s="293"/>
      <c r="C1137" s="294"/>
      <c r="D1137" s="252"/>
      <c r="E1137" s="252"/>
      <c r="F1137" s="252"/>
      <c r="G1137" s="242"/>
      <c r="H1137" s="242"/>
      <c r="I1137" s="252"/>
      <c r="J1137" s="255"/>
      <c r="K1137" s="255"/>
      <c r="L1137" s="242"/>
      <c r="M1137" s="255"/>
      <c r="N1137" s="242"/>
      <c r="O1137" s="242"/>
      <c r="P1137" s="242"/>
      <c r="Q1137" s="220"/>
      <c r="R1137" s="221"/>
      <c r="S1137" s="255"/>
      <c r="T1137" s="242"/>
      <c r="U1137" s="242"/>
      <c r="V1137" s="242"/>
      <c r="W1137" s="242"/>
      <c r="X1137" s="242"/>
      <c r="Y1137" s="242"/>
      <c r="Z1137" s="242"/>
      <c r="AA1137" s="242"/>
      <c r="AB1137" s="242"/>
      <c r="AC1137" s="242"/>
      <c r="AD1137" s="242"/>
      <c r="AE1137" s="242"/>
      <c r="AF1137" s="309"/>
      <c r="AG1137" s="309"/>
    </row>
    <row r="1138" spans="2:33" s="4" customFormat="1" ht="27.75" customHeight="1">
      <c r="B1138" s="293"/>
      <c r="C1138" s="294"/>
      <c r="D1138" s="252"/>
      <c r="E1138" s="252"/>
      <c r="F1138" s="252"/>
      <c r="G1138" s="242"/>
      <c r="H1138" s="242"/>
      <c r="I1138" s="252"/>
      <c r="J1138" s="255"/>
      <c r="K1138" s="255"/>
      <c r="L1138" s="242"/>
      <c r="M1138" s="255"/>
      <c r="N1138" s="242"/>
      <c r="O1138" s="242"/>
      <c r="P1138" s="242"/>
      <c r="Q1138" s="220"/>
      <c r="R1138" s="221"/>
      <c r="S1138" s="255"/>
      <c r="T1138" s="242"/>
      <c r="U1138" s="242"/>
      <c r="V1138" s="242"/>
      <c r="W1138" s="242"/>
      <c r="X1138" s="242"/>
      <c r="Y1138" s="242"/>
      <c r="Z1138" s="242"/>
      <c r="AA1138" s="242"/>
      <c r="AB1138" s="242"/>
      <c r="AC1138" s="242"/>
      <c r="AD1138" s="242"/>
      <c r="AE1138" s="242"/>
      <c r="AF1138" s="269" t="s">
        <v>8</v>
      </c>
      <c r="AG1138" s="270"/>
    </row>
    <row r="1139" spans="2:33" s="4" customFormat="1" ht="27.75" customHeight="1">
      <c r="B1139" s="293"/>
      <c r="C1139" s="294"/>
      <c r="D1139" s="252"/>
      <c r="E1139" s="252"/>
      <c r="F1139" s="252"/>
      <c r="G1139" s="242"/>
      <c r="H1139" s="242"/>
      <c r="I1139" s="252"/>
      <c r="J1139" s="255"/>
      <c r="K1139" s="255"/>
      <c r="L1139" s="242"/>
      <c r="M1139" s="255"/>
      <c r="N1139" s="242"/>
      <c r="O1139" s="242"/>
      <c r="P1139" s="242"/>
      <c r="Q1139" s="220"/>
      <c r="R1139" s="221"/>
      <c r="S1139" s="255"/>
      <c r="T1139" s="242"/>
      <c r="U1139" s="242"/>
      <c r="V1139" s="242"/>
      <c r="W1139" s="242"/>
      <c r="X1139" s="242"/>
      <c r="Y1139" s="242"/>
      <c r="Z1139" s="242"/>
      <c r="AA1139" s="242"/>
      <c r="AB1139" s="242"/>
      <c r="AC1139" s="242"/>
      <c r="AD1139" s="242"/>
      <c r="AE1139" s="242"/>
      <c r="AF1139" s="271"/>
      <c r="AG1139" s="272"/>
    </row>
    <row r="1140" spans="2:33" s="4" customFormat="1" ht="27.75" customHeight="1">
      <c r="B1140" s="293"/>
      <c r="C1140" s="294"/>
      <c r="D1140" s="252"/>
      <c r="E1140" s="252"/>
      <c r="F1140" s="252"/>
      <c r="G1140" s="242"/>
      <c r="H1140" s="242"/>
      <c r="I1140" s="252"/>
      <c r="J1140" s="255"/>
      <c r="K1140" s="255"/>
      <c r="L1140" s="242"/>
      <c r="M1140" s="255"/>
      <c r="N1140" s="242"/>
      <c r="O1140" s="242"/>
      <c r="P1140" s="242"/>
      <c r="Q1140" s="220"/>
      <c r="R1140" s="221"/>
      <c r="S1140" s="255"/>
      <c r="T1140" s="242"/>
      <c r="U1140" s="242"/>
      <c r="V1140" s="242"/>
      <c r="W1140" s="242"/>
      <c r="X1140" s="242"/>
      <c r="Y1140" s="242"/>
      <c r="Z1140" s="242"/>
      <c r="AA1140" s="242"/>
      <c r="AB1140" s="242"/>
      <c r="AC1140" s="242"/>
      <c r="AD1140" s="242"/>
      <c r="AE1140" s="242"/>
      <c r="AF1140" s="271"/>
      <c r="AG1140" s="272"/>
    </row>
    <row r="1141" spans="2:33" s="4" customFormat="1" ht="27.75" customHeight="1">
      <c r="B1141" s="293"/>
      <c r="C1141" s="294"/>
      <c r="D1141" s="252"/>
      <c r="E1141" s="252"/>
      <c r="F1141" s="252"/>
      <c r="G1141" s="242"/>
      <c r="H1141" s="242"/>
      <c r="I1141" s="252"/>
      <c r="J1141" s="255"/>
      <c r="K1141" s="255"/>
      <c r="L1141" s="242"/>
      <c r="M1141" s="255"/>
      <c r="N1141" s="242"/>
      <c r="O1141" s="242"/>
      <c r="P1141" s="242"/>
      <c r="Q1141" s="220"/>
      <c r="R1141" s="221"/>
      <c r="S1141" s="255"/>
      <c r="T1141" s="242"/>
      <c r="U1141" s="242"/>
      <c r="V1141" s="242"/>
      <c r="W1141" s="242"/>
      <c r="X1141" s="242"/>
      <c r="Y1141" s="242"/>
      <c r="Z1141" s="242"/>
      <c r="AA1141" s="242"/>
      <c r="AB1141" s="242"/>
      <c r="AC1141" s="242"/>
      <c r="AD1141" s="242"/>
      <c r="AE1141" s="242"/>
      <c r="AF1141" s="271"/>
      <c r="AG1141" s="272"/>
    </row>
    <row r="1142" spans="2:33" s="4" customFormat="1" ht="27.75" customHeight="1">
      <c r="B1142" s="293"/>
      <c r="C1142" s="294"/>
      <c r="D1142" s="252"/>
      <c r="E1142" s="252"/>
      <c r="F1142" s="252"/>
      <c r="G1142" s="242"/>
      <c r="H1142" s="242"/>
      <c r="I1142" s="252"/>
      <c r="J1142" s="255"/>
      <c r="K1142" s="255"/>
      <c r="L1142" s="242"/>
      <c r="M1142" s="255"/>
      <c r="N1142" s="242"/>
      <c r="O1142" s="242"/>
      <c r="P1142" s="242"/>
      <c r="Q1142" s="220"/>
      <c r="R1142" s="221"/>
      <c r="S1142" s="255"/>
      <c r="T1142" s="242"/>
      <c r="U1142" s="242"/>
      <c r="V1142" s="242"/>
      <c r="W1142" s="242"/>
      <c r="X1142" s="242"/>
      <c r="Y1142" s="242"/>
      <c r="Z1142" s="242"/>
      <c r="AA1142" s="242"/>
      <c r="AB1142" s="242"/>
      <c r="AC1142" s="242"/>
      <c r="AD1142" s="242"/>
      <c r="AE1142" s="242"/>
      <c r="AF1142" s="271"/>
      <c r="AG1142" s="272"/>
    </row>
    <row r="1143" spans="2:33" s="5" customFormat="1" ht="27.75" customHeight="1">
      <c r="B1143" s="295"/>
      <c r="C1143" s="296"/>
      <c r="D1143" s="253"/>
      <c r="E1143" s="253"/>
      <c r="F1143" s="253"/>
      <c r="G1143" s="243"/>
      <c r="H1143" s="243"/>
      <c r="I1143" s="253"/>
      <c r="J1143" s="256"/>
      <c r="K1143" s="256"/>
      <c r="L1143" s="243"/>
      <c r="M1143" s="256"/>
      <c r="N1143" s="243"/>
      <c r="O1143" s="243"/>
      <c r="P1143" s="243"/>
      <c r="Q1143" s="222"/>
      <c r="R1143" s="223"/>
      <c r="S1143" s="256"/>
      <c r="T1143" s="243"/>
      <c r="U1143" s="243"/>
      <c r="V1143" s="243"/>
      <c r="W1143" s="243"/>
      <c r="X1143" s="243"/>
      <c r="Y1143" s="243"/>
      <c r="Z1143" s="243"/>
      <c r="AA1143" s="243"/>
      <c r="AB1143" s="243"/>
      <c r="AC1143" s="243"/>
      <c r="AD1143" s="243"/>
      <c r="AE1143" s="243"/>
      <c r="AF1143" s="271"/>
      <c r="AG1143" s="272"/>
    </row>
    <row r="1144" spans="2:33" s="7" customFormat="1" ht="21.75" customHeight="1" thickBot="1">
      <c r="B1144" s="56" t="s">
        <v>1</v>
      </c>
      <c r="C1144" s="56" t="s">
        <v>2</v>
      </c>
      <c r="D1144" s="57"/>
      <c r="E1144" s="57" t="s">
        <v>14</v>
      </c>
      <c r="F1144" s="57" t="s">
        <v>14</v>
      </c>
      <c r="G1144" s="57"/>
      <c r="H1144" s="57"/>
      <c r="I1144" s="57" t="s">
        <v>21</v>
      </c>
      <c r="J1144" s="57" t="s">
        <v>21</v>
      </c>
      <c r="K1144" s="57" t="s">
        <v>21</v>
      </c>
      <c r="L1144" s="57" t="s">
        <v>21</v>
      </c>
      <c r="M1144" s="57"/>
      <c r="N1144" s="57"/>
      <c r="O1144" s="57"/>
      <c r="P1144" s="57"/>
      <c r="Q1144" s="208" t="s">
        <v>20</v>
      </c>
      <c r="R1144" s="210"/>
      <c r="S1144" s="57"/>
      <c r="T1144" s="57"/>
      <c r="U1144" s="57"/>
      <c r="V1144" s="57"/>
      <c r="W1144" s="57"/>
      <c r="X1144" s="57"/>
      <c r="Y1144" s="57"/>
      <c r="Z1144" s="57"/>
      <c r="AA1144" s="57"/>
      <c r="AB1144" s="57"/>
      <c r="AC1144" s="57"/>
      <c r="AD1144" s="57"/>
      <c r="AE1144" s="57"/>
      <c r="AF1144" s="271"/>
      <c r="AG1144" s="272"/>
    </row>
    <row r="1145" spans="1:33" s="4" customFormat="1" ht="21.75" customHeight="1">
      <c r="A1145" s="30">
        <v>1</v>
      </c>
      <c r="B1145" s="291"/>
      <c r="C1145" s="292"/>
      <c r="D1145" s="42"/>
      <c r="E1145" s="24"/>
      <c r="F1145" s="42"/>
      <c r="G1145" s="42"/>
      <c r="H1145" s="42"/>
      <c r="I1145" s="43"/>
      <c r="J1145" s="58"/>
      <c r="K1145" s="58"/>
      <c r="L1145" s="58"/>
      <c r="M1145" s="227"/>
      <c r="N1145" s="263"/>
      <c r="O1145" s="227"/>
      <c r="P1145" s="263"/>
      <c r="Q1145" s="227" t="s">
        <v>59</v>
      </c>
      <c r="R1145" s="227" t="s">
        <v>92</v>
      </c>
      <c r="S1145" s="227"/>
      <c r="T1145" s="227"/>
      <c r="U1145" s="227"/>
      <c r="V1145" s="265"/>
      <c r="W1145" s="227"/>
      <c r="X1145" s="227"/>
      <c r="Y1145" s="227"/>
      <c r="Z1145" s="227"/>
      <c r="AA1145" s="227"/>
      <c r="AB1145" s="227"/>
      <c r="AC1145" s="227"/>
      <c r="AD1145" s="227"/>
      <c r="AE1145" s="227"/>
      <c r="AF1145" s="271"/>
      <c r="AG1145" s="272"/>
    </row>
    <row r="1146" spans="1:33" s="4" customFormat="1" ht="21.75" customHeight="1">
      <c r="A1146" s="30">
        <v>2</v>
      </c>
      <c r="B1146" s="260" t="s">
        <v>101</v>
      </c>
      <c r="C1146" s="261"/>
      <c r="D1146" s="261"/>
      <c r="E1146" s="261"/>
      <c r="F1146" s="261"/>
      <c r="G1146" s="261"/>
      <c r="H1146" s="261"/>
      <c r="I1146" s="262"/>
      <c r="J1146" s="39"/>
      <c r="K1146" s="39"/>
      <c r="L1146" s="39"/>
      <c r="M1146" s="228"/>
      <c r="N1146" s="264"/>
      <c r="O1146" s="228"/>
      <c r="P1146" s="264"/>
      <c r="Q1146" s="228"/>
      <c r="R1146" s="228"/>
      <c r="S1146" s="228"/>
      <c r="T1146" s="228"/>
      <c r="U1146" s="228"/>
      <c r="V1146" s="266"/>
      <c r="W1146" s="228"/>
      <c r="X1146" s="228"/>
      <c r="Y1146" s="228"/>
      <c r="Z1146" s="228"/>
      <c r="AA1146" s="228"/>
      <c r="AB1146" s="228"/>
      <c r="AC1146" s="228"/>
      <c r="AD1146" s="228"/>
      <c r="AE1146" s="228"/>
      <c r="AF1146" s="271"/>
      <c r="AG1146" s="272"/>
    </row>
    <row r="1147" spans="1:33" s="4" customFormat="1" ht="21.75" customHeight="1">
      <c r="A1147" s="30">
        <v>3</v>
      </c>
      <c r="B1147" s="67" t="s">
        <v>36</v>
      </c>
      <c r="C1147" s="46"/>
      <c r="D1147" s="39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61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71"/>
      <c r="AG1147" s="272"/>
    </row>
    <row r="1148" spans="1:33" s="4" customFormat="1" ht="21.75" customHeight="1">
      <c r="A1148" s="30">
        <v>4</v>
      </c>
      <c r="B1148" s="38">
        <v>12697.69</v>
      </c>
      <c r="C1148" s="46">
        <v>12727.68</v>
      </c>
      <c r="D1148" s="39" t="s">
        <v>17</v>
      </c>
      <c r="E1148" s="24">
        <f>C1148-B1148</f>
        <v>29.98999999999978</v>
      </c>
      <c r="F1148" s="24">
        <v>37.67</v>
      </c>
      <c r="G1148" s="105">
        <f>ROUND((5729.578+($F1148/2))/5729.578,4)</f>
        <v>1.0033</v>
      </c>
      <c r="H1148" s="105">
        <f>ROUND((5729.578+($F1148))/5729.578,4)</f>
        <v>1.0066</v>
      </c>
      <c r="I1148" s="24">
        <f>IF(G1148=0,ROUND($E1148*$F1148,2),ROUND($E1148*$F1148*$G1148,2))</f>
        <v>1133.45</v>
      </c>
      <c r="J1148" s="24"/>
      <c r="K1148" s="24">
        <f>IF($H1148=0,ROUND($E1148*(K$1202/12),2),ROUND($E1148*$H1148*(K$1202/12),2))</f>
        <v>15.09</v>
      </c>
      <c r="L1148" s="24"/>
      <c r="M1148" s="24"/>
      <c r="N1148" s="24"/>
      <c r="O1148" s="24"/>
      <c r="P1148" s="61"/>
      <c r="Q1148" s="24">
        <f>ROUND(((($I1148+$K1148)*(Q$1202/12))/27)*Q$1204,2)</f>
        <v>12.76</v>
      </c>
      <c r="R1148" s="24">
        <f>ROUND(((($I1148+$K1148)*(R$1202/12))/27)*R$1204,2)</f>
        <v>8.51</v>
      </c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71"/>
      <c r="AG1148" s="272"/>
    </row>
    <row r="1149" spans="1:33" s="4" customFormat="1" ht="21.75" customHeight="1">
      <c r="A1149" s="30">
        <v>5</v>
      </c>
      <c r="B1149" s="38">
        <v>12796.18</v>
      </c>
      <c r="C1149" s="46">
        <v>12826.12</v>
      </c>
      <c r="D1149" s="39" t="s">
        <v>17</v>
      </c>
      <c r="E1149" s="24">
        <f>C1149-B1149</f>
        <v>29.94000000000051</v>
      </c>
      <c r="F1149" s="24">
        <v>37.67</v>
      </c>
      <c r="G1149" s="105">
        <f>ROUND((5729.578+($F1149/2))/5729.578,4)</f>
        <v>1.0033</v>
      </c>
      <c r="H1149" s="105">
        <f>ROUND((5729.578+($F1149))/5729.578,4)</f>
        <v>1.0066</v>
      </c>
      <c r="I1149" s="24">
        <f>IF(G1149=0,ROUND($E1149*$F1149,2),ROUND($E1149*$F1149*$G1149,2))</f>
        <v>1131.56</v>
      </c>
      <c r="J1149" s="24"/>
      <c r="K1149" s="24">
        <f>IF($H1149=0,ROUND($E1149*(K$1202/12),2),ROUND($E1149*$H1149*(K$1202/12),2))</f>
        <v>15.07</v>
      </c>
      <c r="L1149" s="24"/>
      <c r="M1149" s="24"/>
      <c r="N1149" s="24"/>
      <c r="O1149" s="24"/>
      <c r="P1149" s="61"/>
      <c r="Q1149" s="24">
        <f>ROUND(((($I1149+$K1149)*(Q$1202/12))/27)*Q$1204,2)</f>
        <v>12.74</v>
      </c>
      <c r="R1149" s="24">
        <f>ROUND(((($I1149+$K1149)*(R$1202/12))/27)*R$1204,2)</f>
        <v>8.49</v>
      </c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71"/>
      <c r="AG1149" s="272"/>
    </row>
    <row r="1150" spans="1:33" s="4" customFormat="1" ht="21.75" customHeight="1">
      <c r="A1150" s="30">
        <v>6</v>
      </c>
      <c r="B1150" s="38">
        <v>17562.88</v>
      </c>
      <c r="C1150" s="46">
        <v>17592.88</v>
      </c>
      <c r="D1150" s="39" t="s">
        <v>17</v>
      </c>
      <c r="E1150" s="24">
        <f>C1150-B1150</f>
        <v>30</v>
      </c>
      <c r="F1150" s="213" t="s">
        <v>13</v>
      </c>
      <c r="G1150" s="214"/>
      <c r="H1150" s="214"/>
      <c r="I1150" s="215"/>
      <c r="J1150" s="24">
        <v>1180.39</v>
      </c>
      <c r="K1150" s="24">
        <f>IF($H1150=0,ROUND($E1150*(K$1202/12),2),ROUND($E1150*$H1150*(K$1202/12),2))</f>
        <v>15</v>
      </c>
      <c r="L1150" s="24"/>
      <c r="M1150" s="24"/>
      <c r="N1150" s="24"/>
      <c r="O1150" s="24"/>
      <c r="P1150" s="61"/>
      <c r="Q1150" s="24">
        <f>ROUND(((($J1150+$K1150)*(Q$1202/12))/27)*Q$1204,2)</f>
        <v>13.28</v>
      </c>
      <c r="R1150" s="24">
        <f>ROUND(((($J1150+$K1150)*(R$1202/12))/27)*R$1204,2)</f>
        <v>8.85</v>
      </c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271"/>
      <c r="AG1150" s="272"/>
    </row>
    <row r="1151" spans="1:33" s="4" customFormat="1" ht="21.75" customHeight="1">
      <c r="A1151" s="30">
        <v>7</v>
      </c>
      <c r="B1151" s="38">
        <v>17686.6</v>
      </c>
      <c r="C1151" s="46">
        <v>17716.6</v>
      </c>
      <c r="D1151" s="39" t="s">
        <v>17</v>
      </c>
      <c r="E1151" s="24">
        <f>C1151-B1151</f>
        <v>30</v>
      </c>
      <c r="F1151" s="213" t="s">
        <v>13</v>
      </c>
      <c r="G1151" s="214"/>
      <c r="H1151" s="214"/>
      <c r="I1151" s="215"/>
      <c r="J1151" s="24">
        <v>1145.68</v>
      </c>
      <c r="K1151" s="24">
        <f>IF($H1151=0,ROUND($E1151*(K$1202/12),2),ROUND($E1151*$H1151*(K$1202/12),2))</f>
        <v>15</v>
      </c>
      <c r="L1151" s="24"/>
      <c r="M1151" s="24"/>
      <c r="N1151" s="24"/>
      <c r="O1151" s="24"/>
      <c r="P1151" s="61"/>
      <c r="Q1151" s="24">
        <f>ROUND(((($J1151+$K1151)*(Q$1202/12))/27)*Q$1204,2)</f>
        <v>12.9</v>
      </c>
      <c r="R1151" s="24">
        <f>ROUND(((($J1151+$K1151)*(R$1202/12))/27)*R$1204,2)</f>
        <v>8.6</v>
      </c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71"/>
      <c r="AG1151" s="272"/>
    </row>
    <row r="1152" spans="1:33" s="4" customFormat="1" ht="21.75" customHeight="1">
      <c r="A1152" s="30">
        <v>8</v>
      </c>
      <c r="B1152" s="38"/>
      <c r="C1152" s="46"/>
      <c r="D1152" s="39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61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71"/>
      <c r="AG1152" s="272"/>
    </row>
    <row r="1153" spans="1:33" s="4" customFormat="1" ht="21.75" customHeight="1">
      <c r="A1153" s="30">
        <v>9</v>
      </c>
      <c r="B1153" s="38">
        <v>12697.69</v>
      </c>
      <c r="C1153" s="46">
        <v>12727.68</v>
      </c>
      <c r="D1153" s="39" t="s">
        <v>16</v>
      </c>
      <c r="E1153" s="24">
        <f>C1153-B1153</f>
        <v>29.98999999999978</v>
      </c>
      <c r="F1153" s="24">
        <v>12</v>
      </c>
      <c r="G1153" s="105">
        <f>ROUND((5729.578-($F1153/2))/5729.578,4)</f>
        <v>0.999</v>
      </c>
      <c r="H1153" s="105">
        <f>ROUND((5729.578-($F1153))/5729.578,4)</f>
        <v>0.9979</v>
      </c>
      <c r="I1153" s="24">
        <f>IF(G1153=0,ROUND($E1153*$F1153,2),ROUND($E1153*$F1153*$G1153,2))</f>
        <v>359.52</v>
      </c>
      <c r="J1153" s="24"/>
      <c r="K1153" s="24"/>
      <c r="L1153" s="24"/>
      <c r="M1153" s="24"/>
      <c r="N1153" s="24"/>
      <c r="O1153" s="24"/>
      <c r="P1153" s="61"/>
      <c r="Q1153" s="24">
        <f>ROUND(((($I1153+$K1153)*(Q$1202/12))/27)*Q$1204,2)</f>
        <v>3.99</v>
      </c>
      <c r="R1153" s="24">
        <f>ROUND(((($I1153+$K1153)*(R$1202/12))/27)*R$1204,2)</f>
        <v>2.66</v>
      </c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271"/>
      <c r="AG1153" s="272"/>
    </row>
    <row r="1154" spans="1:33" s="4" customFormat="1" ht="21.75" customHeight="1">
      <c r="A1154" s="30">
        <v>10</v>
      </c>
      <c r="B1154" s="38">
        <v>12796.18</v>
      </c>
      <c r="C1154" s="46">
        <v>12826.12</v>
      </c>
      <c r="D1154" s="39" t="s">
        <v>16</v>
      </c>
      <c r="E1154" s="24">
        <f>C1154-B1154</f>
        <v>29.94000000000051</v>
      </c>
      <c r="F1154" s="24">
        <v>12</v>
      </c>
      <c r="G1154" s="105">
        <f>ROUND((5729.578-($F1154/2))/5729.578,4)</f>
        <v>0.999</v>
      </c>
      <c r="H1154" s="105">
        <f>ROUND((5729.578-($F1154))/5729.578,4)</f>
        <v>0.9979</v>
      </c>
      <c r="I1154" s="24">
        <f>IF(G1154=0,ROUND($E1154*$F1154,2),ROUND($E1154*$F1154*$G1154,2))</f>
        <v>358.92</v>
      </c>
      <c r="J1154" s="24"/>
      <c r="K1154" s="24"/>
      <c r="L1154" s="24"/>
      <c r="M1154" s="24"/>
      <c r="N1154" s="24"/>
      <c r="O1154" s="24"/>
      <c r="P1154" s="61"/>
      <c r="Q1154" s="24">
        <f>ROUND(((($I1154+$K1154)*(Q$1202/12))/27)*Q$1204,2)</f>
        <v>3.99</v>
      </c>
      <c r="R1154" s="24">
        <f>ROUND(((($I1154+$K1154)*(R$1202/12))/27)*R$1204,2)</f>
        <v>2.66</v>
      </c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71"/>
      <c r="AG1154" s="272"/>
    </row>
    <row r="1155" spans="1:33" s="4" customFormat="1" ht="21.75" customHeight="1">
      <c r="A1155" s="30">
        <v>11</v>
      </c>
      <c r="B1155" s="38">
        <v>17562.88</v>
      </c>
      <c r="C1155" s="46">
        <v>17592.88</v>
      </c>
      <c r="D1155" s="39" t="s">
        <v>16</v>
      </c>
      <c r="E1155" s="24">
        <f>C1155-B1155</f>
        <v>30</v>
      </c>
      <c r="F1155" s="213" t="s">
        <v>13</v>
      </c>
      <c r="G1155" s="214"/>
      <c r="H1155" s="214"/>
      <c r="I1155" s="215"/>
      <c r="J1155" s="24">
        <v>1803.28</v>
      </c>
      <c r="K1155" s="24">
        <f>IF($H1155=0,ROUND($E1155*(K$1202/12),2),ROUND($E1155*$H1155*(K$1202/12),2))</f>
        <v>15</v>
      </c>
      <c r="L1155" s="24"/>
      <c r="M1155" s="24"/>
      <c r="N1155" s="24"/>
      <c r="O1155" s="24"/>
      <c r="P1155" s="61"/>
      <c r="Q1155" s="24">
        <f>ROUND(((($J1155+$K1155)*(Q$1202/12))/27)*Q$1204,2)</f>
        <v>20.2</v>
      </c>
      <c r="R1155" s="24">
        <f>ROUND(((($J1155+$K1155)*(R$1202/12))/27)*R$1204,2)</f>
        <v>13.47</v>
      </c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71"/>
      <c r="AG1155" s="272"/>
    </row>
    <row r="1156" spans="1:33" s="4" customFormat="1" ht="21.75" customHeight="1">
      <c r="A1156" s="30">
        <v>12</v>
      </c>
      <c r="B1156" s="38">
        <v>17686.6</v>
      </c>
      <c r="C1156" s="46">
        <v>17716.6</v>
      </c>
      <c r="D1156" s="39" t="s">
        <v>16</v>
      </c>
      <c r="E1156" s="24">
        <f>C1156-B1156</f>
        <v>30</v>
      </c>
      <c r="F1156" s="213" t="s">
        <v>13</v>
      </c>
      <c r="G1156" s="214"/>
      <c r="H1156" s="214"/>
      <c r="I1156" s="215"/>
      <c r="J1156" s="24">
        <v>1763</v>
      </c>
      <c r="K1156" s="24">
        <f>IF($H1156=0,ROUND($E1156*(K$1202/12),2),ROUND($E1156*$H1156*(K$1202/12),2))</f>
        <v>15</v>
      </c>
      <c r="L1156" s="24"/>
      <c r="M1156" s="24"/>
      <c r="N1156" s="24"/>
      <c r="O1156" s="24"/>
      <c r="P1156" s="61"/>
      <c r="Q1156" s="24">
        <f>ROUND(((($J1156+$K1156)*(Q$1202/12))/27)*Q$1204,2)</f>
        <v>19.76</v>
      </c>
      <c r="R1156" s="24">
        <f>ROUND(((($J1156+$K1156)*(R$1202/12))/27)*R$1204,2)</f>
        <v>13.17</v>
      </c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71"/>
      <c r="AG1156" s="272"/>
    </row>
    <row r="1157" spans="1:33" s="4" customFormat="1" ht="21.75" customHeight="1">
      <c r="A1157" s="30">
        <v>13</v>
      </c>
      <c r="B1157" s="38"/>
      <c r="C1157" s="46"/>
      <c r="D1157" s="39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61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71"/>
      <c r="AG1157" s="272"/>
    </row>
    <row r="1158" spans="1:33" s="4" customFormat="1" ht="21.75" customHeight="1">
      <c r="A1158" s="30">
        <v>14</v>
      </c>
      <c r="B1158" s="67" t="s">
        <v>50</v>
      </c>
      <c r="C1158" s="46"/>
      <c r="D1158" s="39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61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271"/>
      <c r="AG1158" s="272"/>
    </row>
    <row r="1159" spans="1:33" s="16" customFormat="1" ht="21.75" customHeight="1">
      <c r="A1159" s="30">
        <v>15</v>
      </c>
      <c r="B1159" s="38">
        <v>501506.59</v>
      </c>
      <c r="C1159" s="46">
        <v>501536.59</v>
      </c>
      <c r="D1159" s="39" t="s">
        <v>17</v>
      </c>
      <c r="E1159" s="24">
        <f>C1159-B1159</f>
        <v>30</v>
      </c>
      <c r="F1159" s="24">
        <v>21.67</v>
      </c>
      <c r="G1159" s="105">
        <f>ROUND((2291.8312-($F1159/2))/2291.8312,4)</f>
        <v>0.9953</v>
      </c>
      <c r="H1159" s="105">
        <f>ROUND((2291.8312-($F1159))/2291.8312,4)</f>
        <v>0.9905</v>
      </c>
      <c r="I1159" s="24">
        <f>IF(G1159=0,ROUND($E1159*$F1159,2),ROUND($E1159*$F1159*$G1159,2))</f>
        <v>647.04</v>
      </c>
      <c r="J1159" s="24"/>
      <c r="K1159" s="24">
        <f>IF($H1159=0,ROUND($E1159*(K$1202/12),2),ROUND($E1159*$H1159*(K$1202/12),2))</f>
        <v>14.86</v>
      </c>
      <c r="L1159" s="24"/>
      <c r="M1159" s="24"/>
      <c r="N1159" s="24"/>
      <c r="O1159" s="24"/>
      <c r="P1159" s="61"/>
      <c r="Q1159" s="24"/>
      <c r="R1159" s="24">
        <f>ROUND((($I1159+$K1159)*(R$1202/12))/27,2)</f>
        <v>12.26</v>
      </c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71"/>
      <c r="AG1159" s="272"/>
    </row>
    <row r="1160" spans="1:33" s="16" customFormat="1" ht="21.75" customHeight="1">
      <c r="A1160" s="30">
        <v>16</v>
      </c>
      <c r="B1160" s="38">
        <v>501506.59</v>
      </c>
      <c r="C1160" s="46">
        <v>501536.59</v>
      </c>
      <c r="D1160" s="39" t="s">
        <v>16</v>
      </c>
      <c r="E1160" s="24">
        <f>C1160-B1160</f>
        <v>30</v>
      </c>
      <c r="F1160" s="24">
        <v>9.67</v>
      </c>
      <c r="G1160" s="105">
        <f>ROUND((2291.8312-($F1160/2))/2291.8312,4)</f>
        <v>0.9979</v>
      </c>
      <c r="H1160" s="105">
        <f>ROUND((2291.8312-($F1160))/2291.8312,4)</f>
        <v>0.9958</v>
      </c>
      <c r="I1160" s="24">
        <f>IF(G1160=0,ROUND($E1160*$F1160,2),ROUND($E1160*$F1160*$G1160,2))</f>
        <v>289.49</v>
      </c>
      <c r="J1160" s="24"/>
      <c r="K1160" s="24">
        <f>IF($H1160=0,ROUND($E1160*(K$1202/12),2),ROUND($E1160*$H1160*(K$1202/12),2))</f>
        <v>14.94</v>
      </c>
      <c r="L1160" s="24"/>
      <c r="M1160" s="24"/>
      <c r="N1160" s="24"/>
      <c r="O1160" s="24"/>
      <c r="P1160" s="61"/>
      <c r="Q1160" s="24"/>
      <c r="R1160" s="24">
        <f>ROUND((($I1160+$K1160)*(R$1202/12))/27,2)</f>
        <v>5.64</v>
      </c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271"/>
      <c r="AG1160" s="272"/>
    </row>
    <row r="1161" spans="1:33" s="16" customFormat="1" ht="21.75" customHeight="1">
      <c r="A1161" s="30">
        <v>17</v>
      </c>
      <c r="B1161" s="38"/>
      <c r="C1161" s="46"/>
      <c r="D1161" s="39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61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271"/>
      <c r="AG1161" s="272"/>
    </row>
    <row r="1162" spans="1:33" s="16" customFormat="1" ht="21.75" customHeight="1">
      <c r="A1162" s="30">
        <v>18</v>
      </c>
      <c r="B1162" s="67" t="s">
        <v>51</v>
      </c>
      <c r="C1162" s="46"/>
      <c r="D1162" s="39"/>
      <c r="E1162" s="24"/>
      <c r="F1162" s="66"/>
      <c r="G1162" s="24"/>
      <c r="H1162" s="24"/>
      <c r="I1162" s="24"/>
      <c r="J1162" s="24"/>
      <c r="K1162" s="24"/>
      <c r="L1162" s="24"/>
      <c r="M1162" s="24"/>
      <c r="N1162" s="24"/>
      <c r="O1162" s="24"/>
      <c r="P1162" s="61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71"/>
      <c r="AG1162" s="272"/>
    </row>
    <row r="1163" spans="1:33" s="4" customFormat="1" ht="21.75" customHeight="1">
      <c r="A1163" s="30">
        <v>19</v>
      </c>
      <c r="B1163" s="38">
        <v>503136.94</v>
      </c>
      <c r="C1163" s="46">
        <v>503166.94</v>
      </c>
      <c r="D1163" s="39" t="s">
        <v>17</v>
      </c>
      <c r="E1163" s="24">
        <f>C1163-B1163</f>
        <v>30</v>
      </c>
      <c r="F1163" s="213" t="s">
        <v>13</v>
      </c>
      <c r="G1163" s="214"/>
      <c r="H1163" s="214"/>
      <c r="I1163" s="215"/>
      <c r="J1163" s="24">
        <v>1026.12</v>
      </c>
      <c r="K1163" s="24"/>
      <c r="L1163" s="24"/>
      <c r="M1163" s="24"/>
      <c r="N1163" s="24"/>
      <c r="O1163" s="24"/>
      <c r="P1163" s="61"/>
      <c r="Q1163" s="24"/>
      <c r="R1163" s="24">
        <f>ROUND((($J1163+$K1163)*(R$1202/12))/27,2)</f>
        <v>19</v>
      </c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71"/>
      <c r="AG1163" s="272"/>
    </row>
    <row r="1164" spans="1:33" s="4" customFormat="1" ht="21.75" customHeight="1">
      <c r="A1164" s="30">
        <v>20</v>
      </c>
      <c r="B1164" s="38">
        <v>503235.51</v>
      </c>
      <c r="C1164" s="46">
        <v>503265.51</v>
      </c>
      <c r="D1164" s="39" t="s">
        <v>17</v>
      </c>
      <c r="E1164" s="24">
        <f>C1164-B1164</f>
        <v>30</v>
      </c>
      <c r="F1164" s="213" t="s">
        <v>13</v>
      </c>
      <c r="G1164" s="214"/>
      <c r="H1164" s="214"/>
      <c r="I1164" s="215"/>
      <c r="J1164" s="24">
        <v>1134.11</v>
      </c>
      <c r="K1164" s="24"/>
      <c r="L1164" s="24"/>
      <c r="M1164" s="24"/>
      <c r="N1164" s="24"/>
      <c r="O1164" s="24"/>
      <c r="P1164" s="61"/>
      <c r="Q1164" s="24"/>
      <c r="R1164" s="24">
        <f>ROUND((($J1164+$K1164)*(R$1202/12))/27,2)</f>
        <v>21</v>
      </c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F1164" s="271"/>
      <c r="AG1164" s="272"/>
    </row>
    <row r="1165" spans="1:33" s="4" customFormat="1" ht="21.75" customHeight="1">
      <c r="A1165" s="30">
        <v>21</v>
      </c>
      <c r="B1165" s="38">
        <v>504157.96</v>
      </c>
      <c r="C1165" s="46">
        <v>504187.96</v>
      </c>
      <c r="D1165" s="39" t="s">
        <v>17</v>
      </c>
      <c r="E1165" s="24">
        <f>C1165-B1165</f>
        <v>30</v>
      </c>
      <c r="F1165" s="24">
        <v>23.67</v>
      </c>
      <c r="G1165" s="105">
        <f>ROUND((2291.8312-($F1165/2))/2291.8312,4)</f>
        <v>0.9948</v>
      </c>
      <c r="H1165" s="105">
        <f>ROUND((2291.8312-($F1165))/2291.8312,4)</f>
        <v>0.9897</v>
      </c>
      <c r="I1165" s="24">
        <f>IF(G1165=0,ROUND($E1165*$F1165,2),ROUND($E1165*$F1165*$G1165,2))</f>
        <v>706.41</v>
      </c>
      <c r="J1165" s="24"/>
      <c r="K1165" s="24">
        <f>IF($H1165=0,ROUND($E1165*(K$1202/12),2),ROUND($E1165*$H1165*(K$1202/12),2))</f>
        <v>14.85</v>
      </c>
      <c r="L1165" s="24"/>
      <c r="M1165" s="24"/>
      <c r="N1165" s="24"/>
      <c r="O1165" s="24"/>
      <c r="P1165" s="61"/>
      <c r="Q1165" s="24"/>
      <c r="R1165" s="24">
        <f>ROUND((($I1165+$K1165)*(R$1202/12))/27,2)</f>
        <v>13.36</v>
      </c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71"/>
      <c r="AG1165" s="272"/>
    </row>
    <row r="1166" spans="1:33" s="4" customFormat="1" ht="21.75" customHeight="1">
      <c r="A1166" s="30">
        <v>22</v>
      </c>
      <c r="B1166" s="38">
        <v>506183.35</v>
      </c>
      <c r="C1166" s="46">
        <v>506213.35</v>
      </c>
      <c r="D1166" s="39" t="s">
        <v>17</v>
      </c>
      <c r="E1166" s="24">
        <f>C1166-B1166</f>
        <v>30</v>
      </c>
      <c r="F1166" s="24">
        <v>35.67</v>
      </c>
      <c r="G1166" s="105">
        <f>ROUND((2291.8312-($F1166/2))/2291.8312,4)</f>
        <v>0.9922</v>
      </c>
      <c r="H1166" s="105">
        <f>ROUND((2291.8312-($F1166))/2291.8312,4)</f>
        <v>0.9844</v>
      </c>
      <c r="I1166" s="24">
        <f>IF(G1166=0,ROUND($E1166*$F1166,2),ROUND($E1166*$F1166*$G1166,2))</f>
        <v>1061.75</v>
      </c>
      <c r="J1166" s="24"/>
      <c r="K1166" s="24">
        <f>IF($H1166=0,ROUND($E1166*(K$1202/12),2),ROUND($E1166*$H1166*(K$1202/12),2))</f>
        <v>14.77</v>
      </c>
      <c r="L1166" s="24"/>
      <c r="M1166" s="24"/>
      <c r="N1166" s="24"/>
      <c r="O1166" s="24"/>
      <c r="P1166" s="61"/>
      <c r="Q1166" s="24"/>
      <c r="R1166" s="24">
        <f>ROUND((($I1166+$K1166)*(R$1202/12))/27,2)</f>
        <v>19.94</v>
      </c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71"/>
      <c r="AG1166" s="272"/>
    </row>
    <row r="1167" spans="1:33" s="4" customFormat="1" ht="21.75" customHeight="1">
      <c r="A1167" s="30">
        <v>23</v>
      </c>
      <c r="B1167" s="38"/>
      <c r="C1167" s="46"/>
      <c r="D1167" s="39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61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71"/>
      <c r="AG1167" s="272"/>
    </row>
    <row r="1168" spans="1:33" s="4" customFormat="1" ht="21.75" customHeight="1">
      <c r="A1168" s="30">
        <v>24</v>
      </c>
      <c r="B1168" s="38">
        <v>507118.62</v>
      </c>
      <c r="C1168" s="46">
        <v>507148.62</v>
      </c>
      <c r="D1168" s="39" t="s">
        <v>17</v>
      </c>
      <c r="E1168" s="24">
        <f>C1168-B1168</f>
        <v>30</v>
      </c>
      <c r="F1168" s="24">
        <v>12</v>
      </c>
      <c r="G1168" s="105">
        <f>ROUND((3819.7186+($F1168/2))/3819.7186,4)</f>
        <v>1.0016</v>
      </c>
      <c r="H1168" s="105">
        <f>ROUND((3819.7186+($F1168))/3819.7186,4)</f>
        <v>1.0031</v>
      </c>
      <c r="I1168" s="24">
        <f>IF(G1168=0,ROUND($E1168*$F1168,2),ROUND($E1168*$F1168*$G1168,2))</f>
        <v>360.58</v>
      </c>
      <c r="J1168" s="24"/>
      <c r="K1168" s="24"/>
      <c r="L1168" s="24"/>
      <c r="M1168" s="24"/>
      <c r="N1168" s="24"/>
      <c r="O1168" s="24"/>
      <c r="P1168" s="61"/>
      <c r="Q1168" s="24"/>
      <c r="R1168" s="24">
        <f>ROUND((($I1168+$K1168)*(R$1202/12))/27,2)</f>
        <v>6.68</v>
      </c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271"/>
      <c r="AG1168" s="272"/>
    </row>
    <row r="1169" spans="1:33" s="4" customFormat="1" ht="21.75" customHeight="1">
      <c r="A1169" s="30">
        <v>25</v>
      </c>
      <c r="B1169" s="38">
        <v>507410.3</v>
      </c>
      <c r="C1169" s="46">
        <v>507440.3</v>
      </c>
      <c r="D1169" s="39" t="s">
        <v>17</v>
      </c>
      <c r="E1169" s="24">
        <f>C1169-B1169</f>
        <v>30</v>
      </c>
      <c r="F1169" s="24">
        <v>12</v>
      </c>
      <c r="G1169" s="105">
        <f>ROUND((3819.7186+($F1169/2))/3819.7186,4)</f>
        <v>1.0016</v>
      </c>
      <c r="H1169" s="105">
        <f>ROUND((3819.7186+($F1169))/3819.7186,4)</f>
        <v>1.0031</v>
      </c>
      <c r="I1169" s="24">
        <f>IF(G1169=0,ROUND($E1169*$F1169,2),ROUND($E1169*$F1169*$G1169,2))</f>
        <v>360.58</v>
      </c>
      <c r="J1169" s="24"/>
      <c r="K1169" s="24"/>
      <c r="L1169" s="24"/>
      <c r="M1169" s="24"/>
      <c r="N1169" s="24"/>
      <c r="O1169" s="24"/>
      <c r="P1169" s="61"/>
      <c r="Q1169" s="24"/>
      <c r="R1169" s="24">
        <f>ROUND((($I1169+$K1169)*(R$1202/12))/27,2)</f>
        <v>6.68</v>
      </c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71"/>
      <c r="AG1169" s="272"/>
    </row>
    <row r="1170" spans="1:33" s="4" customFormat="1" ht="21.75" customHeight="1">
      <c r="A1170" s="30">
        <v>26</v>
      </c>
      <c r="B1170" s="38">
        <v>508015.86</v>
      </c>
      <c r="C1170" s="46">
        <v>508045.86</v>
      </c>
      <c r="D1170" s="39" t="s">
        <v>17</v>
      </c>
      <c r="E1170" s="24">
        <f>C1170-B1170</f>
        <v>30</v>
      </c>
      <c r="F1170" s="24">
        <v>17.67</v>
      </c>
      <c r="G1170" s="105">
        <f>ROUND((1909.8593+($F1170/2))/1909.8593,4)</f>
        <v>1.0046</v>
      </c>
      <c r="H1170" s="105">
        <f>ROUND((1909.8593+($F1170))/1909.8593,4)</f>
        <v>1.0093</v>
      </c>
      <c r="I1170" s="24">
        <f>IF(G1170=0,ROUND($E1170*$F1170,2),ROUND($E1170*$F1170*$G1170,2))</f>
        <v>532.54</v>
      </c>
      <c r="J1170" s="24"/>
      <c r="K1170" s="24">
        <f>IF($H1170=0,ROUND($E1170*(K$1202/12),2),ROUND($E1170*$H1170*(K$1202/12),2))</f>
        <v>15.14</v>
      </c>
      <c r="L1170" s="24"/>
      <c r="M1170" s="24"/>
      <c r="N1170" s="24"/>
      <c r="O1170" s="24"/>
      <c r="P1170" s="61"/>
      <c r="Q1170" s="24"/>
      <c r="R1170" s="24">
        <f>ROUND((($I1170+$K1170)*(R$1202/12))/27,2)</f>
        <v>10.14</v>
      </c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271"/>
      <c r="AG1170" s="272"/>
    </row>
    <row r="1171" spans="1:33" s="4" customFormat="1" ht="21.75" customHeight="1">
      <c r="A1171" s="30">
        <v>27</v>
      </c>
      <c r="B1171" s="38">
        <v>508138.82</v>
      </c>
      <c r="C1171" s="46">
        <v>508168.82</v>
      </c>
      <c r="D1171" s="39" t="s">
        <v>17</v>
      </c>
      <c r="E1171" s="24">
        <f>C1171-B1171</f>
        <v>30</v>
      </c>
      <c r="F1171" s="24">
        <v>17.67</v>
      </c>
      <c r="G1171" s="105">
        <f>ROUND((1909.8593+($F1171/2))/1909.8593,4)</f>
        <v>1.0046</v>
      </c>
      <c r="H1171" s="105">
        <f>ROUND((1909.8593+($F1171))/1909.8593,4)</f>
        <v>1.0093</v>
      </c>
      <c r="I1171" s="24">
        <f>IF(G1171=0,ROUND($E1171*$F1171,2),ROUND($E1171*$F1171*$G1171,2))</f>
        <v>532.54</v>
      </c>
      <c r="J1171" s="24"/>
      <c r="K1171" s="24">
        <f>IF($H1171=0,ROUND($E1171*(K$1202/12),2),ROUND($E1171*$H1171*(K$1202/12),2))</f>
        <v>15.14</v>
      </c>
      <c r="L1171" s="24"/>
      <c r="M1171" s="24"/>
      <c r="N1171" s="24"/>
      <c r="O1171" s="24"/>
      <c r="P1171" s="61"/>
      <c r="Q1171" s="24"/>
      <c r="R1171" s="24">
        <f>ROUND((($I1171+$K1171)*(R$1202/12))/27,2)</f>
        <v>10.14</v>
      </c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F1171" s="271"/>
      <c r="AG1171" s="272"/>
    </row>
    <row r="1172" spans="1:33" s="4" customFormat="1" ht="21.75" customHeight="1">
      <c r="A1172" s="30">
        <v>28</v>
      </c>
      <c r="B1172" s="38"/>
      <c r="C1172" s="46"/>
      <c r="D1172" s="39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61"/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271"/>
      <c r="AG1172" s="272"/>
    </row>
    <row r="1173" spans="1:33" s="4" customFormat="1" ht="21.75" customHeight="1">
      <c r="A1173" s="30">
        <v>29</v>
      </c>
      <c r="B1173" s="38">
        <v>503136.94</v>
      </c>
      <c r="C1173" s="46">
        <v>503166.94</v>
      </c>
      <c r="D1173" s="39" t="s">
        <v>16</v>
      </c>
      <c r="E1173" s="24">
        <f>C1173-B1173</f>
        <v>30</v>
      </c>
      <c r="F1173" s="24">
        <v>23.67</v>
      </c>
      <c r="G1173" s="105">
        <f>ROUND((2864.789-($F1173/2))/2864.789,4)</f>
        <v>0.9959</v>
      </c>
      <c r="H1173" s="105">
        <f>ROUND((2864.789-($F1173))/2864.789,4)</f>
        <v>0.9917</v>
      </c>
      <c r="I1173" s="24">
        <f>IF(G1173=0,ROUND($E1173*$F1173,2),ROUND($E1173*$F1173*$G1173,2))</f>
        <v>707.19</v>
      </c>
      <c r="J1173" s="24"/>
      <c r="K1173" s="24">
        <f>IF($H1173=0,ROUND($E1173*(K$1202/12),2),ROUND($E1173*$H1173*(K$1202/12),2))</f>
        <v>14.88</v>
      </c>
      <c r="L1173" s="24"/>
      <c r="M1173" s="24"/>
      <c r="N1173" s="24"/>
      <c r="O1173" s="24"/>
      <c r="P1173" s="61"/>
      <c r="Q1173" s="24"/>
      <c r="R1173" s="24">
        <f>ROUND((($I1173+$K1173)*(R$1202/12))/27,2)</f>
        <v>13.37</v>
      </c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  <c r="AF1173" s="271"/>
      <c r="AG1173" s="272"/>
    </row>
    <row r="1174" spans="1:33" s="4" customFormat="1" ht="21.75" customHeight="1">
      <c r="A1174" s="30">
        <v>30</v>
      </c>
      <c r="B1174" s="38">
        <v>503235.51</v>
      </c>
      <c r="C1174" s="46">
        <v>503265.51</v>
      </c>
      <c r="D1174" s="39" t="s">
        <v>16</v>
      </c>
      <c r="E1174" s="24">
        <f>C1174-B1174</f>
        <v>30</v>
      </c>
      <c r="F1174" s="24">
        <v>23.67</v>
      </c>
      <c r="G1174" s="105">
        <f>ROUND((2864.789-($F1174/2))/2864.789,4)</f>
        <v>0.9959</v>
      </c>
      <c r="H1174" s="105">
        <f>ROUND((2864.789-($F1174))/2864.789,4)</f>
        <v>0.9917</v>
      </c>
      <c r="I1174" s="24">
        <f>IF(G1174=0,ROUND($E1174*$F1174,2),ROUND($E1174*$F1174*$G1174,2))</f>
        <v>707.19</v>
      </c>
      <c r="J1174" s="24"/>
      <c r="K1174" s="24">
        <f>IF($H1174=0,ROUND($E1174*(K$1202/12),2),ROUND($E1174*$H1174*(K$1202/12),2))</f>
        <v>14.88</v>
      </c>
      <c r="L1174" s="24"/>
      <c r="M1174" s="24"/>
      <c r="N1174" s="24"/>
      <c r="O1174" s="24"/>
      <c r="P1174" s="61"/>
      <c r="Q1174" s="24"/>
      <c r="R1174" s="24">
        <f>ROUND((($I1174+$K1174)*(R$1202/12))/27,2)</f>
        <v>13.37</v>
      </c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F1174" s="271"/>
      <c r="AG1174" s="272"/>
    </row>
    <row r="1175" spans="1:33" s="4" customFormat="1" ht="21.75" customHeight="1">
      <c r="A1175" s="30">
        <v>31</v>
      </c>
      <c r="B1175" s="38">
        <v>504157.96</v>
      </c>
      <c r="C1175" s="46">
        <v>504187.96</v>
      </c>
      <c r="D1175" s="39" t="s">
        <v>16</v>
      </c>
      <c r="E1175" s="24">
        <f>C1175-B1175</f>
        <v>30</v>
      </c>
      <c r="F1175" s="24">
        <v>7.67</v>
      </c>
      <c r="G1175" s="105">
        <f>ROUND((2291.8312+($F1175/2))/2291.8312,4)</f>
        <v>1.0017</v>
      </c>
      <c r="H1175" s="105">
        <f>ROUND((2291.8312+($F1175))/2291.8312,4)</f>
        <v>1.0033</v>
      </c>
      <c r="I1175" s="24">
        <f>IF(G1175=0,ROUND($E1175*$F1175,2),ROUND($E1175*$F1175*$G1175,2))</f>
        <v>230.49</v>
      </c>
      <c r="J1175" s="24"/>
      <c r="K1175" s="24">
        <f>IF($H1175=0,ROUND($E1175*(K$1202/12),2),ROUND($E1175*$H1175*(K$1202/12),2))</f>
        <v>15.05</v>
      </c>
      <c r="L1175" s="24"/>
      <c r="M1175" s="24"/>
      <c r="N1175" s="24"/>
      <c r="O1175" s="24"/>
      <c r="P1175" s="61"/>
      <c r="Q1175" s="24"/>
      <c r="R1175" s="24">
        <f>ROUND((($I1175+$K1175)*(R$1202/12))/27,2)</f>
        <v>4.55</v>
      </c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71"/>
      <c r="AG1175" s="272"/>
    </row>
    <row r="1176" spans="1:33" s="4" customFormat="1" ht="21.75" customHeight="1">
      <c r="A1176" s="30">
        <v>32</v>
      </c>
      <c r="B1176" s="38">
        <v>506183.35</v>
      </c>
      <c r="C1176" s="46">
        <v>506213.35</v>
      </c>
      <c r="D1176" s="39" t="s">
        <v>16</v>
      </c>
      <c r="E1176" s="24">
        <f>C1176-B1176</f>
        <v>30</v>
      </c>
      <c r="F1176" s="24">
        <v>23.67</v>
      </c>
      <c r="G1176" s="105">
        <f>ROUND((2864.789-($F1176/2))/2864.789,4)</f>
        <v>0.9959</v>
      </c>
      <c r="H1176" s="105">
        <f>ROUND((2864.789-($F1176))/2864.789,4)</f>
        <v>0.9917</v>
      </c>
      <c r="I1176" s="24">
        <f>IF(G1176=0,ROUND($E1176*$F1176,2),ROUND($E1176*$F1176*$G1176,2))</f>
        <v>707.19</v>
      </c>
      <c r="J1176" s="24"/>
      <c r="K1176" s="24">
        <f>IF($H1176=0,ROUND($E1176*(K$1202/12),2),ROUND($E1176*$H1176*(K$1202/12),2))</f>
        <v>14.88</v>
      </c>
      <c r="L1176" s="24"/>
      <c r="M1176" s="24"/>
      <c r="N1176" s="24"/>
      <c r="O1176" s="24"/>
      <c r="P1176" s="61"/>
      <c r="Q1176" s="24"/>
      <c r="R1176" s="24">
        <f>ROUND((($I1176+$K1176)*(R$1202/12))/27,2)</f>
        <v>13.37</v>
      </c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271"/>
      <c r="AG1176" s="272"/>
    </row>
    <row r="1177" spans="1:33" s="4" customFormat="1" ht="21.75" customHeight="1">
      <c r="A1177" s="30">
        <v>33</v>
      </c>
      <c r="B1177" s="38"/>
      <c r="C1177" s="46"/>
      <c r="D1177" s="39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61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271"/>
      <c r="AG1177" s="272"/>
    </row>
    <row r="1178" spans="1:33" s="4" customFormat="1" ht="21.75" customHeight="1">
      <c r="A1178" s="30">
        <v>34</v>
      </c>
      <c r="B1178" s="38">
        <v>507118.62</v>
      </c>
      <c r="C1178" s="46">
        <v>507148.62</v>
      </c>
      <c r="D1178" s="39" t="s">
        <v>16</v>
      </c>
      <c r="E1178" s="24">
        <f>C1178-B1178</f>
        <v>30</v>
      </c>
      <c r="F1178" s="24">
        <v>23.67</v>
      </c>
      <c r="G1178" s="105">
        <f>ROUND((3819.7186-($F1178/2))/3819.7186,4)</f>
        <v>0.9969</v>
      </c>
      <c r="H1178" s="105">
        <f>ROUND((3819.7186-($F1178))/3819.7186,4)</f>
        <v>0.9938</v>
      </c>
      <c r="I1178" s="24">
        <f>IF(G1178=0,ROUND($E1178*$F1178,2),ROUND($E1178*$F1178*$G1178,2))</f>
        <v>707.9</v>
      </c>
      <c r="J1178" s="24"/>
      <c r="K1178" s="24">
        <f>IF($H1178=0,ROUND($E1178*(K$1202/12),2),ROUND($E1178*$H1178*(K$1202/12),2))</f>
        <v>14.91</v>
      </c>
      <c r="L1178" s="24"/>
      <c r="M1178" s="24"/>
      <c r="N1178" s="24"/>
      <c r="O1178" s="24"/>
      <c r="P1178" s="61"/>
      <c r="Q1178" s="24"/>
      <c r="R1178" s="24">
        <f>ROUND((($I1178+$K1178)*(R$1202/12))/27,2)</f>
        <v>13.39</v>
      </c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271"/>
      <c r="AG1178" s="272"/>
    </row>
    <row r="1179" spans="1:33" s="4" customFormat="1" ht="21.75" customHeight="1">
      <c r="A1179" s="30">
        <v>35</v>
      </c>
      <c r="B1179" s="38">
        <v>507410.3</v>
      </c>
      <c r="C1179" s="46">
        <v>507440.3</v>
      </c>
      <c r="D1179" s="39" t="s">
        <v>16</v>
      </c>
      <c r="E1179" s="24">
        <f>C1179-B1179</f>
        <v>30</v>
      </c>
      <c r="F1179" s="24">
        <v>23.67</v>
      </c>
      <c r="G1179" s="105">
        <f>ROUND((3819.7186-($F1179/2))/3819.7186,4)</f>
        <v>0.9969</v>
      </c>
      <c r="H1179" s="105">
        <f>ROUND((3819.7186-($F1179))/3819.7186,4)</f>
        <v>0.9938</v>
      </c>
      <c r="I1179" s="24">
        <f>IF(G1179=0,ROUND($E1179*$F1179,2),ROUND($E1179*$F1179*$G1179,2))</f>
        <v>707.9</v>
      </c>
      <c r="J1179" s="24"/>
      <c r="K1179" s="24">
        <f>IF($H1179=0,ROUND($E1179*(K$1202/12),2),ROUND($E1179*$H1179*(K$1202/12),2))</f>
        <v>14.91</v>
      </c>
      <c r="L1179" s="24"/>
      <c r="M1179" s="24"/>
      <c r="N1179" s="24"/>
      <c r="O1179" s="24"/>
      <c r="P1179" s="61"/>
      <c r="Q1179" s="24"/>
      <c r="R1179" s="24">
        <f>ROUND((($I1179+$K1179)*(R$1202/12))/27,2)</f>
        <v>13.39</v>
      </c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71"/>
      <c r="AG1179" s="272"/>
    </row>
    <row r="1180" spans="1:33" s="4" customFormat="1" ht="21.75" customHeight="1">
      <c r="A1180" s="30">
        <v>36</v>
      </c>
      <c r="B1180" s="38">
        <v>508015.86</v>
      </c>
      <c r="C1180" s="46">
        <v>508045.86</v>
      </c>
      <c r="D1180" s="39" t="s">
        <v>16</v>
      </c>
      <c r="E1180" s="24">
        <f>C1180-B1180</f>
        <v>30</v>
      </c>
      <c r="F1180" s="24">
        <v>23.67</v>
      </c>
      <c r="G1180" s="105">
        <f>ROUND((1909.8593-($F1180/2))/1909.8593,4)</f>
        <v>0.9938</v>
      </c>
      <c r="H1180" s="105">
        <f>ROUND((1909.8593-($F1180))/1909.8593,4)</f>
        <v>0.9876</v>
      </c>
      <c r="I1180" s="24">
        <f>IF(G1180=0,ROUND($E1180*$F1180,2),ROUND($E1180*$F1180*$G1180,2))</f>
        <v>705.7</v>
      </c>
      <c r="J1180" s="24"/>
      <c r="K1180" s="24">
        <f>IF($H1180=0,ROUND($E1180*(K$1202/12),2),ROUND($E1180*$H1180*(K$1202/12),2))</f>
        <v>14.81</v>
      </c>
      <c r="L1180" s="24"/>
      <c r="M1180" s="24"/>
      <c r="N1180" s="24"/>
      <c r="O1180" s="24"/>
      <c r="P1180" s="61"/>
      <c r="Q1180" s="24"/>
      <c r="R1180" s="24">
        <f>ROUND((($I1180+$K1180)*(R$1202/12))/27,2)</f>
        <v>13.34</v>
      </c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271"/>
      <c r="AG1180" s="272"/>
    </row>
    <row r="1181" spans="1:33" s="4" customFormat="1" ht="21.75" customHeight="1">
      <c r="A1181" s="30">
        <v>37</v>
      </c>
      <c r="B1181" s="38">
        <v>508138.82</v>
      </c>
      <c r="C1181" s="46">
        <v>508168.82</v>
      </c>
      <c r="D1181" s="39" t="s">
        <v>16</v>
      </c>
      <c r="E1181" s="24">
        <f>C1181-B1181</f>
        <v>30</v>
      </c>
      <c r="F1181" s="24">
        <v>23.67</v>
      </c>
      <c r="G1181" s="105">
        <f>ROUND((1909.8593-($F1181/2))/1909.8593,4)</f>
        <v>0.9938</v>
      </c>
      <c r="H1181" s="105">
        <f>ROUND((1909.8593-($F1181))/1909.8593,4)</f>
        <v>0.9876</v>
      </c>
      <c r="I1181" s="24">
        <f>IF(G1181=0,ROUND($E1181*$F1181,2),ROUND($E1181*$F1181*$G1181,2))</f>
        <v>705.7</v>
      </c>
      <c r="J1181" s="24"/>
      <c r="K1181" s="24">
        <f>IF($H1181=0,ROUND($E1181*(K$1202/12),2),ROUND($E1181*$H1181*(K$1202/12),2))</f>
        <v>14.81</v>
      </c>
      <c r="L1181" s="24"/>
      <c r="M1181" s="24"/>
      <c r="N1181" s="24"/>
      <c r="O1181" s="24"/>
      <c r="P1181" s="61"/>
      <c r="Q1181" s="24"/>
      <c r="R1181" s="24">
        <f>ROUND((($I1181+$K1181)*(R$1202/12))/27,2)</f>
        <v>13.34</v>
      </c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271"/>
      <c r="AG1181" s="272"/>
    </row>
    <row r="1182" spans="1:33" s="4" customFormat="1" ht="21.75" customHeight="1" thickBot="1">
      <c r="A1182" s="30">
        <v>38</v>
      </c>
      <c r="B1182" s="38"/>
      <c r="C1182" s="46"/>
      <c r="D1182" s="39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61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281"/>
      <c r="AG1182" s="275"/>
    </row>
    <row r="1183" spans="1:33" s="4" customFormat="1" ht="21.75" customHeight="1">
      <c r="A1183" s="30">
        <v>39</v>
      </c>
      <c r="B1183" s="38">
        <v>508456.78</v>
      </c>
      <c r="C1183" s="46">
        <v>508595.85</v>
      </c>
      <c r="D1183" s="39" t="s">
        <v>34</v>
      </c>
      <c r="E1183" s="24">
        <f>C1183-B1183</f>
        <v>139.06999999994878</v>
      </c>
      <c r="F1183" s="213" t="s">
        <v>13</v>
      </c>
      <c r="G1183" s="214"/>
      <c r="H1183" s="214"/>
      <c r="I1183" s="215"/>
      <c r="J1183" s="24">
        <v>7243.79</v>
      </c>
      <c r="K1183" s="24"/>
      <c r="L1183" s="24"/>
      <c r="M1183" s="24"/>
      <c r="N1183" s="24"/>
      <c r="O1183" s="24"/>
      <c r="P1183" s="61"/>
      <c r="Q1183" s="24"/>
      <c r="R1183" s="24">
        <f>ROUND((($J1183+$K1183)*(R$1202/12))/27,2)</f>
        <v>134.14</v>
      </c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F1183" s="269" t="s">
        <v>39</v>
      </c>
      <c r="AG1183" s="270"/>
    </row>
    <row r="1184" spans="1:33" s="4" customFormat="1" ht="21.75" customHeight="1">
      <c r="A1184" s="30">
        <v>40</v>
      </c>
      <c r="B1184" s="38"/>
      <c r="C1184" s="46"/>
      <c r="D1184" s="39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61"/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271"/>
      <c r="AG1184" s="272"/>
    </row>
    <row r="1185" spans="1:33" s="4" customFormat="1" ht="21.75" customHeight="1">
      <c r="A1185" s="30">
        <v>41</v>
      </c>
      <c r="B1185" s="67" t="s">
        <v>52</v>
      </c>
      <c r="C1185" s="46"/>
      <c r="D1185" s="39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61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71"/>
      <c r="AG1185" s="272"/>
    </row>
    <row r="1186" spans="1:33" s="4" customFormat="1" ht="21.75" customHeight="1">
      <c r="A1186" s="30">
        <v>42</v>
      </c>
      <c r="B1186" s="38">
        <v>600186.8</v>
      </c>
      <c r="C1186" s="46">
        <v>600216.5</v>
      </c>
      <c r="D1186" s="39" t="s">
        <v>17</v>
      </c>
      <c r="E1186" s="24">
        <f>C1186-B1186</f>
        <v>29.699999999953434</v>
      </c>
      <c r="F1186" s="24">
        <v>21.67</v>
      </c>
      <c r="G1186" s="105">
        <f>ROUND((3819.7186+($F1186/2))/3819.7186,4)</f>
        <v>1.0028</v>
      </c>
      <c r="H1186" s="105">
        <f>ROUND((3819.7186+($F1186))/3819.7186,4)</f>
        <v>1.0057</v>
      </c>
      <c r="I1186" s="24">
        <f>IF(G1186=0,ROUND($E1186*$F1186,2),ROUND($E1186*$F1186*$G1186,2))</f>
        <v>645.4</v>
      </c>
      <c r="J1186" s="24"/>
      <c r="K1186" s="24">
        <f>IF($H1186=0,ROUND($E1186*(K$1202/12),2),ROUND($E1186*$H1186*(K$1202/12),2))</f>
        <v>14.93</v>
      </c>
      <c r="L1186" s="24"/>
      <c r="M1186" s="24"/>
      <c r="N1186" s="24"/>
      <c r="O1186" s="24"/>
      <c r="P1186" s="61"/>
      <c r="Q1186" s="24"/>
      <c r="R1186" s="24">
        <f>ROUND((($I1186+$K1186)*(R$1202/12))/27,2)</f>
        <v>12.23</v>
      </c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F1186" s="271"/>
      <c r="AG1186" s="272"/>
    </row>
    <row r="1187" spans="1:33" s="4" customFormat="1" ht="21.75" customHeight="1">
      <c r="A1187" s="30">
        <v>43</v>
      </c>
      <c r="B1187" s="38">
        <v>600473.62</v>
      </c>
      <c r="C1187" s="46">
        <v>600502.85</v>
      </c>
      <c r="D1187" s="39" t="s">
        <v>17</v>
      </c>
      <c r="E1187" s="24">
        <f>C1187-B1187</f>
        <v>29.229999999981374</v>
      </c>
      <c r="F1187" s="24">
        <v>21.67</v>
      </c>
      <c r="G1187" s="105">
        <f>ROUND((3819.7186+($F1187/2))/3819.7186,4)</f>
        <v>1.0028</v>
      </c>
      <c r="H1187" s="105">
        <f>ROUND((3819.7186+($F1187))/3819.7186,4)</f>
        <v>1.0057</v>
      </c>
      <c r="I1187" s="24">
        <f>IF(G1187=0,ROUND($E1187*$F1187,2),ROUND($E1187*$F1187*$G1187,2))</f>
        <v>635.19</v>
      </c>
      <c r="J1187" s="24"/>
      <c r="K1187" s="24">
        <f>IF($H1187=0,ROUND($E1187*(K$1202/12),2),ROUND($E1187*$H1187*(K$1202/12),2))</f>
        <v>14.7</v>
      </c>
      <c r="L1187" s="24"/>
      <c r="M1187" s="24"/>
      <c r="N1187" s="24"/>
      <c r="O1187" s="24"/>
      <c r="P1187" s="61"/>
      <c r="Q1187" s="24"/>
      <c r="R1187" s="24">
        <f>ROUND((($I1187+$K1187)*(R$1202/12))/27,2)</f>
        <v>12.04</v>
      </c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271"/>
      <c r="AG1187" s="272"/>
    </row>
    <row r="1188" spans="1:33" s="4" customFormat="1" ht="21.75" customHeight="1">
      <c r="A1188" s="30">
        <v>44</v>
      </c>
      <c r="B1188" s="38">
        <v>600186.8</v>
      </c>
      <c r="C1188" s="46">
        <v>600216.5</v>
      </c>
      <c r="D1188" s="39" t="s">
        <v>16</v>
      </c>
      <c r="E1188" s="24">
        <f>C1188-B1188</f>
        <v>29.699999999953434</v>
      </c>
      <c r="F1188" s="213" t="s">
        <v>13</v>
      </c>
      <c r="G1188" s="214"/>
      <c r="H1188" s="214"/>
      <c r="I1188" s="215"/>
      <c r="J1188" s="24">
        <v>110.52</v>
      </c>
      <c r="K1188" s="24"/>
      <c r="L1188" s="24"/>
      <c r="M1188" s="24"/>
      <c r="N1188" s="24"/>
      <c r="O1188" s="24"/>
      <c r="P1188" s="61"/>
      <c r="Q1188" s="24"/>
      <c r="R1188" s="24">
        <f>ROUND((($J1188+$K1188)*(R$1202/12))/27,2)</f>
        <v>2.05</v>
      </c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  <c r="AF1188" s="271"/>
      <c r="AG1188" s="272"/>
    </row>
    <row r="1189" spans="1:33" s="4" customFormat="1" ht="21.75" customHeight="1">
      <c r="A1189" s="30">
        <v>45</v>
      </c>
      <c r="B1189" s="38">
        <v>600473.62</v>
      </c>
      <c r="C1189" s="46">
        <v>600502.85</v>
      </c>
      <c r="D1189" s="39" t="s">
        <v>16</v>
      </c>
      <c r="E1189" s="24">
        <f>C1189-B1189</f>
        <v>29.229999999981374</v>
      </c>
      <c r="F1189" s="213" t="s">
        <v>13</v>
      </c>
      <c r="G1189" s="214"/>
      <c r="H1189" s="214"/>
      <c r="I1189" s="215"/>
      <c r="J1189" s="24">
        <v>548.31</v>
      </c>
      <c r="K1189" s="24"/>
      <c r="L1189" s="24"/>
      <c r="M1189" s="24"/>
      <c r="N1189" s="24"/>
      <c r="O1189" s="24"/>
      <c r="P1189" s="61"/>
      <c r="Q1189" s="24"/>
      <c r="R1189" s="24">
        <f>ROUND((($J1189+$K1189)*(R$1202/12))/27,2)</f>
        <v>10.15</v>
      </c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F1189" s="271"/>
      <c r="AG1189" s="272"/>
    </row>
    <row r="1190" spans="1:33" s="4" customFormat="1" ht="21.75" customHeight="1">
      <c r="A1190" s="30">
        <v>46</v>
      </c>
      <c r="B1190" s="38"/>
      <c r="C1190" s="46"/>
      <c r="D1190" s="39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61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F1190" s="271"/>
      <c r="AG1190" s="272"/>
    </row>
    <row r="1191" spans="1:33" s="4" customFormat="1" ht="21.75" customHeight="1">
      <c r="A1191" s="30">
        <v>47</v>
      </c>
      <c r="B1191" s="67" t="s">
        <v>57</v>
      </c>
      <c r="C1191" s="46"/>
      <c r="D1191" s="39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61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71"/>
      <c r="AG1191" s="272"/>
    </row>
    <row r="1192" spans="1:33" s="4" customFormat="1" ht="21.75" customHeight="1">
      <c r="A1192" s="30">
        <v>48</v>
      </c>
      <c r="B1192" s="38">
        <v>14861.92</v>
      </c>
      <c r="C1192" s="46">
        <v>14886.92</v>
      </c>
      <c r="D1192" s="39" t="s">
        <v>34</v>
      </c>
      <c r="E1192" s="24">
        <f>C1192-B1192</f>
        <v>25</v>
      </c>
      <c r="F1192" s="213" t="s">
        <v>13</v>
      </c>
      <c r="G1192" s="214"/>
      <c r="H1192" s="214"/>
      <c r="I1192" s="215"/>
      <c r="J1192" s="24">
        <v>3961.68</v>
      </c>
      <c r="K1192" s="24"/>
      <c r="L1192" s="24"/>
      <c r="M1192" s="24"/>
      <c r="N1192" s="24"/>
      <c r="O1192" s="24"/>
      <c r="P1192" s="61"/>
      <c r="Q1192" s="24">
        <f>ROUND((($J1192+$K1192)*(Q$1202/12))/27,2)</f>
        <v>73.36</v>
      </c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/>
      <c r="AC1192" s="24"/>
      <c r="AD1192" s="24"/>
      <c r="AE1192" s="24"/>
      <c r="AF1192" s="271"/>
      <c r="AG1192" s="272"/>
    </row>
    <row r="1193" spans="1:33" s="4" customFormat="1" ht="21.75" customHeight="1">
      <c r="A1193" s="30">
        <v>49</v>
      </c>
      <c r="B1193" s="38">
        <v>15088.81</v>
      </c>
      <c r="C1193" s="46">
        <v>15119.35</v>
      </c>
      <c r="D1193" s="39" t="s">
        <v>34</v>
      </c>
      <c r="E1193" s="24">
        <f>C1193-B1193</f>
        <v>30.540000000000873</v>
      </c>
      <c r="F1193" s="213" t="s">
        <v>13</v>
      </c>
      <c r="G1193" s="214"/>
      <c r="H1193" s="214"/>
      <c r="I1193" s="215"/>
      <c r="J1193" s="24">
        <v>4348.89</v>
      </c>
      <c r="K1193" s="24"/>
      <c r="L1193" s="24"/>
      <c r="M1193" s="24"/>
      <c r="N1193" s="24"/>
      <c r="O1193" s="24"/>
      <c r="P1193" s="61"/>
      <c r="Q1193" s="24">
        <f>ROUND((($J1193+$K1193)*(Q$1202/12))/27,2)</f>
        <v>80.54</v>
      </c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  <c r="AF1193" s="271"/>
      <c r="AG1193" s="272"/>
    </row>
    <row r="1194" spans="1:33" s="4" customFormat="1" ht="21.75" customHeight="1">
      <c r="A1194" s="30">
        <v>50</v>
      </c>
      <c r="B1194" s="38"/>
      <c r="C1194" s="46"/>
      <c r="D1194" s="39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61"/>
      <c r="Q1194" s="24"/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/>
      <c r="AC1194" s="24"/>
      <c r="AD1194" s="24"/>
      <c r="AE1194" s="24"/>
      <c r="AF1194" s="271"/>
      <c r="AG1194" s="272"/>
    </row>
    <row r="1195" spans="1:33" s="4" customFormat="1" ht="21.75" customHeight="1">
      <c r="A1195" s="30">
        <v>51</v>
      </c>
      <c r="B1195" s="38"/>
      <c r="C1195" s="46"/>
      <c r="D1195" s="39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61"/>
      <c r="Q1195" s="24"/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  <c r="AF1195" s="271"/>
      <c r="AG1195" s="272"/>
    </row>
    <row r="1196" spans="1:33" s="4" customFormat="1" ht="21.75" customHeight="1">
      <c r="A1196" s="30">
        <v>52</v>
      </c>
      <c r="B1196" s="38"/>
      <c r="C1196" s="46"/>
      <c r="D1196" s="39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61"/>
      <c r="Q1196" s="24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4"/>
      <c r="AE1196" s="24"/>
      <c r="AF1196" s="273"/>
      <c r="AG1196" s="272"/>
    </row>
    <row r="1197" spans="1:33" s="4" customFormat="1" ht="21.75" customHeight="1">
      <c r="A1197" s="30">
        <v>53</v>
      </c>
      <c r="B1197" s="38"/>
      <c r="C1197" s="46"/>
      <c r="D1197" s="39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61"/>
      <c r="Q1197" s="24"/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/>
      <c r="AC1197" s="24"/>
      <c r="AD1197" s="24"/>
      <c r="AE1197" s="24"/>
      <c r="AF1197" s="273"/>
      <c r="AG1197" s="272"/>
    </row>
    <row r="1198" spans="1:33" s="4" customFormat="1" ht="21.75" customHeight="1" thickBot="1">
      <c r="A1198" s="30">
        <v>54</v>
      </c>
      <c r="B1198" s="22"/>
      <c r="C1198" s="46"/>
      <c r="D1198" s="39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61"/>
      <c r="Q1198" s="24"/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/>
      <c r="AC1198" s="24"/>
      <c r="AD1198" s="24"/>
      <c r="AE1198" s="24"/>
      <c r="AF1198" s="274"/>
      <c r="AG1198" s="275"/>
    </row>
    <row r="1199" spans="2:33" s="1" customFormat="1" ht="46.5" customHeight="1">
      <c r="B1199" s="244" t="s">
        <v>15</v>
      </c>
      <c r="C1199" s="245"/>
      <c r="D1199" s="245"/>
      <c r="E1199" s="245"/>
      <c r="F1199" s="245"/>
      <c r="G1199" s="245"/>
      <c r="H1199" s="245"/>
      <c r="I1199" s="245"/>
      <c r="J1199" s="245"/>
      <c r="K1199" s="245"/>
      <c r="L1199" s="246"/>
      <c r="M1199" s="239" t="str">
        <f>IF(SUM(M1145:M1198)=0," ",ROUNDUP(SUM(M1145:M1198),1))</f>
        <v> </v>
      </c>
      <c r="N1199" s="239" t="str">
        <f>IF(SUM(N1145:N1198)=0," ",ROUNDUP(SUM(N1145:N1198),1))</f>
        <v> </v>
      </c>
      <c r="O1199" s="239" t="str">
        <f>IF(SUM(O1145:O1198)=0," ",ROUNDUP(SUM(O1145:O1198),1))</f>
        <v> </v>
      </c>
      <c r="P1199" s="239" t="str">
        <f>IF(SUM(P1145:P1198)=0," ",ROUNDUP(SUM(P1145:P1198),1))</f>
        <v> </v>
      </c>
      <c r="Q1199" s="211">
        <f>IF(SUM(Q1145:Q1198)=0," ",ROUNDUP(SUM(Q1145:Q1198),0))</f>
        <v>254</v>
      </c>
      <c r="R1199" s="211">
        <f>IF(SUM(R1145:R1198)=0," ",ROUNDUP(SUM(R1145:R1198),0))</f>
        <v>460</v>
      </c>
      <c r="S1199" s="239" t="str">
        <f aca="true" t="shared" si="228" ref="S1199:AE1199">IF(SUM(S1145:S1198)=0," ",ROUNDUP(SUM(S1145:S1198),1))</f>
        <v> </v>
      </c>
      <c r="T1199" s="239" t="str">
        <f t="shared" si="228"/>
        <v> </v>
      </c>
      <c r="U1199" s="239" t="str">
        <f t="shared" si="228"/>
        <v> </v>
      </c>
      <c r="V1199" s="239" t="str">
        <f t="shared" si="228"/>
        <v> </v>
      </c>
      <c r="W1199" s="239" t="str">
        <f t="shared" si="228"/>
        <v> </v>
      </c>
      <c r="X1199" s="239" t="str">
        <f t="shared" si="228"/>
        <v> </v>
      </c>
      <c r="Y1199" s="239" t="str">
        <f t="shared" si="228"/>
        <v> </v>
      </c>
      <c r="Z1199" s="239" t="str">
        <f t="shared" si="228"/>
        <v> </v>
      </c>
      <c r="AA1199" s="239" t="str">
        <f t="shared" si="228"/>
        <v> </v>
      </c>
      <c r="AB1199" s="239" t="str">
        <f t="shared" si="228"/>
        <v> </v>
      </c>
      <c r="AC1199" s="239" t="str">
        <f t="shared" si="228"/>
        <v> </v>
      </c>
      <c r="AD1199" s="239" t="str">
        <f t="shared" si="228"/>
        <v> </v>
      </c>
      <c r="AE1199" s="239" t="str">
        <f t="shared" si="228"/>
        <v> </v>
      </c>
      <c r="AF1199" s="279">
        <v>17</v>
      </c>
      <c r="AG1199" s="280"/>
    </row>
    <row r="1200" spans="2:33" s="1" customFormat="1" ht="46.5" customHeight="1" thickBot="1">
      <c r="B1200" s="247"/>
      <c r="C1200" s="248"/>
      <c r="D1200" s="248"/>
      <c r="E1200" s="248"/>
      <c r="F1200" s="248"/>
      <c r="G1200" s="248"/>
      <c r="H1200" s="248"/>
      <c r="I1200" s="248"/>
      <c r="J1200" s="248"/>
      <c r="K1200" s="248"/>
      <c r="L1200" s="249"/>
      <c r="M1200" s="240"/>
      <c r="N1200" s="240"/>
      <c r="O1200" s="240"/>
      <c r="P1200" s="240"/>
      <c r="Q1200" s="250"/>
      <c r="R1200" s="250"/>
      <c r="S1200" s="240"/>
      <c r="T1200" s="240"/>
      <c r="U1200" s="240"/>
      <c r="V1200" s="240"/>
      <c r="W1200" s="240"/>
      <c r="X1200" s="240"/>
      <c r="Y1200" s="240"/>
      <c r="Z1200" s="240"/>
      <c r="AA1200" s="240"/>
      <c r="AB1200" s="240"/>
      <c r="AC1200" s="240"/>
      <c r="AD1200" s="240"/>
      <c r="AE1200" s="240"/>
      <c r="AF1200" s="276">
        <f>$AF$68</f>
        <v>18</v>
      </c>
      <c r="AG1200" s="277"/>
    </row>
    <row r="1201" spans="1:34" ht="36" customHeight="1">
      <c r="A1201" s="10"/>
      <c r="Q1201" s="49"/>
      <c r="R1201" s="49"/>
      <c r="T1201"/>
      <c r="AH1201" s="11"/>
    </row>
    <row r="1202" spans="2:33" ht="15.75">
      <c r="B1202" s="158" t="s">
        <v>7</v>
      </c>
      <c r="C1202" s="131"/>
      <c r="D1202" s="131"/>
      <c r="E1202" s="131"/>
      <c r="F1202" s="131"/>
      <c r="G1202" s="26"/>
      <c r="H1202" s="21"/>
      <c r="I1202" s="21"/>
      <c r="J1202" s="21"/>
      <c r="K1202" s="21">
        <v>6</v>
      </c>
      <c r="L1202" s="32">
        <v>36</v>
      </c>
      <c r="M1202" s="32"/>
      <c r="N1202" s="32">
        <v>4</v>
      </c>
      <c r="O1202" s="32">
        <v>4</v>
      </c>
      <c r="P1202" s="33">
        <v>2000</v>
      </c>
      <c r="Q1202" s="101">
        <v>6</v>
      </c>
      <c r="R1202" s="101">
        <v>6</v>
      </c>
      <c r="S1202" s="36">
        <v>6</v>
      </c>
      <c r="T1202" s="64">
        <v>0.04</v>
      </c>
      <c r="U1202" s="34">
        <v>0.075</v>
      </c>
      <c r="V1202" s="34">
        <v>0.75</v>
      </c>
      <c r="W1202" s="34">
        <v>1.75</v>
      </c>
      <c r="X1202" s="34">
        <v>1.25</v>
      </c>
      <c r="Y1202" s="64">
        <v>1.25</v>
      </c>
      <c r="Z1202" s="35"/>
      <c r="AF1202" s="26"/>
      <c r="AG1202" s="26"/>
    </row>
    <row r="1203" spans="16:20" ht="12.75">
      <c r="P1203" s="27"/>
      <c r="Q1203" s="49"/>
      <c r="R1203" s="49"/>
      <c r="T1203"/>
    </row>
    <row r="1204" spans="11:20" ht="15">
      <c r="K1204" s="170" t="s">
        <v>62</v>
      </c>
      <c r="M1204" s="122">
        <v>0.6</v>
      </c>
      <c r="N1204" s="122">
        <v>0.4</v>
      </c>
      <c r="O1204" s="122">
        <v>0.6</v>
      </c>
      <c r="P1204" s="122">
        <v>0.4</v>
      </c>
      <c r="Q1204" s="122">
        <v>0.6</v>
      </c>
      <c r="R1204" s="122">
        <v>0.4</v>
      </c>
      <c r="T1204"/>
    </row>
    <row r="1205" spans="11:18" ht="15">
      <c r="K1205" s="170" t="s">
        <v>63</v>
      </c>
      <c r="M1205" s="122">
        <v>0.5</v>
      </c>
      <c r="N1205" s="122">
        <v>0.5</v>
      </c>
      <c r="O1205" s="122">
        <v>0.5</v>
      </c>
      <c r="P1205" s="122">
        <v>0.5</v>
      </c>
      <c r="Q1205" s="122">
        <v>0.5</v>
      </c>
      <c r="R1205" s="122">
        <v>0.5</v>
      </c>
    </row>
    <row r="1206" spans="2:24" ht="15">
      <c r="B1206" s="49"/>
      <c r="C1206" s="49"/>
      <c r="D1206" s="49"/>
      <c r="E1206" s="49"/>
      <c r="F1206" s="49"/>
      <c r="G1206" s="49"/>
      <c r="H1206" s="49"/>
      <c r="I1206" s="49"/>
      <c r="J1206" s="49"/>
      <c r="K1206" s="49"/>
      <c r="L1206" s="49"/>
      <c r="M1206" s="49"/>
      <c r="N1206" s="49"/>
      <c r="O1206" s="79"/>
      <c r="P1206" s="78"/>
      <c r="Q1206" s="49"/>
      <c r="R1206" s="49"/>
      <c r="S1206" s="49"/>
      <c r="T1206" s="49"/>
      <c r="U1206" s="49"/>
      <c r="V1206" s="49"/>
      <c r="W1206" s="49"/>
      <c r="X1206" s="49"/>
    </row>
    <row r="1207" spans="2:24" ht="15">
      <c r="B1207" s="49"/>
      <c r="C1207" s="49"/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79"/>
      <c r="P1207" s="78"/>
      <c r="Q1207" s="49"/>
      <c r="R1207" s="49"/>
      <c r="S1207" s="49"/>
      <c r="T1207" s="49"/>
      <c r="U1207" s="49"/>
      <c r="V1207" s="49"/>
      <c r="W1207" s="49"/>
      <c r="X1207" s="49"/>
    </row>
    <row r="1208" spans="2:33" ht="15.75">
      <c r="B1208" s="50"/>
      <c r="C1208" s="51"/>
      <c r="D1208" s="51"/>
      <c r="E1208" s="51"/>
      <c r="F1208" s="51"/>
      <c r="G1208" s="52"/>
      <c r="H1208" s="53"/>
      <c r="I1208" s="53"/>
      <c r="J1208" s="53"/>
      <c r="K1208" s="53"/>
      <c r="L1208" s="80"/>
      <c r="M1208" s="80"/>
      <c r="N1208" s="80"/>
      <c r="O1208" s="81"/>
      <c r="P1208" s="78"/>
      <c r="Q1208" s="80"/>
      <c r="R1208" s="82"/>
      <c r="S1208" s="83"/>
      <c r="T1208" s="84"/>
      <c r="U1208" s="82"/>
      <c r="V1208" s="82"/>
      <c r="W1208" s="82"/>
      <c r="X1208" s="82"/>
      <c r="Y1208" s="36"/>
      <c r="Z1208" s="35"/>
      <c r="AF1208" s="26"/>
      <c r="AG1208" s="26"/>
    </row>
    <row r="1209" spans="2:24" ht="12.75">
      <c r="B1209" s="49"/>
      <c r="C1209" s="49"/>
      <c r="D1209" s="49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49"/>
      <c r="S1209" s="49"/>
      <c r="T1209" s="85"/>
      <c r="U1209" s="49"/>
      <c r="V1209" s="49"/>
      <c r="W1209" s="49"/>
      <c r="X1209" s="49"/>
    </row>
    <row r="1210" spans="1:34" s="3" customFormat="1" ht="36" customHeight="1" thickBot="1">
      <c r="A1210" s="12"/>
      <c r="B1210" s="54"/>
      <c r="C1210" s="55"/>
      <c r="D1210" s="55"/>
      <c r="E1210" s="55"/>
      <c r="F1210" s="55"/>
      <c r="G1210" s="55"/>
      <c r="H1210" s="55"/>
      <c r="I1210" s="55"/>
      <c r="J1210" s="55"/>
      <c r="K1210" s="86"/>
      <c r="L1210" s="86"/>
      <c r="M1210" s="86"/>
      <c r="N1210" s="86"/>
      <c r="O1210" s="86"/>
      <c r="P1210" s="86"/>
      <c r="Q1210" s="86"/>
      <c r="R1210" s="86"/>
      <c r="S1210" s="86"/>
      <c r="T1210" s="86"/>
      <c r="U1210" s="86"/>
      <c r="V1210" s="86"/>
      <c r="W1210" s="86"/>
      <c r="X1210" s="86"/>
      <c r="Y1210" s="31"/>
      <c r="Z1210" s="31"/>
      <c r="AH1210" s="13"/>
    </row>
    <row r="1211" spans="2:33" s="4" customFormat="1" ht="21.75" customHeight="1">
      <c r="B1211" s="233"/>
      <c r="C1211" s="235"/>
      <c r="D1211" s="251"/>
      <c r="E1211" s="251"/>
      <c r="F1211" s="251"/>
      <c r="G1211" s="254"/>
      <c r="H1211" s="254"/>
      <c r="I1211" s="251"/>
      <c r="J1211" s="254"/>
      <c r="K1211" s="58"/>
      <c r="L1211" s="58"/>
      <c r="M1211" s="58"/>
      <c r="N1211" s="58"/>
      <c r="O1211" s="216"/>
      <c r="P1211" s="217"/>
      <c r="Q1211" s="58"/>
      <c r="R1211" s="58"/>
      <c r="S1211" s="216"/>
      <c r="T1211" s="217"/>
      <c r="U1211" s="216"/>
      <c r="V1211" s="217"/>
      <c r="W1211" s="216"/>
      <c r="X1211" s="217"/>
      <c r="Y1211" s="58"/>
      <c r="Z1211" s="58"/>
      <c r="AA1211" s="58"/>
      <c r="AB1211" s="58"/>
      <c r="AC1211" s="58"/>
      <c r="AD1211" s="58"/>
      <c r="AE1211" s="58"/>
      <c r="AF1211" s="307"/>
      <c r="AG1211" s="307"/>
    </row>
    <row r="1212" spans="2:33" s="4" customFormat="1" ht="27.75" customHeight="1">
      <c r="B1212" s="293"/>
      <c r="C1212" s="294"/>
      <c r="D1212" s="252"/>
      <c r="E1212" s="252"/>
      <c r="F1212" s="252"/>
      <c r="G1212" s="242"/>
      <c r="H1212" s="242"/>
      <c r="I1212" s="252"/>
      <c r="J1212" s="255"/>
      <c r="K1212" s="241"/>
      <c r="L1212" s="241"/>
      <c r="M1212" s="241"/>
      <c r="N1212" s="241"/>
      <c r="O1212" s="218"/>
      <c r="P1212" s="219"/>
      <c r="Q1212" s="241"/>
      <c r="R1212" s="241"/>
      <c r="S1212" s="218"/>
      <c r="T1212" s="219"/>
      <c r="U1212" s="218"/>
      <c r="V1212" s="219"/>
      <c r="W1212" s="218"/>
      <c r="X1212" s="219"/>
      <c r="Y1212" s="241"/>
      <c r="Z1212" s="241"/>
      <c r="AA1212" s="241"/>
      <c r="AB1212" s="241"/>
      <c r="AC1212" s="241"/>
      <c r="AD1212" s="241"/>
      <c r="AE1212" s="241"/>
      <c r="AF1212" s="308"/>
      <c r="AG1212" s="308"/>
    </row>
    <row r="1213" spans="2:33" s="4" customFormat="1" ht="27.75" customHeight="1" thickBot="1">
      <c r="B1213" s="293"/>
      <c r="C1213" s="294"/>
      <c r="D1213" s="252"/>
      <c r="E1213" s="252"/>
      <c r="F1213" s="252"/>
      <c r="G1213" s="242"/>
      <c r="H1213" s="242"/>
      <c r="I1213" s="252"/>
      <c r="J1213" s="255"/>
      <c r="K1213" s="242"/>
      <c r="L1213" s="242"/>
      <c r="M1213" s="242"/>
      <c r="N1213" s="242"/>
      <c r="O1213" s="220"/>
      <c r="P1213" s="221"/>
      <c r="Q1213" s="242"/>
      <c r="R1213" s="242"/>
      <c r="S1213" s="220"/>
      <c r="T1213" s="221"/>
      <c r="U1213" s="220"/>
      <c r="V1213" s="221"/>
      <c r="W1213" s="220"/>
      <c r="X1213" s="221"/>
      <c r="Y1213" s="242"/>
      <c r="Z1213" s="242"/>
      <c r="AA1213" s="242"/>
      <c r="AB1213" s="242"/>
      <c r="AC1213" s="242"/>
      <c r="AD1213" s="242"/>
      <c r="AE1213" s="242"/>
      <c r="AF1213" s="309"/>
      <c r="AG1213" s="309"/>
    </row>
    <row r="1214" spans="2:33" s="4" customFormat="1" ht="27.75" customHeight="1">
      <c r="B1214" s="293"/>
      <c r="C1214" s="294"/>
      <c r="D1214" s="252"/>
      <c r="E1214" s="252"/>
      <c r="F1214" s="252"/>
      <c r="G1214" s="242"/>
      <c r="H1214" s="242"/>
      <c r="I1214" s="252"/>
      <c r="J1214" s="255"/>
      <c r="K1214" s="242"/>
      <c r="L1214" s="242"/>
      <c r="M1214" s="242"/>
      <c r="N1214" s="242"/>
      <c r="O1214" s="220"/>
      <c r="P1214" s="221"/>
      <c r="Q1214" s="242"/>
      <c r="R1214" s="242"/>
      <c r="S1214" s="220"/>
      <c r="T1214" s="221"/>
      <c r="U1214" s="220"/>
      <c r="V1214" s="221"/>
      <c r="W1214" s="220"/>
      <c r="X1214" s="221"/>
      <c r="Y1214" s="242"/>
      <c r="Z1214" s="242"/>
      <c r="AA1214" s="242"/>
      <c r="AB1214" s="242"/>
      <c r="AC1214" s="242"/>
      <c r="AD1214" s="242"/>
      <c r="AE1214" s="242"/>
      <c r="AF1214" s="269"/>
      <c r="AG1214" s="270"/>
    </row>
    <row r="1215" spans="2:33" s="4" customFormat="1" ht="27.75" customHeight="1">
      <c r="B1215" s="293"/>
      <c r="C1215" s="294"/>
      <c r="D1215" s="252"/>
      <c r="E1215" s="252"/>
      <c r="F1215" s="252"/>
      <c r="G1215" s="242"/>
      <c r="H1215" s="242"/>
      <c r="I1215" s="252"/>
      <c r="J1215" s="255"/>
      <c r="K1215" s="242"/>
      <c r="L1215" s="242"/>
      <c r="M1215" s="242"/>
      <c r="N1215" s="242"/>
      <c r="O1215" s="220"/>
      <c r="P1215" s="221"/>
      <c r="Q1215" s="242"/>
      <c r="R1215" s="242"/>
      <c r="S1215" s="220"/>
      <c r="T1215" s="221"/>
      <c r="U1215" s="220"/>
      <c r="V1215" s="221"/>
      <c r="W1215" s="220"/>
      <c r="X1215" s="221"/>
      <c r="Y1215" s="242"/>
      <c r="Z1215" s="242"/>
      <c r="AA1215" s="242"/>
      <c r="AB1215" s="242"/>
      <c r="AC1215" s="242"/>
      <c r="AD1215" s="242"/>
      <c r="AE1215" s="242"/>
      <c r="AF1215" s="271"/>
      <c r="AG1215" s="272"/>
    </row>
    <row r="1216" spans="2:33" s="4" customFormat="1" ht="27.75" customHeight="1">
      <c r="B1216" s="293"/>
      <c r="C1216" s="294"/>
      <c r="D1216" s="252"/>
      <c r="E1216" s="252"/>
      <c r="F1216" s="252"/>
      <c r="G1216" s="242"/>
      <c r="H1216" s="242"/>
      <c r="I1216" s="252"/>
      <c r="J1216" s="255"/>
      <c r="K1216" s="242"/>
      <c r="L1216" s="242"/>
      <c r="M1216" s="242"/>
      <c r="N1216" s="242"/>
      <c r="O1216" s="220"/>
      <c r="P1216" s="221"/>
      <c r="Q1216" s="242"/>
      <c r="R1216" s="242"/>
      <c r="S1216" s="220"/>
      <c r="T1216" s="221"/>
      <c r="U1216" s="220"/>
      <c r="V1216" s="221"/>
      <c r="W1216" s="220"/>
      <c r="X1216" s="221"/>
      <c r="Y1216" s="242"/>
      <c r="Z1216" s="242"/>
      <c r="AA1216" s="242"/>
      <c r="AB1216" s="242"/>
      <c r="AC1216" s="242"/>
      <c r="AD1216" s="242"/>
      <c r="AE1216" s="242"/>
      <c r="AF1216" s="271"/>
      <c r="AG1216" s="272"/>
    </row>
    <row r="1217" spans="2:33" s="4" customFormat="1" ht="27.75" customHeight="1">
      <c r="B1217" s="293"/>
      <c r="C1217" s="294"/>
      <c r="D1217" s="252"/>
      <c r="E1217" s="252"/>
      <c r="F1217" s="252"/>
      <c r="G1217" s="242"/>
      <c r="H1217" s="242"/>
      <c r="I1217" s="252"/>
      <c r="J1217" s="255"/>
      <c r="K1217" s="242"/>
      <c r="L1217" s="242"/>
      <c r="M1217" s="242"/>
      <c r="N1217" s="242"/>
      <c r="O1217" s="220"/>
      <c r="P1217" s="221"/>
      <c r="Q1217" s="242"/>
      <c r="R1217" s="242"/>
      <c r="S1217" s="220"/>
      <c r="T1217" s="221"/>
      <c r="U1217" s="220"/>
      <c r="V1217" s="221"/>
      <c r="W1217" s="220"/>
      <c r="X1217" s="221"/>
      <c r="Y1217" s="242"/>
      <c r="Z1217" s="242"/>
      <c r="AA1217" s="242"/>
      <c r="AB1217" s="242"/>
      <c r="AC1217" s="242"/>
      <c r="AD1217" s="242"/>
      <c r="AE1217" s="242"/>
      <c r="AF1217" s="271"/>
      <c r="AG1217" s="272"/>
    </row>
    <row r="1218" spans="2:33" s="4" customFormat="1" ht="27.75" customHeight="1">
      <c r="B1218" s="293"/>
      <c r="C1218" s="294"/>
      <c r="D1218" s="252"/>
      <c r="E1218" s="252"/>
      <c r="F1218" s="252"/>
      <c r="G1218" s="242"/>
      <c r="H1218" s="242"/>
      <c r="I1218" s="252"/>
      <c r="J1218" s="255"/>
      <c r="K1218" s="242"/>
      <c r="L1218" s="242"/>
      <c r="M1218" s="242"/>
      <c r="N1218" s="242"/>
      <c r="O1218" s="220"/>
      <c r="P1218" s="221"/>
      <c r="Q1218" s="242"/>
      <c r="R1218" s="242"/>
      <c r="S1218" s="220"/>
      <c r="T1218" s="221"/>
      <c r="U1218" s="220"/>
      <c r="V1218" s="221"/>
      <c r="W1218" s="220"/>
      <c r="X1218" s="221"/>
      <c r="Y1218" s="242"/>
      <c r="Z1218" s="242"/>
      <c r="AA1218" s="242"/>
      <c r="AB1218" s="242"/>
      <c r="AC1218" s="242"/>
      <c r="AD1218" s="242"/>
      <c r="AE1218" s="242"/>
      <c r="AF1218" s="271"/>
      <c r="AG1218" s="272"/>
    </row>
    <row r="1219" spans="2:33" s="5" customFormat="1" ht="27.75" customHeight="1">
      <c r="B1219" s="295"/>
      <c r="C1219" s="296"/>
      <c r="D1219" s="253"/>
      <c r="E1219" s="253"/>
      <c r="F1219" s="253"/>
      <c r="G1219" s="243"/>
      <c r="H1219" s="243"/>
      <c r="I1219" s="253"/>
      <c r="J1219" s="256"/>
      <c r="K1219" s="243"/>
      <c r="L1219" s="243"/>
      <c r="M1219" s="243"/>
      <c r="N1219" s="243"/>
      <c r="O1219" s="222"/>
      <c r="P1219" s="223"/>
      <c r="Q1219" s="243"/>
      <c r="R1219" s="243"/>
      <c r="S1219" s="222"/>
      <c r="T1219" s="223"/>
      <c r="U1219" s="222"/>
      <c r="V1219" s="223"/>
      <c r="W1219" s="222"/>
      <c r="X1219" s="223"/>
      <c r="Y1219" s="243"/>
      <c r="Z1219" s="243"/>
      <c r="AA1219" s="243"/>
      <c r="AB1219" s="243"/>
      <c r="AC1219" s="243"/>
      <c r="AD1219" s="243"/>
      <c r="AE1219" s="243"/>
      <c r="AF1219" s="271"/>
      <c r="AG1219" s="272"/>
    </row>
    <row r="1220" spans="2:33" s="7" customFormat="1" ht="21.75" customHeight="1" thickBot="1">
      <c r="B1220" s="56"/>
      <c r="C1220" s="56"/>
      <c r="D1220" s="57"/>
      <c r="E1220" s="57"/>
      <c r="F1220" s="57"/>
      <c r="G1220" s="57"/>
      <c r="H1220" s="57"/>
      <c r="I1220" s="57"/>
      <c r="J1220" s="57"/>
      <c r="K1220" s="57"/>
      <c r="L1220" s="57"/>
      <c r="M1220" s="57"/>
      <c r="N1220" s="57"/>
      <c r="O1220" s="208"/>
      <c r="P1220" s="210"/>
      <c r="Q1220" s="57"/>
      <c r="R1220" s="57"/>
      <c r="S1220" s="208"/>
      <c r="T1220" s="210"/>
      <c r="U1220" s="208"/>
      <c r="V1220" s="210"/>
      <c r="W1220" s="208"/>
      <c r="X1220" s="210"/>
      <c r="Y1220" s="57"/>
      <c r="Z1220" s="57"/>
      <c r="AA1220" s="57"/>
      <c r="AB1220" s="57"/>
      <c r="AC1220" s="57"/>
      <c r="AD1220" s="57"/>
      <c r="AE1220" s="57"/>
      <c r="AF1220" s="271"/>
      <c r="AG1220" s="272"/>
    </row>
    <row r="1221" spans="1:33" s="7" customFormat="1" ht="21.75" customHeight="1">
      <c r="A1221" s="30"/>
      <c r="B1221" s="38"/>
      <c r="C1221" s="38"/>
      <c r="D1221" s="39"/>
      <c r="E1221" s="24"/>
      <c r="F1221" s="39"/>
      <c r="G1221" s="24"/>
      <c r="H1221" s="42"/>
      <c r="I1221" s="45"/>
      <c r="J1221" s="69"/>
      <c r="K1221" s="227"/>
      <c r="L1221" s="227"/>
      <c r="M1221" s="227"/>
      <c r="N1221" s="227"/>
      <c r="O1221" s="227"/>
      <c r="P1221" s="227"/>
      <c r="Q1221" s="227"/>
      <c r="R1221" s="227"/>
      <c r="S1221" s="227"/>
      <c r="T1221" s="227"/>
      <c r="U1221" s="227"/>
      <c r="V1221" s="227"/>
      <c r="W1221" s="227"/>
      <c r="X1221" s="227"/>
      <c r="Y1221" s="227"/>
      <c r="Z1221" s="227"/>
      <c r="AA1221" s="227"/>
      <c r="AB1221" s="227"/>
      <c r="AC1221" s="227"/>
      <c r="AD1221" s="227"/>
      <c r="AE1221" s="227"/>
      <c r="AF1221" s="271"/>
      <c r="AG1221" s="272"/>
    </row>
    <row r="1222" spans="1:33" s="4" customFormat="1" ht="21.75" customHeight="1">
      <c r="A1222" s="30"/>
      <c r="B1222" s="260"/>
      <c r="C1222" s="261"/>
      <c r="D1222" s="261"/>
      <c r="E1222" s="261"/>
      <c r="F1222" s="261"/>
      <c r="G1222" s="261"/>
      <c r="H1222" s="261"/>
      <c r="I1222" s="262"/>
      <c r="J1222" s="24"/>
      <c r="K1222" s="228"/>
      <c r="L1222" s="228"/>
      <c r="M1222" s="228"/>
      <c r="N1222" s="228"/>
      <c r="O1222" s="228"/>
      <c r="P1222" s="228"/>
      <c r="Q1222" s="228"/>
      <c r="R1222" s="228"/>
      <c r="S1222" s="228"/>
      <c r="T1222" s="228"/>
      <c r="U1222" s="228"/>
      <c r="V1222" s="228"/>
      <c r="W1222" s="228"/>
      <c r="X1222" s="228"/>
      <c r="Y1222" s="228"/>
      <c r="Z1222" s="228"/>
      <c r="AA1222" s="228"/>
      <c r="AB1222" s="228"/>
      <c r="AC1222" s="228"/>
      <c r="AD1222" s="228"/>
      <c r="AE1222" s="228"/>
      <c r="AF1222" s="271"/>
      <c r="AG1222" s="272"/>
    </row>
    <row r="1223" spans="1:33" s="4" customFormat="1" ht="21.75" customHeight="1">
      <c r="A1223" s="30"/>
      <c r="B1223" s="67"/>
      <c r="C1223" s="38"/>
      <c r="D1223" s="39"/>
      <c r="E1223" s="24"/>
      <c r="F1223" s="39"/>
      <c r="G1223" s="24"/>
      <c r="H1223" s="24"/>
      <c r="I1223" s="45"/>
      <c r="J1223" s="39"/>
      <c r="K1223" s="24"/>
      <c r="L1223" s="24"/>
      <c r="M1223" s="24"/>
      <c r="N1223" s="24"/>
      <c r="O1223" s="24"/>
      <c r="P1223" s="24"/>
      <c r="Q1223" s="61"/>
      <c r="R1223" s="24"/>
      <c r="S1223" s="24"/>
      <c r="T1223" s="24"/>
      <c r="U1223" s="24"/>
      <c r="V1223" s="24"/>
      <c r="W1223" s="24"/>
      <c r="X1223" s="61"/>
      <c r="Y1223" s="24"/>
      <c r="Z1223" s="24"/>
      <c r="AA1223" s="24"/>
      <c r="AB1223" s="24"/>
      <c r="AC1223" s="24"/>
      <c r="AD1223" s="24"/>
      <c r="AE1223" s="24"/>
      <c r="AF1223" s="271"/>
      <c r="AG1223" s="272"/>
    </row>
    <row r="1224" spans="1:33" s="4" customFormat="1" ht="21.75" customHeight="1">
      <c r="A1224" s="30"/>
      <c r="B1224" s="40"/>
      <c r="C1224" s="41"/>
      <c r="D1224" s="39"/>
      <c r="E1224" s="24"/>
      <c r="F1224" s="39"/>
      <c r="G1224" s="24"/>
      <c r="H1224" s="24"/>
      <c r="I1224" s="45"/>
      <c r="J1224" s="39"/>
      <c r="K1224" s="24"/>
      <c r="L1224" s="24"/>
      <c r="M1224" s="24"/>
      <c r="N1224" s="24"/>
      <c r="O1224" s="24"/>
      <c r="P1224" s="24"/>
      <c r="Q1224" s="61"/>
      <c r="R1224" s="24"/>
      <c r="S1224" s="61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4"/>
      <c r="AD1224" s="24"/>
      <c r="AE1224" s="24"/>
      <c r="AF1224" s="271"/>
      <c r="AG1224" s="272"/>
    </row>
    <row r="1225" spans="1:33" s="4" customFormat="1" ht="21.75" customHeight="1">
      <c r="A1225" s="30"/>
      <c r="B1225" s="37"/>
      <c r="C1225" s="38"/>
      <c r="D1225" s="39"/>
      <c r="E1225" s="24"/>
      <c r="F1225" s="39"/>
      <c r="G1225" s="24"/>
      <c r="H1225" s="24"/>
      <c r="I1225" s="45"/>
      <c r="J1225" s="39"/>
      <c r="K1225" s="24"/>
      <c r="L1225" s="24"/>
      <c r="M1225" s="24"/>
      <c r="N1225" s="24"/>
      <c r="O1225" s="24"/>
      <c r="P1225" s="24"/>
      <c r="Q1225" s="61"/>
      <c r="R1225" s="24"/>
      <c r="S1225" s="61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F1225" s="271"/>
      <c r="AG1225" s="272"/>
    </row>
    <row r="1226" spans="1:33" s="4" customFormat="1" ht="21.75" customHeight="1">
      <c r="A1226" s="30"/>
      <c r="B1226" s="37"/>
      <c r="C1226" s="38"/>
      <c r="D1226" s="39"/>
      <c r="E1226" s="24"/>
      <c r="F1226" s="39"/>
      <c r="G1226" s="24"/>
      <c r="H1226" s="24"/>
      <c r="I1226" s="24"/>
      <c r="J1226" s="39"/>
      <c r="K1226" s="24"/>
      <c r="L1226" s="24"/>
      <c r="M1226" s="24"/>
      <c r="N1226" s="24"/>
      <c r="O1226" s="24"/>
      <c r="P1226" s="24"/>
      <c r="Q1226" s="61"/>
      <c r="R1226" s="24"/>
      <c r="S1226" s="61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F1226" s="271"/>
      <c r="AG1226" s="272"/>
    </row>
    <row r="1227" spans="1:33" s="4" customFormat="1" ht="21.75" customHeight="1">
      <c r="A1227" s="30"/>
      <c r="B1227" s="37"/>
      <c r="C1227" s="38"/>
      <c r="D1227" s="39"/>
      <c r="E1227" s="24"/>
      <c r="F1227" s="39"/>
      <c r="G1227" s="24"/>
      <c r="H1227" s="24"/>
      <c r="I1227" s="24"/>
      <c r="J1227" s="39"/>
      <c r="K1227" s="24"/>
      <c r="L1227" s="24"/>
      <c r="M1227" s="24"/>
      <c r="N1227" s="24"/>
      <c r="O1227" s="24"/>
      <c r="P1227" s="24"/>
      <c r="Q1227" s="61"/>
      <c r="R1227" s="24"/>
      <c r="S1227" s="61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  <c r="AF1227" s="271"/>
      <c r="AG1227" s="272"/>
    </row>
    <row r="1228" spans="1:33" s="4" customFormat="1" ht="21.75" customHeight="1">
      <c r="A1228" s="30"/>
      <c r="B1228" s="37"/>
      <c r="C1228" s="38"/>
      <c r="D1228" s="39"/>
      <c r="E1228" s="24"/>
      <c r="F1228" s="39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61"/>
      <c r="R1228" s="24"/>
      <c r="S1228" s="61"/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4"/>
      <c r="AD1228" s="24"/>
      <c r="AE1228" s="24"/>
      <c r="AF1228" s="271"/>
      <c r="AG1228" s="272"/>
    </row>
    <row r="1229" spans="1:33" s="4" customFormat="1" ht="21.75" customHeight="1">
      <c r="A1229" s="30"/>
      <c r="B1229" s="38"/>
      <c r="C1229" s="38"/>
      <c r="D1229" s="39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  <c r="S1229" s="61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  <c r="AF1229" s="271"/>
      <c r="AG1229" s="272"/>
    </row>
    <row r="1230" spans="1:33" s="4" customFormat="1" ht="21.75" customHeight="1">
      <c r="A1230" s="30"/>
      <c r="B1230" s="37"/>
      <c r="C1230" s="38"/>
      <c r="D1230" s="39"/>
      <c r="E1230" s="24"/>
      <c r="F1230" s="39"/>
      <c r="G1230" s="24"/>
      <c r="H1230" s="24"/>
      <c r="I1230" s="24"/>
      <c r="J1230" s="39"/>
      <c r="K1230" s="24"/>
      <c r="L1230" s="24"/>
      <c r="M1230" s="24"/>
      <c r="N1230" s="24"/>
      <c r="O1230" s="24"/>
      <c r="P1230" s="24"/>
      <c r="Q1230" s="61"/>
      <c r="R1230" s="24"/>
      <c r="S1230" s="61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4"/>
      <c r="AD1230" s="24"/>
      <c r="AE1230" s="24"/>
      <c r="AF1230" s="271"/>
      <c r="AG1230" s="272"/>
    </row>
    <row r="1231" spans="1:33" s="4" customFormat="1" ht="21.75" customHeight="1">
      <c r="A1231" s="30"/>
      <c r="B1231" s="37"/>
      <c r="C1231" s="38"/>
      <c r="D1231" s="39"/>
      <c r="E1231" s="24"/>
      <c r="F1231" s="39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61"/>
      <c r="R1231" s="24"/>
      <c r="S1231" s="61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  <c r="AF1231" s="271"/>
      <c r="AG1231" s="272"/>
    </row>
    <row r="1232" spans="1:33" s="4" customFormat="1" ht="21.75" customHeight="1">
      <c r="A1232" s="30"/>
      <c r="B1232" s="67"/>
      <c r="C1232" s="38"/>
      <c r="D1232" s="39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61"/>
      <c r="R1232" s="24"/>
      <c r="S1232" s="61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4"/>
      <c r="AD1232" s="24"/>
      <c r="AE1232" s="24"/>
      <c r="AF1232" s="271"/>
      <c r="AG1232" s="272"/>
    </row>
    <row r="1233" spans="1:33" s="4" customFormat="1" ht="21.75" customHeight="1">
      <c r="A1233" s="30"/>
      <c r="B1233" s="38"/>
      <c r="C1233" s="38"/>
      <c r="D1233" s="39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61"/>
      <c r="R1233" s="24"/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/>
      <c r="AC1233" s="24"/>
      <c r="AD1233" s="24"/>
      <c r="AE1233" s="24"/>
      <c r="AF1233" s="271"/>
      <c r="AG1233" s="272"/>
    </row>
    <row r="1234" spans="1:33" s="4" customFormat="1" ht="21.75" customHeight="1">
      <c r="A1234" s="30"/>
      <c r="B1234" s="38"/>
      <c r="C1234" s="46"/>
      <c r="D1234" s="39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61"/>
      <c r="R1234" s="24"/>
      <c r="S1234" s="61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4"/>
      <c r="AD1234" s="24"/>
      <c r="AE1234" s="24"/>
      <c r="AF1234" s="271"/>
      <c r="AG1234" s="272"/>
    </row>
    <row r="1235" spans="1:33" s="4" customFormat="1" ht="21.75" customHeight="1">
      <c r="A1235" s="30"/>
      <c r="B1235" s="38"/>
      <c r="C1235" s="46"/>
      <c r="D1235" s="39"/>
      <c r="E1235" s="24"/>
      <c r="F1235" s="24"/>
      <c r="G1235" s="66"/>
      <c r="H1235" s="24"/>
      <c r="I1235" s="24"/>
      <c r="J1235" s="24"/>
      <c r="K1235" s="24"/>
      <c r="L1235" s="24"/>
      <c r="M1235" s="24"/>
      <c r="N1235" s="24"/>
      <c r="O1235" s="24"/>
      <c r="P1235" s="24"/>
      <c r="Q1235" s="61"/>
      <c r="R1235" s="24"/>
      <c r="S1235" s="61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71"/>
      <c r="AG1235" s="272"/>
    </row>
    <row r="1236" spans="1:33" s="4" customFormat="1" ht="21.75" customHeight="1">
      <c r="A1236" s="30"/>
      <c r="B1236" s="38"/>
      <c r="C1236" s="38"/>
      <c r="D1236" s="39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61"/>
      <c r="R1236" s="24"/>
      <c r="S1236" s="61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4"/>
      <c r="AE1236" s="24"/>
      <c r="AF1236" s="271"/>
      <c r="AG1236" s="272"/>
    </row>
    <row r="1237" spans="1:33" s="16" customFormat="1" ht="21.75" customHeight="1">
      <c r="A1237" s="30"/>
      <c r="B1237" s="38"/>
      <c r="C1237" s="38"/>
      <c r="D1237" s="39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61"/>
      <c r="R1237" s="24"/>
      <c r="S1237" s="61"/>
      <c r="T1237" s="24"/>
      <c r="U1237" s="24"/>
      <c r="V1237" s="24"/>
      <c r="W1237" s="24"/>
      <c r="X1237" s="24"/>
      <c r="Y1237" s="24"/>
      <c r="Z1237" s="24"/>
      <c r="AA1237" s="24"/>
      <c r="AB1237" s="24"/>
      <c r="AC1237" s="24"/>
      <c r="AD1237" s="24"/>
      <c r="AE1237" s="24"/>
      <c r="AF1237" s="271"/>
      <c r="AG1237" s="272"/>
    </row>
    <row r="1238" spans="1:33" s="16" customFormat="1" ht="21.75" customHeight="1">
      <c r="A1238" s="30"/>
      <c r="B1238" s="37"/>
      <c r="C1238" s="38"/>
      <c r="D1238" s="39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61"/>
      <c r="R1238" s="24"/>
      <c r="S1238" s="61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  <c r="AF1238" s="271"/>
      <c r="AG1238" s="272"/>
    </row>
    <row r="1239" spans="1:33" s="16" customFormat="1" ht="21.75" customHeight="1">
      <c r="A1239" s="30"/>
      <c r="B1239" s="37"/>
      <c r="C1239" s="38"/>
      <c r="D1239" s="39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61"/>
      <c r="R1239" s="24"/>
      <c r="S1239" s="61"/>
      <c r="T1239" s="24"/>
      <c r="U1239" s="24"/>
      <c r="V1239" s="24"/>
      <c r="W1239" s="24"/>
      <c r="X1239" s="24"/>
      <c r="Y1239" s="24"/>
      <c r="Z1239" s="24"/>
      <c r="AA1239" s="24"/>
      <c r="AB1239" s="24"/>
      <c r="AC1239" s="24"/>
      <c r="AD1239" s="24"/>
      <c r="AE1239" s="24"/>
      <c r="AF1239" s="271"/>
      <c r="AG1239" s="272"/>
    </row>
    <row r="1240" spans="1:33" s="16" customFormat="1" ht="21.75" customHeight="1">
      <c r="A1240" s="30"/>
      <c r="B1240" s="37"/>
      <c r="C1240" s="38"/>
      <c r="D1240" s="39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61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/>
      <c r="AF1240" s="271"/>
      <c r="AG1240" s="272"/>
    </row>
    <row r="1241" spans="1:33" s="4" customFormat="1" ht="21.75" customHeight="1">
      <c r="A1241" s="30"/>
      <c r="B1241" s="38"/>
      <c r="C1241" s="38"/>
      <c r="D1241" s="39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61"/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  <c r="AF1241" s="271"/>
      <c r="AG1241" s="272"/>
    </row>
    <row r="1242" spans="1:33" s="4" customFormat="1" ht="21.75" customHeight="1">
      <c r="A1242" s="30"/>
      <c r="B1242" s="67"/>
      <c r="C1242" s="38"/>
      <c r="D1242" s="39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4"/>
      <c r="AD1242" s="24"/>
      <c r="AE1242" s="24"/>
      <c r="AF1242" s="271"/>
      <c r="AG1242" s="272"/>
    </row>
    <row r="1243" spans="1:33" s="4" customFormat="1" ht="21.75" customHeight="1">
      <c r="A1243" s="30"/>
      <c r="B1243" s="38"/>
      <c r="C1243" s="46"/>
      <c r="D1243" s="39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61"/>
      <c r="R1243" s="24"/>
      <c r="S1243" s="24"/>
      <c r="T1243" s="61"/>
      <c r="U1243" s="61"/>
      <c r="V1243" s="24"/>
      <c r="W1243" s="24"/>
      <c r="X1243" s="24"/>
      <c r="Y1243" s="24"/>
      <c r="Z1243" s="24"/>
      <c r="AA1243" s="24"/>
      <c r="AB1243" s="24"/>
      <c r="AC1243" s="24"/>
      <c r="AD1243" s="24"/>
      <c r="AE1243" s="24"/>
      <c r="AF1243" s="271"/>
      <c r="AG1243" s="272"/>
    </row>
    <row r="1244" spans="1:33" s="4" customFormat="1" ht="21.75" customHeight="1">
      <c r="A1244" s="30"/>
      <c r="B1244" s="38"/>
      <c r="C1244" s="38"/>
      <c r="D1244" s="39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61"/>
      <c r="R1244" s="24"/>
      <c r="S1244" s="24"/>
      <c r="T1244" s="61"/>
      <c r="U1244" s="61"/>
      <c r="V1244" s="24"/>
      <c r="W1244" s="24"/>
      <c r="X1244" s="24"/>
      <c r="Y1244" s="24"/>
      <c r="Z1244" s="24"/>
      <c r="AA1244" s="24"/>
      <c r="AB1244" s="24"/>
      <c r="AC1244" s="24"/>
      <c r="AD1244" s="24"/>
      <c r="AE1244" s="24"/>
      <c r="AF1244" s="271"/>
      <c r="AG1244" s="272"/>
    </row>
    <row r="1245" spans="1:33" s="4" customFormat="1" ht="21.75" customHeight="1">
      <c r="A1245" s="30"/>
      <c r="B1245" s="38"/>
      <c r="C1245" s="38"/>
      <c r="D1245" s="39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61"/>
      <c r="U1245" s="61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F1245" s="271"/>
      <c r="AG1245" s="272"/>
    </row>
    <row r="1246" spans="1:33" s="4" customFormat="1" ht="21.75" customHeight="1">
      <c r="A1246" s="30"/>
      <c r="B1246" s="67"/>
      <c r="C1246" s="38"/>
      <c r="D1246" s="39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61"/>
      <c r="U1246" s="61"/>
      <c r="V1246" s="24"/>
      <c r="W1246" s="24"/>
      <c r="X1246" s="24"/>
      <c r="Y1246" s="24"/>
      <c r="Z1246" s="24"/>
      <c r="AA1246" s="24"/>
      <c r="AB1246" s="24"/>
      <c r="AC1246" s="24"/>
      <c r="AD1246" s="24"/>
      <c r="AE1246" s="24"/>
      <c r="AF1246" s="271"/>
      <c r="AG1246" s="272"/>
    </row>
    <row r="1247" spans="1:33" s="4" customFormat="1" ht="21.75" customHeight="1">
      <c r="A1247" s="30"/>
      <c r="B1247" s="38"/>
      <c r="C1247" s="38"/>
      <c r="D1247" s="39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61"/>
      <c r="R1247" s="24"/>
      <c r="S1247" s="24"/>
      <c r="T1247" s="61"/>
      <c r="U1247" s="61"/>
      <c r="V1247" s="24"/>
      <c r="W1247" s="24"/>
      <c r="X1247" s="24"/>
      <c r="Y1247" s="24"/>
      <c r="Z1247" s="24"/>
      <c r="AA1247" s="24"/>
      <c r="AB1247" s="24"/>
      <c r="AC1247" s="24"/>
      <c r="AD1247" s="24"/>
      <c r="AE1247" s="24"/>
      <c r="AF1247" s="271"/>
      <c r="AG1247" s="272"/>
    </row>
    <row r="1248" spans="1:33" s="4" customFormat="1" ht="21.75" customHeight="1">
      <c r="A1248" s="30"/>
      <c r="B1248" s="38"/>
      <c r="C1248" s="46"/>
      <c r="D1248" s="39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61"/>
      <c r="U1248" s="61"/>
      <c r="V1248" s="24"/>
      <c r="W1248" s="24"/>
      <c r="X1248" s="24"/>
      <c r="Y1248" s="24"/>
      <c r="Z1248" s="24"/>
      <c r="AA1248" s="24"/>
      <c r="AB1248" s="24"/>
      <c r="AC1248" s="24"/>
      <c r="AD1248" s="24"/>
      <c r="AE1248" s="24"/>
      <c r="AF1248" s="271"/>
      <c r="AG1248" s="272"/>
    </row>
    <row r="1249" spans="1:33" s="4" customFormat="1" ht="21.75" customHeight="1">
      <c r="A1249" s="30"/>
      <c r="B1249" s="38"/>
      <c r="C1249" s="46"/>
      <c r="D1249" s="39"/>
      <c r="E1249" s="24"/>
      <c r="F1249" s="24"/>
      <c r="G1249" s="66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61"/>
      <c r="U1249" s="61"/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  <c r="AF1249" s="271"/>
      <c r="AG1249" s="272"/>
    </row>
    <row r="1250" spans="1:33" s="4" customFormat="1" ht="21.75" customHeight="1">
      <c r="A1250" s="30"/>
      <c r="B1250" s="38"/>
      <c r="C1250" s="38"/>
      <c r="D1250" s="39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61"/>
      <c r="U1250" s="61"/>
      <c r="V1250" s="24"/>
      <c r="W1250" s="24"/>
      <c r="X1250" s="24"/>
      <c r="Y1250" s="24"/>
      <c r="Z1250" s="24"/>
      <c r="AA1250" s="24"/>
      <c r="AB1250" s="24"/>
      <c r="AC1250" s="24"/>
      <c r="AD1250" s="24"/>
      <c r="AE1250" s="24"/>
      <c r="AF1250" s="271"/>
      <c r="AG1250" s="272"/>
    </row>
    <row r="1251" spans="1:33" s="4" customFormat="1" ht="21.75" customHeight="1">
      <c r="A1251" s="30"/>
      <c r="B1251" s="38"/>
      <c r="C1251" s="38"/>
      <c r="D1251" s="39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61"/>
      <c r="U1251" s="61"/>
      <c r="V1251" s="24"/>
      <c r="W1251" s="24"/>
      <c r="X1251" s="24"/>
      <c r="Y1251" s="24"/>
      <c r="Z1251" s="24"/>
      <c r="AA1251" s="24"/>
      <c r="AB1251" s="24"/>
      <c r="AC1251" s="24"/>
      <c r="AD1251" s="24"/>
      <c r="AE1251" s="24"/>
      <c r="AF1251" s="271"/>
      <c r="AG1251" s="272"/>
    </row>
    <row r="1252" spans="1:33" s="4" customFormat="1" ht="21.75" customHeight="1">
      <c r="A1252" s="30"/>
      <c r="B1252" s="38"/>
      <c r="C1252" s="46"/>
      <c r="D1252" s="39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61"/>
      <c r="U1252" s="61"/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  <c r="AF1252" s="271"/>
      <c r="AG1252" s="272"/>
    </row>
    <row r="1253" spans="1:33" s="4" customFormat="1" ht="21.75" customHeight="1">
      <c r="A1253" s="30"/>
      <c r="B1253" s="37"/>
      <c r="C1253" s="38"/>
      <c r="D1253" s="39"/>
      <c r="E1253" s="24"/>
      <c r="F1253" s="39"/>
      <c r="G1253" s="24"/>
      <c r="H1253" s="24"/>
      <c r="I1253" s="24"/>
      <c r="J1253" s="39"/>
      <c r="K1253" s="24"/>
      <c r="L1253" s="24"/>
      <c r="M1253" s="24"/>
      <c r="N1253" s="24"/>
      <c r="O1253" s="24"/>
      <c r="P1253" s="24"/>
      <c r="Q1253" s="61"/>
      <c r="R1253" s="24"/>
      <c r="S1253" s="24"/>
      <c r="T1253" s="61"/>
      <c r="U1253" s="61"/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  <c r="AF1253" s="271"/>
      <c r="AG1253" s="272"/>
    </row>
    <row r="1254" spans="1:33" s="4" customFormat="1" ht="21.75" customHeight="1">
      <c r="A1254" s="30"/>
      <c r="B1254" s="37"/>
      <c r="C1254" s="38"/>
      <c r="D1254" s="39"/>
      <c r="E1254" s="24"/>
      <c r="F1254" s="39"/>
      <c r="G1254" s="24"/>
      <c r="H1254" s="24"/>
      <c r="I1254" s="45"/>
      <c r="J1254" s="39"/>
      <c r="K1254" s="24"/>
      <c r="L1254" s="24"/>
      <c r="M1254" s="24"/>
      <c r="N1254" s="24"/>
      <c r="O1254" s="24"/>
      <c r="P1254" s="24"/>
      <c r="Q1254" s="61"/>
      <c r="R1254" s="24"/>
      <c r="S1254" s="24"/>
      <c r="T1254" s="61"/>
      <c r="U1254" s="61"/>
      <c r="V1254" s="24"/>
      <c r="W1254" s="24"/>
      <c r="X1254" s="24"/>
      <c r="Y1254" s="24"/>
      <c r="Z1254" s="24"/>
      <c r="AA1254" s="24"/>
      <c r="AB1254" s="24"/>
      <c r="AC1254" s="24"/>
      <c r="AD1254" s="24"/>
      <c r="AE1254" s="24"/>
      <c r="AF1254" s="271"/>
      <c r="AG1254" s="272"/>
    </row>
    <row r="1255" spans="1:33" s="4" customFormat="1" ht="21.75" customHeight="1">
      <c r="A1255" s="30"/>
      <c r="B1255" s="37"/>
      <c r="C1255" s="38"/>
      <c r="D1255" s="39"/>
      <c r="E1255" s="24"/>
      <c r="F1255" s="39"/>
      <c r="G1255" s="24"/>
      <c r="H1255" s="24"/>
      <c r="I1255" s="24"/>
      <c r="J1255" s="39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71"/>
      <c r="AG1255" s="272"/>
    </row>
    <row r="1256" spans="1:33" s="4" customFormat="1" ht="21.75" customHeight="1">
      <c r="A1256" s="30"/>
      <c r="B1256" s="40"/>
      <c r="C1256" s="41"/>
      <c r="D1256" s="39"/>
      <c r="E1256" s="24"/>
      <c r="F1256" s="39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61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F1256" s="271"/>
      <c r="AG1256" s="272"/>
    </row>
    <row r="1257" spans="1:33" s="4" customFormat="1" ht="21.75" customHeight="1">
      <c r="A1257" s="30"/>
      <c r="B1257" s="38"/>
      <c r="C1257" s="38"/>
      <c r="D1257" s="39"/>
      <c r="E1257" s="24"/>
      <c r="F1257" s="24"/>
      <c r="G1257" s="48"/>
      <c r="H1257" s="24"/>
      <c r="I1257" s="24"/>
      <c r="J1257" s="24"/>
      <c r="K1257" s="24"/>
      <c r="L1257" s="24"/>
      <c r="M1257" s="24"/>
      <c r="N1257" s="24"/>
      <c r="O1257" s="24"/>
      <c r="P1257" s="24"/>
      <c r="Q1257" s="61"/>
      <c r="R1257" s="24"/>
      <c r="S1257" s="24"/>
      <c r="T1257" s="61"/>
      <c r="U1257" s="61"/>
      <c r="V1257" s="24"/>
      <c r="W1257" s="24"/>
      <c r="X1257" s="24"/>
      <c r="Y1257" s="24"/>
      <c r="Z1257" s="24"/>
      <c r="AA1257" s="24"/>
      <c r="AB1257" s="24"/>
      <c r="AC1257" s="24"/>
      <c r="AD1257" s="24"/>
      <c r="AE1257" s="24"/>
      <c r="AF1257" s="271"/>
      <c r="AG1257" s="272"/>
    </row>
    <row r="1258" spans="1:33" s="4" customFormat="1" ht="21.75" customHeight="1" thickBot="1">
      <c r="A1258" s="30"/>
      <c r="B1258" s="38"/>
      <c r="C1258" s="38"/>
      <c r="D1258" s="39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61"/>
      <c r="R1258" s="24"/>
      <c r="S1258" s="24"/>
      <c r="T1258" s="61"/>
      <c r="U1258" s="61"/>
      <c r="V1258" s="24"/>
      <c r="W1258" s="24"/>
      <c r="X1258" s="24"/>
      <c r="Y1258" s="24"/>
      <c r="Z1258" s="24"/>
      <c r="AA1258" s="24"/>
      <c r="AB1258" s="24"/>
      <c r="AC1258" s="24"/>
      <c r="AD1258" s="24"/>
      <c r="AE1258" s="24"/>
      <c r="AF1258" s="281"/>
      <c r="AG1258" s="275"/>
    </row>
    <row r="1259" spans="1:33" s="4" customFormat="1" ht="21.75" customHeight="1">
      <c r="A1259" s="30"/>
      <c r="B1259" s="38"/>
      <c r="C1259" s="38"/>
      <c r="D1259" s="39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61"/>
      <c r="R1259" s="24"/>
      <c r="S1259" s="24"/>
      <c r="T1259" s="61"/>
      <c r="U1259" s="61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F1259" s="269"/>
      <c r="AG1259" s="270"/>
    </row>
    <row r="1260" spans="1:33" s="4" customFormat="1" ht="21.75" customHeight="1">
      <c r="A1260" s="30"/>
      <c r="B1260" s="38"/>
      <c r="C1260" s="38"/>
      <c r="D1260" s="39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61"/>
      <c r="U1260" s="61"/>
      <c r="V1260" s="24"/>
      <c r="W1260" s="24"/>
      <c r="X1260" s="24"/>
      <c r="Y1260" s="24"/>
      <c r="Z1260" s="24"/>
      <c r="AA1260" s="24"/>
      <c r="AB1260" s="24"/>
      <c r="AC1260" s="24"/>
      <c r="AD1260" s="24"/>
      <c r="AE1260" s="24"/>
      <c r="AF1260" s="271"/>
      <c r="AG1260" s="272"/>
    </row>
    <row r="1261" spans="1:33" s="4" customFormat="1" ht="21.75" customHeight="1">
      <c r="A1261" s="30"/>
      <c r="B1261" s="38"/>
      <c r="C1261" s="38"/>
      <c r="D1261" s="39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F1261" s="271"/>
      <c r="AG1261" s="272"/>
    </row>
    <row r="1262" spans="1:33" s="4" customFormat="1" ht="21.75" customHeight="1">
      <c r="A1262" s="30"/>
      <c r="B1262" s="38"/>
      <c r="C1262" s="38"/>
      <c r="D1262" s="39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F1262" s="271"/>
      <c r="AG1262" s="272"/>
    </row>
    <row r="1263" spans="1:33" s="4" customFormat="1" ht="21.75" customHeight="1">
      <c r="A1263" s="30"/>
      <c r="B1263" s="38"/>
      <c r="C1263" s="38"/>
      <c r="D1263" s="39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  <c r="AF1263" s="271"/>
      <c r="AG1263" s="272"/>
    </row>
    <row r="1264" spans="1:33" s="4" customFormat="1" ht="21.75" customHeight="1">
      <c r="A1264" s="30"/>
      <c r="B1264" s="38"/>
      <c r="C1264" s="38"/>
      <c r="D1264" s="39"/>
      <c r="E1264" s="24"/>
      <c r="F1264" s="39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61"/>
      <c r="U1264" s="61"/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  <c r="AF1264" s="271"/>
      <c r="AG1264" s="272"/>
    </row>
    <row r="1265" spans="1:33" s="4" customFormat="1" ht="21.75" customHeight="1">
      <c r="A1265" s="30"/>
      <c r="B1265" s="38"/>
      <c r="C1265" s="38"/>
      <c r="D1265" s="39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271"/>
      <c r="AG1265" s="272"/>
    </row>
    <row r="1266" spans="1:33" s="4" customFormat="1" ht="21.75" customHeight="1">
      <c r="A1266" s="30"/>
      <c r="B1266" s="38"/>
      <c r="C1266" s="38"/>
      <c r="D1266" s="39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61"/>
      <c r="U1266" s="61"/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  <c r="AF1266" s="271"/>
      <c r="AG1266" s="272"/>
    </row>
    <row r="1267" spans="1:33" s="4" customFormat="1" ht="21.75" customHeight="1">
      <c r="A1267" s="30"/>
      <c r="B1267" s="38"/>
      <c r="C1267" s="38"/>
      <c r="D1267" s="39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61"/>
      <c r="U1267" s="61"/>
      <c r="V1267" s="24"/>
      <c r="W1267" s="24"/>
      <c r="X1267" s="24"/>
      <c r="Y1267" s="24"/>
      <c r="Z1267" s="24"/>
      <c r="AA1267" s="24"/>
      <c r="AB1267" s="24"/>
      <c r="AC1267" s="24"/>
      <c r="AD1267" s="24"/>
      <c r="AE1267" s="24"/>
      <c r="AF1267" s="271"/>
      <c r="AG1267" s="272"/>
    </row>
    <row r="1268" spans="1:33" s="4" customFormat="1" ht="21.75" customHeight="1">
      <c r="A1268" s="30"/>
      <c r="B1268" s="38"/>
      <c r="C1268" s="38"/>
      <c r="D1268" s="39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4"/>
      <c r="AD1268" s="24"/>
      <c r="AE1268" s="24"/>
      <c r="AF1268" s="271"/>
      <c r="AG1268" s="272"/>
    </row>
    <row r="1269" spans="1:33" s="4" customFormat="1" ht="21.75" customHeight="1">
      <c r="A1269" s="30"/>
      <c r="B1269" s="38"/>
      <c r="C1269" s="46"/>
      <c r="D1269" s="39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4"/>
      <c r="AD1269" s="24"/>
      <c r="AE1269" s="24"/>
      <c r="AF1269" s="271"/>
      <c r="AG1269" s="272"/>
    </row>
    <row r="1270" spans="1:33" s="4" customFormat="1" ht="21.75" customHeight="1">
      <c r="A1270" s="30"/>
      <c r="B1270" s="38"/>
      <c r="C1270" s="38"/>
      <c r="D1270" s="39"/>
      <c r="E1270" s="24"/>
      <c r="F1270" s="66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/>
      <c r="AC1270" s="24"/>
      <c r="AD1270" s="24"/>
      <c r="AE1270" s="24"/>
      <c r="AF1270" s="271"/>
      <c r="AG1270" s="272"/>
    </row>
    <row r="1271" spans="1:33" s="4" customFormat="1" ht="21.75" customHeight="1">
      <c r="A1271" s="30"/>
      <c r="B1271" s="38"/>
      <c r="C1271" s="46"/>
      <c r="D1271" s="39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F1271" s="271"/>
      <c r="AG1271" s="272"/>
    </row>
    <row r="1272" spans="1:33" s="4" customFormat="1" ht="21.75" customHeight="1">
      <c r="A1272" s="30"/>
      <c r="B1272" s="38"/>
      <c r="C1272" s="46"/>
      <c r="D1272" s="39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4"/>
      <c r="AD1272" s="24"/>
      <c r="AE1272" s="24"/>
      <c r="AF1272" s="273"/>
      <c r="AG1272" s="272"/>
    </row>
    <row r="1273" spans="1:33" s="4" customFormat="1" ht="21.75" customHeight="1">
      <c r="A1273" s="30"/>
      <c r="B1273" s="38"/>
      <c r="C1273" s="46"/>
      <c r="D1273" s="39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4"/>
      <c r="AD1273" s="24"/>
      <c r="AE1273" s="24"/>
      <c r="AF1273" s="273"/>
      <c r="AG1273" s="272"/>
    </row>
    <row r="1274" spans="1:33" s="4" customFormat="1" ht="21.75" customHeight="1" thickBot="1">
      <c r="A1274" s="30"/>
      <c r="B1274" s="38"/>
      <c r="C1274" s="46"/>
      <c r="D1274" s="39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  <c r="AF1274" s="274"/>
      <c r="AG1274" s="275"/>
    </row>
    <row r="1275" spans="2:33" s="1" customFormat="1" ht="46.5" customHeight="1">
      <c r="B1275" s="244"/>
      <c r="C1275" s="245"/>
      <c r="D1275" s="245"/>
      <c r="E1275" s="245"/>
      <c r="F1275" s="245"/>
      <c r="G1275" s="245"/>
      <c r="H1275" s="245"/>
      <c r="I1275" s="245"/>
      <c r="J1275" s="245"/>
      <c r="K1275" s="211"/>
      <c r="L1275" s="211"/>
      <c r="M1275" s="211"/>
      <c r="N1275" s="211"/>
      <c r="O1275" s="211"/>
      <c r="P1275" s="211"/>
      <c r="Q1275" s="211"/>
      <c r="R1275" s="211"/>
      <c r="S1275" s="287"/>
      <c r="T1275" s="343"/>
      <c r="U1275" s="343"/>
      <c r="V1275" s="343"/>
      <c r="W1275" s="343"/>
      <c r="X1275" s="343"/>
      <c r="Y1275" s="211"/>
      <c r="Z1275" s="211"/>
      <c r="AA1275" s="211"/>
      <c r="AB1275" s="211"/>
      <c r="AC1275" s="211"/>
      <c r="AD1275" s="211"/>
      <c r="AE1275" s="211"/>
      <c r="AF1275" s="279"/>
      <c r="AG1275" s="280"/>
    </row>
    <row r="1276" spans="2:33" s="1" customFormat="1" ht="46.5" customHeight="1" thickBot="1">
      <c r="B1276" s="247"/>
      <c r="C1276" s="248"/>
      <c r="D1276" s="248"/>
      <c r="E1276" s="248"/>
      <c r="F1276" s="248"/>
      <c r="G1276" s="248"/>
      <c r="H1276" s="248"/>
      <c r="I1276" s="248"/>
      <c r="J1276" s="248"/>
      <c r="K1276" s="250"/>
      <c r="L1276" s="250"/>
      <c r="M1276" s="250"/>
      <c r="N1276" s="250"/>
      <c r="O1276" s="250"/>
      <c r="P1276" s="250"/>
      <c r="Q1276" s="250"/>
      <c r="R1276" s="250"/>
      <c r="S1276" s="288"/>
      <c r="T1276" s="344"/>
      <c r="U1276" s="344"/>
      <c r="V1276" s="344"/>
      <c r="W1276" s="344"/>
      <c r="X1276" s="344"/>
      <c r="Y1276" s="250"/>
      <c r="Z1276" s="250"/>
      <c r="AA1276" s="250"/>
      <c r="AB1276" s="250"/>
      <c r="AC1276" s="250"/>
      <c r="AD1276" s="250"/>
      <c r="AE1276" s="250"/>
      <c r="AF1276" s="276"/>
      <c r="AG1276" s="277"/>
    </row>
    <row r="1277" spans="1:34" ht="36" customHeight="1">
      <c r="A1277" s="10"/>
      <c r="B1277" s="49"/>
      <c r="C1277" s="49"/>
      <c r="D1277" s="49"/>
      <c r="E1277" s="49"/>
      <c r="F1277" s="49"/>
      <c r="G1277" s="49"/>
      <c r="H1277" s="49"/>
      <c r="I1277" s="49"/>
      <c r="J1277" s="49"/>
      <c r="K1277" s="49"/>
      <c r="L1277" s="49"/>
      <c r="M1277" s="49"/>
      <c r="N1277" s="49"/>
      <c r="O1277" s="49"/>
      <c r="P1277" s="78"/>
      <c r="Q1277" s="49"/>
      <c r="R1277" s="49"/>
      <c r="S1277" s="78"/>
      <c r="T1277" s="49"/>
      <c r="U1277" s="49"/>
      <c r="V1277" s="49"/>
      <c r="W1277" s="49"/>
      <c r="X1277" s="49"/>
      <c r="AH1277" s="11"/>
    </row>
    <row r="1278" spans="2:24" ht="15">
      <c r="B1278" s="49"/>
      <c r="C1278" s="49"/>
      <c r="D1278" s="49"/>
      <c r="E1278" s="49"/>
      <c r="F1278" s="49"/>
      <c r="G1278" s="49"/>
      <c r="H1278" s="49"/>
      <c r="I1278" s="49"/>
      <c r="J1278" s="49"/>
      <c r="K1278" s="49"/>
      <c r="L1278" s="49"/>
      <c r="M1278" s="49"/>
      <c r="N1278" s="49"/>
      <c r="O1278" s="79"/>
      <c r="P1278" s="78"/>
      <c r="Q1278" s="49"/>
      <c r="R1278" s="49"/>
      <c r="S1278" s="78"/>
      <c r="T1278" s="49"/>
      <c r="U1278" s="49"/>
      <c r="V1278" s="49"/>
      <c r="W1278" s="49"/>
      <c r="X1278" s="49"/>
    </row>
    <row r="1279" spans="2:24" ht="15">
      <c r="B1279" s="49"/>
      <c r="C1279" s="49"/>
      <c r="D1279" s="49"/>
      <c r="E1279" s="49"/>
      <c r="F1279" s="49"/>
      <c r="G1279" s="49"/>
      <c r="H1279" s="49"/>
      <c r="I1279" s="49"/>
      <c r="J1279" s="49"/>
      <c r="K1279" s="49"/>
      <c r="L1279" s="49"/>
      <c r="M1279" s="49"/>
      <c r="N1279" s="49"/>
      <c r="O1279" s="101"/>
      <c r="P1279" s="101"/>
      <c r="Q1279" s="49"/>
      <c r="R1279" s="49"/>
      <c r="S1279" s="23"/>
      <c r="T1279" s="173"/>
      <c r="U1279" s="173"/>
      <c r="V1279" s="173"/>
      <c r="W1279" s="173"/>
      <c r="X1279" s="173"/>
    </row>
    <row r="1280" spans="2:33" ht="15.75">
      <c r="B1280" s="50"/>
      <c r="C1280" s="51"/>
      <c r="D1280" s="51"/>
      <c r="E1280" s="51"/>
      <c r="F1280" s="51"/>
      <c r="G1280" s="52"/>
      <c r="H1280" s="53"/>
      <c r="I1280" s="53"/>
      <c r="J1280" s="53"/>
      <c r="K1280" s="53"/>
      <c r="L1280" s="80"/>
      <c r="M1280" s="80"/>
      <c r="N1280" s="80"/>
      <c r="O1280" s="49"/>
      <c r="P1280" s="49"/>
      <c r="Q1280" s="80"/>
      <c r="R1280" s="82"/>
      <c r="S1280" s="21"/>
      <c r="T1280" s="62"/>
      <c r="U1280" s="62"/>
      <c r="V1280" s="62"/>
      <c r="W1280" s="62"/>
      <c r="X1280" s="62"/>
      <c r="Y1280" s="36"/>
      <c r="Z1280" s="35"/>
      <c r="AF1280" s="26"/>
      <c r="AG1280" s="26"/>
    </row>
    <row r="1281" spans="2:24" ht="15">
      <c r="B1281" s="49"/>
      <c r="C1281" s="49"/>
      <c r="D1281" s="49"/>
      <c r="E1281" s="49"/>
      <c r="F1281" s="49"/>
      <c r="G1281" s="49"/>
      <c r="H1281" s="49"/>
      <c r="I1281" s="49"/>
      <c r="J1281" s="49"/>
      <c r="K1281" s="170"/>
      <c r="L1281" s="172"/>
      <c r="M1281" s="122"/>
      <c r="N1281" s="122"/>
      <c r="O1281" s="122"/>
      <c r="P1281" s="122"/>
      <c r="Q1281" s="49"/>
      <c r="R1281" s="49"/>
      <c r="S1281" s="49"/>
      <c r="T1281" s="85"/>
      <c r="U1281" s="49"/>
      <c r="V1281" s="49"/>
      <c r="W1281" s="49"/>
      <c r="X1281" s="49"/>
    </row>
    <row r="1282" spans="2:24" ht="15">
      <c r="B1282" s="49"/>
      <c r="C1282" s="49"/>
      <c r="D1282" s="49"/>
      <c r="E1282" s="49"/>
      <c r="F1282" s="49"/>
      <c r="G1282" s="49"/>
      <c r="H1282" s="49"/>
      <c r="I1282" s="49"/>
      <c r="J1282" s="49"/>
      <c r="K1282" s="170"/>
      <c r="L1282" s="11"/>
      <c r="M1282" s="122"/>
      <c r="N1282" s="122"/>
      <c r="O1282" s="122"/>
      <c r="P1282" s="122"/>
      <c r="Q1282" s="49"/>
      <c r="R1282" s="49"/>
      <c r="S1282" s="49"/>
      <c r="T1282" s="85"/>
      <c r="U1282" s="49"/>
      <c r="V1282" s="49"/>
      <c r="W1282" s="49"/>
      <c r="X1282" s="49"/>
    </row>
    <row r="1283" spans="1:34" s="3" customFormat="1" ht="36" customHeight="1" thickBot="1">
      <c r="A1283" s="12"/>
      <c r="B1283" s="54" t="s">
        <v>155</v>
      </c>
      <c r="C1283" s="55"/>
      <c r="D1283" s="55"/>
      <c r="E1283" s="55"/>
      <c r="F1283" s="55"/>
      <c r="G1283" s="55"/>
      <c r="H1283" s="55"/>
      <c r="I1283" s="55"/>
      <c r="J1283" s="55"/>
      <c r="K1283" s="86"/>
      <c r="L1283" s="86"/>
      <c r="M1283" s="86"/>
      <c r="N1283" s="86"/>
      <c r="O1283" s="86"/>
      <c r="P1283" s="86"/>
      <c r="Q1283" s="86"/>
      <c r="R1283" s="86"/>
      <c r="S1283" s="86"/>
      <c r="T1283" s="86"/>
      <c r="U1283" s="86"/>
      <c r="V1283" s="86"/>
      <c r="W1283" s="86"/>
      <c r="X1283" s="86"/>
      <c r="Y1283" s="31"/>
      <c r="Z1283" s="31"/>
      <c r="AH1283" s="13"/>
    </row>
    <row r="1284" spans="2:33" s="4" customFormat="1" ht="21.75" customHeight="1">
      <c r="B1284" s="233" t="s">
        <v>0</v>
      </c>
      <c r="C1284" s="235"/>
      <c r="D1284" s="251" t="s">
        <v>3</v>
      </c>
      <c r="E1284" s="251" t="s">
        <v>4</v>
      </c>
      <c r="F1284" s="251" t="s">
        <v>5</v>
      </c>
      <c r="G1284" s="254" t="s">
        <v>43</v>
      </c>
      <c r="H1284" s="254" t="s">
        <v>45</v>
      </c>
      <c r="I1284" s="251" t="s">
        <v>6</v>
      </c>
      <c r="J1284" s="254" t="s">
        <v>26</v>
      </c>
      <c r="K1284" s="254" t="s">
        <v>46</v>
      </c>
      <c r="L1284" s="216"/>
      <c r="M1284" s="217"/>
      <c r="N1284" s="216">
        <v>304</v>
      </c>
      <c r="O1284" s="217"/>
      <c r="P1284" s="216">
        <v>304</v>
      </c>
      <c r="Q1284" s="217"/>
      <c r="R1284" s="216">
        <v>304</v>
      </c>
      <c r="S1284" s="217"/>
      <c r="T1284" s="216">
        <v>305</v>
      </c>
      <c r="U1284" s="217"/>
      <c r="V1284" s="216">
        <v>452</v>
      </c>
      <c r="W1284" s="217"/>
      <c r="X1284" s="216">
        <v>608</v>
      </c>
      <c r="Y1284" s="217"/>
      <c r="Z1284" s="216">
        <v>601</v>
      </c>
      <c r="AA1284" s="217"/>
      <c r="AB1284" s="216">
        <v>823</v>
      </c>
      <c r="AC1284" s="217"/>
      <c r="AD1284" s="216">
        <v>441</v>
      </c>
      <c r="AE1284" s="217"/>
      <c r="AF1284" s="307" t="s">
        <v>38</v>
      </c>
      <c r="AG1284" s="307" t="s">
        <v>58</v>
      </c>
    </row>
    <row r="1285" spans="2:33" s="4" customFormat="1" ht="27.75" customHeight="1">
      <c r="B1285" s="293"/>
      <c r="C1285" s="294"/>
      <c r="D1285" s="252"/>
      <c r="E1285" s="252"/>
      <c r="F1285" s="252"/>
      <c r="G1285" s="242"/>
      <c r="H1285" s="242"/>
      <c r="I1285" s="252"/>
      <c r="J1285" s="255"/>
      <c r="K1285" s="255"/>
      <c r="L1285" s="352"/>
      <c r="M1285" s="353"/>
      <c r="N1285" s="218" t="s">
        <v>152</v>
      </c>
      <c r="O1285" s="219"/>
      <c r="P1285" s="218" t="s">
        <v>120</v>
      </c>
      <c r="Q1285" s="219"/>
      <c r="R1285" s="218" t="s">
        <v>121</v>
      </c>
      <c r="S1285" s="219"/>
      <c r="T1285" s="218" t="s">
        <v>153</v>
      </c>
      <c r="U1285" s="219"/>
      <c r="V1285" s="218" t="s">
        <v>146</v>
      </c>
      <c r="W1285" s="219"/>
      <c r="X1285" s="218" t="s">
        <v>126</v>
      </c>
      <c r="Y1285" s="219"/>
      <c r="Z1285" s="218" t="s">
        <v>127</v>
      </c>
      <c r="AA1285" s="219"/>
      <c r="AB1285" s="218" t="s">
        <v>148</v>
      </c>
      <c r="AC1285" s="219"/>
      <c r="AD1285" s="218" t="s">
        <v>56</v>
      </c>
      <c r="AE1285" s="219"/>
      <c r="AF1285" s="308"/>
      <c r="AG1285" s="308"/>
    </row>
    <row r="1286" spans="2:33" s="4" customFormat="1" ht="27.75" customHeight="1" thickBot="1">
      <c r="B1286" s="293"/>
      <c r="C1286" s="294"/>
      <c r="D1286" s="252"/>
      <c r="E1286" s="252"/>
      <c r="F1286" s="252"/>
      <c r="G1286" s="242"/>
      <c r="H1286" s="242"/>
      <c r="I1286" s="252"/>
      <c r="J1286" s="255"/>
      <c r="K1286" s="255"/>
      <c r="L1286" s="352"/>
      <c r="M1286" s="353"/>
      <c r="N1286" s="220"/>
      <c r="O1286" s="221"/>
      <c r="P1286" s="220"/>
      <c r="Q1286" s="221"/>
      <c r="R1286" s="220"/>
      <c r="S1286" s="221"/>
      <c r="T1286" s="220"/>
      <c r="U1286" s="221"/>
      <c r="V1286" s="220"/>
      <c r="W1286" s="221"/>
      <c r="X1286" s="220"/>
      <c r="Y1286" s="221"/>
      <c r="Z1286" s="220"/>
      <c r="AA1286" s="221"/>
      <c r="AB1286" s="220"/>
      <c r="AC1286" s="221"/>
      <c r="AD1286" s="220"/>
      <c r="AE1286" s="221"/>
      <c r="AF1286" s="309"/>
      <c r="AG1286" s="309"/>
    </row>
    <row r="1287" spans="2:33" s="4" customFormat="1" ht="27.75" customHeight="1">
      <c r="B1287" s="293"/>
      <c r="C1287" s="294"/>
      <c r="D1287" s="252"/>
      <c r="E1287" s="252"/>
      <c r="F1287" s="252"/>
      <c r="G1287" s="242"/>
      <c r="H1287" s="242"/>
      <c r="I1287" s="252"/>
      <c r="J1287" s="255"/>
      <c r="K1287" s="255"/>
      <c r="L1287" s="352"/>
      <c r="M1287" s="353"/>
      <c r="N1287" s="220"/>
      <c r="O1287" s="221"/>
      <c r="P1287" s="220"/>
      <c r="Q1287" s="221"/>
      <c r="R1287" s="220"/>
      <c r="S1287" s="221"/>
      <c r="T1287" s="220"/>
      <c r="U1287" s="221"/>
      <c r="V1287" s="220"/>
      <c r="W1287" s="221"/>
      <c r="X1287" s="220"/>
      <c r="Y1287" s="221"/>
      <c r="Z1287" s="220"/>
      <c r="AA1287" s="221"/>
      <c r="AB1287" s="220"/>
      <c r="AC1287" s="221"/>
      <c r="AD1287" s="220"/>
      <c r="AE1287" s="221"/>
      <c r="AF1287" s="269" t="s">
        <v>8</v>
      </c>
      <c r="AG1287" s="270"/>
    </row>
    <row r="1288" spans="2:33" s="4" customFormat="1" ht="27.75" customHeight="1">
      <c r="B1288" s="293"/>
      <c r="C1288" s="294"/>
      <c r="D1288" s="252"/>
      <c r="E1288" s="252"/>
      <c r="F1288" s="252"/>
      <c r="G1288" s="242"/>
      <c r="H1288" s="242"/>
      <c r="I1288" s="252"/>
      <c r="J1288" s="255"/>
      <c r="K1288" s="255"/>
      <c r="L1288" s="352"/>
      <c r="M1288" s="353"/>
      <c r="N1288" s="220"/>
      <c r="O1288" s="221"/>
      <c r="P1288" s="220"/>
      <c r="Q1288" s="221"/>
      <c r="R1288" s="220"/>
      <c r="S1288" s="221"/>
      <c r="T1288" s="220"/>
      <c r="U1288" s="221"/>
      <c r="V1288" s="220"/>
      <c r="W1288" s="221"/>
      <c r="X1288" s="220"/>
      <c r="Y1288" s="221"/>
      <c r="Z1288" s="220"/>
      <c r="AA1288" s="221"/>
      <c r="AB1288" s="220"/>
      <c r="AC1288" s="221"/>
      <c r="AD1288" s="220"/>
      <c r="AE1288" s="221"/>
      <c r="AF1288" s="271"/>
      <c r="AG1288" s="272"/>
    </row>
    <row r="1289" spans="2:33" s="4" customFormat="1" ht="27.75" customHeight="1">
      <c r="B1289" s="293"/>
      <c r="C1289" s="294"/>
      <c r="D1289" s="252"/>
      <c r="E1289" s="252"/>
      <c r="F1289" s="252"/>
      <c r="G1289" s="242"/>
      <c r="H1289" s="242"/>
      <c r="I1289" s="252"/>
      <c r="J1289" s="255"/>
      <c r="K1289" s="255"/>
      <c r="L1289" s="352"/>
      <c r="M1289" s="353"/>
      <c r="N1289" s="220"/>
      <c r="O1289" s="221"/>
      <c r="P1289" s="220"/>
      <c r="Q1289" s="221"/>
      <c r="R1289" s="220"/>
      <c r="S1289" s="221"/>
      <c r="T1289" s="220"/>
      <c r="U1289" s="221"/>
      <c r="V1289" s="220"/>
      <c r="W1289" s="221"/>
      <c r="X1289" s="220"/>
      <c r="Y1289" s="221"/>
      <c r="Z1289" s="220"/>
      <c r="AA1289" s="221"/>
      <c r="AB1289" s="220"/>
      <c r="AC1289" s="221"/>
      <c r="AD1289" s="220"/>
      <c r="AE1289" s="221"/>
      <c r="AF1289" s="271"/>
      <c r="AG1289" s="272"/>
    </row>
    <row r="1290" spans="2:33" s="4" customFormat="1" ht="27.75" customHeight="1">
      <c r="B1290" s="293"/>
      <c r="C1290" s="294"/>
      <c r="D1290" s="252"/>
      <c r="E1290" s="252"/>
      <c r="F1290" s="252"/>
      <c r="G1290" s="242"/>
      <c r="H1290" s="242"/>
      <c r="I1290" s="252"/>
      <c r="J1290" s="255"/>
      <c r="K1290" s="255"/>
      <c r="L1290" s="352"/>
      <c r="M1290" s="353"/>
      <c r="N1290" s="220"/>
      <c r="O1290" s="221"/>
      <c r="P1290" s="220"/>
      <c r="Q1290" s="221"/>
      <c r="R1290" s="220"/>
      <c r="S1290" s="221"/>
      <c r="T1290" s="220"/>
      <c r="U1290" s="221"/>
      <c r="V1290" s="220"/>
      <c r="W1290" s="221"/>
      <c r="X1290" s="220"/>
      <c r="Y1290" s="221"/>
      <c r="Z1290" s="220"/>
      <c r="AA1290" s="221"/>
      <c r="AB1290" s="220"/>
      <c r="AC1290" s="221"/>
      <c r="AD1290" s="220"/>
      <c r="AE1290" s="221"/>
      <c r="AF1290" s="271"/>
      <c r="AG1290" s="272"/>
    </row>
    <row r="1291" spans="2:33" s="4" customFormat="1" ht="27.75" customHeight="1">
      <c r="B1291" s="293"/>
      <c r="C1291" s="294"/>
      <c r="D1291" s="252"/>
      <c r="E1291" s="252"/>
      <c r="F1291" s="252"/>
      <c r="G1291" s="242"/>
      <c r="H1291" s="242"/>
      <c r="I1291" s="252"/>
      <c r="J1291" s="255"/>
      <c r="K1291" s="255"/>
      <c r="L1291" s="352"/>
      <c r="M1291" s="353"/>
      <c r="N1291" s="220"/>
      <c r="O1291" s="221"/>
      <c r="P1291" s="220"/>
      <c r="Q1291" s="221"/>
      <c r="R1291" s="220"/>
      <c r="S1291" s="221"/>
      <c r="T1291" s="220"/>
      <c r="U1291" s="221"/>
      <c r="V1291" s="220"/>
      <c r="W1291" s="221"/>
      <c r="X1291" s="220"/>
      <c r="Y1291" s="221"/>
      <c r="Z1291" s="220"/>
      <c r="AA1291" s="221"/>
      <c r="AB1291" s="220"/>
      <c r="AC1291" s="221"/>
      <c r="AD1291" s="220"/>
      <c r="AE1291" s="221"/>
      <c r="AF1291" s="271"/>
      <c r="AG1291" s="272"/>
    </row>
    <row r="1292" spans="2:33" s="5" customFormat="1" ht="27.75" customHeight="1">
      <c r="B1292" s="295"/>
      <c r="C1292" s="296"/>
      <c r="D1292" s="253"/>
      <c r="E1292" s="253"/>
      <c r="F1292" s="253"/>
      <c r="G1292" s="243"/>
      <c r="H1292" s="243"/>
      <c r="I1292" s="253"/>
      <c r="J1292" s="256"/>
      <c r="K1292" s="256"/>
      <c r="L1292" s="354"/>
      <c r="M1292" s="355"/>
      <c r="N1292" s="222"/>
      <c r="O1292" s="223"/>
      <c r="P1292" s="222"/>
      <c r="Q1292" s="223"/>
      <c r="R1292" s="222"/>
      <c r="S1292" s="223"/>
      <c r="T1292" s="222"/>
      <c r="U1292" s="223"/>
      <c r="V1292" s="222"/>
      <c r="W1292" s="223"/>
      <c r="X1292" s="222"/>
      <c r="Y1292" s="223"/>
      <c r="Z1292" s="222"/>
      <c r="AA1292" s="223"/>
      <c r="AB1292" s="222"/>
      <c r="AC1292" s="223"/>
      <c r="AD1292" s="222"/>
      <c r="AE1292" s="223"/>
      <c r="AF1292" s="271"/>
      <c r="AG1292" s="272"/>
    </row>
    <row r="1293" spans="2:33" s="7" customFormat="1" ht="21.75" customHeight="1" thickBot="1">
      <c r="B1293" s="56" t="s">
        <v>1</v>
      </c>
      <c r="C1293" s="56" t="s">
        <v>2</v>
      </c>
      <c r="D1293" s="57"/>
      <c r="E1293" s="57" t="s">
        <v>14</v>
      </c>
      <c r="F1293" s="57" t="s">
        <v>14</v>
      </c>
      <c r="G1293" s="57"/>
      <c r="H1293" s="57"/>
      <c r="I1293" s="57" t="s">
        <v>21</v>
      </c>
      <c r="J1293" s="57" t="s">
        <v>21</v>
      </c>
      <c r="K1293" s="57" t="s">
        <v>21</v>
      </c>
      <c r="L1293" s="208"/>
      <c r="M1293" s="210"/>
      <c r="N1293" s="208" t="s">
        <v>20</v>
      </c>
      <c r="O1293" s="210"/>
      <c r="P1293" s="208" t="s">
        <v>20</v>
      </c>
      <c r="Q1293" s="210"/>
      <c r="R1293" s="208" t="s">
        <v>20</v>
      </c>
      <c r="S1293" s="210"/>
      <c r="T1293" s="208" t="s">
        <v>40</v>
      </c>
      <c r="U1293" s="210"/>
      <c r="V1293" s="208" t="s">
        <v>40</v>
      </c>
      <c r="W1293" s="210"/>
      <c r="X1293" s="208" t="s">
        <v>21</v>
      </c>
      <c r="Y1293" s="210"/>
      <c r="Z1293" s="208" t="s">
        <v>21</v>
      </c>
      <c r="AA1293" s="210"/>
      <c r="AB1293" s="208" t="s">
        <v>20</v>
      </c>
      <c r="AC1293" s="210"/>
      <c r="AD1293" s="208" t="s">
        <v>20</v>
      </c>
      <c r="AE1293" s="210"/>
      <c r="AF1293" s="271"/>
      <c r="AG1293" s="272"/>
    </row>
    <row r="1294" spans="1:33" s="4" customFormat="1" ht="21.75" customHeight="1">
      <c r="A1294" s="30">
        <v>1</v>
      </c>
      <c r="B1294" s="291"/>
      <c r="C1294" s="292"/>
      <c r="D1294" s="42"/>
      <c r="E1294" s="24"/>
      <c r="F1294" s="42"/>
      <c r="G1294" s="42"/>
      <c r="H1294" s="42"/>
      <c r="I1294" s="43"/>
      <c r="J1294" s="58"/>
      <c r="K1294" s="58"/>
      <c r="L1294" s="346"/>
      <c r="M1294" s="263"/>
      <c r="N1294" s="227" t="s">
        <v>59</v>
      </c>
      <c r="O1294" s="227" t="s">
        <v>92</v>
      </c>
      <c r="P1294" s="227" t="s">
        <v>59</v>
      </c>
      <c r="Q1294" s="227" t="s">
        <v>92</v>
      </c>
      <c r="R1294" s="227" t="s">
        <v>59</v>
      </c>
      <c r="S1294" s="227" t="s">
        <v>92</v>
      </c>
      <c r="T1294" s="227" t="s">
        <v>59</v>
      </c>
      <c r="U1294" s="227" t="s">
        <v>92</v>
      </c>
      <c r="V1294" s="227" t="s">
        <v>59</v>
      </c>
      <c r="W1294" s="227" t="s">
        <v>92</v>
      </c>
      <c r="X1294" s="227" t="s">
        <v>59</v>
      </c>
      <c r="Y1294" s="227" t="s">
        <v>92</v>
      </c>
      <c r="Z1294" s="227" t="s">
        <v>59</v>
      </c>
      <c r="AA1294" s="227" t="s">
        <v>92</v>
      </c>
      <c r="AB1294" s="227" t="s">
        <v>59</v>
      </c>
      <c r="AC1294" s="227" t="s">
        <v>92</v>
      </c>
      <c r="AD1294" s="227" t="s">
        <v>59</v>
      </c>
      <c r="AE1294" s="227" t="s">
        <v>92</v>
      </c>
      <c r="AF1294" s="271"/>
      <c r="AG1294" s="272"/>
    </row>
    <row r="1295" spans="1:33" s="4" customFormat="1" ht="21.75" customHeight="1">
      <c r="A1295" s="30">
        <v>2</v>
      </c>
      <c r="B1295" s="260" t="s">
        <v>54</v>
      </c>
      <c r="C1295" s="261"/>
      <c r="D1295" s="261"/>
      <c r="E1295" s="261"/>
      <c r="F1295" s="261"/>
      <c r="G1295" s="261"/>
      <c r="H1295" s="261"/>
      <c r="I1295" s="262"/>
      <c r="J1295" s="39"/>
      <c r="K1295" s="39"/>
      <c r="L1295" s="347"/>
      <c r="M1295" s="264"/>
      <c r="N1295" s="228"/>
      <c r="O1295" s="228"/>
      <c r="P1295" s="228"/>
      <c r="Q1295" s="228"/>
      <c r="R1295" s="228"/>
      <c r="S1295" s="228"/>
      <c r="T1295" s="228"/>
      <c r="U1295" s="228"/>
      <c r="V1295" s="228"/>
      <c r="W1295" s="228"/>
      <c r="X1295" s="228"/>
      <c r="Y1295" s="228"/>
      <c r="Z1295" s="228"/>
      <c r="AA1295" s="228"/>
      <c r="AB1295" s="228"/>
      <c r="AC1295" s="228"/>
      <c r="AD1295" s="228"/>
      <c r="AE1295" s="228"/>
      <c r="AF1295" s="271"/>
      <c r="AG1295" s="272"/>
    </row>
    <row r="1296" spans="1:33" s="4" customFormat="1" ht="21.75" customHeight="1">
      <c r="A1296" s="30">
        <v>3</v>
      </c>
      <c r="B1296" s="67" t="s">
        <v>55</v>
      </c>
      <c r="C1296" s="46"/>
      <c r="D1296" s="39"/>
      <c r="E1296" s="24"/>
      <c r="F1296" s="24"/>
      <c r="G1296" s="24"/>
      <c r="H1296" s="24"/>
      <c r="I1296" s="24"/>
      <c r="J1296" s="24"/>
      <c r="K1296" s="24"/>
      <c r="L1296" s="24"/>
      <c r="M1296" s="61"/>
      <c r="N1296" s="24"/>
      <c r="O1296" s="24"/>
      <c r="P1296" s="24"/>
      <c r="Q1296" s="24"/>
      <c r="R1296" s="24"/>
      <c r="S1296" s="61"/>
      <c r="T1296" s="24"/>
      <c r="U1296" s="61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  <c r="AF1296" s="271"/>
      <c r="AG1296" s="272"/>
    </row>
    <row r="1297" spans="1:33" s="4" customFormat="1" ht="21.75" customHeight="1">
      <c r="A1297" s="30">
        <v>4</v>
      </c>
      <c r="B1297" s="38">
        <v>848</v>
      </c>
      <c r="C1297" s="38">
        <v>1153.75</v>
      </c>
      <c r="D1297" s="39" t="s">
        <v>34</v>
      </c>
      <c r="E1297" s="24">
        <f>C1297-B1297</f>
        <v>305.75</v>
      </c>
      <c r="F1297" s="66">
        <v>10</v>
      </c>
      <c r="G1297" s="24"/>
      <c r="H1297" s="24"/>
      <c r="I1297" s="24">
        <f>ROUND($E1297*$F1297,2)</f>
        <v>3057.5</v>
      </c>
      <c r="J1297" s="24"/>
      <c r="K1297" s="24"/>
      <c r="L1297" s="24"/>
      <c r="M1297" s="24"/>
      <c r="N1297" s="61"/>
      <c r="O1297" s="24"/>
      <c r="P1297" s="24"/>
      <c r="Q1297" s="24"/>
      <c r="R1297" s="24">
        <f>ROUND(((($I1297)*(R$1352/12))/27)*R$1353,2)</f>
        <v>24.91</v>
      </c>
      <c r="S1297" s="24">
        <f>ROUND(((($I1297)*(S$1352/12))/27)*S$1353,2)</f>
        <v>31.71</v>
      </c>
      <c r="T1297" s="24"/>
      <c r="U1297" s="24"/>
      <c r="V1297" s="24">
        <f>ROUND(($I1297/9)*V$1353,2)</f>
        <v>149.48</v>
      </c>
      <c r="W1297" s="24">
        <f>ROUND(($I1297/9)*W$1353,2)</f>
        <v>190.24</v>
      </c>
      <c r="X1297" s="24"/>
      <c r="Y1297" s="24"/>
      <c r="Z1297" s="24"/>
      <c r="AA1297" s="24"/>
      <c r="AB1297" s="24"/>
      <c r="AC1297" s="24"/>
      <c r="AD1297" s="24"/>
      <c r="AE1297" s="24"/>
      <c r="AF1297" s="271"/>
      <c r="AG1297" s="272"/>
    </row>
    <row r="1298" spans="1:33" s="4" customFormat="1" ht="21.75" customHeight="1">
      <c r="A1298" s="30">
        <v>5</v>
      </c>
      <c r="B1298" s="38">
        <v>848</v>
      </c>
      <c r="C1298" s="38">
        <v>1153.75</v>
      </c>
      <c r="D1298" s="39" t="s">
        <v>17</v>
      </c>
      <c r="E1298" s="24">
        <f>C1298-B1298</f>
        <v>305.75</v>
      </c>
      <c r="F1298" s="66">
        <v>4</v>
      </c>
      <c r="G1298" s="24"/>
      <c r="H1298" s="24"/>
      <c r="I1298" s="24">
        <f>ROUND($E1298*$F1298,2)</f>
        <v>1223</v>
      </c>
      <c r="J1298" s="24"/>
      <c r="K1298" s="24"/>
      <c r="L1298" s="24"/>
      <c r="M1298" s="24"/>
      <c r="N1298" s="61">
        <f>ROUND(((($I1298)*(N$1352/12))/27)*N$1353,2)</f>
        <v>6.64</v>
      </c>
      <c r="O1298" s="61">
        <f>ROUND(((($I1298)*(O$1352/12))/27)*O$1353,2)</f>
        <v>8.46</v>
      </c>
      <c r="P1298" s="24"/>
      <c r="Q1298" s="24"/>
      <c r="R1298" s="24"/>
      <c r="S1298" s="24"/>
      <c r="T1298" s="24">
        <f>ROUND(($I1298/9)*T$1353,2)</f>
        <v>59.79</v>
      </c>
      <c r="U1298" s="24">
        <f>ROUND(($I1298/9)*U$1353,2)</f>
        <v>76.1</v>
      </c>
      <c r="V1298" s="24"/>
      <c r="W1298" s="24"/>
      <c r="X1298" s="24">
        <f>ROUND($I1298*X$1353,2)</f>
        <v>538.12</v>
      </c>
      <c r="Y1298" s="24">
        <f>ROUND($I1298*Y$1353,2)</f>
        <v>684.88</v>
      </c>
      <c r="Z1298" s="24"/>
      <c r="AA1298" s="24"/>
      <c r="AB1298" s="24"/>
      <c r="AC1298" s="24"/>
      <c r="AD1298" s="24"/>
      <c r="AE1298" s="24"/>
      <c r="AF1298" s="271"/>
      <c r="AG1298" s="272"/>
    </row>
    <row r="1299" spans="1:33" s="4" customFormat="1" ht="21.75" customHeight="1">
      <c r="A1299" s="30">
        <v>6</v>
      </c>
      <c r="B1299" s="38">
        <v>848</v>
      </c>
      <c r="C1299" s="38">
        <v>1153.75</v>
      </c>
      <c r="D1299" s="39" t="s">
        <v>16</v>
      </c>
      <c r="E1299" s="24">
        <f>C1299-B1299</f>
        <v>305.75</v>
      </c>
      <c r="F1299" s="66">
        <v>4</v>
      </c>
      <c r="G1299" s="24"/>
      <c r="H1299" s="24"/>
      <c r="I1299" s="24">
        <f>ROUND($E1299*$F1299,2)</f>
        <v>1223</v>
      </c>
      <c r="J1299" s="24"/>
      <c r="K1299" s="24"/>
      <c r="L1299" s="24"/>
      <c r="M1299" s="24"/>
      <c r="N1299" s="61">
        <f>ROUND(((($I1299)*(N$1352/12))/27)*N$1353,2)</f>
        <v>6.64</v>
      </c>
      <c r="O1299" s="61">
        <f>ROUND(((($I1299)*(O$1352/12))/27)*O$1353,2)</f>
        <v>8.46</v>
      </c>
      <c r="P1299" s="24"/>
      <c r="Q1299" s="24"/>
      <c r="R1299" s="24"/>
      <c r="S1299" s="24"/>
      <c r="T1299" s="24">
        <f>ROUND(($I1299/9)*T$1353,2)</f>
        <v>59.79</v>
      </c>
      <c r="U1299" s="24">
        <f>ROUND(($I1299/9)*U$1353,2)</f>
        <v>76.1</v>
      </c>
      <c r="V1299" s="24"/>
      <c r="W1299" s="24"/>
      <c r="X1299" s="24">
        <f>ROUND($I1299*X$1353,2)</f>
        <v>538.12</v>
      </c>
      <c r="Y1299" s="24">
        <f>ROUND($I1299*Y$1353,2)</f>
        <v>684.88</v>
      </c>
      <c r="Z1299" s="24"/>
      <c r="AA1299" s="24"/>
      <c r="AB1299" s="24"/>
      <c r="AC1299" s="24"/>
      <c r="AD1299" s="24"/>
      <c r="AE1299" s="24"/>
      <c r="AF1299" s="271"/>
      <c r="AG1299" s="272"/>
    </row>
    <row r="1300" spans="1:33" s="4" customFormat="1" ht="21.75" customHeight="1">
      <c r="A1300" s="30">
        <v>7</v>
      </c>
      <c r="B1300" s="38">
        <v>848</v>
      </c>
      <c r="C1300" s="38">
        <v>1153.75</v>
      </c>
      <c r="D1300" s="39" t="s">
        <v>17</v>
      </c>
      <c r="E1300" s="24">
        <f>C1300-B1300</f>
        <v>305.75</v>
      </c>
      <c r="F1300" s="213" t="s">
        <v>13</v>
      </c>
      <c r="G1300" s="214"/>
      <c r="H1300" s="214"/>
      <c r="I1300" s="215"/>
      <c r="J1300" s="24">
        <f>ROUND(955.11553,2)</f>
        <v>955.12</v>
      </c>
      <c r="K1300" s="24"/>
      <c r="L1300" s="24"/>
      <c r="M1300" s="24"/>
      <c r="N1300" s="61"/>
      <c r="O1300" s="24"/>
      <c r="P1300" s="24"/>
      <c r="Q1300" s="24"/>
      <c r="R1300" s="24">
        <f>ROUND(((($J1300)*(R$1352/12))/27)*R$1353,2)</f>
        <v>7.78</v>
      </c>
      <c r="S1300" s="24">
        <f>ROUND(((($J1300)*(S$1352/12))/27)*S$1353,2)</f>
        <v>9.9</v>
      </c>
      <c r="T1300" s="24"/>
      <c r="U1300" s="24"/>
      <c r="V1300" s="24"/>
      <c r="W1300" s="24"/>
      <c r="X1300" s="24"/>
      <c r="Y1300" s="24"/>
      <c r="Z1300" s="24">
        <f>ROUND($J1300*Z$1353,2)</f>
        <v>420.25</v>
      </c>
      <c r="AA1300" s="24">
        <f>ROUND($J1300*AA$1353,2)</f>
        <v>534.87</v>
      </c>
      <c r="AB1300" s="24"/>
      <c r="AC1300" s="24"/>
      <c r="AD1300" s="24"/>
      <c r="AE1300" s="24"/>
      <c r="AF1300" s="271"/>
      <c r="AG1300" s="272"/>
    </row>
    <row r="1301" spans="1:33" s="4" customFormat="1" ht="21.75" customHeight="1">
      <c r="A1301" s="30">
        <v>8</v>
      </c>
      <c r="B1301" s="38">
        <v>848</v>
      </c>
      <c r="C1301" s="38">
        <v>1153.75</v>
      </c>
      <c r="D1301" s="39" t="s">
        <v>16</v>
      </c>
      <c r="E1301" s="24">
        <f>C1301-B1301</f>
        <v>305.75</v>
      </c>
      <c r="F1301" s="213" t="s">
        <v>13</v>
      </c>
      <c r="G1301" s="214"/>
      <c r="H1301" s="214"/>
      <c r="I1301" s="215"/>
      <c r="J1301" s="24">
        <f>ROUND(1869.3955,2)</f>
        <v>1869.4</v>
      </c>
      <c r="K1301" s="24"/>
      <c r="L1301" s="24"/>
      <c r="M1301" s="24"/>
      <c r="N1301" s="61"/>
      <c r="O1301" s="24"/>
      <c r="P1301" s="24"/>
      <c r="Q1301" s="24"/>
      <c r="R1301" s="24">
        <f>ROUND(((($J1301)*(R$1352/12))/27)*R$1353,2)</f>
        <v>15.23</v>
      </c>
      <c r="S1301" s="24">
        <f>ROUND(((($J1301)*(S$1352/12))/27)*S$1353,2)</f>
        <v>19.39</v>
      </c>
      <c r="T1301" s="24"/>
      <c r="U1301" s="24"/>
      <c r="V1301" s="24"/>
      <c r="W1301" s="24"/>
      <c r="X1301" s="24"/>
      <c r="Y1301" s="24"/>
      <c r="Z1301" s="24">
        <f>ROUND($J1301*Z$1353,2)</f>
        <v>822.54</v>
      </c>
      <c r="AA1301" s="24">
        <f>ROUND($J1301*AA$1353,2)</f>
        <v>1046.86</v>
      </c>
      <c r="AB1301" s="24"/>
      <c r="AC1301" s="24"/>
      <c r="AD1301" s="24"/>
      <c r="AE1301" s="24"/>
      <c r="AF1301" s="271"/>
      <c r="AG1301" s="272"/>
    </row>
    <row r="1302" spans="1:33" s="4" customFormat="1" ht="21.75" customHeight="1">
      <c r="A1302" s="30">
        <v>9</v>
      </c>
      <c r="B1302" s="38"/>
      <c r="C1302" s="38"/>
      <c r="D1302" s="39"/>
      <c r="E1302" s="24"/>
      <c r="F1302" s="66"/>
      <c r="G1302" s="24"/>
      <c r="H1302" s="24"/>
      <c r="I1302" s="24"/>
      <c r="J1302" s="24"/>
      <c r="K1302" s="24"/>
      <c r="L1302" s="24"/>
      <c r="M1302" s="24"/>
      <c r="N1302" s="61"/>
      <c r="O1302" s="24"/>
      <c r="P1302" s="24"/>
      <c r="Q1302" s="24"/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/>
      <c r="AC1302" s="24"/>
      <c r="AD1302" s="24"/>
      <c r="AE1302" s="24"/>
      <c r="AF1302" s="271"/>
      <c r="AG1302" s="272"/>
    </row>
    <row r="1303" spans="1:33" s="4" customFormat="1" ht="21.75" customHeight="1">
      <c r="A1303" s="30">
        <v>10</v>
      </c>
      <c r="B1303" s="230" t="s">
        <v>100</v>
      </c>
      <c r="C1303" s="231"/>
      <c r="D1303" s="231"/>
      <c r="E1303" s="231"/>
      <c r="F1303" s="231"/>
      <c r="G1303" s="231"/>
      <c r="H1303" s="231"/>
      <c r="I1303" s="232"/>
      <c r="J1303" s="24"/>
      <c r="K1303" s="24"/>
      <c r="L1303" s="24"/>
      <c r="M1303" s="24"/>
      <c r="N1303" s="61"/>
      <c r="O1303" s="24"/>
      <c r="P1303" s="24"/>
      <c r="Q1303" s="24"/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/>
      <c r="AC1303" s="24"/>
      <c r="AD1303" s="24"/>
      <c r="AE1303" s="24"/>
      <c r="AF1303" s="271"/>
      <c r="AG1303" s="272"/>
    </row>
    <row r="1304" spans="1:33" s="4" customFormat="1" ht="21.75" customHeight="1">
      <c r="A1304" s="30">
        <v>11</v>
      </c>
      <c r="B1304" s="67" t="s">
        <v>55</v>
      </c>
      <c r="C1304" s="46"/>
      <c r="D1304" s="39"/>
      <c r="E1304" s="24"/>
      <c r="F1304" s="24"/>
      <c r="G1304" s="24"/>
      <c r="H1304" s="24"/>
      <c r="I1304" s="24"/>
      <c r="J1304" s="24"/>
      <c r="K1304" s="24"/>
      <c r="L1304" s="24"/>
      <c r="M1304" s="24"/>
      <c r="N1304" s="61"/>
      <c r="O1304" s="24"/>
      <c r="P1304" s="24"/>
      <c r="Q1304" s="24"/>
      <c r="R1304" s="24"/>
      <c r="S1304" s="24"/>
      <c r="T1304" s="24"/>
      <c r="U1304" s="24"/>
      <c r="V1304" s="24"/>
      <c r="W1304" s="24"/>
      <c r="X1304" s="24"/>
      <c r="Y1304" s="24"/>
      <c r="Z1304" s="24"/>
      <c r="AA1304" s="24"/>
      <c r="AB1304" s="24"/>
      <c r="AC1304" s="24"/>
      <c r="AD1304" s="24"/>
      <c r="AE1304" s="24"/>
      <c r="AF1304" s="271"/>
      <c r="AG1304" s="272"/>
    </row>
    <row r="1305" spans="1:33" s="4" customFormat="1" ht="21.75" customHeight="1">
      <c r="A1305" s="30">
        <v>12</v>
      </c>
      <c r="B1305" s="38">
        <v>362.36</v>
      </c>
      <c r="C1305" s="38">
        <v>1500.62</v>
      </c>
      <c r="D1305" s="39" t="s">
        <v>17</v>
      </c>
      <c r="E1305" s="24">
        <f>C1305-B1305</f>
        <v>1138.2599999999998</v>
      </c>
      <c r="F1305" s="66">
        <v>5</v>
      </c>
      <c r="G1305" s="24"/>
      <c r="H1305" s="24"/>
      <c r="I1305" s="24">
        <f>ROUND($E1305*$F1305,2)</f>
        <v>5691.3</v>
      </c>
      <c r="J1305" s="24"/>
      <c r="K1305" s="24">
        <f>IF($H1305=0,ROUND($E1305*(K$1352/12),2),ROUND($E1305*$H1305*(J$905/12),2))</f>
        <v>569.13</v>
      </c>
      <c r="L1305" s="24"/>
      <c r="M1305" s="24"/>
      <c r="N1305" s="61"/>
      <c r="O1305" s="24"/>
      <c r="P1305" s="24">
        <f>ROUND(((($I1305+$K1305)*(P$1352/12))/27)*P$1353,2)</f>
        <v>42.51</v>
      </c>
      <c r="Q1305" s="24">
        <f>ROUND(((($I1305+$K1305)*(Q$1352/12))/27)*Q$1353,2)</f>
        <v>54.1</v>
      </c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>
        <f>ROUND((($I1305*(AB$1352/12))/27)*AB$1353,2)</f>
        <v>9.66</v>
      </c>
      <c r="AC1305" s="24">
        <f>ROUND((($I1305*(AC$1352/12))/27)*AC$1353,2)</f>
        <v>12.3</v>
      </c>
      <c r="AD1305" s="24">
        <f>ROUND((($I1305*(AD$1352/12))/27)*AD$1353,2)</f>
        <v>13.53</v>
      </c>
      <c r="AE1305" s="24">
        <f>ROUND((($I1305*(AE$1352/12))/27)*AE$1353,2)</f>
        <v>17.21</v>
      </c>
      <c r="AF1305" s="271"/>
      <c r="AG1305" s="272"/>
    </row>
    <row r="1306" spans="1:33" s="4" customFormat="1" ht="21.75" customHeight="1">
      <c r="A1306" s="30">
        <v>13</v>
      </c>
      <c r="B1306" s="38">
        <f>C1305</f>
        <v>1500.62</v>
      </c>
      <c r="C1306" s="38">
        <v>1556.56</v>
      </c>
      <c r="D1306" s="39" t="s">
        <v>17</v>
      </c>
      <c r="E1306" s="24">
        <f>C1306-B1306</f>
        <v>55.940000000000055</v>
      </c>
      <c r="F1306" s="66">
        <v>5</v>
      </c>
      <c r="G1306" s="24"/>
      <c r="H1306" s="24"/>
      <c r="I1306" s="24">
        <f>ROUND($E1306*$F1306,2)</f>
        <v>279.7</v>
      </c>
      <c r="J1306" s="24"/>
      <c r="K1306" s="24">
        <f aca="true" t="shared" si="229" ref="K1306:K1313">IF($H1306=0,ROUND($E1306*(K$1352/12),2),ROUND($E1306*$H1306*(J$905/12),2))</f>
        <v>27.97</v>
      </c>
      <c r="L1306" s="24"/>
      <c r="M1306" s="24"/>
      <c r="N1306" s="24"/>
      <c r="O1306" s="24"/>
      <c r="P1306" s="24">
        <f aca="true" t="shared" si="230" ref="P1306:Q1313">ROUND(((($I1306+$K1306)*(P$1352/12))/27)*P$1353,2)</f>
        <v>2.09</v>
      </c>
      <c r="Q1306" s="24">
        <f t="shared" si="230"/>
        <v>2.66</v>
      </c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>
        <f aca="true" t="shared" si="231" ref="AB1306:AE1313">ROUND((($I1306*(AB$1352/12))/27)*AB$1353,2)</f>
        <v>0.47</v>
      </c>
      <c r="AC1306" s="24">
        <f t="shared" si="231"/>
        <v>0.6</v>
      </c>
      <c r="AD1306" s="24">
        <f t="shared" si="231"/>
        <v>0.66</v>
      </c>
      <c r="AE1306" s="24">
        <f t="shared" si="231"/>
        <v>0.85</v>
      </c>
      <c r="AF1306" s="271"/>
      <c r="AG1306" s="272"/>
    </row>
    <row r="1307" spans="1:33" s="4" customFormat="1" ht="21.75" customHeight="1">
      <c r="A1307" s="30">
        <v>14</v>
      </c>
      <c r="B1307" s="38">
        <f>C1306</f>
        <v>1556.56</v>
      </c>
      <c r="C1307" s="38">
        <v>1939.59</v>
      </c>
      <c r="D1307" s="39" t="s">
        <v>17</v>
      </c>
      <c r="E1307" s="24">
        <f>C1307-B1307</f>
        <v>383.03</v>
      </c>
      <c r="F1307" s="66">
        <v>5</v>
      </c>
      <c r="G1307" s="24"/>
      <c r="H1307" s="24"/>
      <c r="I1307" s="24">
        <f>ROUND($E1307*$F1307,2)</f>
        <v>1915.15</v>
      </c>
      <c r="J1307" s="24"/>
      <c r="K1307" s="24">
        <f t="shared" si="229"/>
        <v>191.52</v>
      </c>
      <c r="L1307" s="24"/>
      <c r="M1307" s="24"/>
      <c r="N1307" s="61"/>
      <c r="O1307" s="24"/>
      <c r="P1307" s="24">
        <f t="shared" si="230"/>
        <v>14.3</v>
      </c>
      <c r="Q1307" s="24">
        <f t="shared" si="230"/>
        <v>18.21</v>
      </c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>
        <f t="shared" si="231"/>
        <v>3.25</v>
      </c>
      <c r="AC1307" s="24">
        <f t="shared" si="231"/>
        <v>4.14</v>
      </c>
      <c r="AD1307" s="24">
        <f t="shared" si="231"/>
        <v>4.55</v>
      </c>
      <c r="AE1307" s="24">
        <f t="shared" si="231"/>
        <v>5.79</v>
      </c>
      <c r="AF1307" s="271"/>
      <c r="AG1307" s="272"/>
    </row>
    <row r="1308" spans="1:33" s="4" customFormat="1" ht="21.75" customHeight="1">
      <c r="A1308" s="30">
        <v>15</v>
      </c>
      <c r="B1308" s="38">
        <f>C1307</f>
        <v>1939.59</v>
      </c>
      <c r="C1308" s="38">
        <v>2257.27</v>
      </c>
      <c r="D1308" s="39" t="s">
        <v>17</v>
      </c>
      <c r="E1308" s="24">
        <f>C1308-B1308</f>
        <v>317.68000000000006</v>
      </c>
      <c r="F1308" s="66">
        <v>5</v>
      </c>
      <c r="G1308" s="24"/>
      <c r="H1308" s="24"/>
      <c r="I1308" s="24">
        <f>ROUND($E1308*$F1308,2)</f>
        <v>1588.4</v>
      </c>
      <c r="J1308" s="24"/>
      <c r="K1308" s="24">
        <f t="shared" si="229"/>
        <v>158.84</v>
      </c>
      <c r="L1308" s="24"/>
      <c r="M1308" s="24"/>
      <c r="N1308" s="61"/>
      <c r="O1308" s="24"/>
      <c r="P1308" s="24">
        <f t="shared" si="230"/>
        <v>11.86</v>
      </c>
      <c r="Q1308" s="24">
        <f t="shared" si="230"/>
        <v>15.1</v>
      </c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>
        <f t="shared" si="231"/>
        <v>2.7</v>
      </c>
      <c r="AC1308" s="24">
        <f t="shared" si="231"/>
        <v>3.43</v>
      </c>
      <c r="AD1308" s="24">
        <f t="shared" si="231"/>
        <v>3.77</v>
      </c>
      <c r="AE1308" s="24">
        <f t="shared" si="231"/>
        <v>4.8</v>
      </c>
      <c r="AF1308" s="271"/>
      <c r="AG1308" s="272"/>
    </row>
    <row r="1309" spans="1:33" s="4" customFormat="1" ht="21.75" customHeight="1">
      <c r="A1309" s="30">
        <v>16</v>
      </c>
      <c r="B1309" s="38"/>
      <c r="C1309" s="38"/>
      <c r="D1309" s="39"/>
      <c r="E1309" s="24"/>
      <c r="F1309" s="24"/>
      <c r="G1309" s="24"/>
      <c r="H1309" s="24"/>
      <c r="I1309" s="24"/>
      <c r="J1309" s="24"/>
      <c r="K1309" s="24"/>
      <c r="L1309" s="24"/>
      <c r="M1309" s="24"/>
      <c r="N1309" s="61"/>
      <c r="O1309" s="24"/>
      <c r="P1309" s="24"/>
      <c r="Q1309" s="24"/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/>
      <c r="AC1309" s="24"/>
      <c r="AD1309" s="24"/>
      <c r="AE1309" s="24"/>
      <c r="AF1309" s="271"/>
      <c r="AG1309" s="272"/>
    </row>
    <row r="1310" spans="1:33" s="4" customFormat="1" ht="21.75" customHeight="1">
      <c r="A1310" s="30">
        <v>17</v>
      </c>
      <c r="B1310" s="38">
        <v>362.36</v>
      </c>
      <c r="C1310" s="38">
        <v>1500.62</v>
      </c>
      <c r="D1310" s="39" t="s">
        <v>16</v>
      </c>
      <c r="E1310" s="24">
        <f>C1310-B1310</f>
        <v>1138.2599999999998</v>
      </c>
      <c r="F1310" s="66">
        <v>5</v>
      </c>
      <c r="G1310" s="24"/>
      <c r="H1310" s="24"/>
      <c r="I1310" s="24">
        <f>ROUND($E1310*$F1310,2)</f>
        <v>5691.3</v>
      </c>
      <c r="J1310" s="24"/>
      <c r="K1310" s="24">
        <f t="shared" si="229"/>
        <v>569.13</v>
      </c>
      <c r="L1310" s="24"/>
      <c r="M1310" s="24"/>
      <c r="N1310" s="61"/>
      <c r="O1310" s="24"/>
      <c r="P1310" s="24">
        <f t="shared" si="230"/>
        <v>42.51</v>
      </c>
      <c r="Q1310" s="24">
        <f t="shared" si="230"/>
        <v>54.1</v>
      </c>
      <c r="R1310" s="24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>
        <f t="shared" si="231"/>
        <v>9.66</v>
      </c>
      <c r="AC1310" s="24">
        <f t="shared" si="231"/>
        <v>12.3</v>
      </c>
      <c r="AD1310" s="24">
        <f t="shared" si="231"/>
        <v>13.53</v>
      </c>
      <c r="AE1310" s="24">
        <f t="shared" si="231"/>
        <v>17.21</v>
      </c>
      <c r="AF1310" s="271"/>
      <c r="AG1310" s="272"/>
    </row>
    <row r="1311" spans="1:33" s="4" customFormat="1" ht="21.75" customHeight="1">
      <c r="A1311" s="30">
        <v>18</v>
      </c>
      <c r="B1311" s="38">
        <f>C1310</f>
        <v>1500.62</v>
      </c>
      <c r="C1311" s="38">
        <v>1556.56</v>
      </c>
      <c r="D1311" s="39" t="s">
        <v>16</v>
      </c>
      <c r="E1311" s="24">
        <f>C1311-B1311</f>
        <v>55.940000000000055</v>
      </c>
      <c r="F1311" s="66">
        <v>5</v>
      </c>
      <c r="G1311" s="24"/>
      <c r="H1311" s="24"/>
      <c r="I1311" s="24">
        <f>ROUND($E1311*$F1311,2)</f>
        <v>279.7</v>
      </c>
      <c r="J1311" s="24"/>
      <c r="K1311" s="24">
        <f t="shared" si="229"/>
        <v>27.97</v>
      </c>
      <c r="L1311" s="24"/>
      <c r="M1311" s="24"/>
      <c r="N1311" s="61"/>
      <c r="O1311" s="24"/>
      <c r="P1311" s="24">
        <f t="shared" si="230"/>
        <v>2.09</v>
      </c>
      <c r="Q1311" s="24">
        <f t="shared" si="230"/>
        <v>2.66</v>
      </c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>
        <f t="shared" si="231"/>
        <v>0.47</v>
      </c>
      <c r="AC1311" s="24">
        <f t="shared" si="231"/>
        <v>0.6</v>
      </c>
      <c r="AD1311" s="24">
        <f t="shared" si="231"/>
        <v>0.66</v>
      </c>
      <c r="AE1311" s="24">
        <f t="shared" si="231"/>
        <v>0.85</v>
      </c>
      <c r="AF1311" s="271"/>
      <c r="AG1311" s="272"/>
    </row>
    <row r="1312" spans="1:33" s="4" customFormat="1" ht="21.75" customHeight="1">
      <c r="A1312" s="30">
        <v>19</v>
      </c>
      <c r="B1312" s="38">
        <f>C1311</f>
        <v>1556.56</v>
      </c>
      <c r="C1312" s="38">
        <v>1939.59</v>
      </c>
      <c r="D1312" s="39" t="s">
        <v>16</v>
      </c>
      <c r="E1312" s="24">
        <f>C1312-B1312</f>
        <v>383.03</v>
      </c>
      <c r="F1312" s="66">
        <v>5</v>
      </c>
      <c r="G1312" s="24"/>
      <c r="H1312" s="24"/>
      <c r="I1312" s="24">
        <f>ROUND($E1312*$F1312,2)</f>
        <v>1915.15</v>
      </c>
      <c r="J1312" s="24"/>
      <c r="K1312" s="24">
        <f t="shared" si="229"/>
        <v>191.52</v>
      </c>
      <c r="L1312" s="24"/>
      <c r="M1312" s="24"/>
      <c r="N1312" s="61"/>
      <c r="O1312" s="24"/>
      <c r="P1312" s="24">
        <f t="shared" si="230"/>
        <v>14.3</v>
      </c>
      <c r="Q1312" s="24">
        <f t="shared" si="230"/>
        <v>18.21</v>
      </c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>
        <f t="shared" si="231"/>
        <v>3.25</v>
      </c>
      <c r="AC1312" s="24">
        <f t="shared" si="231"/>
        <v>4.14</v>
      </c>
      <c r="AD1312" s="24">
        <f t="shared" si="231"/>
        <v>4.55</v>
      </c>
      <c r="AE1312" s="24">
        <f t="shared" si="231"/>
        <v>5.79</v>
      </c>
      <c r="AF1312" s="271"/>
      <c r="AG1312" s="272"/>
    </row>
    <row r="1313" spans="1:33" s="4" customFormat="1" ht="21.75" customHeight="1">
      <c r="A1313" s="30">
        <v>20</v>
      </c>
      <c r="B1313" s="38">
        <f>C1312</f>
        <v>1939.59</v>
      </c>
      <c r="C1313" s="38">
        <v>2257.27</v>
      </c>
      <c r="D1313" s="39" t="s">
        <v>16</v>
      </c>
      <c r="E1313" s="24">
        <f>C1313-B1313</f>
        <v>317.68000000000006</v>
      </c>
      <c r="F1313" s="66">
        <v>5</v>
      </c>
      <c r="G1313" s="24"/>
      <c r="H1313" s="24"/>
      <c r="I1313" s="24">
        <f>ROUND($E1313*$F1313,2)</f>
        <v>1588.4</v>
      </c>
      <c r="J1313" s="24"/>
      <c r="K1313" s="24">
        <f t="shared" si="229"/>
        <v>158.84</v>
      </c>
      <c r="L1313" s="24"/>
      <c r="M1313" s="24"/>
      <c r="N1313" s="24"/>
      <c r="O1313" s="24"/>
      <c r="P1313" s="24">
        <f t="shared" si="230"/>
        <v>11.86</v>
      </c>
      <c r="Q1313" s="24">
        <f t="shared" si="230"/>
        <v>15.1</v>
      </c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>
        <f t="shared" si="231"/>
        <v>2.7</v>
      </c>
      <c r="AC1313" s="24">
        <f t="shared" si="231"/>
        <v>3.43</v>
      </c>
      <c r="AD1313" s="24">
        <f t="shared" si="231"/>
        <v>3.77</v>
      </c>
      <c r="AE1313" s="24">
        <f t="shared" si="231"/>
        <v>4.8</v>
      </c>
      <c r="AF1313" s="271"/>
      <c r="AG1313" s="272"/>
    </row>
    <row r="1314" spans="1:33" s="4" customFormat="1" ht="21.75" customHeight="1">
      <c r="A1314" s="30">
        <v>21</v>
      </c>
      <c r="B1314" s="38"/>
      <c r="C1314" s="38"/>
      <c r="D1314" s="39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  <c r="X1314" s="24"/>
      <c r="Y1314" s="24"/>
      <c r="Z1314" s="24"/>
      <c r="AA1314" s="24"/>
      <c r="AB1314" s="24"/>
      <c r="AC1314" s="24"/>
      <c r="AD1314" s="24"/>
      <c r="AE1314" s="24"/>
      <c r="AF1314" s="271"/>
      <c r="AG1314" s="272"/>
    </row>
    <row r="1315" spans="1:33" s="4" customFormat="1" ht="21.75" customHeight="1">
      <c r="A1315" s="30">
        <v>22</v>
      </c>
      <c r="B1315" s="38"/>
      <c r="C1315" s="38"/>
      <c r="D1315" s="39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F1315" s="271"/>
      <c r="AG1315" s="272"/>
    </row>
    <row r="1316" spans="1:33" s="4" customFormat="1" ht="21.75" customHeight="1">
      <c r="A1316" s="30">
        <v>23</v>
      </c>
      <c r="B1316" s="38"/>
      <c r="C1316" s="38"/>
      <c r="D1316" s="39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61"/>
      <c r="P1316" s="61"/>
      <c r="Q1316" s="24"/>
      <c r="R1316" s="24"/>
      <c r="S1316" s="24"/>
      <c r="T1316" s="24"/>
      <c r="U1316" s="24"/>
      <c r="V1316" s="24"/>
      <c r="W1316" s="24"/>
      <c r="X1316" s="24"/>
      <c r="Y1316" s="9"/>
      <c r="Z1316" s="9"/>
      <c r="AA1316" s="9"/>
      <c r="AB1316" s="9"/>
      <c r="AC1316" s="9"/>
      <c r="AD1316" s="9"/>
      <c r="AE1316" s="9"/>
      <c r="AF1316" s="271"/>
      <c r="AG1316" s="272"/>
    </row>
    <row r="1317" spans="1:33" s="4" customFormat="1" ht="21.75" customHeight="1">
      <c r="A1317" s="30">
        <v>24</v>
      </c>
      <c r="B1317" s="38"/>
      <c r="C1317" s="38"/>
      <c r="D1317" s="39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61"/>
      <c r="P1317" s="61"/>
      <c r="Q1317" s="24"/>
      <c r="R1317" s="24"/>
      <c r="S1317" s="24"/>
      <c r="T1317" s="24"/>
      <c r="U1317" s="24"/>
      <c r="V1317" s="24"/>
      <c r="W1317" s="24"/>
      <c r="X1317" s="24"/>
      <c r="Y1317" s="9"/>
      <c r="Z1317" s="9"/>
      <c r="AA1317" s="9"/>
      <c r="AB1317" s="9"/>
      <c r="AC1317" s="9"/>
      <c r="AD1317" s="9"/>
      <c r="AE1317" s="9"/>
      <c r="AF1317" s="271"/>
      <c r="AG1317" s="272"/>
    </row>
    <row r="1318" spans="1:33" s="16" customFormat="1" ht="21.75" customHeight="1">
      <c r="A1318" s="30">
        <v>25</v>
      </c>
      <c r="B1318" s="38"/>
      <c r="C1318" s="38"/>
      <c r="D1318" s="39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61"/>
      <c r="P1318" s="61"/>
      <c r="Q1318" s="24"/>
      <c r="R1318" s="24"/>
      <c r="S1318" s="24"/>
      <c r="T1318" s="24"/>
      <c r="U1318" s="24"/>
      <c r="V1318" s="24"/>
      <c r="W1318" s="24"/>
      <c r="X1318" s="24"/>
      <c r="Y1318" s="9"/>
      <c r="Z1318" s="9"/>
      <c r="AA1318" s="9"/>
      <c r="AB1318" s="9"/>
      <c r="AC1318" s="9"/>
      <c r="AD1318" s="9"/>
      <c r="AE1318" s="9"/>
      <c r="AF1318" s="271"/>
      <c r="AG1318" s="272"/>
    </row>
    <row r="1319" spans="1:33" s="16" customFormat="1" ht="21.75" customHeight="1">
      <c r="A1319" s="30">
        <v>26</v>
      </c>
      <c r="B1319" s="38"/>
      <c r="C1319" s="38"/>
      <c r="D1319" s="39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61"/>
      <c r="P1319" s="61"/>
      <c r="Q1319" s="24"/>
      <c r="R1319" s="24"/>
      <c r="S1319" s="24"/>
      <c r="T1319" s="24"/>
      <c r="U1319" s="24"/>
      <c r="V1319" s="24"/>
      <c r="W1319" s="24"/>
      <c r="X1319" s="24"/>
      <c r="Y1319" s="9"/>
      <c r="Z1319" s="9"/>
      <c r="AA1319" s="9"/>
      <c r="AB1319" s="9"/>
      <c r="AC1319" s="9"/>
      <c r="AD1319" s="9"/>
      <c r="AE1319" s="9"/>
      <c r="AF1319" s="271"/>
      <c r="AG1319" s="272"/>
    </row>
    <row r="1320" spans="1:33" s="16" customFormat="1" ht="21.75" customHeight="1">
      <c r="A1320" s="30">
        <v>27</v>
      </c>
      <c r="B1320" s="38"/>
      <c r="C1320" s="46"/>
      <c r="D1320" s="39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61"/>
      <c r="P1320" s="61"/>
      <c r="Q1320" s="24"/>
      <c r="R1320" s="24"/>
      <c r="S1320" s="24"/>
      <c r="T1320" s="24"/>
      <c r="U1320" s="24"/>
      <c r="V1320" s="24"/>
      <c r="W1320" s="24"/>
      <c r="X1320" s="24"/>
      <c r="Y1320" s="9"/>
      <c r="Z1320" s="9"/>
      <c r="AA1320" s="9"/>
      <c r="AB1320" s="9"/>
      <c r="AC1320" s="9"/>
      <c r="AD1320" s="9"/>
      <c r="AE1320" s="9"/>
      <c r="AF1320" s="271"/>
      <c r="AG1320" s="272"/>
    </row>
    <row r="1321" spans="1:33" s="16" customFormat="1" ht="21.75" customHeight="1">
      <c r="A1321" s="30">
        <v>28</v>
      </c>
      <c r="B1321" s="38"/>
      <c r="C1321" s="46"/>
      <c r="D1321" s="39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61"/>
      <c r="P1321" s="61"/>
      <c r="Q1321" s="24"/>
      <c r="R1321" s="24"/>
      <c r="S1321" s="24"/>
      <c r="T1321" s="24"/>
      <c r="U1321" s="24"/>
      <c r="V1321" s="24"/>
      <c r="W1321" s="24"/>
      <c r="X1321" s="24"/>
      <c r="Y1321" s="9"/>
      <c r="Z1321" s="9"/>
      <c r="AA1321" s="9"/>
      <c r="AB1321" s="9"/>
      <c r="AC1321" s="9"/>
      <c r="AD1321" s="9"/>
      <c r="AE1321" s="9"/>
      <c r="AF1321" s="271"/>
      <c r="AG1321" s="272"/>
    </row>
    <row r="1322" spans="1:33" s="16" customFormat="1" ht="21.75" customHeight="1">
      <c r="A1322" s="30">
        <v>29</v>
      </c>
      <c r="B1322" s="38"/>
      <c r="C1322" s="46"/>
      <c r="D1322" s="39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61"/>
      <c r="P1322" s="61"/>
      <c r="Q1322" s="24"/>
      <c r="R1322" s="24"/>
      <c r="S1322" s="24"/>
      <c r="T1322" s="24"/>
      <c r="U1322" s="24"/>
      <c r="V1322" s="24"/>
      <c r="W1322" s="24"/>
      <c r="X1322" s="24"/>
      <c r="Y1322" s="9"/>
      <c r="Z1322" s="9"/>
      <c r="AA1322" s="9"/>
      <c r="AB1322" s="9"/>
      <c r="AC1322" s="9"/>
      <c r="AD1322" s="9"/>
      <c r="AE1322" s="9"/>
      <c r="AF1322" s="271"/>
      <c r="AG1322" s="272"/>
    </row>
    <row r="1323" spans="1:33" s="4" customFormat="1" ht="21.75" customHeight="1">
      <c r="A1323" s="30">
        <v>30</v>
      </c>
      <c r="B1323" s="38"/>
      <c r="C1323" s="46"/>
      <c r="D1323" s="39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61"/>
      <c r="P1323" s="61"/>
      <c r="Q1323" s="24"/>
      <c r="R1323" s="24"/>
      <c r="S1323" s="24"/>
      <c r="T1323" s="24"/>
      <c r="U1323" s="24"/>
      <c r="V1323" s="24"/>
      <c r="W1323" s="24"/>
      <c r="X1323" s="24"/>
      <c r="Y1323" s="9"/>
      <c r="Z1323" s="9"/>
      <c r="AA1323" s="9"/>
      <c r="AB1323" s="9"/>
      <c r="AC1323" s="9"/>
      <c r="AD1323" s="9"/>
      <c r="AE1323" s="9"/>
      <c r="AF1323" s="271"/>
      <c r="AG1323" s="272"/>
    </row>
    <row r="1324" spans="1:33" s="4" customFormat="1" ht="21.75" customHeight="1">
      <c r="A1324" s="30">
        <v>31</v>
      </c>
      <c r="B1324" s="38"/>
      <c r="C1324" s="46"/>
      <c r="D1324" s="39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61"/>
      <c r="P1324" s="61"/>
      <c r="Q1324" s="24"/>
      <c r="R1324" s="24"/>
      <c r="S1324" s="24"/>
      <c r="T1324" s="24"/>
      <c r="U1324" s="24"/>
      <c r="V1324" s="24"/>
      <c r="W1324" s="24"/>
      <c r="X1324" s="24"/>
      <c r="Y1324" s="9"/>
      <c r="Z1324" s="9"/>
      <c r="AA1324" s="9"/>
      <c r="AB1324" s="9"/>
      <c r="AC1324" s="9"/>
      <c r="AD1324" s="9"/>
      <c r="AE1324" s="9"/>
      <c r="AF1324" s="271"/>
      <c r="AG1324" s="272"/>
    </row>
    <row r="1325" spans="1:33" s="4" customFormat="1" ht="21.75" customHeight="1">
      <c r="A1325" s="30">
        <v>32</v>
      </c>
      <c r="B1325" s="38"/>
      <c r="C1325" s="46"/>
      <c r="D1325" s="39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61"/>
      <c r="P1325" s="61"/>
      <c r="Q1325" s="24"/>
      <c r="R1325" s="24"/>
      <c r="S1325" s="24"/>
      <c r="T1325" s="24"/>
      <c r="U1325" s="24"/>
      <c r="V1325" s="24"/>
      <c r="W1325" s="24"/>
      <c r="X1325" s="24"/>
      <c r="Y1325" s="9"/>
      <c r="Z1325" s="9"/>
      <c r="AA1325" s="9"/>
      <c r="AB1325" s="9"/>
      <c r="AC1325" s="9"/>
      <c r="AD1325" s="9"/>
      <c r="AE1325" s="9"/>
      <c r="AF1325" s="271"/>
      <c r="AG1325" s="272"/>
    </row>
    <row r="1326" spans="1:33" s="4" customFormat="1" ht="21.75" customHeight="1">
      <c r="A1326" s="30">
        <v>33</v>
      </c>
      <c r="B1326" s="38"/>
      <c r="C1326" s="46"/>
      <c r="D1326" s="39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61"/>
      <c r="P1326" s="61"/>
      <c r="Q1326" s="24"/>
      <c r="R1326" s="24"/>
      <c r="S1326" s="24"/>
      <c r="T1326" s="24"/>
      <c r="U1326" s="24"/>
      <c r="V1326" s="24"/>
      <c r="W1326" s="24"/>
      <c r="X1326" s="24"/>
      <c r="Y1326" s="9"/>
      <c r="Z1326" s="9"/>
      <c r="AA1326" s="9"/>
      <c r="AB1326" s="9"/>
      <c r="AC1326" s="9"/>
      <c r="AD1326" s="9"/>
      <c r="AE1326" s="9"/>
      <c r="AF1326" s="271"/>
      <c r="AG1326" s="272"/>
    </row>
    <row r="1327" spans="1:33" s="4" customFormat="1" ht="21.75" customHeight="1">
      <c r="A1327" s="30">
        <v>34</v>
      </c>
      <c r="B1327" s="38"/>
      <c r="C1327" s="46"/>
      <c r="D1327" s="39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61"/>
      <c r="P1327" s="61"/>
      <c r="Q1327" s="24"/>
      <c r="R1327" s="24"/>
      <c r="S1327" s="24"/>
      <c r="T1327" s="24"/>
      <c r="U1327" s="24"/>
      <c r="V1327" s="24"/>
      <c r="W1327" s="24"/>
      <c r="X1327" s="24"/>
      <c r="Y1327" s="9"/>
      <c r="Z1327" s="9"/>
      <c r="AA1327" s="9"/>
      <c r="AB1327" s="9"/>
      <c r="AC1327" s="9"/>
      <c r="AD1327" s="9"/>
      <c r="AE1327" s="9"/>
      <c r="AF1327" s="271"/>
      <c r="AG1327" s="272"/>
    </row>
    <row r="1328" spans="1:33" s="4" customFormat="1" ht="21.75" customHeight="1">
      <c r="A1328" s="30">
        <v>35</v>
      </c>
      <c r="B1328" s="38"/>
      <c r="C1328" s="38"/>
      <c r="D1328" s="39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  <c r="X1328" s="24"/>
      <c r="Y1328" s="9"/>
      <c r="Z1328" s="9"/>
      <c r="AA1328" s="9"/>
      <c r="AB1328" s="9"/>
      <c r="AC1328" s="9"/>
      <c r="AD1328" s="9"/>
      <c r="AE1328" s="9"/>
      <c r="AF1328" s="271"/>
      <c r="AG1328" s="272"/>
    </row>
    <row r="1329" spans="1:33" s="4" customFormat="1" ht="21.75" customHeight="1">
      <c r="A1329" s="30">
        <v>36</v>
      </c>
      <c r="B1329" s="38"/>
      <c r="C1329" s="38"/>
      <c r="D1329" s="39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  <c r="X1329" s="24"/>
      <c r="Y1329" s="9"/>
      <c r="Z1329" s="9"/>
      <c r="AA1329" s="9"/>
      <c r="AB1329" s="9"/>
      <c r="AC1329" s="9"/>
      <c r="AD1329" s="9"/>
      <c r="AE1329" s="9"/>
      <c r="AF1329" s="271"/>
      <c r="AG1329" s="272"/>
    </row>
    <row r="1330" spans="1:33" s="4" customFormat="1" ht="21.75" customHeight="1">
      <c r="A1330" s="30">
        <v>37</v>
      </c>
      <c r="B1330" s="38"/>
      <c r="C1330" s="38"/>
      <c r="D1330" s="39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61"/>
      <c r="P1330" s="61"/>
      <c r="Q1330" s="24"/>
      <c r="R1330" s="24"/>
      <c r="S1330" s="24"/>
      <c r="T1330" s="24"/>
      <c r="U1330" s="24"/>
      <c r="V1330" s="24"/>
      <c r="W1330" s="24"/>
      <c r="X1330" s="24"/>
      <c r="Y1330" s="9"/>
      <c r="Z1330" s="9"/>
      <c r="AA1330" s="9"/>
      <c r="AB1330" s="9"/>
      <c r="AC1330" s="9"/>
      <c r="AD1330" s="9"/>
      <c r="AE1330" s="9"/>
      <c r="AF1330" s="271"/>
      <c r="AG1330" s="272"/>
    </row>
    <row r="1331" spans="1:33" s="4" customFormat="1" ht="21.75" customHeight="1" thickBot="1">
      <c r="A1331" s="30">
        <v>38</v>
      </c>
      <c r="B1331" s="38"/>
      <c r="C1331" s="38"/>
      <c r="D1331" s="39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61"/>
      <c r="P1331" s="61"/>
      <c r="Q1331" s="24"/>
      <c r="R1331" s="24"/>
      <c r="S1331" s="24"/>
      <c r="T1331" s="24"/>
      <c r="U1331" s="24"/>
      <c r="V1331" s="24"/>
      <c r="W1331" s="24"/>
      <c r="X1331" s="24"/>
      <c r="Y1331" s="9"/>
      <c r="Z1331" s="9"/>
      <c r="AA1331" s="9"/>
      <c r="AB1331" s="9"/>
      <c r="AC1331" s="9"/>
      <c r="AD1331" s="9"/>
      <c r="AE1331" s="9"/>
      <c r="AF1331" s="281"/>
      <c r="AG1331" s="275"/>
    </row>
    <row r="1332" spans="1:33" s="4" customFormat="1" ht="21.75" customHeight="1">
      <c r="A1332" s="30">
        <v>39</v>
      </c>
      <c r="B1332" s="38"/>
      <c r="C1332" s="38"/>
      <c r="D1332" s="39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61"/>
      <c r="P1332" s="61"/>
      <c r="Q1332" s="24"/>
      <c r="R1332" s="24"/>
      <c r="S1332" s="24"/>
      <c r="T1332" s="24"/>
      <c r="U1332" s="24"/>
      <c r="V1332" s="24"/>
      <c r="W1332" s="24"/>
      <c r="X1332" s="24"/>
      <c r="Y1332" s="9"/>
      <c r="Z1332" s="9"/>
      <c r="AA1332" s="9"/>
      <c r="AB1332" s="9"/>
      <c r="AC1332" s="9"/>
      <c r="AD1332" s="9"/>
      <c r="AE1332" s="9"/>
      <c r="AF1332" s="269" t="s">
        <v>39</v>
      </c>
      <c r="AG1332" s="270"/>
    </row>
    <row r="1333" spans="1:33" s="4" customFormat="1" ht="21.75" customHeight="1">
      <c r="A1333" s="30">
        <v>40</v>
      </c>
      <c r="B1333" s="38"/>
      <c r="C1333" s="38"/>
      <c r="D1333" s="39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61"/>
      <c r="P1333" s="61"/>
      <c r="Q1333" s="24"/>
      <c r="R1333" s="24"/>
      <c r="S1333" s="24"/>
      <c r="T1333" s="24"/>
      <c r="U1333" s="24"/>
      <c r="V1333" s="24"/>
      <c r="W1333" s="24"/>
      <c r="X1333" s="24"/>
      <c r="Y1333" s="9"/>
      <c r="Z1333" s="9"/>
      <c r="AA1333" s="9"/>
      <c r="AB1333" s="9"/>
      <c r="AC1333" s="9"/>
      <c r="AD1333" s="9"/>
      <c r="AE1333" s="9"/>
      <c r="AF1333" s="271"/>
      <c r="AG1333" s="272"/>
    </row>
    <row r="1334" spans="1:33" s="4" customFormat="1" ht="21.75" customHeight="1">
      <c r="A1334" s="30">
        <v>41</v>
      </c>
      <c r="B1334" s="38"/>
      <c r="C1334" s="38"/>
      <c r="D1334" s="39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  <c r="X1334" s="24"/>
      <c r="Y1334" s="9"/>
      <c r="Z1334" s="9"/>
      <c r="AA1334" s="9"/>
      <c r="AB1334" s="9"/>
      <c r="AC1334" s="9"/>
      <c r="AD1334" s="9"/>
      <c r="AE1334" s="9"/>
      <c r="AF1334" s="271"/>
      <c r="AG1334" s="272"/>
    </row>
    <row r="1335" spans="1:33" s="4" customFormat="1" ht="21.75" customHeight="1">
      <c r="A1335" s="30">
        <v>42</v>
      </c>
      <c r="B1335" s="291"/>
      <c r="C1335" s="292"/>
      <c r="D1335" s="39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  <c r="X1335" s="24"/>
      <c r="Y1335" s="9"/>
      <c r="Z1335" s="9"/>
      <c r="AA1335" s="9"/>
      <c r="AB1335" s="9"/>
      <c r="AC1335" s="9"/>
      <c r="AD1335" s="9"/>
      <c r="AE1335" s="9"/>
      <c r="AF1335" s="271"/>
      <c r="AG1335" s="272"/>
    </row>
    <row r="1336" spans="1:33" s="4" customFormat="1" ht="21.75" customHeight="1">
      <c r="A1336" s="30">
        <v>43</v>
      </c>
      <c r="B1336" s="38"/>
      <c r="C1336" s="38"/>
      <c r="D1336" s="39"/>
      <c r="E1336" s="24"/>
      <c r="F1336" s="24"/>
      <c r="G1336" s="24"/>
      <c r="H1336" s="24"/>
      <c r="I1336" s="24"/>
      <c r="J1336" s="39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  <c r="Y1336" s="9"/>
      <c r="Z1336" s="9"/>
      <c r="AA1336" s="9"/>
      <c r="AB1336" s="9"/>
      <c r="AC1336" s="9"/>
      <c r="AD1336" s="9"/>
      <c r="AE1336" s="9"/>
      <c r="AF1336" s="271"/>
      <c r="AG1336" s="272"/>
    </row>
    <row r="1337" spans="1:33" s="4" customFormat="1" ht="21.75" customHeight="1">
      <c r="A1337" s="30">
        <v>44</v>
      </c>
      <c r="B1337" s="291"/>
      <c r="C1337" s="292"/>
      <c r="D1337" s="47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61"/>
      <c r="P1337" s="61"/>
      <c r="Q1337" s="24"/>
      <c r="R1337" s="24"/>
      <c r="S1337" s="24"/>
      <c r="T1337" s="24"/>
      <c r="U1337" s="24"/>
      <c r="V1337" s="24"/>
      <c r="W1337" s="24"/>
      <c r="X1337" s="24"/>
      <c r="Y1337" s="9"/>
      <c r="Z1337" s="9"/>
      <c r="AA1337" s="9"/>
      <c r="AB1337" s="9"/>
      <c r="AC1337" s="9"/>
      <c r="AD1337" s="9"/>
      <c r="AE1337" s="9"/>
      <c r="AF1337" s="271"/>
      <c r="AG1337" s="272"/>
    </row>
    <row r="1338" spans="1:33" s="4" customFormat="1" ht="21.75" customHeight="1">
      <c r="A1338" s="30">
        <v>45</v>
      </c>
      <c r="B1338" s="38"/>
      <c r="C1338" s="38"/>
      <c r="D1338" s="39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  <c r="X1338" s="24"/>
      <c r="Y1338" s="9"/>
      <c r="Z1338" s="9"/>
      <c r="AA1338" s="9"/>
      <c r="AB1338" s="9"/>
      <c r="AC1338" s="9"/>
      <c r="AD1338" s="9"/>
      <c r="AE1338" s="9"/>
      <c r="AF1338" s="271"/>
      <c r="AG1338" s="272"/>
    </row>
    <row r="1339" spans="1:33" s="4" customFormat="1" ht="21.75" customHeight="1">
      <c r="A1339" s="30">
        <v>46</v>
      </c>
      <c r="B1339" s="291"/>
      <c r="C1339" s="292"/>
      <c r="D1339" s="47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61"/>
      <c r="P1339" s="61"/>
      <c r="Q1339" s="24"/>
      <c r="R1339" s="24"/>
      <c r="S1339" s="24"/>
      <c r="T1339" s="24"/>
      <c r="U1339" s="24"/>
      <c r="V1339" s="24"/>
      <c r="W1339" s="24"/>
      <c r="X1339" s="24"/>
      <c r="Y1339" s="9"/>
      <c r="Z1339" s="9"/>
      <c r="AA1339" s="9"/>
      <c r="AB1339" s="9"/>
      <c r="AC1339" s="9"/>
      <c r="AD1339" s="9"/>
      <c r="AE1339" s="9"/>
      <c r="AF1339" s="271"/>
      <c r="AG1339" s="272"/>
    </row>
    <row r="1340" spans="1:33" s="4" customFormat="1" ht="21.75" customHeight="1">
      <c r="A1340" s="30">
        <v>47</v>
      </c>
      <c r="B1340" s="38"/>
      <c r="C1340" s="38"/>
      <c r="D1340" s="39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61"/>
      <c r="P1340" s="61"/>
      <c r="Q1340" s="24"/>
      <c r="R1340" s="24"/>
      <c r="S1340" s="24"/>
      <c r="T1340" s="24"/>
      <c r="U1340" s="24"/>
      <c r="V1340" s="24"/>
      <c r="W1340" s="24"/>
      <c r="X1340" s="24"/>
      <c r="Y1340" s="9"/>
      <c r="Z1340" s="9"/>
      <c r="AA1340" s="9"/>
      <c r="AB1340" s="9"/>
      <c r="AC1340" s="9"/>
      <c r="AD1340" s="9"/>
      <c r="AE1340" s="9"/>
      <c r="AF1340" s="271"/>
      <c r="AG1340" s="272"/>
    </row>
    <row r="1341" spans="1:33" s="4" customFormat="1" ht="21.75" customHeight="1">
      <c r="A1341" s="30">
        <v>48</v>
      </c>
      <c r="B1341" s="291"/>
      <c r="C1341" s="292"/>
      <c r="D1341" s="39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  <c r="X1341" s="24"/>
      <c r="Y1341" s="9"/>
      <c r="Z1341" s="9"/>
      <c r="AA1341" s="9"/>
      <c r="AB1341" s="9"/>
      <c r="AC1341" s="9"/>
      <c r="AD1341" s="9"/>
      <c r="AE1341" s="9"/>
      <c r="AF1341" s="271"/>
      <c r="AG1341" s="272"/>
    </row>
    <row r="1342" spans="1:33" s="4" customFormat="1" ht="21.75" customHeight="1">
      <c r="A1342" s="30">
        <v>49</v>
      </c>
      <c r="B1342" s="38"/>
      <c r="C1342" s="38"/>
      <c r="D1342" s="39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  <c r="X1342" s="24"/>
      <c r="Y1342" s="9"/>
      <c r="Z1342" s="9"/>
      <c r="AA1342" s="9"/>
      <c r="AB1342" s="9"/>
      <c r="AC1342" s="9"/>
      <c r="AD1342" s="9"/>
      <c r="AE1342" s="9"/>
      <c r="AF1342" s="271"/>
      <c r="AG1342" s="272"/>
    </row>
    <row r="1343" spans="1:33" s="4" customFormat="1" ht="21.75" customHeight="1">
      <c r="A1343" s="30">
        <v>50</v>
      </c>
      <c r="B1343" s="38"/>
      <c r="C1343" s="38"/>
      <c r="D1343" s="39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  <c r="X1343" s="24"/>
      <c r="Y1343" s="9"/>
      <c r="Z1343" s="9"/>
      <c r="AA1343" s="9"/>
      <c r="AB1343" s="9"/>
      <c r="AC1343" s="9"/>
      <c r="AD1343" s="9"/>
      <c r="AE1343" s="9"/>
      <c r="AF1343" s="271"/>
      <c r="AG1343" s="272"/>
    </row>
    <row r="1344" spans="1:33" s="4" customFormat="1" ht="21.75" customHeight="1">
      <c r="A1344" s="30">
        <v>51</v>
      </c>
      <c r="B1344" s="38"/>
      <c r="C1344" s="38"/>
      <c r="D1344" s="39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  <c r="X1344" s="24"/>
      <c r="Y1344" s="9"/>
      <c r="Z1344" s="9"/>
      <c r="AA1344" s="9"/>
      <c r="AB1344" s="9"/>
      <c r="AC1344" s="9"/>
      <c r="AD1344" s="9"/>
      <c r="AE1344" s="9"/>
      <c r="AF1344" s="271"/>
      <c r="AG1344" s="272"/>
    </row>
    <row r="1345" spans="1:33" s="4" customFormat="1" ht="21.75" customHeight="1">
      <c r="A1345" s="30">
        <v>52</v>
      </c>
      <c r="B1345" s="313"/>
      <c r="C1345" s="314"/>
      <c r="D1345" s="39"/>
      <c r="E1345" s="24"/>
      <c r="F1345" s="70"/>
      <c r="G1345" s="66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  <c r="X1345" s="24"/>
      <c r="Y1345" s="9"/>
      <c r="Z1345" s="9"/>
      <c r="AA1345" s="9"/>
      <c r="AB1345" s="9"/>
      <c r="AC1345" s="9"/>
      <c r="AD1345" s="9"/>
      <c r="AE1345" s="9"/>
      <c r="AF1345" s="273"/>
      <c r="AG1345" s="272"/>
    </row>
    <row r="1346" spans="1:33" s="4" customFormat="1" ht="21.75" customHeight="1">
      <c r="A1346" s="30">
        <v>53</v>
      </c>
      <c r="B1346" s="291"/>
      <c r="C1346" s="292"/>
      <c r="D1346" s="39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  <c r="X1346" s="24"/>
      <c r="Y1346" s="9"/>
      <c r="Z1346" s="9"/>
      <c r="AA1346" s="9"/>
      <c r="AB1346" s="9"/>
      <c r="AC1346" s="9"/>
      <c r="AD1346" s="9"/>
      <c r="AE1346" s="9"/>
      <c r="AF1346" s="273"/>
      <c r="AG1346" s="272"/>
    </row>
    <row r="1347" spans="1:33" s="4" customFormat="1" ht="21.75" customHeight="1" thickBot="1">
      <c r="A1347" s="30">
        <v>54</v>
      </c>
      <c r="B1347" s="38"/>
      <c r="C1347" s="38"/>
      <c r="D1347" s="39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  <c r="X1347" s="24"/>
      <c r="Y1347" s="9"/>
      <c r="Z1347" s="9"/>
      <c r="AA1347" s="9"/>
      <c r="AB1347" s="9"/>
      <c r="AC1347" s="9"/>
      <c r="AD1347" s="9"/>
      <c r="AE1347" s="9"/>
      <c r="AF1347" s="274"/>
      <c r="AG1347" s="275"/>
    </row>
    <row r="1348" spans="2:33" s="1" customFormat="1" ht="46.5" customHeight="1">
      <c r="B1348" s="126"/>
      <c r="C1348" s="127"/>
      <c r="D1348" s="127"/>
      <c r="E1348" s="127"/>
      <c r="F1348" s="127"/>
      <c r="G1348" s="127"/>
      <c r="H1348" s="127"/>
      <c r="I1348" s="127"/>
      <c r="J1348" s="127"/>
      <c r="K1348" s="287"/>
      <c r="L1348" s="287"/>
      <c r="M1348" s="287"/>
      <c r="N1348" s="343">
        <f aca="true" t="shared" si="232" ref="N1348:U1348">IF(SUM(N1294:N1347)=0," ",ROUNDUP(SUM(N1294:N1347),0))</f>
        <v>14</v>
      </c>
      <c r="O1348" s="343">
        <f t="shared" si="232"/>
        <v>17</v>
      </c>
      <c r="P1348" s="343">
        <f t="shared" si="232"/>
        <v>142</v>
      </c>
      <c r="Q1348" s="343">
        <f t="shared" si="232"/>
        <v>181</v>
      </c>
      <c r="R1348" s="343">
        <f t="shared" si="232"/>
        <v>48</v>
      </c>
      <c r="S1348" s="343">
        <f t="shared" si="232"/>
        <v>61</v>
      </c>
      <c r="T1348" s="343">
        <f t="shared" si="232"/>
        <v>120</v>
      </c>
      <c r="U1348" s="343">
        <f t="shared" si="232"/>
        <v>153</v>
      </c>
      <c r="V1348" s="343">
        <f aca="true" t="shared" si="233" ref="V1348:AE1348">IF(SUM(V1294:V1347)=0," ",ROUNDUP(SUM(V1294:V1347),0))</f>
        <v>150</v>
      </c>
      <c r="W1348" s="343">
        <f t="shared" si="233"/>
        <v>191</v>
      </c>
      <c r="X1348" s="343">
        <f t="shared" si="233"/>
        <v>1077</v>
      </c>
      <c r="Y1348" s="343">
        <f t="shared" si="233"/>
        <v>1370</v>
      </c>
      <c r="Z1348" s="343">
        <f t="shared" si="233"/>
        <v>1243</v>
      </c>
      <c r="AA1348" s="343">
        <f t="shared" si="233"/>
        <v>1582</v>
      </c>
      <c r="AB1348" s="343">
        <f t="shared" si="233"/>
        <v>33</v>
      </c>
      <c r="AC1348" s="343">
        <f t="shared" si="233"/>
        <v>41</v>
      </c>
      <c r="AD1348" s="343">
        <f t="shared" si="233"/>
        <v>46</v>
      </c>
      <c r="AE1348" s="343">
        <f t="shared" si="233"/>
        <v>58</v>
      </c>
      <c r="AF1348" s="345">
        <v>18</v>
      </c>
      <c r="AG1348" s="320"/>
    </row>
    <row r="1349" spans="2:33" s="1" customFormat="1" ht="46.5" customHeight="1" thickBot="1">
      <c r="B1349" s="128"/>
      <c r="C1349" s="129"/>
      <c r="D1349" s="129"/>
      <c r="E1349" s="129"/>
      <c r="F1349" s="129"/>
      <c r="G1349" s="129"/>
      <c r="H1349" s="129"/>
      <c r="I1349" s="129"/>
      <c r="J1349" s="129"/>
      <c r="K1349" s="288"/>
      <c r="L1349" s="288"/>
      <c r="M1349" s="288"/>
      <c r="N1349" s="344"/>
      <c r="O1349" s="344"/>
      <c r="P1349" s="344"/>
      <c r="Q1349" s="344"/>
      <c r="R1349" s="344"/>
      <c r="S1349" s="344"/>
      <c r="T1349" s="344"/>
      <c r="U1349" s="344"/>
      <c r="V1349" s="344"/>
      <c r="W1349" s="344"/>
      <c r="X1349" s="344"/>
      <c r="Y1349" s="344"/>
      <c r="Z1349" s="344"/>
      <c r="AA1349" s="344"/>
      <c r="AB1349" s="344"/>
      <c r="AC1349" s="344"/>
      <c r="AD1349" s="344"/>
      <c r="AE1349" s="344"/>
      <c r="AF1349" s="276">
        <f>$AF$68</f>
        <v>18</v>
      </c>
      <c r="AG1349" s="277"/>
    </row>
    <row r="1350" spans="1:34" ht="36" customHeight="1">
      <c r="A1350" s="10"/>
      <c r="B1350" s="49"/>
      <c r="C1350" s="49"/>
      <c r="D1350" s="49"/>
      <c r="E1350" s="49"/>
      <c r="F1350" s="49"/>
      <c r="G1350" s="49"/>
      <c r="H1350" s="49"/>
      <c r="I1350" s="49"/>
      <c r="J1350" s="49"/>
      <c r="K1350" s="49"/>
      <c r="L1350" s="49"/>
      <c r="M1350" s="49"/>
      <c r="N1350" s="78"/>
      <c r="O1350" s="49"/>
      <c r="P1350" s="49"/>
      <c r="Q1350" s="49"/>
      <c r="R1350" s="49"/>
      <c r="S1350" s="49"/>
      <c r="T1350" s="49"/>
      <c r="U1350" s="49"/>
      <c r="V1350" s="49"/>
      <c r="W1350" s="49"/>
      <c r="X1350" s="49"/>
      <c r="AH1350" s="11"/>
    </row>
    <row r="1351" spans="2:24" ht="15">
      <c r="B1351" s="49"/>
      <c r="C1351" s="49"/>
      <c r="D1351" s="49"/>
      <c r="E1351" s="49"/>
      <c r="F1351" s="49"/>
      <c r="G1351" s="49"/>
      <c r="H1351" s="49"/>
      <c r="I1351" s="49"/>
      <c r="J1351" s="49"/>
      <c r="K1351" s="49"/>
      <c r="L1351" s="49"/>
      <c r="M1351" s="49"/>
      <c r="N1351" s="78"/>
      <c r="O1351" s="49"/>
      <c r="P1351" s="49"/>
      <c r="Q1351" s="49"/>
      <c r="R1351" s="49"/>
      <c r="S1351" s="49"/>
      <c r="T1351" s="49"/>
      <c r="U1351" s="49"/>
      <c r="V1351" s="49"/>
      <c r="W1351" s="49"/>
      <c r="X1351" s="49"/>
    </row>
    <row r="1352" spans="2:31" ht="15.75">
      <c r="B1352" s="130" t="s">
        <v>7</v>
      </c>
      <c r="C1352" s="131"/>
      <c r="D1352" s="131"/>
      <c r="E1352" s="131"/>
      <c r="F1352" s="131"/>
      <c r="G1352" s="26"/>
      <c r="H1352" s="21"/>
      <c r="I1352" s="21"/>
      <c r="J1352" s="21"/>
      <c r="K1352" s="21">
        <v>6</v>
      </c>
      <c r="L1352" s="21"/>
      <c r="M1352" s="21"/>
      <c r="N1352" s="173">
        <v>4</v>
      </c>
      <c r="O1352" s="173">
        <v>4</v>
      </c>
      <c r="P1352" s="173">
        <v>5</v>
      </c>
      <c r="Q1352" s="173">
        <v>5</v>
      </c>
      <c r="R1352" s="173">
        <v>6</v>
      </c>
      <c r="S1352" s="173">
        <v>6</v>
      </c>
      <c r="T1352" s="173"/>
      <c r="U1352" s="173"/>
      <c r="W1352" s="34"/>
      <c r="X1352" s="34"/>
      <c r="Y1352" s="36"/>
      <c r="Z1352" s="35"/>
      <c r="AA1352" s="63"/>
      <c r="AB1352" s="63">
        <v>1.25</v>
      </c>
      <c r="AC1352" s="63">
        <v>1.25</v>
      </c>
      <c r="AD1352" s="21">
        <v>1.75</v>
      </c>
      <c r="AE1352" s="21">
        <v>1.75</v>
      </c>
    </row>
    <row r="1353" spans="14:33" ht="15">
      <c r="N1353" s="62">
        <v>0.44</v>
      </c>
      <c r="O1353" s="62">
        <v>0.56</v>
      </c>
      <c r="P1353" s="62">
        <v>0.44</v>
      </c>
      <c r="Q1353" s="62">
        <v>0.56</v>
      </c>
      <c r="R1353" s="62">
        <v>0.44</v>
      </c>
      <c r="S1353" s="62">
        <v>0.56</v>
      </c>
      <c r="T1353" s="62">
        <v>0.44</v>
      </c>
      <c r="U1353" s="62">
        <v>0.56</v>
      </c>
      <c r="V1353" s="62">
        <v>0.44</v>
      </c>
      <c r="W1353" s="62">
        <v>0.56</v>
      </c>
      <c r="X1353" s="62">
        <v>0.44</v>
      </c>
      <c r="Y1353" s="62">
        <v>0.56</v>
      </c>
      <c r="Z1353" s="62">
        <v>0.44</v>
      </c>
      <c r="AA1353" s="62">
        <v>0.56</v>
      </c>
      <c r="AB1353" s="62">
        <v>0.44</v>
      </c>
      <c r="AC1353" s="62">
        <v>0.56</v>
      </c>
      <c r="AD1353" s="62">
        <v>0.44</v>
      </c>
      <c r="AE1353" s="62">
        <v>0.56</v>
      </c>
      <c r="AF1353" s="26"/>
      <c r="AG1353" s="26"/>
    </row>
    <row r="1354" spans="14:21" ht="12.75">
      <c r="N1354" s="18"/>
      <c r="P1354" s="49"/>
      <c r="Q1354" s="85"/>
      <c r="R1354" s="49"/>
      <c r="S1354" s="49"/>
      <c r="T1354" s="49"/>
      <c r="U1354" s="49"/>
    </row>
    <row r="1355" spans="2:24" ht="12.75">
      <c r="B1355" s="49"/>
      <c r="C1355" s="49"/>
      <c r="D1355" s="49"/>
      <c r="E1355" s="49"/>
      <c r="F1355" s="49"/>
      <c r="G1355" s="49"/>
      <c r="H1355" s="49"/>
      <c r="I1355" s="49"/>
      <c r="J1355" s="49"/>
      <c r="K1355" s="49"/>
      <c r="L1355" s="49"/>
      <c r="M1355" s="49"/>
      <c r="N1355" s="49"/>
      <c r="O1355" s="49"/>
      <c r="P1355" s="49"/>
      <c r="Q1355" s="49"/>
      <c r="R1355" s="49"/>
      <c r="S1355" s="49"/>
      <c r="T1355" s="85"/>
      <c r="U1355" s="49"/>
      <c r="V1355" s="49"/>
      <c r="W1355" s="49"/>
      <c r="X1355" s="49"/>
    </row>
    <row r="1356" spans="2:24" ht="12.75">
      <c r="B1356" s="49"/>
      <c r="C1356" s="49"/>
      <c r="D1356" s="49"/>
      <c r="E1356" s="49"/>
      <c r="F1356" s="49"/>
      <c r="G1356" s="49"/>
      <c r="H1356" s="49"/>
      <c r="I1356" s="49"/>
      <c r="J1356" s="49"/>
      <c r="K1356" s="49"/>
      <c r="L1356" s="49"/>
      <c r="M1356" s="49"/>
      <c r="N1356" s="49"/>
      <c r="O1356" s="49"/>
      <c r="P1356" s="49"/>
      <c r="Q1356" s="49"/>
      <c r="R1356" s="49"/>
      <c r="S1356" s="49"/>
      <c r="T1356" s="85"/>
      <c r="U1356" s="49"/>
      <c r="V1356" s="49"/>
      <c r="W1356" s="49"/>
      <c r="X1356" s="49"/>
    </row>
    <row r="1357" spans="2:24" ht="12.75">
      <c r="B1357" s="49"/>
      <c r="C1357" s="49"/>
      <c r="D1357" s="49"/>
      <c r="E1357" s="49"/>
      <c r="F1357" s="49"/>
      <c r="G1357" s="49"/>
      <c r="H1357" s="49"/>
      <c r="I1357" s="49"/>
      <c r="J1357" s="49"/>
      <c r="K1357" s="49"/>
      <c r="L1357" s="49"/>
      <c r="M1357" s="49"/>
      <c r="N1357" s="49"/>
      <c r="O1357" s="49"/>
      <c r="P1357" s="49"/>
      <c r="Q1357" s="49"/>
      <c r="R1357" s="49"/>
      <c r="S1357" s="49"/>
      <c r="T1357" s="85"/>
      <c r="U1357" s="49"/>
      <c r="V1357" s="49"/>
      <c r="W1357" s="49"/>
      <c r="X1357" s="49"/>
    </row>
    <row r="1358" spans="1:34" s="3" customFormat="1" ht="36" customHeight="1">
      <c r="A1358" s="12"/>
      <c r="B1358" s="54"/>
      <c r="C1358" s="55"/>
      <c r="D1358" s="55"/>
      <c r="E1358" s="55"/>
      <c r="F1358" s="55"/>
      <c r="G1358" s="55"/>
      <c r="H1358" s="55"/>
      <c r="I1358" s="55"/>
      <c r="J1358" s="55"/>
      <c r="K1358" s="86"/>
      <c r="L1358" s="86"/>
      <c r="M1358" s="86"/>
      <c r="N1358" s="86"/>
      <c r="O1358" s="86"/>
      <c r="P1358" s="86"/>
      <c r="Q1358" s="86"/>
      <c r="R1358" s="86"/>
      <c r="S1358" s="86"/>
      <c r="T1358" s="86"/>
      <c r="U1358" s="86"/>
      <c r="V1358" s="86"/>
      <c r="W1358" s="86"/>
      <c r="X1358" s="86"/>
      <c r="Y1358" s="31"/>
      <c r="Z1358" s="31"/>
      <c r="AH1358" s="13"/>
    </row>
  </sheetData>
  <sheetProtection/>
  <mergeCells count="1602">
    <mergeCell ref="AC1294:AC1295"/>
    <mergeCell ref="AD1294:AD1295"/>
    <mergeCell ref="AE1294:AE1295"/>
    <mergeCell ref="B1088:I1088"/>
    <mergeCell ref="N1284:O1284"/>
    <mergeCell ref="S1294:S1295"/>
    <mergeCell ref="T1294:T1295"/>
    <mergeCell ref="U1294:U1295"/>
    <mergeCell ref="M1294:M1295"/>
    <mergeCell ref="N1294:N1295"/>
    <mergeCell ref="O1294:O1295"/>
    <mergeCell ref="P1294:P1295"/>
    <mergeCell ref="Q1294:Q1295"/>
    <mergeCell ref="R1294:R1295"/>
    <mergeCell ref="V1293:W1293"/>
    <mergeCell ref="X1293:Y1293"/>
    <mergeCell ref="Z1293:AA1293"/>
    <mergeCell ref="AB1293:AC1293"/>
    <mergeCell ref="AD1293:AE1293"/>
    <mergeCell ref="V1294:V1295"/>
    <mergeCell ref="W1294:W1295"/>
    <mergeCell ref="X1294:X1295"/>
    <mergeCell ref="AA1294:AA1295"/>
    <mergeCell ref="AB1294:AB1295"/>
    <mergeCell ref="T1285:U1292"/>
    <mergeCell ref="T1293:U1293"/>
    <mergeCell ref="B1303:I1303"/>
    <mergeCell ref="V1284:W1284"/>
    <mergeCell ref="X1284:Y1284"/>
    <mergeCell ref="Z1284:AA1284"/>
    <mergeCell ref="V1285:W1292"/>
    <mergeCell ref="X1285:Y1292"/>
    <mergeCell ref="B1295:I1295"/>
    <mergeCell ref="F1300:I1300"/>
    <mergeCell ref="F1301:I1301"/>
    <mergeCell ref="AB1284:AC1284"/>
    <mergeCell ref="AD1284:AE1284"/>
    <mergeCell ref="Z1285:AA1292"/>
    <mergeCell ref="AB1285:AC1292"/>
    <mergeCell ref="N1285:O1292"/>
    <mergeCell ref="N1293:O1293"/>
    <mergeCell ref="T1284:U1284"/>
    <mergeCell ref="R1284:S1284"/>
    <mergeCell ref="R1285:S1292"/>
    <mergeCell ref="R1293:S1293"/>
    <mergeCell ref="P1284:Q1284"/>
    <mergeCell ref="P1293:Q1293"/>
    <mergeCell ref="P1285:Q1292"/>
    <mergeCell ref="L1284:M1284"/>
    <mergeCell ref="L1285:M1292"/>
    <mergeCell ref="L1293:M1293"/>
    <mergeCell ref="S1212:T1219"/>
    <mergeCell ref="U1212:V1219"/>
    <mergeCell ref="S1220:T1220"/>
    <mergeCell ref="U1220:V1220"/>
    <mergeCell ref="S1221:S1222"/>
    <mergeCell ref="T1221:T1222"/>
    <mergeCell ref="U1221:U1222"/>
    <mergeCell ref="W1212:X1219"/>
    <mergeCell ref="W1220:X1220"/>
    <mergeCell ref="V986:W993"/>
    <mergeCell ref="V994:W994"/>
    <mergeCell ref="T986:U993"/>
    <mergeCell ref="W1136:W1143"/>
    <mergeCell ref="U1145:U1146"/>
    <mergeCell ref="U1136:U1143"/>
    <mergeCell ref="S1061:U1068"/>
    <mergeCell ref="S1211:T1211"/>
    <mergeCell ref="Z985:AA985"/>
    <mergeCell ref="X985:Y985"/>
    <mergeCell ref="X986:Y993"/>
    <mergeCell ref="X984:Y984"/>
    <mergeCell ref="W1211:X1211"/>
    <mergeCell ref="U1211:V1211"/>
    <mergeCell ref="W995:W996"/>
    <mergeCell ref="U995:U996"/>
    <mergeCell ref="V995:V996"/>
    <mergeCell ref="X1136:X1143"/>
    <mergeCell ref="X1275:X1276"/>
    <mergeCell ref="T984:U984"/>
    <mergeCell ref="R1199:R1200"/>
    <mergeCell ref="Q1124:Q1125"/>
    <mergeCell ref="R986:S993"/>
    <mergeCell ref="X994:Y994"/>
    <mergeCell ref="Q1135:R1135"/>
    <mergeCell ref="Q1275:Q1276"/>
    <mergeCell ref="R984:S984"/>
    <mergeCell ref="V1199:V1200"/>
    <mergeCell ref="Z1275:Z1276"/>
    <mergeCell ref="Z1069:AA1069"/>
    <mergeCell ref="AB1069:AC1069"/>
    <mergeCell ref="AA1145:AA1146"/>
    <mergeCell ref="AB1199:AB1200"/>
    <mergeCell ref="Z1145:Z1146"/>
    <mergeCell ref="AB1070:AB1071"/>
    <mergeCell ref="AA1070:AA1071"/>
    <mergeCell ref="AB1145:AB1146"/>
    <mergeCell ref="Z1070:Z1071"/>
    <mergeCell ref="AB1348:AB1349"/>
    <mergeCell ref="AA1212:AA1219"/>
    <mergeCell ref="AB1212:AB1219"/>
    <mergeCell ref="AF1332:AG1347"/>
    <mergeCell ref="AA1348:AA1349"/>
    <mergeCell ref="AC1212:AC1219"/>
    <mergeCell ref="AD1212:AD1219"/>
    <mergeCell ref="AE1212:AE1219"/>
    <mergeCell ref="AB1275:AB1276"/>
    <mergeCell ref="AD1285:AE1292"/>
    <mergeCell ref="AC536:AC543"/>
    <mergeCell ref="AC391:AC392"/>
    <mergeCell ref="AD1275:AD1276"/>
    <mergeCell ref="AE1275:AE1276"/>
    <mergeCell ref="AE1221:AE1222"/>
    <mergeCell ref="AD1221:AD1222"/>
    <mergeCell ref="AC459:AD466"/>
    <mergeCell ref="AC545:AC546"/>
    <mergeCell ref="AC1275:AC1276"/>
    <mergeCell ref="AE698:AE699"/>
    <mergeCell ref="Z140:Z141"/>
    <mergeCell ref="Z86:Z87"/>
    <mergeCell ref="AA545:AA546"/>
    <mergeCell ref="AA390:AB390"/>
    <mergeCell ref="AA381:AB381"/>
    <mergeCell ref="AA458:AB458"/>
    <mergeCell ref="AA459:AB466"/>
    <mergeCell ref="Y459:Z466"/>
    <mergeCell ref="AA468:AA469"/>
    <mergeCell ref="AB536:AB543"/>
    <mergeCell ref="AC314:AC315"/>
    <mergeCell ref="AA445:AA446"/>
    <mergeCell ref="AB445:AB446"/>
    <mergeCell ref="Y381:Z381"/>
    <mergeCell ref="Z215:Z216"/>
    <mergeCell ref="W390:X390"/>
    <mergeCell ref="X368:X369"/>
    <mergeCell ref="Z445:Z446"/>
    <mergeCell ref="AA2:AB2"/>
    <mergeCell ref="Y3:Z3"/>
    <mergeCell ref="Y4:Z11"/>
    <mergeCell ref="Y12:Z12"/>
    <mergeCell ref="Y2:Z2"/>
    <mergeCell ref="AA3:AB3"/>
    <mergeCell ref="AA12:AB12"/>
    <mergeCell ref="AA4:AB11"/>
    <mergeCell ref="Y75:Z75"/>
    <mergeCell ref="E550:I550"/>
    <mergeCell ref="L545:L546"/>
    <mergeCell ref="V368:V369"/>
    <mergeCell ref="W368:W369"/>
    <mergeCell ref="AA85:AB85"/>
    <mergeCell ref="Z161:Z162"/>
    <mergeCell ref="AA236:AA237"/>
    <mergeCell ref="Y227:Z234"/>
    <mergeCell ref="Y235:Z235"/>
    <mergeCell ref="M846:M847"/>
    <mergeCell ref="S390:T390"/>
    <mergeCell ref="U368:U369"/>
    <mergeCell ref="Q752:Q753"/>
    <mergeCell ref="T697:U697"/>
    <mergeCell ref="O698:O699"/>
    <mergeCell ref="Q763:Q770"/>
    <mergeCell ref="N688:O688"/>
    <mergeCell ref="O752:O753"/>
    <mergeCell ref="N697:O697"/>
    <mergeCell ref="P697:Q697"/>
    <mergeCell ref="V215:V216"/>
    <mergeCell ref="O900:O901"/>
    <mergeCell ref="N900:N901"/>
    <mergeCell ref="Q826:Q827"/>
    <mergeCell ref="O610:P610"/>
    <mergeCell ref="O535:P535"/>
    <mergeCell ref="B752:K753"/>
    <mergeCell ref="L845:M845"/>
    <mergeCell ref="L837:M844"/>
    <mergeCell ref="L826:L827"/>
    <mergeCell ref="M698:M699"/>
    <mergeCell ref="M752:M753"/>
    <mergeCell ref="K836:K844"/>
    <mergeCell ref="L835:M835"/>
    <mergeCell ref="M826:M827"/>
    <mergeCell ref="L675:L676"/>
    <mergeCell ref="N835:O835"/>
    <mergeCell ref="P846:P847"/>
    <mergeCell ref="N836:O836"/>
    <mergeCell ref="O826:O827"/>
    <mergeCell ref="N752:N753"/>
    <mergeCell ref="N689:O696"/>
    <mergeCell ref="L697:M697"/>
    <mergeCell ref="L698:L699"/>
    <mergeCell ref="N698:N699"/>
    <mergeCell ref="L621:L622"/>
    <mergeCell ref="J611:J619"/>
    <mergeCell ref="G611:G619"/>
    <mergeCell ref="M611:N611"/>
    <mergeCell ref="M612:N619"/>
    <mergeCell ref="M620:N620"/>
    <mergeCell ref="N621:N622"/>
    <mergeCell ref="M621:M622"/>
    <mergeCell ref="L612:L619"/>
    <mergeCell ref="H611:H619"/>
    <mergeCell ref="K621:K622"/>
    <mergeCell ref="E549:I549"/>
    <mergeCell ref="K612:K619"/>
    <mergeCell ref="B564:I564"/>
    <mergeCell ref="F594:I594"/>
    <mergeCell ref="E611:E619"/>
    <mergeCell ref="K599:K600"/>
    <mergeCell ref="M610:N610"/>
    <mergeCell ref="K529:N529"/>
    <mergeCell ref="E507:I507"/>
    <mergeCell ref="B522:N523"/>
    <mergeCell ref="E520:I520"/>
    <mergeCell ref="B502:H502"/>
    <mergeCell ref="E516:I516"/>
    <mergeCell ref="E558:I558"/>
    <mergeCell ref="K530:N530"/>
    <mergeCell ref="N599:N600"/>
    <mergeCell ref="T545:T546"/>
    <mergeCell ref="S522:S523"/>
    <mergeCell ref="K545:K546"/>
    <mergeCell ref="O545:O546"/>
    <mergeCell ref="P545:P546"/>
    <mergeCell ref="L599:L600"/>
    <mergeCell ref="N458:N466"/>
    <mergeCell ref="Y391:Y392"/>
    <mergeCell ref="Y467:Z467"/>
    <mergeCell ref="Q457:R457"/>
    <mergeCell ref="W391:W392"/>
    <mergeCell ref="Z391:Z392"/>
    <mergeCell ref="O391:O392"/>
    <mergeCell ref="O458:P458"/>
    <mergeCell ref="W445:W446"/>
    <mergeCell ref="W459:X466"/>
    <mergeCell ref="T675:T676"/>
    <mergeCell ref="U545:U546"/>
    <mergeCell ref="S545:S546"/>
    <mergeCell ref="U445:U446"/>
    <mergeCell ref="U457:V457"/>
    <mergeCell ref="S457:T457"/>
    <mergeCell ref="U522:U523"/>
    <mergeCell ref="V522:V523"/>
    <mergeCell ref="T468:T469"/>
    <mergeCell ref="AB612:AB619"/>
    <mergeCell ref="T522:T523"/>
    <mergeCell ref="AA467:AB467"/>
    <mergeCell ref="AD536:AD543"/>
    <mergeCell ref="AB545:AB546"/>
    <mergeCell ref="X536:X543"/>
    <mergeCell ref="W536:W543"/>
    <mergeCell ref="Y536:Y543"/>
    <mergeCell ref="Y545:Y546"/>
    <mergeCell ref="AD545:AD546"/>
    <mergeCell ref="AA621:AA622"/>
    <mergeCell ref="AA599:AA600"/>
    <mergeCell ref="AB599:AB600"/>
    <mergeCell ref="Y599:Y600"/>
    <mergeCell ref="AA536:AA543"/>
    <mergeCell ref="W599:W600"/>
    <mergeCell ref="W545:W546"/>
    <mergeCell ref="X599:X600"/>
    <mergeCell ref="Z545:Z546"/>
    <mergeCell ref="X545:X546"/>
    <mergeCell ref="J458:J466"/>
    <mergeCell ref="F430:I430"/>
    <mergeCell ref="D458:D466"/>
    <mergeCell ref="E458:E466"/>
    <mergeCell ref="F458:F466"/>
    <mergeCell ref="H458:H466"/>
    <mergeCell ref="B393:C393"/>
    <mergeCell ref="B450:G450"/>
    <mergeCell ref="I458:I466"/>
    <mergeCell ref="B458:C466"/>
    <mergeCell ref="E381:E389"/>
    <mergeCell ref="H381:H389"/>
    <mergeCell ref="I381:I389"/>
    <mergeCell ref="O382:P389"/>
    <mergeCell ref="M226:M234"/>
    <mergeCell ref="P314:P315"/>
    <mergeCell ref="B274:I274"/>
    <mergeCell ref="B250:I250"/>
    <mergeCell ref="O381:P381"/>
    <mergeCell ref="B381:C389"/>
    <mergeCell ref="D381:D389"/>
    <mergeCell ref="F381:F389"/>
    <mergeCell ref="P13:P14"/>
    <mergeCell ref="Q313:R313"/>
    <mergeCell ref="S227:T234"/>
    <mergeCell ref="Q235:R235"/>
    <mergeCell ref="S235:T235"/>
    <mergeCell ref="O225:P225"/>
    <mergeCell ref="O303:P303"/>
    <mergeCell ref="O76:P76"/>
    <mergeCell ref="Q67:Q68"/>
    <mergeCell ref="Q150:R150"/>
    <mergeCell ref="O77:P84"/>
    <mergeCell ref="Q77:R84"/>
    <mergeCell ref="O140:O141"/>
    <mergeCell ref="O75:P75"/>
    <mergeCell ref="R86:R87"/>
    <mergeCell ref="O85:P85"/>
    <mergeCell ref="M151:M159"/>
    <mergeCell ref="O160:P160"/>
    <mergeCell ref="Q160:R160"/>
    <mergeCell ref="Q152:R159"/>
    <mergeCell ref="E151:E159"/>
    <mergeCell ref="I151:I159"/>
    <mergeCell ref="K151:K159"/>
    <mergeCell ref="J151:J159"/>
    <mergeCell ref="B1335:C1335"/>
    <mergeCell ref="B1341:C1341"/>
    <mergeCell ref="M675:M676"/>
    <mergeCell ref="K826:K827"/>
    <mergeCell ref="L689:M696"/>
    <mergeCell ref="M1136:M1143"/>
    <mergeCell ref="B675:J676"/>
    <mergeCell ref="K675:K676"/>
    <mergeCell ref="L688:M688"/>
    <mergeCell ref="M986:M993"/>
    <mergeCell ref="L762:L770"/>
    <mergeCell ref="N826:N827"/>
    <mergeCell ref="M763:M770"/>
    <mergeCell ref="B762:C770"/>
    <mergeCell ref="F938:I938"/>
    <mergeCell ref="B872:I872"/>
    <mergeCell ref="F762:F770"/>
    <mergeCell ref="J836:J844"/>
    <mergeCell ref="M910:M918"/>
    <mergeCell ref="L846:L847"/>
    <mergeCell ref="AG688:AG690"/>
    <mergeCell ref="W752:W753"/>
    <mergeCell ref="U752:U753"/>
    <mergeCell ref="X752:X753"/>
    <mergeCell ref="P752:P753"/>
    <mergeCell ref="X688:Y688"/>
    <mergeCell ref="X698:X699"/>
    <mergeCell ref="X697:Y697"/>
    <mergeCell ref="AE752:AE753"/>
    <mergeCell ref="X689:Y696"/>
    <mergeCell ref="AC698:AC699"/>
    <mergeCell ref="Q698:Q699"/>
    <mergeCell ref="S698:S699"/>
    <mergeCell ref="O763:O770"/>
    <mergeCell ref="P763:P770"/>
    <mergeCell ref="H1135:H1143"/>
    <mergeCell ref="N974:N975"/>
    <mergeCell ref="B946:I946"/>
    <mergeCell ref="N763:N770"/>
    <mergeCell ref="K762:K770"/>
    <mergeCell ref="X1060:Y1060"/>
    <mergeCell ref="Z1060:AA1060"/>
    <mergeCell ref="Z1049:Z1050"/>
    <mergeCell ref="AA1124:AA1125"/>
    <mergeCell ref="B1145:C1145"/>
    <mergeCell ref="N1136:N1143"/>
    <mergeCell ref="O1060:P1060"/>
    <mergeCell ref="O1061:P1068"/>
    <mergeCell ref="O1069:P1069"/>
    <mergeCell ref="Z1199:Z1200"/>
    <mergeCell ref="AC1124:AC1125"/>
    <mergeCell ref="AF1033:AG1048"/>
    <mergeCell ref="AF988:AG1032"/>
    <mergeCell ref="AF1108:AG1123"/>
    <mergeCell ref="AF1124:AG1124"/>
    <mergeCell ref="S1199:S1200"/>
    <mergeCell ref="P1199:P1200"/>
    <mergeCell ref="Q1145:Q1146"/>
    <mergeCell ref="R1145:R1146"/>
    <mergeCell ref="Q1136:R1143"/>
    <mergeCell ref="Q1144:R1144"/>
    <mergeCell ref="AF1276:AG1276"/>
    <mergeCell ref="Q1212:Q1219"/>
    <mergeCell ref="AA1275:AA1276"/>
    <mergeCell ref="AF1287:AG1331"/>
    <mergeCell ref="R1212:R1219"/>
    <mergeCell ref="AF1284:AF1286"/>
    <mergeCell ref="AF1275:AG1275"/>
    <mergeCell ref="R1275:R1276"/>
    <mergeCell ref="Z1212:Z1219"/>
    <mergeCell ref="Y1212:Y1219"/>
    <mergeCell ref="P1275:P1276"/>
    <mergeCell ref="S1348:S1349"/>
    <mergeCell ref="K1275:K1276"/>
    <mergeCell ref="L1275:L1276"/>
    <mergeCell ref="N1275:N1276"/>
    <mergeCell ref="M1275:M1276"/>
    <mergeCell ref="S1275:S1276"/>
    <mergeCell ref="O1275:O1276"/>
    <mergeCell ref="Q1348:Q1349"/>
    <mergeCell ref="L1294:L1295"/>
    <mergeCell ref="AF1348:AG1348"/>
    <mergeCell ref="Z1348:Z1349"/>
    <mergeCell ref="V1275:V1276"/>
    <mergeCell ref="AF1349:AG1349"/>
    <mergeCell ref="AD1348:AD1349"/>
    <mergeCell ref="AE1348:AE1349"/>
    <mergeCell ref="AC1348:AC1349"/>
    <mergeCell ref="X1348:X1349"/>
    <mergeCell ref="Y1294:Y1295"/>
    <mergeCell ref="Z1294:Z1295"/>
    <mergeCell ref="Y1348:Y1349"/>
    <mergeCell ref="N1348:N1349"/>
    <mergeCell ref="I1284:I1292"/>
    <mergeCell ref="J1284:J1292"/>
    <mergeCell ref="P1348:P1349"/>
    <mergeCell ref="M1348:M1349"/>
    <mergeCell ref="O1348:O1349"/>
    <mergeCell ref="K1348:K1349"/>
    <mergeCell ref="L1348:L1349"/>
    <mergeCell ref="K1284:K1292"/>
    <mergeCell ref="R1348:R1349"/>
    <mergeCell ref="Y1275:Y1276"/>
    <mergeCell ref="T1199:T1200"/>
    <mergeCell ref="T1348:T1349"/>
    <mergeCell ref="T1275:T1276"/>
    <mergeCell ref="W1199:W1200"/>
    <mergeCell ref="X1199:X1200"/>
    <mergeCell ref="U1348:U1349"/>
    <mergeCell ref="V1348:V1349"/>
    <mergeCell ref="W1348:W1349"/>
    <mergeCell ref="P826:P827"/>
    <mergeCell ref="Y1221:Y1222"/>
    <mergeCell ref="Z1221:Z1222"/>
    <mergeCell ref="W1275:W1276"/>
    <mergeCell ref="U1275:U1276"/>
    <mergeCell ref="Q1061:R1068"/>
    <mergeCell ref="Q1069:R1069"/>
    <mergeCell ref="T1124:T1125"/>
    <mergeCell ref="U1199:U1200"/>
    <mergeCell ref="W1124:W1125"/>
    <mergeCell ref="N1061:N1068"/>
    <mergeCell ref="P835:Q835"/>
    <mergeCell ref="V1124:V1125"/>
    <mergeCell ref="O986:Q993"/>
    <mergeCell ref="N920:N921"/>
    <mergeCell ref="R985:S985"/>
    <mergeCell ref="O1124:O1125"/>
    <mergeCell ref="AF1138:AG1182"/>
    <mergeCell ref="AD1070:AD1071"/>
    <mergeCell ref="V1145:V1146"/>
    <mergeCell ref="Q1070:Q1071"/>
    <mergeCell ref="O1136:O1143"/>
    <mergeCell ref="S1136:S1143"/>
    <mergeCell ref="AD1124:AD1125"/>
    <mergeCell ref="P1136:P1143"/>
    <mergeCell ref="Q846:Q847"/>
    <mergeCell ref="N846:N847"/>
    <mergeCell ref="AF1183:AG1198"/>
    <mergeCell ref="V763:V770"/>
    <mergeCell ref="T763:T770"/>
    <mergeCell ref="V826:V827"/>
    <mergeCell ref="AF810:AG825"/>
    <mergeCell ref="X826:X827"/>
    <mergeCell ref="T1136:T1143"/>
    <mergeCell ref="AG1135:AG1137"/>
    <mergeCell ref="E762:E770"/>
    <mergeCell ref="H836:H844"/>
    <mergeCell ref="L985:L993"/>
    <mergeCell ref="P900:P901"/>
    <mergeCell ref="O984:Q984"/>
    <mergeCell ref="O985:Q985"/>
    <mergeCell ref="L836:M836"/>
    <mergeCell ref="L910:L918"/>
    <mergeCell ref="O846:O847"/>
    <mergeCell ref="N845:O845"/>
    <mergeCell ref="H688:H696"/>
    <mergeCell ref="I688:I696"/>
    <mergeCell ref="F962:I962"/>
    <mergeCell ref="F931:I931"/>
    <mergeCell ref="D910:D918"/>
    <mergeCell ref="I762:I770"/>
    <mergeCell ref="E688:E696"/>
    <mergeCell ref="F688:F696"/>
    <mergeCell ref="G688:G696"/>
    <mergeCell ref="F836:F844"/>
    <mergeCell ref="B622:I622"/>
    <mergeCell ref="I535:I543"/>
    <mergeCell ref="F950:I950"/>
    <mergeCell ref="F535:F543"/>
    <mergeCell ref="B545:C545"/>
    <mergeCell ref="F611:F619"/>
    <mergeCell ref="H535:H543"/>
    <mergeCell ref="E535:E543"/>
    <mergeCell ref="D688:D696"/>
    <mergeCell ref="B535:C543"/>
    <mergeCell ref="B527:G527"/>
    <mergeCell ref="B546:I546"/>
    <mergeCell ref="E548:I548"/>
    <mergeCell ref="F672:I672"/>
    <mergeCell ref="B599:J600"/>
    <mergeCell ref="I611:I619"/>
    <mergeCell ref="B672:C672"/>
    <mergeCell ref="D535:D543"/>
    <mergeCell ref="B621:C621"/>
    <mergeCell ref="B611:C619"/>
    <mergeCell ref="F963:I963"/>
    <mergeCell ref="B910:C918"/>
    <mergeCell ref="I910:I918"/>
    <mergeCell ref="B847:I847"/>
    <mergeCell ref="I836:I844"/>
    <mergeCell ref="F985:F993"/>
    <mergeCell ref="F951:I951"/>
    <mergeCell ref="D985:D993"/>
    <mergeCell ref="M995:M996"/>
    <mergeCell ref="I985:I993"/>
    <mergeCell ref="H985:H993"/>
    <mergeCell ref="B921:I921"/>
    <mergeCell ref="J910:J918"/>
    <mergeCell ref="K910:K918"/>
    <mergeCell ref="G985:G993"/>
    <mergeCell ref="B979:G979"/>
    <mergeCell ref="E985:E993"/>
    <mergeCell ref="B985:C993"/>
    <mergeCell ref="G1060:G1068"/>
    <mergeCell ref="B1054:G1054"/>
    <mergeCell ref="E910:E918"/>
    <mergeCell ref="B873:C873"/>
    <mergeCell ref="AF688:AF690"/>
    <mergeCell ref="AF974:AG974"/>
    <mergeCell ref="AG910:AG912"/>
    <mergeCell ref="V752:V753"/>
    <mergeCell ref="AD837:AE844"/>
    <mergeCell ref="D762:D770"/>
    <mergeCell ref="AF762:AF764"/>
    <mergeCell ref="AE846:AE847"/>
    <mergeCell ref="AF752:AG752"/>
    <mergeCell ref="AF753:AG753"/>
    <mergeCell ref="AB974:AB975"/>
    <mergeCell ref="AF975:AG975"/>
    <mergeCell ref="AB837:AC844"/>
    <mergeCell ref="AB845:AC845"/>
    <mergeCell ref="AF827:AG827"/>
    <mergeCell ref="AG762:AG764"/>
    <mergeCell ref="AF826:AG826"/>
    <mergeCell ref="AF765:AG809"/>
    <mergeCell ref="T985:U985"/>
    <mergeCell ref="Z752:Z753"/>
    <mergeCell ref="T826:T827"/>
    <mergeCell ref="V985:W985"/>
    <mergeCell ref="Z763:Z770"/>
    <mergeCell ref="V974:V975"/>
    <mergeCell ref="AA900:AA901"/>
    <mergeCell ref="X974:X975"/>
    <mergeCell ref="T920:T921"/>
    <mergeCell ref="Z984:AA984"/>
    <mergeCell ref="V984:W984"/>
    <mergeCell ref="M1124:M1125"/>
    <mergeCell ref="I1060:I1068"/>
    <mergeCell ref="Q1060:R1060"/>
    <mergeCell ref="Z1124:Z1125"/>
    <mergeCell ref="S1124:S1125"/>
    <mergeCell ref="O1070:O1071"/>
    <mergeCell ref="T1070:T1071"/>
    <mergeCell ref="M1070:M1071"/>
    <mergeCell ref="R1124:R1125"/>
    <mergeCell ref="N1124:N1125"/>
    <mergeCell ref="J985:J993"/>
    <mergeCell ref="N687:O687"/>
    <mergeCell ref="P688:Q688"/>
    <mergeCell ref="L687:M687"/>
    <mergeCell ref="L752:L753"/>
    <mergeCell ref="Q900:Q901"/>
    <mergeCell ref="M1061:M1068"/>
    <mergeCell ref="R900:R901"/>
    <mergeCell ref="R920:R921"/>
    <mergeCell ref="S974:S975"/>
    <mergeCell ref="P974:P975"/>
    <mergeCell ref="U974:U975"/>
    <mergeCell ref="R910:S910"/>
    <mergeCell ref="Q974:Q975"/>
    <mergeCell ref="O994:Q994"/>
    <mergeCell ref="R994:S994"/>
    <mergeCell ref="E481:I481"/>
    <mergeCell ref="G458:G466"/>
    <mergeCell ref="B470:C470"/>
    <mergeCell ref="E510:I510"/>
    <mergeCell ref="E504:I504"/>
    <mergeCell ref="B500:C500"/>
    <mergeCell ref="B481:C481"/>
    <mergeCell ref="B475:I475"/>
    <mergeCell ref="B469:I469"/>
    <mergeCell ref="L458:L466"/>
    <mergeCell ref="B483:C483"/>
    <mergeCell ref="M535:N535"/>
    <mergeCell ref="L536:L543"/>
    <mergeCell ref="M536:N543"/>
    <mergeCell ref="M534:N534"/>
    <mergeCell ref="E513:I513"/>
    <mergeCell ref="E517:I517"/>
    <mergeCell ref="J535:J543"/>
    <mergeCell ref="K458:K466"/>
    <mergeCell ref="M599:M600"/>
    <mergeCell ref="O536:P543"/>
    <mergeCell ref="U215:U216"/>
    <mergeCell ref="O290:O291"/>
    <mergeCell ref="Q545:Q546"/>
    <mergeCell ref="O226:P226"/>
    <mergeCell ref="O313:P313"/>
    <mergeCell ref="T445:T446"/>
    <mergeCell ref="M458:M466"/>
    <mergeCell ref="O305:P312"/>
    <mergeCell ref="R612:R619"/>
    <mergeCell ref="O445:O446"/>
    <mergeCell ref="U390:V390"/>
    <mergeCell ref="T391:T392"/>
    <mergeCell ref="U391:U392"/>
    <mergeCell ref="P522:P523"/>
    <mergeCell ref="Q468:Q469"/>
    <mergeCell ref="R391:R392"/>
    <mergeCell ref="S391:S392"/>
    <mergeCell ref="S612:S619"/>
    <mergeCell ref="R468:R469"/>
    <mergeCell ref="O468:O469"/>
    <mergeCell ref="Q599:Q600"/>
    <mergeCell ref="O611:P611"/>
    <mergeCell ref="O599:O600"/>
    <mergeCell ref="O534:P534"/>
    <mergeCell ref="P599:P600"/>
    <mergeCell ref="Q522:Q523"/>
    <mergeCell ref="P468:P469"/>
    <mergeCell ref="O459:P466"/>
    <mergeCell ref="Q391:Q392"/>
    <mergeCell ref="U467:V467"/>
    <mergeCell ref="U381:V381"/>
    <mergeCell ref="Q382:R389"/>
    <mergeCell ref="Q381:R381"/>
    <mergeCell ref="R445:R446"/>
    <mergeCell ref="O457:P457"/>
    <mergeCell ref="U304:V304"/>
    <mergeCell ref="U313:V313"/>
    <mergeCell ref="Q368:Q369"/>
    <mergeCell ref="P391:P392"/>
    <mergeCell ref="O380:P380"/>
    <mergeCell ref="W314:W315"/>
    <mergeCell ref="S380:T380"/>
    <mergeCell ref="S382:T389"/>
    <mergeCell ref="O390:P390"/>
    <mergeCell ref="Q380:R380"/>
    <mergeCell ref="Q305:R312"/>
    <mergeCell ref="T314:T315"/>
    <mergeCell ref="R314:R315"/>
    <mergeCell ref="T368:T369"/>
    <mergeCell ref="S313:T313"/>
    <mergeCell ref="W305:X312"/>
    <mergeCell ref="Z599:Z600"/>
    <mergeCell ref="Z522:Z523"/>
    <mergeCell ref="S536:S543"/>
    <mergeCell ref="T536:T543"/>
    <mergeCell ref="S459:T466"/>
    <mergeCell ref="V545:V546"/>
    <mergeCell ref="U599:U600"/>
    <mergeCell ref="S468:S469"/>
    <mergeCell ref="W522:W523"/>
    <mergeCell ref="X468:X469"/>
    <mergeCell ref="W468:W469"/>
    <mergeCell ref="AF140:AG140"/>
    <mergeCell ref="Z468:Z469"/>
    <mergeCell ref="Y445:Y446"/>
    <mergeCell ref="AB368:AB369"/>
    <mergeCell ref="AA303:AB303"/>
    <mergeCell ref="X290:X291"/>
    <mergeCell ref="X391:X392"/>
    <mergeCell ref="Y390:Z390"/>
    <mergeCell ref="X215:X216"/>
    <mergeCell ref="X445:X446"/>
    <mergeCell ref="AB314:AB315"/>
    <mergeCell ref="Z368:Z369"/>
    <mergeCell ref="Y152:Z159"/>
    <mergeCell ref="Y151:Z151"/>
    <mergeCell ref="Y160:Z160"/>
    <mergeCell ref="AA160:AB160"/>
    <mergeCell ref="AA304:AB304"/>
    <mergeCell ref="AB236:AB237"/>
    <mergeCell ref="Y314:Y315"/>
    <mergeCell ref="AG3:AG5"/>
    <mergeCell ref="AF3:AF5"/>
    <mergeCell ref="AF68:AG68"/>
    <mergeCell ref="AF51:AG66"/>
    <mergeCell ref="AF67:AG67"/>
    <mergeCell ref="AF79:AG123"/>
    <mergeCell ref="AF6:AG50"/>
    <mergeCell ref="AG76:AG78"/>
    <mergeCell ref="AF76:AF78"/>
    <mergeCell ref="AF141:AG141"/>
    <mergeCell ref="AF124:AG139"/>
    <mergeCell ref="AE152:AE159"/>
    <mergeCell ref="AE161:AE162"/>
    <mergeCell ref="AC160:AD160"/>
    <mergeCell ref="AC140:AC141"/>
    <mergeCell ref="AF368:AG368"/>
    <mergeCell ref="AG381:AG383"/>
    <mergeCell ref="AF304:AF306"/>
    <mergeCell ref="AF307:AG351"/>
    <mergeCell ref="AF274:AG289"/>
    <mergeCell ref="AE227:AE234"/>
    <mergeCell ref="AE236:AE237"/>
    <mergeCell ref="AG226:AG228"/>
    <mergeCell ref="AF291:AG291"/>
    <mergeCell ref="AG304:AG306"/>
    <mergeCell ref="AF151:AF153"/>
    <mergeCell ref="AF229:AG273"/>
    <mergeCell ref="AC225:AD225"/>
    <mergeCell ref="AG151:AG153"/>
    <mergeCell ref="AF226:AF228"/>
    <mergeCell ref="AF215:AG215"/>
    <mergeCell ref="AF216:AG216"/>
    <mergeCell ref="AF199:AG214"/>
    <mergeCell ref="AF154:AG198"/>
    <mergeCell ref="AF583:AG598"/>
    <mergeCell ref="AF369:AG369"/>
    <mergeCell ref="AG458:AG460"/>
    <mergeCell ref="AF461:AG505"/>
    <mergeCell ref="AF445:AG445"/>
    <mergeCell ref="AF458:AF460"/>
    <mergeCell ref="AG535:AG537"/>
    <mergeCell ref="AF522:AG522"/>
    <mergeCell ref="AF384:AG429"/>
    <mergeCell ref="AC445:AC446"/>
    <mergeCell ref="AE382:AE389"/>
    <mergeCell ref="AE391:AE392"/>
    <mergeCell ref="AC612:AC619"/>
    <mergeCell ref="AD445:AD446"/>
    <mergeCell ref="AF381:AF383"/>
    <mergeCell ref="AD599:AD600"/>
    <mergeCell ref="AF446:AG446"/>
    <mergeCell ref="AF352:AG367"/>
    <mergeCell ref="AC305:AD312"/>
    <mergeCell ref="AC235:AD235"/>
    <mergeCell ref="Y290:Y291"/>
    <mergeCell ref="Z290:Z291"/>
    <mergeCell ref="AE290:AE291"/>
    <mergeCell ref="AF290:AG290"/>
    <mergeCell ref="Z314:Z315"/>
    <mergeCell ref="Y313:Z313"/>
    <mergeCell ref="AA305:AB312"/>
    <mergeCell ref="T974:T975"/>
    <mergeCell ref="B373:G373"/>
    <mergeCell ref="F500:I500"/>
    <mergeCell ref="P687:Q687"/>
    <mergeCell ref="R688:S688"/>
    <mergeCell ref="R698:R699"/>
    <mergeCell ref="T687:U687"/>
    <mergeCell ref="S381:T381"/>
    <mergeCell ref="U468:U469"/>
    <mergeCell ref="S467:T467"/>
    <mergeCell ref="R763:R770"/>
    <mergeCell ref="B145:G145"/>
    <mergeCell ref="B162:I162"/>
    <mergeCell ref="B171:I171"/>
    <mergeCell ref="E174:I174"/>
    <mergeCell ref="F173:I173"/>
    <mergeCell ref="H151:H159"/>
    <mergeCell ref="B151:C159"/>
    <mergeCell ref="F151:F159"/>
    <mergeCell ref="G151:G159"/>
    <mergeCell ref="AG836:AG838"/>
    <mergeCell ref="AF736:AG751"/>
    <mergeCell ref="AF836:AF838"/>
    <mergeCell ref="D151:D159"/>
    <mergeCell ref="B220:G220"/>
    <mergeCell ref="J304:J312"/>
    <mergeCell ref="K381:K389"/>
    <mergeCell ref="J381:J389"/>
    <mergeCell ref="G381:G389"/>
    <mergeCell ref="D226:D234"/>
    <mergeCell ref="F304:F312"/>
    <mergeCell ref="J688:J696"/>
    <mergeCell ref="O1049:O1050"/>
    <mergeCell ref="Q1049:Q1050"/>
    <mergeCell ref="O995:O996"/>
    <mergeCell ref="B974:M975"/>
    <mergeCell ref="L900:L901"/>
    <mergeCell ref="M900:M901"/>
    <mergeCell ref="D304:D312"/>
    <mergeCell ref="D611:D619"/>
    <mergeCell ref="W974:W975"/>
    <mergeCell ref="G762:G770"/>
    <mergeCell ref="Q458:R458"/>
    <mergeCell ref="S458:T458"/>
    <mergeCell ref="U612:U619"/>
    <mergeCell ref="Q445:Q446"/>
    <mergeCell ref="U675:U676"/>
    <mergeCell ref="U698:U699"/>
    <mergeCell ref="V612:V619"/>
    <mergeCell ref="F973:I973"/>
    <mergeCell ref="Z986:AA993"/>
    <mergeCell ref="T994:U994"/>
    <mergeCell ref="V391:V392"/>
    <mergeCell ref="U458:V458"/>
    <mergeCell ref="S1049:S1050"/>
    <mergeCell ref="U1049:U1050"/>
    <mergeCell ref="W1049:W1050"/>
    <mergeCell ref="Y1049:Y1050"/>
    <mergeCell ref="Y752:Y753"/>
    <mergeCell ref="V697:W697"/>
    <mergeCell ref="AD1049:AD1050"/>
    <mergeCell ref="V1049:V1050"/>
    <mergeCell ref="AB995:AB996"/>
    <mergeCell ref="AC995:AC996"/>
    <mergeCell ref="X995:X996"/>
    <mergeCell ref="AC1049:AC1050"/>
    <mergeCell ref="AB1049:AB1050"/>
    <mergeCell ref="Y995:Y996"/>
    <mergeCell ref="Z995:Z996"/>
    <mergeCell ref="AD995:AD996"/>
    <mergeCell ref="AD835:AE835"/>
    <mergeCell ref="P675:P676"/>
    <mergeCell ref="P698:P699"/>
    <mergeCell ref="R752:R753"/>
    <mergeCell ref="R697:S697"/>
    <mergeCell ref="S752:S753"/>
    <mergeCell ref="AC986:AC993"/>
    <mergeCell ref="T995:T996"/>
    <mergeCell ref="Z994:AA994"/>
    <mergeCell ref="AD836:AE836"/>
    <mergeCell ref="AB846:AB847"/>
    <mergeCell ref="Z698:Z699"/>
    <mergeCell ref="Z612:Z619"/>
    <mergeCell ref="AD698:AD699"/>
    <mergeCell ref="AB675:AB676"/>
    <mergeCell ref="AD752:AD753"/>
    <mergeCell ref="AD845:AE845"/>
    <mergeCell ref="Z675:Z676"/>
    <mergeCell ref="AA837:AA844"/>
    <mergeCell ref="AE986:AE993"/>
    <mergeCell ref="Z688:AA688"/>
    <mergeCell ref="AB986:AB993"/>
    <mergeCell ref="AE675:AE676"/>
    <mergeCell ref="AA846:AA847"/>
    <mergeCell ref="AA974:AA975"/>
    <mergeCell ref="AB911:AB918"/>
    <mergeCell ref="AE974:AE975"/>
    <mergeCell ref="AB920:AB921"/>
    <mergeCell ref="AD986:AD993"/>
    <mergeCell ref="B772:C772"/>
    <mergeCell ref="D836:D844"/>
    <mergeCell ref="B836:C844"/>
    <mergeCell ref="F961:I961"/>
    <mergeCell ref="F952:I952"/>
    <mergeCell ref="F910:F918"/>
    <mergeCell ref="G910:G918"/>
    <mergeCell ref="H910:H918"/>
    <mergeCell ref="G836:G844"/>
    <mergeCell ref="D1135:D1143"/>
    <mergeCell ref="B1074:I1074"/>
    <mergeCell ref="G1135:G1143"/>
    <mergeCell ref="I1135:I1143"/>
    <mergeCell ref="F1135:F1143"/>
    <mergeCell ref="B1071:I1071"/>
    <mergeCell ref="B1087:I1087"/>
    <mergeCell ref="B1124:L1125"/>
    <mergeCell ref="B1135:C1143"/>
    <mergeCell ref="E1135:E1143"/>
    <mergeCell ref="H1211:H1219"/>
    <mergeCell ref="B1211:C1219"/>
    <mergeCell ref="E1284:E1292"/>
    <mergeCell ref="B1346:C1346"/>
    <mergeCell ref="D1284:D1292"/>
    <mergeCell ref="B1337:C1337"/>
    <mergeCell ref="B1339:C1339"/>
    <mergeCell ref="B1222:I1222"/>
    <mergeCell ref="B1345:C1345"/>
    <mergeCell ref="E1211:E1219"/>
    <mergeCell ref="AF1050:AG1050"/>
    <mergeCell ref="P1049:P1050"/>
    <mergeCell ref="N1070:N1071"/>
    <mergeCell ref="B1284:C1292"/>
    <mergeCell ref="B1294:C1294"/>
    <mergeCell ref="G1284:G1292"/>
    <mergeCell ref="H1284:H1292"/>
    <mergeCell ref="D1211:D1219"/>
    <mergeCell ref="B1275:J1276"/>
    <mergeCell ref="AE1049:AE1050"/>
    <mergeCell ref="N1049:N1050"/>
    <mergeCell ref="T1049:T1050"/>
    <mergeCell ref="X1049:X1050"/>
    <mergeCell ref="R1049:R1050"/>
    <mergeCell ref="P1070:P1071"/>
    <mergeCell ref="R1070:R1071"/>
    <mergeCell ref="W1070:W1071"/>
    <mergeCell ref="U1070:U1071"/>
    <mergeCell ref="S1060:U1060"/>
    <mergeCell ref="M1049:M1050"/>
    <mergeCell ref="AF1125:AG1125"/>
    <mergeCell ref="AF1063:AG1107"/>
    <mergeCell ref="AF1200:AG1200"/>
    <mergeCell ref="AF1259:AG1274"/>
    <mergeCell ref="S1070:S1071"/>
    <mergeCell ref="V1070:V1071"/>
    <mergeCell ref="Y1124:Y1125"/>
    <mergeCell ref="X1124:X1125"/>
    <mergeCell ref="X1069:Y1069"/>
    <mergeCell ref="AG1284:AG1286"/>
    <mergeCell ref="F1076:I1076"/>
    <mergeCell ref="F1284:F1292"/>
    <mergeCell ref="AF1214:AG1258"/>
    <mergeCell ref="AF958:AG973"/>
    <mergeCell ref="AG1211:AG1213"/>
    <mergeCell ref="AF1135:AF1137"/>
    <mergeCell ref="AF1199:AG1199"/>
    <mergeCell ref="AG1060:AG1062"/>
    <mergeCell ref="AF985:AF987"/>
    <mergeCell ref="AG985:AG987"/>
    <mergeCell ref="AF1060:AF1062"/>
    <mergeCell ref="AF1211:AF1213"/>
    <mergeCell ref="AF1049:AG1049"/>
    <mergeCell ref="I226:I234"/>
    <mergeCell ref="P368:P369"/>
    <mergeCell ref="O522:O523"/>
    <mergeCell ref="N381:N389"/>
    <mergeCell ref="AF839:AG883"/>
    <mergeCell ref="AF535:AF537"/>
    <mergeCell ref="T698:T699"/>
    <mergeCell ref="X675:X676"/>
    <mergeCell ref="Z826:Z827"/>
    <mergeCell ref="Y826:Y827"/>
    <mergeCell ref="T689:U696"/>
    <mergeCell ref="U763:U770"/>
    <mergeCell ref="Z697:AA697"/>
    <mergeCell ref="AA698:AA699"/>
    <mergeCell ref="W675:W676"/>
    <mergeCell ref="V675:V676"/>
    <mergeCell ref="Q226:R226"/>
    <mergeCell ref="S226:T226"/>
    <mergeCell ref="Q304:R304"/>
    <mergeCell ref="Q85:R85"/>
    <mergeCell ref="R215:R216"/>
    <mergeCell ref="AG611:AG613"/>
    <mergeCell ref="W612:W619"/>
    <mergeCell ref="X612:X619"/>
    <mergeCell ref="W215:W216"/>
    <mergeCell ref="AC313:AD313"/>
    <mergeCell ref="AA752:AA753"/>
    <mergeCell ref="AB752:AB753"/>
    <mergeCell ref="Y698:Y699"/>
    <mergeCell ref="AB698:AB699"/>
    <mergeCell ref="V67:V68"/>
    <mergeCell ref="X621:X622"/>
    <mergeCell ref="V621:V622"/>
    <mergeCell ref="Y621:Y622"/>
    <mergeCell ref="V688:W688"/>
    <mergeCell ref="V698:V699"/>
    <mergeCell ref="S225:T225"/>
    <mergeCell ref="Q12:R12"/>
    <mergeCell ref="Y13:Y14"/>
    <mergeCell ref="Q13:Q14"/>
    <mergeCell ref="S13:S14"/>
    <mergeCell ref="U13:U14"/>
    <mergeCell ref="R13:R14"/>
    <mergeCell ref="V13:V14"/>
    <mergeCell ref="Y86:Y87"/>
    <mergeCell ref="R161:R162"/>
    <mergeCell ref="T13:T14"/>
    <mergeCell ref="AD13:AD14"/>
    <mergeCell ref="O12:P12"/>
    <mergeCell ref="U12:V12"/>
    <mergeCell ref="U161:U162"/>
    <mergeCell ref="V161:V162"/>
    <mergeCell ref="O150:P150"/>
    <mergeCell ref="P67:P68"/>
    <mergeCell ref="Q75:R75"/>
    <mergeCell ref="R67:R68"/>
    <mergeCell ref="M3:M11"/>
    <mergeCell ref="J76:J84"/>
    <mergeCell ref="I76:I84"/>
    <mergeCell ref="O4:P11"/>
    <mergeCell ref="AC4:AD11"/>
    <mergeCell ref="W12:X12"/>
    <mergeCell ref="W4:X11"/>
    <mergeCell ref="S12:T12"/>
    <mergeCell ref="W13:W14"/>
    <mergeCell ref="X13:X14"/>
    <mergeCell ref="F65:I65"/>
    <mergeCell ref="D76:D84"/>
    <mergeCell ref="H76:H84"/>
    <mergeCell ref="E44:I44"/>
    <mergeCell ref="B76:C84"/>
    <mergeCell ref="B67:N68"/>
    <mergeCell ref="N151:N159"/>
    <mergeCell ref="F110:I110"/>
    <mergeCell ref="F116:I116"/>
    <mergeCell ref="K74:N74"/>
    <mergeCell ref="K3:K11"/>
    <mergeCell ref="L76:L84"/>
    <mergeCell ref="J3:J11"/>
    <mergeCell ref="B87:I87"/>
    <mergeCell ref="E76:E84"/>
    <mergeCell ref="B72:G72"/>
    <mergeCell ref="P236:P237"/>
    <mergeCell ref="U75:V75"/>
    <mergeCell ref="Q76:R76"/>
    <mergeCell ref="K222:N222"/>
    <mergeCell ref="K223:N223"/>
    <mergeCell ref="O236:O237"/>
    <mergeCell ref="P215:P216"/>
    <mergeCell ref="Q225:R225"/>
    <mergeCell ref="B215:N216"/>
    <mergeCell ref="L151:L159"/>
    <mergeCell ref="S303:T303"/>
    <mergeCell ref="O235:P235"/>
    <mergeCell ref="Q303:R303"/>
    <mergeCell ref="L304:L312"/>
    <mergeCell ref="M304:M312"/>
    <mergeCell ref="U305:V312"/>
    <mergeCell ref="U290:U291"/>
    <mergeCell ref="T236:T237"/>
    <mergeCell ref="Q290:Q291"/>
    <mergeCell ref="O304:P304"/>
    <mergeCell ref="V236:V237"/>
    <mergeCell ref="W290:W291"/>
    <mergeCell ref="I304:I312"/>
    <mergeCell ref="Y305:Z312"/>
    <mergeCell ref="U303:V303"/>
    <mergeCell ref="S290:S291"/>
    <mergeCell ref="T290:T291"/>
    <mergeCell ref="K304:K312"/>
    <mergeCell ref="S304:T304"/>
    <mergeCell ref="S305:T312"/>
    <mergeCell ref="AF430:AG444"/>
    <mergeCell ref="AF523:AG523"/>
    <mergeCell ref="AF600:AG600"/>
    <mergeCell ref="V290:V291"/>
    <mergeCell ref="AD290:AD291"/>
    <mergeCell ref="W226:X226"/>
    <mergeCell ref="Y236:Y237"/>
    <mergeCell ref="W236:W237"/>
    <mergeCell ref="AA290:AA291"/>
    <mergeCell ref="U235:V235"/>
    <mergeCell ref="AF676:AG676"/>
    <mergeCell ref="AF675:AG675"/>
    <mergeCell ref="Z536:Z543"/>
    <mergeCell ref="AA612:AA619"/>
    <mergeCell ref="AA675:AA676"/>
    <mergeCell ref="Y522:Y523"/>
    <mergeCell ref="Z621:Z622"/>
    <mergeCell ref="AB621:AB622"/>
    <mergeCell ref="Y612:Y619"/>
    <mergeCell ref="AF614:AG658"/>
    <mergeCell ref="AD689:AE696"/>
    <mergeCell ref="AC675:AC676"/>
    <mergeCell ref="AD621:AD622"/>
    <mergeCell ref="AC621:AC622"/>
    <mergeCell ref="AB688:AC688"/>
    <mergeCell ref="AD675:AD676"/>
    <mergeCell ref="AD688:AE688"/>
    <mergeCell ref="AF659:AG674"/>
    <mergeCell ref="AF611:AF613"/>
    <mergeCell ref="H304:H312"/>
    <mergeCell ref="AF538:AG582"/>
    <mergeCell ref="AF599:AG599"/>
    <mergeCell ref="AD697:AE697"/>
    <mergeCell ref="AE368:AE369"/>
    <mergeCell ref="AD468:AD469"/>
    <mergeCell ref="AE468:AE469"/>
    <mergeCell ref="AD612:AD619"/>
    <mergeCell ref="AE612:AE619"/>
    <mergeCell ref="AF506:AG521"/>
    <mergeCell ref="N3:N11"/>
    <mergeCell ref="AF691:AG735"/>
    <mergeCell ref="W458:X458"/>
    <mergeCell ref="D3:D11"/>
    <mergeCell ref="E3:E11"/>
    <mergeCell ref="F3:F11"/>
    <mergeCell ref="G3:G11"/>
    <mergeCell ref="L3:L11"/>
    <mergeCell ref="AB697:AC697"/>
    <mergeCell ref="I3:I11"/>
    <mergeCell ref="M76:M84"/>
    <mergeCell ref="E34:I34"/>
    <mergeCell ref="E24:I24"/>
    <mergeCell ref="H3:H11"/>
    <mergeCell ref="F76:F84"/>
    <mergeCell ref="G76:G84"/>
    <mergeCell ref="B14:I14"/>
    <mergeCell ref="B3:C11"/>
    <mergeCell ref="F226:F234"/>
    <mergeCell ref="O227:P234"/>
    <mergeCell ref="H226:H234"/>
    <mergeCell ref="K226:K234"/>
    <mergeCell ref="N226:N234"/>
    <mergeCell ref="B176:I176"/>
    <mergeCell ref="B226:C234"/>
    <mergeCell ref="G226:G234"/>
    <mergeCell ref="Q140:Q141"/>
    <mergeCell ref="L226:L234"/>
    <mergeCell ref="K148:N148"/>
    <mergeCell ref="O215:O216"/>
    <mergeCell ref="Q161:Q162"/>
    <mergeCell ref="Q227:R234"/>
    <mergeCell ref="B140:N141"/>
    <mergeCell ref="J226:J234"/>
    <mergeCell ref="O161:O162"/>
    <mergeCell ref="E226:E234"/>
    <mergeCell ref="N76:N84"/>
    <mergeCell ref="P290:P291"/>
    <mergeCell ref="U226:V226"/>
    <mergeCell ref="Q151:R151"/>
    <mergeCell ref="U151:V151"/>
    <mergeCell ref="O86:O87"/>
    <mergeCell ref="Q215:Q216"/>
    <mergeCell ref="Q86:Q87"/>
    <mergeCell ref="U150:V150"/>
    <mergeCell ref="T161:T162"/>
    <mergeCell ref="U77:V84"/>
    <mergeCell ref="R290:R291"/>
    <mergeCell ref="O151:P151"/>
    <mergeCell ref="S86:S87"/>
    <mergeCell ref="P161:P162"/>
    <mergeCell ref="O152:P159"/>
    <mergeCell ref="S236:S237"/>
    <mergeCell ref="S160:T160"/>
    <mergeCell ref="Q236:Q237"/>
    <mergeCell ref="P140:P141"/>
    <mergeCell ref="U536:U543"/>
    <mergeCell ref="K76:K84"/>
    <mergeCell ref="S445:S446"/>
    <mergeCell ref="X161:X162"/>
    <mergeCell ref="Q390:R390"/>
    <mergeCell ref="O314:O315"/>
    <mergeCell ref="R368:R369"/>
    <mergeCell ref="M381:M389"/>
    <mergeCell ref="Q314:Q315"/>
    <mergeCell ref="U86:U87"/>
    <mergeCell ref="B327:I327"/>
    <mergeCell ref="F649:I649"/>
    <mergeCell ref="F403:I403"/>
    <mergeCell ref="B392:I392"/>
    <mergeCell ref="O544:P544"/>
    <mergeCell ref="G535:G543"/>
    <mergeCell ref="P445:P446"/>
    <mergeCell ref="B445:N446"/>
    <mergeCell ref="K536:K543"/>
    <mergeCell ref="O368:O369"/>
    <mergeCell ref="P845:Q845"/>
    <mergeCell ref="M544:N544"/>
    <mergeCell ref="M545:M546"/>
    <mergeCell ref="N545:N546"/>
    <mergeCell ref="O467:P467"/>
    <mergeCell ref="Q467:R467"/>
    <mergeCell ref="O675:O676"/>
    <mergeCell ref="Q621:Q622"/>
    <mergeCell ref="N837:O844"/>
    <mergeCell ref="P621:P622"/>
    <mergeCell ref="R836:S836"/>
    <mergeCell ref="R837:S844"/>
    <mergeCell ref="T688:U688"/>
    <mergeCell ref="S675:S676"/>
    <mergeCell ref="O621:O622"/>
    <mergeCell ref="S621:S622"/>
    <mergeCell ref="U826:U827"/>
    <mergeCell ref="S826:S827"/>
    <mergeCell ref="P836:Q836"/>
    <mergeCell ref="T835:U835"/>
    <mergeCell ref="T621:T622"/>
    <mergeCell ref="R599:R600"/>
    <mergeCell ref="T599:T600"/>
    <mergeCell ref="P689:Q696"/>
    <mergeCell ref="R687:S687"/>
    <mergeCell ref="T612:T619"/>
    <mergeCell ref="R689:S696"/>
    <mergeCell ref="O612:P619"/>
    <mergeCell ref="O620:P620"/>
    <mergeCell ref="Q612:Q619"/>
    <mergeCell ref="AB836:AC836"/>
    <mergeCell ref="Z837:Z844"/>
    <mergeCell ref="T845:U845"/>
    <mergeCell ref="Z900:Z901"/>
    <mergeCell ref="V900:V901"/>
    <mergeCell ref="W900:W901"/>
    <mergeCell ref="Y900:Y901"/>
    <mergeCell ref="Y846:Y847"/>
    <mergeCell ref="T846:T847"/>
    <mergeCell ref="V846:V847"/>
    <mergeCell ref="R845:S845"/>
    <mergeCell ref="R835:S835"/>
    <mergeCell ref="R675:R676"/>
    <mergeCell ref="R522:R523"/>
    <mergeCell ref="T752:T753"/>
    <mergeCell ref="T900:T901"/>
    <mergeCell ref="S763:S770"/>
    <mergeCell ref="R826:R827"/>
    <mergeCell ref="R545:R546"/>
    <mergeCell ref="S599:S600"/>
    <mergeCell ref="X67:X68"/>
    <mergeCell ref="W77:X84"/>
    <mergeCell ref="V910:W910"/>
    <mergeCell ref="U225:V225"/>
    <mergeCell ref="U314:U315"/>
    <mergeCell ref="V314:V315"/>
    <mergeCell ref="W67:W68"/>
    <mergeCell ref="U900:U901"/>
    <mergeCell ref="U459:V466"/>
    <mergeCell ref="V468:V469"/>
    <mergeCell ref="V919:W919"/>
    <mergeCell ref="W86:W87"/>
    <mergeCell ref="W227:X234"/>
    <mergeCell ref="V599:V600"/>
    <mergeCell ref="U621:U622"/>
    <mergeCell ref="U160:V160"/>
    <mergeCell ref="X846:X847"/>
    <mergeCell ref="W150:X150"/>
    <mergeCell ref="U152:V159"/>
    <mergeCell ref="V445:V446"/>
    <mergeCell ref="W2:X2"/>
    <mergeCell ref="W3:X3"/>
    <mergeCell ref="O3:P3"/>
    <mergeCell ref="U67:U68"/>
    <mergeCell ref="U85:V85"/>
    <mergeCell ref="R140:R141"/>
    <mergeCell ref="O13:O14"/>
    <mergeCell ref="V86:V87"/>
    <mergeCell ref="O67:O68"/>
    <mergeCell ref="V140:V141"/>
    <mergeCell ref="U2:V2"/>
    <mergeCell ref="Q2:R2"/>
    <mergeCell ref="O2:P2"/>
    <mergeCell ref="U3:V3"/>
    <mergeCell ref="S2:T2"/>
    <mergeCell ref="U4:V11"/>
    <mergeCell ref="S3:T3"/>
    <mergeCell ref="S4:T11"/>
    <mergeCell ref="Q3:R3"/>
    <mergeCell ref="Q4:R11"/>
    <mergeCell ref="W76:X76"/>
    <mergeCell ref="AC75:AD75"/>
    <mergeCell ref="AC67:AC68"/>
    <mergeCell ref="R236:R237"/>
    <mergeCell ref="Y76:Z76"/>
    <mergeCell ref="AA76:AB76"/>
    <mergeCell ref="U236:U237"/>
    <mergeCell ref="AD236:AD237"/>
    <mergeCell ref="U76:V76"/>
    <mergeCell ref="S152:T159"/>
    <mergeCell ref="Q920:Q921"/>
    <mergeCell ref="K297:N297"/>
    <mergeCell ref="N909:O909"/>
    <mergeCell ref="F440:I440"/>
    <mergeCell ref="B315:I315"/>
    <mergeCell ref="N911:O918"/>
    <mergeCell ref="B304:C312"/>
    <mergeCell ref="G304:G312"/>
    <mergeCell ref="Q675:Q676"/>
    <mergeCell ref="N675:N676"/>
    <mergeCell ref="N995:N996"/>
    <mergeCell ref="S900:S901"/>
    <mergeCell ref="S846:S847"/>
    <mergeCell ref="P909:Q909"/>
    <mergeCell ref="L381:L389"/>
    <mergeCell ref="E836:E844"/>
    <mergeCell ref="P920:P921"/>
    <mergeCell ref="Q459:R466"/>
    <mergeCell ref="R846:R847"/>
    <mergeCell ref="Q536:R543"/>
    <mergeCell ref="N919:O919"/>
    <mergeCell ref="U920:U921"/>
    <mergeCell ref="P911:Q918"/>
    <mergeCell ref="P919:Q919"/>
    <mergeCell ref="T911:U918"/>
    <mergeCell ref="N304:N312"/>
    <mergeCell ref="Q544:R544"/>
    <mergeCell ref="U846:U847"/>
    <mergeCell ref="N910:O910"/>
    <mergeCell ref="T919:U919"/>
    <mergeCell ref="N986:N993"/>
    <mergeCell ref="O974:O975"/>
    <mergeCell ref="R911:S918"/>
    <mergeCell ref="AE995:AE996"/>
    <mergeCell ref="B688:C696"/>
    <mergeCell ref="O920:O921"/>
    <mergeCell ref="R919:S919"/>
    <mergeCell ref="T910:U910"/>
    <mergeCell ref="H762:H770"/>
    <mergeCell ref="K985:K993"/>
    <mergeCell ref="B1049:L1050"/>
    <mergeCell ref="J1060:J1068"/>
    <mergeCell ref="H1060:H1068"/>
    <mergeCell ref="B1070:C1070"/>
    <mergeCell ref="D1060:D1068"/>
    <mergeCell ref="F1060:F1068"/>
    <mergeCell ref="B1060:C1068"/>
    <mergeCell ref="K1060:K1068"/>
    <mergeCell ref="E1060:E1068"/>
    <mergeCell ref="L1060:L1068"/>
    <mergeCell ref="R995:R996"/>
    <mergeCell ref="R974:R975"/>
    <mergeCell ref="X910:Y910"/>
    <mergeCell ref="P910:Q910"/>
    <mergeCell ref="S920:S921"/>
    <mergeCell ref="S995:S996"/>
    <mergeCell ref="Q995:Q996"/>
    <mergeCell ref="P995:P996"/>
    <mergeCell ref="W920:W921"/>
    <mergeCell ref="V920:V921"/>
    <mergeCell ref="Q534:R534"/>
    <mergeCell ref="Q535:R535"/>
    <mergeCell ref="P837:Q844"/>
    <mergeCell ref="T837:U844"/>
    <mergeCell ref="T836:U836"/>
    <mergeCell ref="V689:W696"/>
    <mergeCell ref="W837:W844"/>
    <mergeCell ref="R621:R622"/>
    <mergeCell ref="W826:W827"/>
    <mergeCell ref="W621:W622"/>
    <mergeCell ref="AB1124:AB1125"/>
    <mergeCell ref="Y675:Y676"/>
    <mergeCell ref="X837:X844"/>
    <mergeCell ref="AA77:AB84"/>
    <mergeCell ref="Y77:Z84"/>
    <mergeCell ref="Z236:Z237"/>
    <mergeCell ref="AB161:AB162"/>
    <mergeCell ref="X236:X237"/>
    <mergeCell ref="AB290:AB291"/>
    <mergeCell ref="X900:X901"/>
    <mergeCell ref="Y837:Y844"/>
    <mergeCell ref="Z974:Z975"/>
    <mergeCell ref="Z689:AA696"/>
    <mergeCell ref="Y763:Y770"/>
    <mergeCell ref="AC974:AC975"/>
    <mergeCell ref="AA920:AA921"/>
    <mergeCell ref="Y974:Y975"/>
    <mergeCell ref="Z920:Z921"/>
    <mergeCell ref="X919:Y919"/>
    <mergeCell ref="Z911:Z918"/>
    <mergeCell ref="Z846:Z847"/>
    <mergeCell ref="V536:V543"/>
    <mergeCell ref="AA382:AB389"/>
    <mergeCell ref="AA368:AA369"/>
    <mergeCell ref="X522:X523"/>
    <mergeCell ref="Y368:Y369"/>
    <mergeCell ref="Y468:Y469"/>
    <mergeCell ref="Y380:Z380"/>
    <mergeCell ref="U380:V380"/>
    <mergeCell ref="W467:X467"/>
    <mergeCell ref="W381:X381"/>
    <mergeCell ref="AA391:AA392"/>
    <mergeCell ref="AB391:AB392"/>
    <mergeCell ref="AA522:AA523"/>
    <mergeCell ref="Y457:Z457"/>
    <mergeCell ref="W313:X313"/>
    <mergeCell ref="AA314:AA315"/>
    <mergeCell ref="Y458:Z458"/>
    <mergeCell ref="AB522:AB523"/>
    <mergeCell ref="Y382:Z389"/>
    <mergeCell ref="W382:X389"/>
    <mergeCell ref="U140:U141"/>
    <mergeCell ref="AA226:AB226"/>
    <mergeCell ref="Y304:Z304"/>
    <mergeCell ref="AC368:AC369"/>
    <mergeCell ref="AD161:AD162"/>
    <mergeCell ref="AA215:AA216"/>
    <mergeCell ref="AC290:AC291"/>
    <mergeCell ref="AD215:AD216"/>
    <mergeCell ref="AC236:AC237"/>
    <mergeCell ref="X314:X315"/>
    <mergeCell ref="Y215:Y216"/>
    <mergeCell ref="Y161:Y162"/>
    <mergeCell ref="AA235:AB235"/>
    <mergeCell ref="Y225:Z225"/>
    <mergeCell ref="Y226:Z226"/>
    <mergeCell ref="W304:X304"/>
    <mergeCell ref="AA313:AB313"/>
    <mergeCell ref="AA227:AB234"/>
    <mergeCell ref="W235:X235"/>
    <mergeCell ref="AC86:AC87"/>
    <mergeCell ref="W140:W141"/>
    <mergeCell ref="AC227:AD234"/>
    <mergeCell ref="AB215:AB216"/>
    <mergeCell ref="AC161:AC162"/>
    <mergeCell ref="AA161:AA162"/>
    <mergeCell ref="W161:W162"/>
    <mergeCell ref="W160:X160"/>
    <mergeCell ref="W152:X159"/>
    <mergeCell ref="AC215:AC216"/>
    <mergeCell ref="AB140:AB141"/>
    <mergeCell ref="X140:X141"/>
    <mergeCell ref="AE305:AE312"/>
    <mergeCell ref="W151:X151"/>
    <mergeCell ref="Y150:Z150"/>
    <mergeCell ref="AA140:AA141"/>
    <mergeCell ref="AC304:AD304"/>
    <mergeCell ref="AC226:AD226"/>
    <mergeCell ref="AE215:AE216"/>
    <mergeCell ref="Y140:Y141"/>
    <mergeCell ref="AC2:AD2"/>
    <mergeCell ref="AB13:AB14"/>
    <mergeCell ref="AA152:AB159"/>
    <mergeCell ref="AB86:AB87"/>
    <mergeCell ref="AA86:AA87"/>
    <mergeCell ref="AD140:AD141"/>
    <mergeCell ref="AA13:AA14"/>
    <mergeCell ref="AC152:AD159"/>
    <mergeCell ref="AC3:AD3"/>
    <mergeCell ref="AC12:AD12"/>
    <mergeCell ref="Y67:Y68"/>
    <mergeCell ref="Z13:Z14"/>
    <mergeCell ref="AA151:AB151"/>
    <mergeCell ref="AD67:AD68"/>
    <mergeCell ref="AC77:AD84"/>
    <mergeCell ref="AC150:AD150"/>
    <mergeCell ref="AC85:AD85"/>
    <mergeCell ref="AC151:AD151"/>
    <mergeCell ref="AC76:AD76"/>
    <mergeCell ref="Y85:Z85"/>
    <mergeCell ref="U382:V389"/>
    <mergeCell ref="S75:T75"/>
    <mergeCell ref="S76:T76"/>
    <mergeCell ref="W75:X75"/>
    <mergeCell ref="W303:X303"/>
    <mergeCell ref="X86:X87"/>
    <mergeCell ref="S215:S216"/>
    <mergeCell ref="S368:S369"/>
    <mergeCell ref="T215:T216"/>
    <mergeCell ref="W85:X85"/>
    <mergeCell ref="Z67:Z68"/>
    <mergeCell ref="AE545:AE546"/>
    <mergeCell ref="AE599:AE600"/>
    <mergeCell ref="AE621:AE622"/>
    <mergeCell ref="AC13:AC14"/>
    <mergeCell ref="U227:V234"/>
    <mergeCell ref="AD86:AD87"/>
    <mergeCell ref="AA67:AA68"/>
    <mergeCell ref="AB67:AB68"/>
    <mergeCell ref="AC467:AD467"/>
    <mergeCell ref="AE522:AE523"/>
    <mergeCell ref="AC382:AC389"/>
    <mergeCell ref="AC599:AC600"/>
    <mergeCell ref="AE536:AE543"/>
    <mergeCell ref="AE314:AE315"/>
    <mergeCell ref="AC468:AC469"/>
    <mergeCell ref="AC458:AD458"/>
    <mergeCell ref="AC457:AD457"/>
    <mergeCell ref="AD368:AD369"/>
    <mergeCell ref="AD314:AD315"/>
    <mergeCell ref="AI920:AI921"/>
    <mergeCell ref="AI974:AI975"/>
    <mergeCell ref="AF884:AG899"/>
    <mergeCell ref="AF901:AG901"/>
    <mergeCell ref="AI911:AI918"/>
    <mergeCell ref="AE911:AE918"/>
    <mergeCell ref="AE920:AE921"/>
    <mergeCell ref="AF900:AG900"/>
    <mergeCell ref="AF913:AG957"/>
    <mergeCell ref="AF910:AF912"/>
    <mergeCell ref="AC919:AD919"/>
    <mergeCell ref="AE445:AE446"/>
    <mergeCell ref="AE459:AE466"/>
    <mergeCell ref="AD382:AD389"/>
    <mergeCell ref="AD391:AD392"/>
    <mergeCell ref="AB689:AC696"/>
    <mergeCell ref="AB468:AB469"/>
    <mergeCell ref="AC522:AC523"/>
    <mergeCell ref="AC911:AD918"/>
    <mergeCell ref="AD522:AD523"/>
    <mergeCell ref="AE4:AE11"/>
    <mergeCell ref="AE13:AE14"/>
    <mergeCell ref="AE67:AE68"/>
    <mergeCell ref="AE77:AE84"/>
    <mergeCell ref="AE86:AE87"/>
    <mergeCell ref="AE140:AE141"/>
    <mergeCell ref="AD1061:AE1068"/>
    <mergeCell ref="AD1069:AE1069"/>
    <mergeCell ref="AE1124:AE1125"/>
    <mergeCell ref="AC752:AC753"/>
    <mergeCell ref="AA995:AA996"/>
    <mergeCell ref="AA1049:AA1050"/>
    <mergeCell ref="AE1070:AE1071"/>
    <mergeCell ref="AD900:AD901"/>
    <mergeCell ref="AE900:AE901"/>
    <mergeCell ref="AD974:AD975"/>
    <mergeCell ref="AD920:AD921"/>
    <mergeCell ref="AB1061:AC1068"/>
    <mergeCell ref="Y920:Y921"/>
    <mergeCell ref="AC1070:AC1071"/>
    <mergeCell ref="AA1136:AA1143"/>
    <mergeCell ref="AB1136:AB1143"/>
    <mergeCell ref="AD1060:AE1060"/>
    <mergeCell ref="Z1136:Z1143"/>
    <mergeCell ref="Y1136:Y1143"/>
    <mergeCell ref="AC920:AC921"/>
    <mergeCell ref="AD1199:AD1200"/>
    <mergeCell ref="AE1199:AE1200"/>
    <mergeCell ref="AC1145:AC1146"/>
    <mergeCell ref="AD1145:AD1146"/>
    <mergeCell ref="AE1136:AE1143"/>
    <mergeCell ref="AC1136:AC1143"/>
    <mergeCell ref="AD1136:AD1143"/>
    <mergeCell ref="AE1145:AE1146"/>
    <mergeCell ref="AC1199:AC1200"/>
    <mergeCell ref="B1146:I1146"/>
    <mergeCell ref="W1145:W1146"/>
    <mergeCell ref="X1145:X1146"/>
    <mergeCell ref="Y1145:Y1146"/>
    <mergeCell ref="M1145:M1146"/>
    <mergeCell ref="N1145:N1146"/>
    <mergeCell ref="O1145:O1146"/>
    <mergeCell ref="P1145:P1146"/>
    <mergeCell ref="S1145:S1146"/>
    <mergeCell ref="T1145:T1146"/>
    <mergeCell ref="Q1134:R1134"/>
    <mergeCell ref="V1069:W1069"/>
    <mergeCell ref="F1150:I1150"/>
    <mergeCell ref="F1151:I1151"/>
    <mergeCell ref="F1155:I1155"/>
    <mergeCell ref="J1135:J1143"/>
    <mergeCell ref="L1135:L1143"/>
    <mergeCell ref="K1135:K1143"/>
    <mergeCell ref="V1136:V1143"/>
    <mergeCell ref="P1124:P1125"/>
    <mergeCell ref="AA911:AA918"/>
    <mergeCell ref="V837:V844"/>
    <mergeCell ref="V909:W909"/>
    <mergeCell ref="AC846:AC847"/>
    <mergeCell ref="AC900:AC901"/>
    <mergeCell ref="AB900:AB901"/>
    <mergeCell ref="X909:Y909"/>
    <mergeCell ref="AC910:AD910"/>
    <mergeCell ref="V911:W918"/>
    <mergeCell ref="AD846:AD847"/>
    <mergeCell ref="AC909:AD909"/>
    <mergeCell ref="X763:X770"/>
    <mergeCell ref="W698:W699"/>
    <mergeCell ref="K688:K696"/>
    <mergeCell ref="J762:J770"/>
    <mergeCell ref="B900:K901"/>
    <mergeCell ref="AA763:AA770"/>
    <mergeCell ref="AB763:AB770"/>
    <mergeCell ref="AC763:AC770"/>
    <mergeCell ref="W763:W770"/>
    <mergeCell ref="V1060:W1060"/>
    <mergeCell ref="X911:Y918"/>
    <mergeCell ref="X920:X921"/>
    <mergeCell ref="O1221:O1222"/>
    <mergeCell ref="P1221:P1222"/>
    <mergeCell ref="O1211:P1211"/>
    <mergeCell ref="O1220:P1220"/>
    <mergeCell ref="Q1221:Q1222"/>
    <mergeCell ref="R1221:R1222"/>
    <mergeCell ref="X1061:Y1068"/>
    <mergeCell ref="W846:W847"/>
    <mergeCell ref="V1221:V1222"/>
    <mergeCell ref="O1212:P1219"/>
    <mergeCell ref="K1221:K1222"/>
    <mergeCell ref="L1221:L1222"/>
    <mergeCell ref="M1221:M1222"/>
    <mergeCell ref="N1221:N1222"/>
    <mergeCell ref="K1212:K1219"/>
    <mergeCell ref="M1212:M1219"/>
    <mergeCell ref="N1212:N1219"/>
    <mergeCell ref="L1212:L1219"/>
    <mergeCell ref="B1199:L1200"/>
    <mergeCell ref="M1199:M1200"/>
    <mergeCell ref="O1199:O1200"/>
    <mergeCell ref="N1199:N1200"/>
    <mergeCell ref="Q1199:Q1200"/>
    <mergeCell ref="I1211:I1219"/>
    <mergeCell ref="J1211:J1219"/>
    <mergeCell ref="F1211:F1219"/>
    <mergeCell ref="G1211:G1219"/>
    <mergeCell ref="F1193:I1193"/>
    <mergeCell ref="F1189:I1189"/>
    <mergeCell ref="F1188:I1188"/>
    <mergeCell ref="F1192:I1192"/>
    <mergeCell ref="F1156:I1156"/>
    <mergeCell ref="F1183:I1183"/>
    <mergeCell ref="F1164:I1164"/>
    <mergeCell ref="F1163:I1163"/>
    <mergeCell ref="Z1061:AA1068"/>
    <mergeCell ref="AA1221:AA1222"/>
    <mergeCell ref="AB1221:AB1222"/>
    <mergeCell ref="AC1221:AC1222"/>
    <mergeCell ref="W1221:W1222"/>
    <mergeCell ref="X1221:X1222"/>
    <mergeCell ref="AA1199:AA1200"/>
    <mergeCell ref="Y1070:Y1071"/>
    <mergeCell ref="Y1199:Y1200"/>
    <mergeCell ref="X1070:X1071"/>
    <mergeCell ref="S67:S68"/>
    <mergeCell ref="S140:S141"/>
    <mergeCell ref="S151:T151"/>
    <mergeCell ref="S77:T84"/>
    <mergeCell ref="S85:T85"/>
    <mergeCell ref="T67:T68"/>
    <mergeCell ref="T140:T141"/>
    <mergeCell ref="B295:G295"/>
    <mergeCell ref="P86:P87"/>
    <mergeCell ref="S150:T150"/>
    <mergeCell ref="T86:T87"/>
    <mergeCell ref="B237:I237"/>
    <mergeCell ref="B368:N369"/>
    <mergeCell ref="S314:S315"/>
    <mergeCell ref="E304:E312"/>
    <mergeCell ref="B290:N291"/>
    <mergeCell ref="S161:S162"/>
    <mergeCell ref="AD763:AD770"/>
    <mergeCell ref="AE763:AE770"/>
    <mergeCell ref="S1069:U1069"/>
    <mergeCell ref="U1124:U1125"/>
    <mergeCell ref="F1078:I1078"/>
    <mergeCell ref="E1080:I1080"/>
    <mergeCell ref="E1085:I1085"/>
    <mergeCell ref="E1083:I1083"/>
    <mergeCell ref="AB1060:AC1060"/>
    <mergeCell ref="V1061:W10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3" scale="41" r:id="rId2"/>
  <rowBreaks count="1" manualBreakCount="1">
    <brk id="88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60"/>
  <sheetViews>
    <sheetView view="pageBreakPreview" zoomScale="40" zoomScaleNormal="25" zoomScaleSheetLayoutView="40" workbookViewId="0" topLeftCell="A669">
      <selection activeCell="B688" sqref="B688:AU753"/>
    </sheetView>
  </sheetViews>
  <sheetFormatPr defaultColWidth="9.140625" defaultRowHeight="12.75"/>
  <cols>
    <col min="1" max="3" width="24.7109375" style="0" customWidth="1"/>
    <col min="4" max="19" width="10.7109375" style="0" customWidth="1"/>
    <col min="20" max="20" width="10.7109375" style="18" customWidth="1"/>
    <col min="21" max="45" width="10.7109375" style="0" customWidth="1"/>
    <col min="46" max="48" width="6.7109375" style="0" customWidth="1"/>
  </cols>
  <sheetData>
    <row r="1" spans="16:30" ht="12.75">
      <c r="P1" s="8"/>
      <c r="Q1" s="8"/>
      <c r="R1" s="8"/>
      <c r="S1" s="8"/>
      <c r="T1" s="17"/>
      <c r="U1" s="8"/>
      <c r="V1" s="8"/>
      <c r="Y1" s="8"/>
      <c r="Z1" s="8"/>
      <c r="AC1" s="8"/>
      <c r="AD1" s="8"/>
    </row>
    <row r="2" spans="1:48" s="3" customFormat="1" ht="36" customHeight="1" thickBot="1">
      <c r="A2" s="12"/>
      <c r="B2" s="20"/>
      <c r="C2" s="2"/>
      <c r="D2" s="100"/>
      <c r="E2" s="100"/>
      <c r="F2" s="100"/>
      <c r="G2" s="100"/>
      <c r="H2" s="100"/>
      <c r="I2" s="99"/>
      <c r="J2" s="100"/>
      <c r="K2" s="100"/>
      <c r="L2" s="100"/>
      <c r="M2" s="100"/>
      <c r="N2" s="99"/>
      <c r="O2" s="229"/>
      <c r="P2" s="229"/>
      <c r="Q2" s="229"/>
      <c r="R2" s="229"/>
      <c r="S2" s="229"/>
      <c r="T2" s="229"/>
      <c r="U2" s="229"/>
      <c r="V2" s="229"/>
      <c r="W2" s="351"/>
      <c r="X2" s="351"/>
      <c r="Y2" s="229"/>
      <c r="Z2" s="229"/>
      <c r="AA2" s="351"/>
      <c r="AB2" s="351"/>
      <c r="AC2" s="257"/>
      <c r="AD2" s="257"/>
      <c r="AV2" s="13"/>
    </row>
    <row r="3" spans="2:48" s="4" customFormat="1" ht="21.75" customHeight="1">
      <c r="B3" s="233"/>
      <c r="C3" s="235"/>
      <c r="D3" s="251"/>
      <c r="E3" s="251"/>
      <c r="F3" s="251"/>
      <c r="G3" s="254"/>
      <c r="H3" s="254"/>
      <c r="I3" s="251"/>
      <c r="J3" s="254"/>
      <c r="K3" s="254"/>
      <c r="L3" s="254"/>
      <c r="M3" s="254"/>
      <c r="N3" s="254"/>
      <c r="O3" s="216"/>
      <c r="P3" s="217"/>
      <c r="Q3" s="216"/>
      <c r="R3" s="217"/>
      <c r="S3" s="216"/>
      <c r="T3" s="217"/>
      <c r="U3" s="216"/>
      <c r="V3" s="217"/>
      <c r="W3" s="216"/>
      <c r="X3" s="217"/>
      <c r="Y3" s="216"/>
      <c r="Z3" s="217"/>
      <c r="AA3" s="216"/>
      <c r="AB3" s="217"/>
      <c r="AC3" s="216"/>
      <c r="AD3" s="217"/>
      <c r="AE3" s="216"/>
      <c r="AF3" s="217"/>
      <c r="AG3" s="216"/>
      <c r="AH3" s="217"/>
      <c r="AI3" s="216"/>
      <c r="AJ3" s="217"/>
      <c r="AK3" s="216"/>
      <c r="AL3" s="217"/>
      <c r="AM3" s="216"/>
      <c r="AN3" s="217"/>
      <c r="AO3" s="216"/>
      <c r="AP3" s="217"/>
      <c r="AQ3" s="216"/>
      <c r="AR3" s="217"/>
      <c r="AS3" s="197"/>
      <c r="AT3" s="370"/>
      <c r="AU3" s="282"/>
      <c r="AV3" s="27"/>
    </row>
    <row r="4" spans="2:48" s="4" customFormat="1" ht="27.75" customHeight="1">
      <c r="B4" s="293"/>
      <c r="C4" s="294"/>
      <c r="D4" s="252"/>
      <c r="E4" s="252"/>
      <c r="F4" s="252"/>
      <c r="G4" s="242"/>
      <c r="H4" s="242"/>
      <c r="I4" s="252"/>
      <c r="J4" s="255"/>
      <c r="K4" s="255"/>
      <c r="L4" s="242"/>
      <c r="M4" s="242"/>
      <c r="N4" s="242"/>
      <c r="O4" s="218"/>
      <c r="P4" s="219"/>
      <c r="Q4" s="218"/>
      <c r="R4" s="219"/>
      <c r="S4" s="218"/>
      <c r="T4" s="219"/>
      <c r="U4" s="218"/>
      <c r="V4" s="219"/>
      <c r="W4" s="218"/>
      <c r="X4" s="219"/>
      <c r="Y4" s="218"/>
      <c r="Z4" s="219"/>
      <c r="AA4" s="218"/>
      <c r="AB4" s="219"/>
      <c r="AC4" s="218"/>
      <c r="AD4" s="219"/>
      <c r="AE4" s="218"/>
      <c r="AF4" s="219"/>
      <c r="AG4" s="218"/>
      <c r="AH4" s="219"/>
      <c r="AI4" s="218"/>
      <c r="AJ4" s="219"/>
      <c r="AK4" s="218"/>
      <c r="AL4" s="219"/>
      <c r="AM4" s="218"/>
      <c r="AN4" s="219"/>
      <c r="AO4" s="218"/>
      <c r="AP4" s="219"/>
      <c r="AQ4" s="218"/>
      <c r="AR4" s="219"/>
      <c r="AS4" s="198"/>
      <c r="AT4" s="371"/>
      <c r="AU4" s="304"/>
      <c r="AV4" s="29"/>
    </row>
    <row r="5" spans="2:47" s="4" customFormat="1" ht="27.75" customHeight="1" thickBot="1">
      <c r="B5" s="293"/>
      <c r="C5" s="294"/>
      <c r="D5" s="252"/>
      <c r="E5" s="252"/>
      <c r="F5" s="252"/>
      <c r="G5" s="242"/>
      <c r="H5" s="242"/>
      <c r="I5" s="252"/>
      <c r="J5" s="255"/>
      <c r="K5" s="255"/>
      <c r="L5" s="242"/>
      <c r="M5" s="242"/>
      <c r="N5" s="242"/>
      <c r="O5" s="220"/>
      <c r="P5" s="221"/>
      <c r="Q5" s="220"/>
      <c r="R5" s="221"/>
      <c r="S5" s="220"/>
      <c r="T5" s="221"/>
      <c r="U5" s="220"/>
      <c r="V5" s="221"/>
      <c r="W5" s="220"/>
      <c r="X5" s="221"/>
      <c r="Y5" s="220"/>
      <c r="Z5" s="221"/>
      <c r="AA5" s="220"/>
      <c r="AB5" s="221"/>
      <c r="AC5" s="220"/>
      <c r="AD5" s="221"/>
      <c r="AE5" s="220"/>
      <c r="AF5" s="221"/>
      <c r="AG5" s="220"/>
      <c r="AH5" s="221"/>
      <c r="AI5" s="220"/>
      <c r="AJ5" s="221"/>
      <c r="AK5" s="220"/>
      <c r="AL5" s="221"/>
      <c r="AM5" s="220"/>
      <c r="AN5" s="221"/>
      <c r="AO5" s="220"/>
      <c r="AP5" s="221"/>
      <c r="AQ5" s="220"/>
      <c r="AR5" s="221"/>
      <c r="AS5" s="198"/>
      <c r="AT5" s="372"/>
      <c r="AU5" s="304"/>
    </row>
    <row r="6" spans="2:47" s="4" customFormat="1" ht="27.75" customHeight="1">
      <c r="B6" s="293"/>
      <c r="C6" s="294"/>
      <c r="D6" s="252"/>
      <c r="E6" s="252"/>
      <c r="F6" s="252"/>
      <c r="G6" s="242"/>
      <c r="H6" s="242"/>
      <c r="I6" s="252"/>
      <c r="J6" s="255"/>
      <c r="K6" s="255"/>
      <c r="L6" s="242"/>
      <c r="M6" s="242"/>
      <c r="N6" s="242"/>
      <c r="O6" s="220"/>
      <c r="P6" s="221"/>
      <c r="Q6" s="220"/>
      <c r="R6" s="221"/>
      <c r="S6" s="220"/>
      <c r="T6" s="221"/>
      <c r="U6" s="220"/>
      <c r="V6" s="221"/>
      <c r="W6" s="220"/>
      <c r="X6" s="221"/>
      <c r="Y6" s="220"/>
      <c r="Z6" s="221"/>
      <c r="AA6" s="220"/>
      <c r="AB6" s="221"/>
      <c r="AC6" s="220"/>
      <c r="AD6" s="221"/>
      <c r="AE6" s="220"/>
      <c r="AF6" s="221"/>
      <c r="AG6" s="220"/>
      <c r="AH6" s="221"/>
      <c r="AI6" s="220"/>
      <c r="AJ6" s="221"/>
      <c r="AK6" s="220"/>
      <c r="AL6" s="221"/>
      <c r="AM6" s="220"/>
      <c r="AN6" s="221"/>
      <c r="AO6" s="220"/>
      <c r="AP6" s="221"/>
      <c r="AQ6" s="220"/>
      <c r="AR6" s="221"/>
      <c r="AS6" s="198"/>
      <c r="AT6" s="366"/>
      <c r="AU6" s="270"/>
    </row>
    <row r="7" spans="2:47" s="4" customFormat="1" ht="27.75" customHeight="1">
      <c r="B7" s="293"/>
      <c r="C7" s="294"/>
      <c r="D7" s="252"/>
      <c r="E7" s="252"/>
      <c r="F7" s="252"/>
      <c r="G7" s="242"/>
      <c r="H7" s="242"/>
      <c r="I7" s="252"/>
      <c r="J7" s="255"/>
      <c r="K7" s="255"/>
      <c r="L7" s="242"/>
      <c r="M7" s="242"/>
      <c r="N7" s="242"/>
      <c r="O7" s="220"/>
      <c r="P7" s="221"/>
      <c r="Q7" s="220"/>
      <c r="R7" s="221"/>
      <c r="S7" s="220"/>
      <c r="T7" s="221"/>
      <c r="U7" s="220"/>
      <c r="V7" s="221"/>
      <c r="W7" s="220"/>
      <c r="X7" s="221"/>
      <c r="Y7" s="220"/>
      <c r="Z7" s="221"/>
      <c r="AA7" s="220"/>
      <c r="AB7" s="221"/>
      <c r="AC7" s="220"/>
      <c r="AD7" s="221"/>
      <c r="AE7" s="220"/>
      <c r="AF7" s="221"/>
      <c r="AG7" s="220"/>
      <c r="AH7" s="221"/>
      <c r="AI7" s="220"/>
      <c r="AJ7" s="221"/>
      <c r="AK7" s="220"/>
      <c r="AL7" s="221"/>
      <c r="AM7" s="220"/>
      <c r="AN7" s="221"/>
      <c r="AO7" s="220"/>
      <c r="AP7" s="221"/>
      <c r="AQ7" s="220"/>
      <c r="AR7" s="221"/>
      <c r="AS7" s="198"/>
      <c r="AT7" s="273"/>
      <c r="AU7" s="272"/>
    </row>
    <row r="8" spans="2:47" s="4" customFormat="1" ht="27.75" customHeight="1">
      <c r="B8" s="293"/>
      <c r="C8" s="294"/>
      <c r="D8" s="252"/>
      <c r="E8" s="252"/>
      <c r="F8" s="252"/>
      <c r="G8" s="242"/>
      <c r="H8" s="242"/>
      <c r="I8" s="252"/>
      <c r="J8" s="255"/>
      <c r="K8" s="255"/>
      <c r="L8" s="242"/>
      <c r="M8" s="242"/>
      <c r="N8" s="242"/>
      <c r="O8" s="220"/>
      <c r="P8" s="221"/>
      <c r="Q8" s="220"/>
      <c r="R8" s="221"/>
      <c r="S8" s="220"/>
      <c r="T8" s="221"/>
      <c r="U8" s="220"/>
      <c r="V8" s="221"/>
      <c r="W8" s="220"/>
      <c r="X8" s="221"/>
      <c r="Y8" s="220"/>
      <c r="Z8" s="221"/>
      <c r="AA8" s="220"/>
      <c r="AB8" s="221"/>
      <c r="AC8" s="220"/>
      <c r="AD8" s="221"/>
      <c r="AE8" s="220"/>
      <c r="AF8" s="221"/>
      <c r="AG8" s="220"/>
      <c r="AH8" s="221"/>
      <c r="AI8" s="220"/>
      <c r="AJ8" s="221"/>
      <c r="AK8" s="220"/>
      <c r="AL8" s="221"/>
      <c r="AM8" s="220"/>
      <c r="AN8" s="221"/>
      <c r="AO8" s="220"/>
      <c r="AP8" s="221"/>
      <c r="AQ8" s="220"/>
      <c r="AR8" s="221"/>
      <c r="AS8" s="198"/>
      <c r="AT8" s="273"/>
      <c r="AU8" s="272"/>
    </row>
    <row r="9" spans="2:47" s="4" customFormat="1" ht="27.75" customHeight="1">
      <c r="B9" s="293"/>
      <c r="C9" s="294"/>
      <c r="D9" s="252"/>
      <c r="E9" s="252"/>
      <c r="F9" s="252"/>
      <c r="G9" s="242"/>
      <c r="H9" s="242"/>
      <c r="I9" s="252"/>
      <c r="J9" s="255"/>
      <c r="K9" s="255"/>
      <c r="L9" s="242"/>
      <c r="M9" s="242"/>
      <c r="N9" s="242"/>
      <c r="O9" s="220"/>
      <c r="P9" s="221"/>
      <c r="Q9" s="220"/>
      <c r="R9" s="221"/>
      <c r="S9" s="220"/>
      <c r="T9" s="221"/>
      <c r="U9" s="220"/>
      <c r="V9" s="221"/>
      <c r="W9" s="220"/>
      <c r="X9" s="221"/>
      <c r="Y9" s="220"/>
      <c r="Z9" s="221"/>
      <c r="AA9" s="220"/>
      <c r="AB9" s="221"/>
      <c r="AC9" s="220"/>
      <c r="AD9" s="221"/>
      <c r="AE9" s="220"/>
      <c r="AF9" s="221"/>
      <c r="AG9" s="220"/>
      <c r="AH9" s="221"/>
      <c r="AI9" s="220"/>
      <c r="AJ9" s="221"/>
      <c r="AK9" s="220"/>
      <c r="AL9" s="221"/>
      <c r="AM9" s="220"/>
      <c r="AN9" s="221"/>
      <c r="AO9" s="220"/>
      <c r="AP9" s="221"/>
      <c r="AQ9" s="220"/>
      <c r="AR9" s="221"/>
      <c r="AS9" s="198"/>
      <c r="AT9" s="273"/>
      <c r="AU9" s="272"/>
    </row>
    <row r="10" spans="2:47" s="4" customFormat="1" ht="27.75" customHeight="1">
      <c r="B10" s="293"/>
      <c r="C10" s="294"/>
      <c r="D10" s="252"/>
      <c r="E10" s="252"/>
      <c r="F10" s="252"/>
      <c r="G10" s="242"/>
      <c r="H10" s="242"/>
      <c r="I10" s="252"/>
      <c r="J10" s="255"/>
      <c r="K10" s="255"/>
      <c r="L10" s="242"/>
      <c r="M10" s="242"/>
      <c r="N10" s="242"/>
      <c r="O10" s="220"/>
      <c r="P10" s="221"/>
      <c r="Q10" s="220"/>
      <c r="R10" s="221"/>
      <c r="S10" s="220"/>
      <c r="T10" s="221"/>
      <c r="U10" s="220"/>
      <c r="V10" s="221"/>
      <c r="W10" s="220"/>
      <c r="X10" s="221"/>
      <c r="Y10" s="220"/>
      <c r="Z10" s="221"/>
      <c r="AA10" s="220"/>
      <c r="AB10" s="221"/>
      <c r="AC10" s="220"/>
      <c r="AD10" s="221"/>
      <c r="AE10" s="220"/>
      <c r="AF10" s="221"/>
      <c r="AG10" s="220"/>
      <c r="AH10" s="221"/>
      <c r="AI10" s="220"/>
      <c r="AJ10" s="221"/>
      <c r="AK10" s="220"/>
      <c r="AL10" s="221"/>
      <c r="AM10" s="220"/>
      <c r="AN10" s="221"/>
      <c r="AO10" s="220"/>
      <c r="AP10" s="221"/>
      <c r="AQ10" s="220"/>
      <c r="AR10" s="221"/>
      <c r="AS10" s="198"/>
      <c r="AT10" s="273"/>
      <c r="AU10" s="272"/>
    </row>
    <row r="11" spans="2:47" s="5" customFormat="1" ht="27.75" customHeight="1">
      <c r="B11" s="295"/>
      <c r="C11" s="296"/>
      <c r="D11" s="253"/>
      <c r="E11" s="253"/>
      <c r="F11" s="253"/>
      <c r="G11" s="243"/>
      <c r="H11" s="243"/>
      <c r="I11" s="253"/>
      <c r="J11" s="256"/>
      <c r="K11" s="256"/>
      <c r="L11" s="243"/>
      <c r="M11" s="243"/>
      <c r="N11" s="243"/>
      <c r="O11" s="222"/>
      <c r="P11" s="223"/>
      <c r="Q11" s="222"/>
      <c r="R11" s="223"/>
      <c r="S11" s="222"/>
      <c r="T11" s="223"/>
      <c r="U11" s="222"/>
      <c r="V11" s="223"/>
      <c r="W11" s="222"/>
      <c r="X11" s="223"/>
      <c r="Y11" s="222"/>
      <c r="Z11" s="223"/>
      <c r="AA11" s="222"/>
      <c r="AB11" s="223"/>
      <c r="AC11" s="222"/>
      <c r="AD11" s="223"/>
      <c r="AE11" s="222"/>
      <c r="AF11" s="223"/>
      <c r="AG11" s="222"/>
      <c r="AH11" s="223"/>
      <c r="AI11" s="222"/>
      <c r="AJ11" s="223"/>
      <c r="AK11" s="222"/>
      <c r="AL11" s="223"/>
      <c r="AM11" s="222"/>
      <c r="AN11" s="223"/>
      <c r="AO11" s="222"/>
      <c r="AP11" s="223"/>
      <c r="AQ11" s="222"/>
      <c r="AR11" s="223"/>
      <c r="AS11" s="199"/>
      <c r="AT11" s="273"/>
      <c r="AU11" s="272"/>
    </row>
    <row r="12" spans="2:47" s="7" customFormat="1" ht="21.75" customHeight="1" thickBot="1">
      <c r="B12" s="56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208"/>
      <c r="P12" s="210"/>
      <c r="Q12" s="208"/>
      <c r="R12" s="210"/>
      <c r="S12" s="208"/>
      <c r="T12" s="210"/>
      <c r="U12" s="208"/>
      <c r="V12" s="210"/>
      <c r="W12" s="208"/>
      <c r="X12" s="210"/>
      <c r="Y12" s="208"/>
      <c r="Z12" s="210"/>
      <c r="AA12" s="208"/>
      <c r="AB12" s="210"/>
      <c r="AC12" s="208"/>
      <c r="AD12" s="210"/>
      <c r="AE12" s="208"/>
      <c r="AF12" s="210"/>
      <c r="AG12" s="208"/>
      <c r="AH12" s="210"/>
      <c r="AI12" s="208"/>
      <c r="AJ12" s="210"/>
      <c r="AK12" s="208"/>
      <c r="AL12" s="210"/>
      <c r="AM12" s="208"/>
      <c r="AN12" s="210"/>
      <c r="AO12" s="208"/>
      <c r="AP12" s="210"/>
      <c r="AQ12" s="208"/>
      <c r="AR12" s="210"/>
      <c r="AS12" s="198"/>
      <c r="AT12" s="273"/>
      <c r="AU12" s="272"/>
    </row>
    <row r="13" spans="1:47" s="4" customFormat="1" ht="21.75" customHeight="1">
      <c r="A13" s="30"/>
      <c r="B13" s="37"/>
      <c r="C13" s="38"/>
      <c r="D13" s="39"/>
      <c r="E13" s="24"/>
      <c r="F13" s="66"/>
      <c r="G13" s="105"/>
      <c r="H13" s="105"/>
      <c r="I13" s="24"/>
      <c r="J13" s="24"/>
      <c r="K13" s="24"/>
      <c r="L13" s="24"/>
      <c r="M13" s="24"/>
      <c r="N13" s="24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65"/>
      <c r="AD13" s="265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198"/>
      <c r="AT13" s="273"/>
      <c r="AU13" s="272"/>
    </row>
    <row r="14" spans="1:47" s="4" customFormat="1" ht="21.75" customHeight="1">
      <c r="A14" s="30"/>
      <c r="B14" s="230"/>
      <c r="C14" s="231"/>
      <c r="D14" s="231"/>
      <c r="E14" s="231"/>
      <c r="F14" s="231"/>
      <c r="G14" s="231"/>
      <c r="H14" s="231"/>
      <c r="I14" s="232"/>
      <c r="J14" s="24"/>
      <c r="K14" s="24"/>
      <c r="L14" s="39"/>
      <c r="M14" s="39"/>
      <c r="N14" s="24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66"/>
      <c r="AD14" s="266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198"/>
      <c r="AT14" s="273"/>
      <c r="AU14" s="272"/>
    </row>
    <row r="15" spans="1:47" s="4" customFormat="1" ht="21.75" customHeight="1">
      <c r="A15" s="30"/>
      <c r="B15" s="67"/>
      <c r="C15" s="68"/>
      <c r="D15" s="39"/>
      <c r="E15" s="24"/>
      <c r="F15" s="24"/>
      <c r="G15" s="24"/>
      <c r="H15" s="61"/>
      <c r="I15" s="24"/>
      <c r="J15" s="24"/>
      <c r="K15" s="24"/>
      <c r="L15" s="39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198"/>
      <c r="AT15" s="273"/>
      <c r="AU15" s="272"/>
    </row>
    <row r="16" spans="1:47" s="4" customFormat="1" ht="21.75" customHeight="1">
      <c r="A16" s="30"/>
      <c r="B16" s="40"/>
      <c r="C16" s="41"/>
      <c r="D16" s="39"/>
      <c r="E16" s="24"/>
      <c r="F16" s="66"/>
      <c r="G16" s="105"/>
      <c r="H16" s="61"/>
      <c r="I16" s="24"/>
      <c r="J16" s="24"/>
      <c r="K16" s="24"/>
      <c r="L16" s="39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198"/>
      <c r="AT16" s="273"/>
      <c r="AU16" s="272"/>
    </row>
    <row r="17" spans="1:47" s="4" customFormat="1" ht="21.75" customHeight="1">
      <c r="A17" s="30"/>
      <c r="B17" s="37"/>
      <c r="C17" s="38"/>
      <c r="D17" s="39"/>
      <c r="E17" s="24"/>
      <c r="F17" s="66"/>
      <c r="G17" s="105"/>
      <c r="H17" s="61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198"/>
      <c r="AT17" s="273"/>
      <c r="AU17" s="272"/>
    </row>
    <row r="18" spans="1:47" s="4" customFormat="1" ht="21.75" customHeight="1">
      <c r="A18" s="30"/>
      <c r="B18" s="37"/>
      <c r="C18" s="38"/>
      <c r="D18" s="39"/>
      <c r="E18" s="24"/>
      <c r="F18" s="66"/>
      <c r="G18" s="105"/>
      <c r="H18" s="61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198"/>
      <c r="AT18" s="273"/>
      <c r="AU18" s="272"/>
    </row>
    <row r="19" spans="1:47" s="4" customFormat="1" ht="21.75" customHeight="1">
      <c r="A19" s="30"/>
      <c r="B19" s="37"/>
      <c r="C19" s="38"/>
      <c r="D19" s="39"/>
      <c r="E19" s="24"/>
      <c r="F19" s="24"/>
      <c r="G19" s="39"/>
      <c r="H19" s="61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198"/>
      <c r="AT19" s="273"/>
      <c r="AU19" s="272"/>
    </row>
    <row r="20" spans="1:47" s="4" customFormat="1" ht="21.75" customHeight="1">
      <c r="A20" s="30"/>
      <c r="B20" s="37"/>
      <c r="C20" s="38"/>
      <c r="D20" s="39"/>
      <c r="E20" s="24"/>
      <c r="F20" s="66"/>
      <c r="G20" s="105"/>
      <c r="H20" s="61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198"/>
      <c r="AT20" s="273"/>
      <c r="AU20" s="272"/>
    </row>
    <row r="21" spans="1:47" s="4" customFormat="1" ht="21.75" customHeight="1">
      <c r="A21" s="30"/>
      <c r="B21" s="37"/>
      <c r="C21" s="38"/>
      <c r="D21" s="39"/>
      <c r="E21" s="24"/>
      <c r="F21" s="66"/>
      <c r="G21" s="105"/>
      <c r="H21" s="61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198"/>
      <c r="AT21" s="273"/>
      <c r="AU21" s="272"/>
    </row>
    <row r="22" spans="1:47" s="4" customFormat="1" ht="21.75" customHeight="1">
      <c r="A22" s="30"/>
      <c r="B22" s="37"/>
      <c r="C22" s="38"/>
      <c r="D22" s="39"/>
      <c r="E22" s="24"/>
      <c r="F22" s="66"/>
      <c r="G22" s="24"/>
      <c r="H22" s="61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198"/>
      <c r="AT22" s="273"/>
      <c r="AU22" s="272"/>
    </row>
    <row r="23" spans="1:47" s="4" customFormat="1" ht="21.75" customHeight="1">
      <c r="A23" s="30"/>
      <c r="B23" s="37"/>
      <c r="C23" s="38"/>
      <c r="D23" s="39"/>
      <c r="E23" s="24"/>
      <c r="F23" s="66"/>
      <c r="G23" s="105"/>
      <c r="H23" s="61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198"/>
      <c r="AT23" s="273"/>
      <c r="AU23" s="272"/>
    </row>
    <row r="24" spans="1:47" s="4" customFormat="1" ht="21.75" customHeight="1">
      <c r="A24" s="30"/>
      <c r="B24" s="37"/>
      <c r="C24" s="38"/>
      <c r="D24" s="39"/>
      <c r="E24" s="213"/>
      <c r="F24" s="214"/>
      <c r="G24" s="214"/>
      <c r="H24" s="214"/>
      <c r="I24" s="21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198"/>
      <c r="AT24" s="273"/>
      <c r="AU24" s="272"/>
    </row>
    <row r="25" spans="1:47" s="4" customFormat="1" ht="21.75" customHeight="1">
      <c r="A25" s="30"/>
      <c r="B25" s="37"/>
      <c r="C25" s="38"/>
      <c r="D25" s="39"/>
      <c r="E25" s="24"/>
      <c r="F25" s="66"/>
      <c r="G25" s="24"/>
      <c r="H25" s="61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198"/>
      <c r="AT25" s="273"/>
      <c r="AU25" s="272"/>
    </row>
    <row r="26" spans="1:47" s="4" customFormat="1" ht="21.75" customHeight="1">
      <c r="A26" s="30"/>
      <c r="B26" s="40"/>
      <c r="C26" s="41"/>
      <c r="D26" s="39"/>
      <c r="E26" s="24"/>
      <c r="F26" s="66"/>
      <c r="G26" s="105"/>
      <c r="H26" s="61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198"/>
      <c r="AT26" s="273"/>
      <c r="AU26" s="272"/>
    </row>
    <row r="27" spans="1:47" s="4" customFormat="1" ht="21.75" customHeight="1">
      <c r="A27" s="30"/>
      <c r="B27" s="37"/>
      <c r="C27" s="38"/>
      <c r="D27" s="39"/>
      <c r="E27" s="24"/>
      <c r="F27" s="66"/>
      <c r="G27" s="105"/>
      <c r="H27" s="61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198"/>
      <c r="AT27" s="273"/>
      <c r="AU27" s="272"/>
    </row>
    <row r="28" spans="1:47" s="4" customFormat="1" ht="21.75" customHeight="1">
      <c r="A28" s="30"/>
      <c r="B28" s="37"/>
      <c r="C28" s="38"/>
      <c r="D28" s="39"/>
      <c r="E28" s="24"/>
      <c r="F28" s="66"/>
      <c r="G28" s="105"/>
      <c r="H28" s="61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198"/>
      <c r="AT28" s="273"/>
      <c r="AU28" s="272"/>
    </row>
    <row r="29" spans="1:47" s="4" customFormat="1" ht="21.75" customHeight="1">
      <c r="A29" s="30"/>
      <c r="B29" s="37"/>
      <c r="C29" s="38"/>
      <c r="D29" s="39"/>
      <c r="E29" s="24"/>
      <c r="F29" s="66"/>
      <c r="G29" s="105"/>
      <c r="H29" s="61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198"/>
      <c r="AT29" s="273"/>
      <c r="AU29" s="272"/>
    </row>
    <row r="30" spans="1:47" s="4" customFormat="1" ht="21.75" customHeight="1">
      <c r="A30" s="30"/>
      <c r="B30" s="37"/>
      <c r="C30" s="38"/>
      <c r="D30" s="39"/>
      <c r="E30" s="107"/>
      <c r="F30" s="89"/>
      <c r="G30" s="24"/>
      <c r="H30" s="61"/>
      <c r="I30" s="90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198"/>
      <c r="AT30" s="273"/>
      <c r="AU30" s="272"/>
    </row>
    <row r="31" spans="1:47" s="4" customFormat="1" ht="21.75" customHeight="1">
      <c r="A31" s="30"/>
      <c r="B31" s="38"/>
      <c r="C31" s="38"/>
      <c r="D31" s="39"/>
      <c r="E31" s="24"/>
      <c r="F31" s="66"/>
      <c r="G31" s="24"/>
      <c r="H31" s="61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198"/>
      <c r="AT31" s="273"/>
      <c r="AU31" s="272"/>
    </row>
    <row r="32" spans="1:47" s="4" customFormat="1" ht="21.75" customHeight="1">
      <c r="A32" s="30"/>
      <c r="B32" s="37"/>
      <c r="C32" s="38"/>
      <c r="D32" s="39"/>
      <c r="E32" s="24"/>
      <c r="F32" s="66"/>
      <c r="G32" s="105"/>
      <c r="H32" s="61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198"/>
      <c r="AT32" s="273"/>
      <c r="AU32" s="272"/>
    </row>
    <row r="33" spans="1:47" s="4" customFormat="1" ht="21.75" customHeight="1">
      <c r="A33" s="30"/>
      <c r="B33" s="37"/>
      <c r="C33" s="38"/>
      <c r="D33" s="39"/>
      <c r="E33" s="24"/>
      <c r="F33" s="66"/>
      <c r="G33" s="105"/>
      <c r="H33" s="61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198"/>
      <c r="AT33" s="273"/>
      <c r="AU33" s="272"/>
    </row>
    <row r="34" spans="1:47" s="4" customFormat="1" ht="21.75" customHeight="1">
      <c r="A34" s="30"/>
      <c r="B34" s="37"/>
      <c r="C34" s="38"/>
      <c r="D34" s="39"/>
      <c r="E34" s="213"/>
      <c r="F34" s="214"/>
      <c r="G34" s="214"/>
      <c r="H34" s="214"/>
      <c r="I34" s="21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198"/>
      <c r="AT34" s="273"/>
      <c r="AU34" s="272"/>
    </row>
    <row r="35" spans="1:47" s="4" customFormat="1" ht="21.75" customHeight="1">
      <c r="A35" s="30"/>
      <c r="B35" s="37"/>
      <c r="C35" s="38"/>
      <c r="D35" s="39"/>
      <c r="E35" s="24"/>
      <c r="F35" s="66"/>
      <c r="G35" s="105"/>
      <c r="H35" s="61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198"/>
      <c r="AT35" s="273"/>
      <c r="AU35" s="272"/>
    </row>
    <row r="36" spans="1:47" s="4" customFormat="1" ht="21.75" customHeight="1">
      <c r="A36" s="30"/>
      <c r="B36" s="37"/>
      <c r="C36" s="38"/>
      <c r="D36" s="39"/>
      <c r="E36" s="24"/>
      <c r="F36" s="92"/>
      <c r="G36" s="24"/>
      <c r="H36" s="61"/>
      <c r="I36" s="66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198"/>
      <c r="AT36" s="273"/>
      <c r="AU36" s="272"/>
    </row>
    <row r="37" spans="1:47" s="4" customFormat="1" ht="21.75" customHeight="1">
      <c r="A37" s="30"/>
      <c r="B37" s="67"/>
      <c r="C37" s="38"/>
      <c r="D37" s="39"/>
      <c r="E37" s="24"/>
      <c r="F37" s="92"/>
      <c r="G37" s="39"/>
      <c r="H37" s="61"/>
      <c r="I37" s="66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198"/>
      <c r="AT37" s="273"/>
      <c r="AU37" s="272"/>
    </row>
    <row r="38" spans="1:47" s="4" customFormat="1" ht="21.75" customHeight="1">
      <c r="A38" s="30"/>
      <c r="B38" s="37"/>
      <c r="C38" s="38"/>
      <c r="D38" s="39"/>
      <c r="E38" s="24"/>
      <c r="F38" s="66"/>
      <c r="G38" s="105"/>
      <c r="H38" s="105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10"/>
      <c r="V38" s="110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198"/>
      <c r="AT38" s="273"/>
      <c r="AU38" s="272"/>
    </row>
    <row r="39" spans="1:47" s="4" customFormat="1" ht="21.75" customHeight="1">
      <c r="A39" s="30"/>
      <c r="B39" s="37"/>
      <c r="C39" s="38"/>
      <c r="D39" s="39"/>
      <c r="E39" s="24"/>
      <c r="F39" s="66"/>
      <c r="G39" s="105"/>
      <c r="H39" s="105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110"/>
      <c r="V39" s="110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198"/>
      <c r="AT39" s="273"/>
      <c r="AU39" s="272"/>
    </row>
    <row r="40" spans="1:47" s="4" customFormat="1" ht="21.75" customHeight="1">
      <c r="A40" s="30"/>
      <c r="B40" s="38"/>
      <c r="C40" s="38"/>
      <c r="D40" s="39"/>
      <c r="E40" s="24"/>
      <c r="F40" s="66"/>
      <c r="G40" s="105"/>
      <c r="H40" s="61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198"/>
      <c r="AT40" s="273"/>
      <c r="AU40" s="272"/>
    </row>
    <row r="41" spans="1:47" s="4" customFormat="1" ht="21.75" customHeight="1">
      <c r="A41" s="30"/>
      <c r="B41" s="37"/>
      <c r="C41" s="38"/>
      <c r="D41" s="39"/>
      <c r="E41" s="24"/>
      <c r="F41" s="66"/>
      <c r="G41" s="105"/>
      <c r="H41" s="105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198"/>
      <c r="AT41" s="273"/>
      <c r="AU41" s="272"/>
    </row>
    <row r="42" spans="1:47" s="4" customFormat="1" ht="21.75" customHeight="1">
      <c r="A42" s="30"/>
      <c r="B42" s="37"/>
      <c r="C42" s="38"/>
      <c r="D42" s="39"/>
      <c r="E42" s="24"/>
      <c r="F42" s="66"/>
      <c r="G42" s="105"/>
      <c r="H42" s="105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198"/>
      <c r="AT42" s="273"/>
      <c r="AU42" s="272"/>
    </row>
    <row r="43" spans="1:47" s="4" customFormat="1" ht="21.75" customHeight="1">
      <c r="A43" s="30"/>
      <c r="B43" s="37"/>
      <c r="C43" s="38"/>
      <c r="D43" s="39"/>
      <c r="E43" s="104"/>
      <c r="F43" s="107"/>
      <c r="G43" s="24"/>
      <c r="H43" s="61"/>
      <c r="I43" s="90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198"/>
      <c r="AT43" s="273"/>
      <c r="AU43" s="272"/>
    </row>
    <row r="44" spans="1:47" s="4" customFormat="1" ht="21.75" customHeight="1">
      <c r="A44" s="30"/>
      <c r="B44" s="37"/>
      <c r="C44" s="38"/>
      <c r="D44" s="39"/>
      <c r="E44" s="213"/>
      <c r="F44" s="214"/>
      <c r="G44" s="214"/>
      <c r="H44" s="214"/>
      <c r="I44" s="21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198"/>
      <c r="AT44" s="273"/>
      <c r="AU44" s="272"/>
    </row>
    <row r="45" spans="1:47" s="4" customFormat="1" ht="21.75" customHeight="1">
      <c r="A45" s="30"/>
      <c r="B45" s="37"/>
      <c r="C45" s="38"/>
      <c r="D45" s="39"/>
      <c r="E45" s="70"/>
      <c r="F45" s="24"/>
      <c r="G45" s="24"/>
      <c r="H45" s="61"/>
      <c r="I45" s="66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198"/>
      <c r="AT45" s="273"/>
      <c r="AU45" s="272"/>
    </row>
    <row r="46" spans="1:47" s="4" customFormat="1" ht="21.75" customHeight="1">
      <c r="A46" s="30"/>
      <c r="B46" s="37"/>
      <c r="C46" s="38"/>
      <c r="D46" s="39"/>
      <c r="E46" s="24"/>
      <c r="F46" s="66"/>
      <c r="G46" s="105"/>
      <c r="H46" s="105"/>
      <c r="I46" s="24"/>
      <c r="J46" s="106"/>
      <c r="K46" s="119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198"/>
      <c r="AT46" s="273"/>
      <c r="AU46" s="272"/>
    </row>
    <row r="47" spans="1:47" s="4" customFormat="1" ht="21.75" customHeight="1">
      <c r="A47" s="30"/>
      <c r="B47" s="132"/>
      <c r="C47" s="133"/>
      <c r="D47" s="39"/>
      <c r="E47" s="24"/>
      <c r="F47" s="66"/>
      <c r="G47" s="105"/>
      <c r="H47" s="105"/>
      <c r="I47" s="24"/>
      <c r="J47" s="106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07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198"/>
      <c r="AT47" s="273"/>
      <c r="AU47" s="272"/>
    </row>
    <row r="48" spans="1:47" s="4" customFormat="1" ht="21.75" customHeight="1">
      <c r="A48" s="30"/>
      <c r="B48" s="109"/>
      <c r="C48" s="134"/>
      <c r="D48" s="39"/>
      <c r="E48" s="24"/>
      <c r="F48" s="66"/>
      <c r="G48" s="105"/>
      <c r="H48" s="117"/>
      <c r="I48" s="24"/>
      <c r="J48" s="123"/>
      <c r="K48" s="74"/>
      <c r="L48" s="24"/>
      <c r="M48" s="24"/>
      <c r="N48" s="7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198"/>
      <c r="AT48" s="273"/>
      <c r="AU48" s="272"/>
    </row>
    <row r="49" spans="1:47" s="4" customFormat="1" ht="21.75" customHeight="1">
      <c r="A49" s="30"/>
      <c r="B49" s="109"/>
      <c r="C49" s="109"/>
      <c r="D49" s="39"/>
      <c r="E49" s="24"/>
      <c r="F49" s="66"/>
      <c r="G49" s="105"/>
      <c r="H49" s="61"/>
      <c r="I49" s="24"/>
      <c r="J49" s="106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198"/>
      <c r="AT49" s="273"/>
      <c r="AU49" s="272"/>
    </row>
    <row r="50" spans="1:47" s="4" customFormat="1" ht="21.75" customHeight="1" thickBot="1">
      <c r="A50" s="30"/>
      <c r="B50" s="37"/>
      <c r="C50" s="38"/>
      <c r="D50" s="39"/>
      <c r="E50" s="24"/>
      <c r="F50" s="66"/>
      <c r="G50" s="105"/>
      <c r="H50" s="105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198"/>
      <c r="AT50" s="274"/>
      <c r="AU50" s="275"/>
    </row>
    <row r="51" spans="1:47" s="4" customFormat="1" ht="21.75" customHeight="1">
      <c r="A51" s="30"/>
      <c r="B51" s="38"/>
      <c r="C51" s="38"/>
      <c r="D51" s="39"/>
      <c r="E51" s="24"/>
      <c r="F51" s="66"/>
      <c r="G51" s="105"/>
      <c r="H51" s="105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198"/>
      <c r="AT51" s="366"/>
      <c r="AU51" s="270"/>
    </row>
    <row r="52" spans="1:47" s="4" customFormat="1" ht="21.75" customHeight="1">
      <c r="A52" s="30"/>
      <c r="B52" s="37"/>
      <c r="C52" s="38"/>
      <c r="D52" s="39"/>
      <c r="E52" s="24"/>
      <c r="F52" s="66"/>
      <c r="G52" s="105"/>
      <c r="H52" s="105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198"/>
      <c r="AT52" s="273"/>
      <c r="AU52" s="272"/>
    </row>
    <row r="53" spans="1:47" s="4" customFormat="1" ht="21.75" customHeight="1">
      <c r="A53" s="30"/>
      <c r="B53" s="37"/>
      <c r="C53" s="38"/>
      <c r="D53" s="39"/>
      <c r="E53" s="24"/>
      <c r="F53" s="66"/>
      <c r="G53" s="105"/>
      <c r="H53" s="105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198"/>
      <c r="AT53" s="273"/>
      <c r="AU53" s="272"/>
    </row>
    <row r="54" spans="1:47" s="4" customFormat="1" ht="21.75" customHeight="1">
      <c r="A54" s="30"/>
      <c r="B54" s="37"/>
      <c r="C54" s="38"/>
      <c r="D54" s="39"/>
      <c r="E54" s="24"/>
      <c r="F54" s="66"/>
      <c r="G54" s="105"/>
      <c r="H54" s="105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198"/>
      <c r="AT54" s="273"/>
      <c r="AU54" s="272"/>
    </row>
    <row r="55" spans="1:47" s="4" customFormat="1" ht="21.75" customHeight="1">
      <c r="A55" s="30"/>
      <c r="B55" s="37"/>
      <c r="C55" s="38"/>
      <c r="D55" s="39"/>
      <c r="E55" s="24"/>
      <c r="F55" s="66"/>
      <c r="G55" s="105"/>
      <c r="H55" s="10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198"/>
      <c r="AT55" s="273"/>
      <c r="AU55" s="272"/>
    </row>
    <row r="56" spans="1:47" s="4" customFormat="1" ht="21.75" customHeight="1">
      <c r="A56" s="30"/>
      <c r="B56" s="37"/>
      <c r="C56" s="38"/>
      <c r="D56" s="39"/>
      <c r="E56" s="24"/>
      <c r="F56" s="66"/>
      <c r="G56" s="105"/>
      <c r="H56" s="105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198"/>
      <c r="AT56" s="273"/>
      <c r="AU56" s="272"/>
    </row>
    <row r="57" spans="1:47" s="4" customFormat="1" ht="21.75" customHeight="1">
      <c r="A57" s="30"/>
      <c r="B57" s="37"/>
      <c r="C57" s="38"/>
      <c r="D57" s="39"/>
      <c r="E57" s="24"/>
      <c r="F57" s="66"/>
      <c r="G57" s="105"/>
      <c r="H57" s="105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198"/>
      <c r="AT57" s="273"/>
      <c r="AU57" s="272"/>
    </row>
    <row r="58" spans="1:47" s="16" customFormat="1" ht="21.75" customHeight="1">
      <c r="A58" s="30"/>
      <c r="B58" s="37"/>
      <c r="C58" s="38"/>
      <c r="D58" s="39"/>
      <c r="E58" s="24"/>
      <c r="F58" s="66"/>
      <c r="G58" s="105"/>
      <c r="H58" s="105"/>
      <c r="I58" s="24"/>
      <c r="J58" s="367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110"/>
      <c r="V58" s="110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00"/>
      <c r="AT58" s="273"/>
      <c r="AU58" s="272"/>
    </row>
    <row r="59" spans="1:47" s="16" customFormat="1" ht="21.75" customHeight="1">
      <c r="A59" s="30"/>
      <c r="B59" s="37"/>
      <c r="C59" s="38"/>
      <c r="D59" s="39"/>
      <c r="E59" s="24"/>
      <c r="F59" s="66"/>
      <c r="G59" s="105"/>
      <c r="H59" s="105"/>
      <c r="I59" s="24"/>
      <c r="J59" s="368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110"/>
      <c r="V59" s="110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00"/>
      <c r="AT59" s="273"/>
      <c r="AU59" s="272"/>
    </row>
    <row r="60" spans="1:47" s="16" customFormat="1" ht="21.75" customHeight="1">
      <c r="A60" s="30"/>
      <c r="B60" s="37"/>
      <c r="C60" s="38"/>
      <c r="D60" s="39"/>
      <c r="E60" s="24"/>
      <c r="F60" s="66"/>
      <c r="G60" s="105"/>
      <c r="H60" s="105"/>
      <c r="I60" s="24"/>
      <c r="J60" s="368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110"/>
      <c r="V60" s="110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00"/>
      <c r="AT60" s="273"/>
      <c r="AU60" s="272"/>
    </row>
    <row r="61" spans="1:47" s="16" customFormat="1" ht="21.75" customHeight="1">
      <c r="A61" s="30"/>
      <c r="B61" s="37"/>
      <c r="C61" s="38"/>
      <c r="D61" s="39"/>
      <c r="E61" s="24"/>
      <c r="F61" s="66"/>
      <c r="G61" s="105"/>
      <c r="H61" s="105"/>
      <c r="I61" s="24"/>
      <c r="J61" s="369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110"/>
      <c r="V61" s="110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00"/>
      <c r="AT61" s="273"/>
      <c r="AU61" s="272"/>
    </row>
    <row r="62" spans="1:47" s="16" customFormat="1" ht="21.75" customHeight="1">
      <c r="A62" s="30"/>
      <c r="B62" s="37"/>
      <c r="C62" s="38"/>
      <c r="D62" s="39"/>
      <c r="E62" s="24"/>
      <c r="F62" s="66"/>
      <c r="G62" s="105"/>
      <c r="H62" s="105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110"/>
      <c r="V62" s="110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00"/>
      <c r="AT62" s="273"/>
      <c r="AU62" s="272"/>
    </row>
    <row r="63" spans="1:47" s="16" customFormat="1" ht="21.75" customHeight="1">
      <c r="A63" s="30"/>
      <c r="B63" s="37"/>
      <c r="C63" s="38"/>
      <c r="D63" s="39"/>
      <c r="E63" s="24"/>
      <c r="F63" s="66"/>
      <c r="G63" s="105"/>
      <c r="H63" s="105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00"/>
      <c r="AT63" s="273"/>
      <c r="AU63" s="272"/>
    </row>
    <row r="64" spans="1:47" s="16" customFormat="1" ht="21.75" customHeight="1">
      <c r="A64" s="30"/>
      <c r="B64" s="37"/>
      <c r="C64" s="38"/>
      <c r="D64" s="39"/>
      <c r="E64" s="24"/>
      <c r="F64" s="66"/>
      <c r="G64" s="105"/>
      <c r="H64" s="105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110"/>
      <c r="V64" s="110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00"/>
      <c r="AT64" s="273"/>
      <c r="AU64" s="272"/>
    </row>
    <row r="65" spans="1:47" s="16" customFormat="1" ht="21.75" customHeight="1">
      <c r="A65" s="30"/>
      <c r="B65" s="37"/>
      <c r="C65" s="38"/>
      <c r="D65" s="39"/>
      <c r="E65" s="24"/>
      <c r="F65" s="213"/>
      <c r="G65" s="214"/>
      <c r="H65" s="214"/>
      <c r="I65" s="215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110"/>
      <c r="V65" s="110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00"/>
      <c r="AT65" s="273"/>
      <c r="AU65" s="272"/>
    </row>
    <row r="66" spans="1:47" s="16" customFormat="1" ht="21.75" customHeight="1" thickBot="1">
      <c r="A66" s="30"/>
      <c r="B66" s="102"/>
      <c r="C66" s="103"/>
      <c r="D66" s="69"/>
      <c r="E66" s="24"/>
      <c r="F66" s="66"/>
      <c r="G66" s="105"/>
      <c r="H66" s="105"/>
      <c r="I66" s="2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24"/>
      <c r="X66" s="24"/>
      <c r="Y66" s="74"/>
      <c r="Z66" s="74"/>
      <c r="AA66" s="24"/>
      <c r="AB66" s="24"/>
      <c r="AC66" s="74"/>
      <c r="AD66" s="7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00"/>
      <c r="AT66" s="274"/>
      <c r="AU66" s="275"/>
    </row>
    <row r="67" spans="2:47" s="1" customFormat="1" ht="46.5" customHeight="1">
      <c r="B67" s="233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5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01"/>
      <c r="AT67" s="362"/>
      <c r="AU67" s="318"/>
    </row>
    <row r="68" spans="2:47" s="1" customFormat="1" ht="46.5" customHeight="1" thickBot="1">
      <c r="B68" s="236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8"/>
      <c r="O68" s="250"/>
      <c r="P68" s="250"/>
      <c r="Q68" s="250"/>
      <c r="R68" s="250"/>
      <c r="S68" s="250"/>
      <c r="T68" s="250"/>
      <c r="U68" s="212"/>
      <c r="V68" s="212"/>
      <c r="W68" s="212"/>
      <c r="X68" s="212"/>
      <c r="Y68" s="250"/>
      <c r="Z68" s="250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02"/>
      <c r="AT68" s="363"/>
      <c r="AU68" s="277"/>
    </row>
    <row r="69" spans="1:48" ht="36" customHeight="1">
      <c r="A69" s="10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Y69" s="49"/>
      <c r="Z69" s="49"/>
      <c r="AC69" s="49"/>
      <c r="AD69" s="49"/>
      <c r="AT69" s="49"/>
      <c r="AU69" s="49"/>
      <c r="AV69" s="11"/>
    </row>
    <row r="70" spans="2:47" ht="12.7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Y70" s="49"/>
      <c r="Z70" s="49"/>
      <c r="AC70" s="49"/>
      <c r="AD70" s="49"/>
      <c r="AT70" s="49"/>
      <c r="AU70" s="49"/>
    </row>
    <row r="71" spans="2:47" ht="12.7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Y71" s="49"/>
      <c r="Z71" s="49"/>
      <c r="AC71" s="49"/>
      <c r="AD71" s="49"/>
      <c r="AT71" s="49"/>
      <c r="AU71" s="49"/>
    </row>
    <row r="72" spans="2:47" ht="15.75">
      <c r="B72" s="364"/>
      <c r="C72" s="365"/>
      <c r="D72" s="365"/>
      <c r="E72" s="365"/>
      <c r="F72" s="365"/>
      <c r="G72" s="361"/>
      <c r="H72" s="136"/>
      <c r="I72" s="136"/>
      <c r="J72" s="136"/>
      <c r="K72" s="136"/>
      <c r="L72" s="136"/>
      <c r="M72" s="136"/>
      <c r="N72" s="136"/>
      <c r="O72" s="136"/>
      <c r="P72" s="136"/>
      <c r="Q72" s="191"/>
      <c r="R72" s="191"/>
      <c r="S72" s="192"/>
      <c r="T72" s="192"/>
      <c r="U72" s="191"/>
      <c r="V72" s="191"/>
      <c r="W72" s="191"/>
      <c r="X72" s="191"/>
      <c r="Y72" s="191"/>
      <c r="Z72" s="191"/>
      <c r="AA72" s="191"/>
      <c r="AB72" s="191"/>
      <c r="AC72" s="136"/>
      <c r="AD72" s="136"/>
      <c r="AT72" s="49"/>
      <c r="AU72" s="49"/>
    </row>
    <row r="73" spans="2:47" ht="1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193"/>
      <c r="P73" s="193"/>
      <c r="Q73" s="136"/>
      <c r="R73" s="136"/>
      <c r="S73" s="137"/>
      <c r="T73" s="79"/>
      <c r="U73" s="79"/>
      <c r="V73" s="79"/>
      <c r="W73" s="27"/>
      <c r="X73" s="27"/>
      <c r="Y73" s="79"/>
      <c r="Z73" s="79"/>
      <c r="AA73" s="27"/>
      <c r="AB73" s="27"/>
      <c r="AC73" s="79"/>
      <c r="AD73" s="79"/>
      <c r="AT73" s="49"/>
      <c r="AU73" s="49"/>
    </row>
    <row r="74" spans="2:47" ht="15">
      <c r="B74" s="79"/>
      <c r="C74" s="194"/>
      <c r="D74" s="79"/>
      <c r="E74" s="79"/>
      <c r="F74" s="79"/>
      <c r="G74" s="79"/>
      <c r="H74" s="79"/>
      <c r="I74" s="79"/>
      <c r="J74" s="79"/>
      <c r="K74" s="360"/>
      <c r="L74" s="361"/>
      <c r="M74" s="361"/>
      <c r="N74" s="361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T74" s="49"/>
      <c r="AU74" s="49"/>
    </row>
    <row r="75" spans="2:48" s="3" customFormat="1" ht="36" customHeight="1" thickBot="1">
      <c r="B75" s="54"/>
      <c r="C75" s="55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229"/>
      <c r="P75" s="229"/>
      <c r="Q75" s="229"/>
      <c r="R75" s="229"/>
      <c r="S75" s="229"/>
      <c r="T75" s="229"/>
      <c r="U75" s="229"/>
      <c r="V75" s="229"/>
      <c r="Y75" s="229"/>
      <c r="Z75" s="229"/>
      <c r="AC75" s="257"/>
      <c r="AD75" s="257"/>
      <c r="AT75" s="98"/>
      <c r="AU75" s="98"/>
      <c r="AV75" s="13"/>
    </row>
    <row r="76" spans="2:47" s="4" customFormat="1" ht="21.75" customHeight="1">
      <c r="B76" s="233"/>
      <c r="C76" s="299"/>
      <c r="D76" s="251"/>
      <c r="E76" s="251"/>
      <c r="F76" s="251"/>
      <c r="G76" s="254"/>
      <c r="H76" s="254"/>
      <c r="I76" s="251"/>
      <c r="J76" s="254"/>
      <c r="K76" s="254"/>
      <c r="L76" s="254"/>
      <c r="M76" s="254"/>
      <c r="N76" s="254"/>
      <c r="O76" s="216"/>
      <c r="P76" s="217"/>
      <c r="Q76" s="216"/>
      <c r="R76" s="217"/>
      <c r="S76" s="216"/>
      <c r="T76" s="217"/>
      <c r="U76" s="216"/>
      <c r="V76" s="217"/>
      <c r="W76" s="216"/>
      <c r="X76" s="217"/>
      <c r="Y76" s="216"/>
      <c r="Z76" s="217"/>
      <c r="AA76" s="216"/>
      <c r="AB76" s="217"/>
      <c r="AC76" s="216"/>
      <c r="AD76" s="217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282"/>
      <c r="AU76" s="282"/>
    </row>
    <row r="77" spans="2:47" s="4" customFormat="1" ht="27.75" customHeight="1">
      <c r="B77" s="293"/>
      <c r="C77" s="300"/>
      <c r="D77" s="255"/>
      <c r="E77" s="255"/>
      <c r="F77" s="255"/>
      <c r="G77" s="242"/>
      <c r="H77" s="242"/>
      <c r="I77" s="252"/>
      <c r="J77" s="255"/>
      <c r="K77" s="255"/>
      <c r="L77" s="242"/>
      <c r="M77" s="242"/>
      <c r="N77" s="242"/>
      <c r="O77" s="218"/>
      <c r="P77" s="219"/>
      <c r="Q77" s="218"/>
      <c r="R77" s="219"/>
      <c r="S77" s="218"/>
      <c r="T77" s="219"/>
      <c r="U77" s="218"/>
      <c r="V77" s="219"/>
      <c r="W77" s="218"/>
      <c r="X77" s="219"/>
      <c r="Y77" s="218"/>
      <c r="Z77" s="219"/>
      <c r="AA77" s="218"/>
      <c r="AB77" s="219"/>
      <c r="AC77" s="218"/>
      <c r="AD77" s="219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83"/>
      <c r="AU77" s="304"/>
    </row>
    <row r="78" spans="2:47" s="4" customFormat="1" ht="27.75" customHeight="1" thickBot="1">
      <c r="B78" s="293"/>
      <c r="C78" s="300"/>
      <c r="D78" s="255"/>
      <c r="E78" s="255"/>
      <c r="F78" s="255"/>
      <c r="G78" s="242"/>
      <c r="H78" s="242"/>
      <c r="I78" s="252"/>
      <c r="J78" s="255"/>
      <c r="K78" s="255"/>
      <c r="L78" s="242"/>
      <c r="M78" s="242"/>
      <c r="N78" s="242"/>
      <c r="O78" s="220"/>
      <c r="P78" s="221"/>
      <c r="Q78" s="220"/>
      <c r="R78" s="221"/>
      <c r="S78" s="220"/>
      <c r="T78" s="221"/>
      <c r="U78" s="220"/>
      <c r="V78" s="221"/>
      <c r="W78" s="220"/>
      <c r="X78" s="221"/>
      <c r="Y78" s="220"/>
      <c r="Z78" s="221"/>
      <c r="AA78" s="220"/>
      <c r="AB78" s="221"/>
      <c r="AC78" s="220"/>
      <c r="AD78" s="221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84"/>
      <c r="AU78" s="304"/>
    </row>
    <row r="79" spans="2:47" s="4" customFormat="1" ht="27.75" customHeight="1">
      <c r="B79" s="293"/>
      <c r="C79" s="300"/>
      <c r="D79" s="255"/>
      <c r="E79" s="255"/>
      <c r="F79" s="255"/>
      <c r="G79" s="242"/>
      <c r="H79" s="242"/>
      <c r="I79" s="252"/>
      <c r="J79" s="255"/>
      <c r="K79" s="255"/>
      <c r="L79" s="242"/>
      <c r="M79" s="242"/>
      <c r="N79" s="242"/>
      <c r="O79" s="220"/>
      <c r="P79" s="221"/>
      <c r="Q79" s="220"/>
      <c r="R79" s="221"/>
      <c r="S79" s="220"/>
      <c r="T79" s="221"/>
      <c r="U79" s="220"/>
      <c r="V79" s="221"/>
      <c r="W79" s="220"/>
      <c r="X79" s="221"/>
      <c r="Y79" s="220"/>
      <c r="Z79" s="221"/>
      <c r="AA79" s="220"/>
      <c r="AB79" s="221"/>
      <c r="AC79" s="220"/>
      <c r="AD79" s="221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69"/>
      <c r="AU79" s="270"/>
    </row>
    <row r="80" spans="2:47" s="4" customFormat="1" ht="27.75" customHeight="1">
      <c r="B80" s="293"/>
      <c r="C80" s="300"/>
      <c r="D80" s="255"/>
      <c r="E80" s="255"/>
      <c r="F80" s="255"/>
      <c r="G80" s="242"/>
      <c r="H80" s="242"/>
      <c r="I80" s="252"/>
      <c r="J80" s="255"/>
      <c r="K80" s="255"/>
      <c r="L80" s="242"/>
      <c r="M80" s="242"/>
      <c r="N80" s="242"/>
      <c r="O80" s="220"/>
      <c r="P80" s="221"/>
      <c r="Q80" s="220"/>
      <c r="R80" s="221"/>
      <c r="S80" s="220"/>
      <c r="T80" s="221"/>
      <c r="U80" s="220"/>
      <c r="V80" s="221"/>
      <c r="W80" s="220"/>
      <c r="X80" s="221"/>
      <c r="Y80" s="220"/>
      <c r="Z80" s="221"/>
      <c r="AA80" s="220"/>
      <c r="AB80" s="221"/>
      <c r="AC80" s="220"/>
      <c r="AD80" s="221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71"/>
      <c r="AU80" s="272"/>
    </row>
    <row r="81" spans="2:47" s="4" customFormat="1" ht="27.75" customHeight="1">
      <c r="B81" s="293"/>
      <c r="C81" s="300"/>
      <c r="D81" s="255"/>
      <c r="E81" s="255"/>
      <c r="F81" s="255"/>
      <c r="G81" s="242"/>
      <c r="H81" s="242"/>
      <c r="I81" s="252"/>
      <c r="J81" s="255"/>
      <c r="K81" s="255"/>
      <c r="L81" s="242"/>
      <c r="M81" s="242"/>
      <c r="N81" s="242"/>
      <c r="O81" s="220"/>
      <c r="P81" s="221"/>
      <c r="Q81" s="220"/>
      <c r="R81" s="221"/>
      <c r="S81" s="220"/>
      <c r="T81" s="221"/>
      <c r="U81" s="220"/>
      <c r="V81" s="221"/>
      <c r="W81" s="220"/>
      <c r="X81" s="221"/>
      <c r="Y81" s="220"/>
      <c r="Z81" s="221"/>
      <c r="AA81" s="220"/>
      <c r="AB81" s="221"/>
      <c r="AC81" s="220"/>
      <c r="AD81" s="221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71"/>
      <c r="AU81" s="272"/>
    </row>
    <row r="82" spans="2:47" s="4" customFormat="1" ht="27.75" customHeight="1">
      <c r="B82" s="293"/>
      <c r="C82" s="300"/>
      <c r="D82" s="255"/>
      <c r="E82" s="255"/>
      <c r="F82" s="255"/>
      <c r="G82" s="242"/>
      <c r="H82" s="242"/>
      <c r="I82" s="252"/>
      <c r="J82" s="255"/>
      <c r="K82" s="255"/>
      <c r="L82" s="242"/>
      <c r="M82" s="242"/>
      <c r="N82" s="242"/>
      <c r="O82" s="220"/>
      <c r="P82" s="221"/>
      <c r="Q82" s="220"/>
      <c r="R82" s="221"/>
      <c r="S82" s="220"/>
      <c r="T82" s="221"/>
      <c r="U82" s="220"/>
      <c r="V82" s="221"/>
      <c r="W82" s="220"/>
      <c r="X82" s="221"/>
      <c r="Y82" s="220"/>
      <c r="Z82" s="221"/>
      <c r="AA82" s="220"/>
      <c r="AB82" s="221"/>
      <c r="AC82" s="220"/>
      <c r="AD82" s="221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71"/>
      <c r="AU82" s="272"/>
    </row>
    <row r="83" spans="2:47" s="4" customFormat="1" ht="27.75" customHeight="1">
      <c r="B83" s="293"/>
      <c r="C83" s="300"/>
      <c r="D83" s="255"/>
      <c r="E83" s="255"/>
      <c r="F83" s="255"/>
      <c r="G83" s="242"/>
      <c r="H83" s="242"/>
      <c r="I83" s="252"/>
      <c r="J83" s="255"/>
      <c r="K83" s="255"/>
      <c r="L83" s="242"/>
      <c r="M83" s="242"/>
      <c r="N83" s="242"/>
      <c r="O83" s="220"/>
      <c r="P83" s="221"/>
      <c r="Q83" s="220"/>
      <c r="R83" s="221"/>
      <c r="S83" s="220"/>
      <c r="T83" s="221"/>
      <c r="U83" s="220"/>
      <c r="V83" s="221"/>
      <c r="W83" s="220"/>
      <c r="X83" s="221"/>
      <c r="Y83" s="220"/>
      <c r="Z83" s="221"/>
      <c r="AA83" s="220"/>
      <c r="AB83" s="221"/>
      <c r="AC83" s="220"/>
      <c r="AD83" s="221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71"/>
      <c r="AU83" s="272"/>
    </row>
    <row r="84" spans="2:47" s="5" customFormat="1" ht="27.75" customHeight="1">
      <c r="B84" s="301"/>
      <c r="C84" s="302"/>
      <c r="D84" s="256"/>
      <c r="E84" s="256"/>
      <c r="F84" s="256"/>
      <c r="G84" s="243"/>
      <c r="H84" s="243"/>
      <c r="I84" s="253"/>
      <c r="J84" s="256"/>
      <c r="K84" s="256"/>
      <c r="L84" s="243"/>
      <c r="M84" s="243"/>
      <c r="N84" s="243"/>
      <c r="O84" s="222"/>
      <c r="P84" s="223"/>
      <c r="Q84" s="222"/>
      <c r="R84" s="223"/>
      <c r="S84" s="222"/>
      <c r="T84" s="223"/>
      <c r="U84" s="222"/>
      <c r="V84" s="223"/>
      <c r="W84" s="222"/>
      <c r="X84" s="223"/>
      <c r="Y84" s="222"/>
      <c r="Z84" s="223"/>
      <c r="AA84" s="222"/>
      <c r="AB84" s="223"/>
      <c r="AC84" s="222"/>
      <c r="AD84" s="22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  <c r="AP84" s="243"/>
      <c r="AQ84" s="243"/>
      <c r="AR84" s="243"/>
      <c r="AS84" s="243"/>
      <c r="AT84" s="271"/>
      <c r="AU84" s="272"/>
    </row>
    <row r="85" spans="2:47" s="7" customFormat="1" ht="21.75" customHeight="1" thickBot="1">
      <c r="B85" s="56"/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208"/>
      <c r="P85" s="210"/>
      <c r="Q85" s="208"/>
      <c r="R85" s="210"/>
      <c r="S85" s="208"/>
      <c r="T85" s="210"/>
      <c r="U85" s="208"/>
      <c r="V85" s="210"/>
      <c r="W85" s="208"/>
      <c r="X85" s="210"/>
      <c r="Y85" s="208"/>
      <c r="Z85" s="210"/>
      <c r="AA85" s="208"/>
      <c r="AB85" s="210"/>
      <c r="AC85" s="208"/>
      <c r="AD85" s="210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271"/>
      <c r="AU85" s="272"/>
    </row>
    <row r="86" spans="1:47" s="4" customFormat="1" ht="21.75" customHeight="1">
      <c r="A86" s="30"/>
      <c r="B86" s="113"/>
      <c r="C86" s="65"/>
      <c r="D86" s="39"/>
      <c r="E86" s="24"/>
      <c r="F86" s="24"/>
      <c r="G86" s="24"/>
      <c r="H86" s="24"/>
      <c r="I86" s="24"/>
      <c r="J86" s="24"/>
      <c r="K86" s="24"/>
      <c r="L86" s="24"/>
      <c r="M86" s="24"/>
      <c r="N86" s="61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65"/>
      <c r="AD86" s="265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71"/>
      <c r="AU86" s="272"/>
    </row>
    <row r="87" spans="1:47" s="4" customFormat="1" ht="21.75" customHeight="1">
      <c r="A87" s="30"/>
      <c r="B87" s="230"/>
      <c r="C87" s="231"/>
      <c r="D87" s="231"/>
      <c r="E87" s="231"/>
      <c r="F87" s="231"/>
      <c r="G87" s="231"/>
      <c r="H87" s="231"/>
      <c r="I87" s="232"/>
      <c r="J87" s="24"/>
      <c r="K87" s="24"/>
      <c r="L87" s="24"/>
      <c r="M87" s="24"/>
      <c r="N87" s="61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66"/>
      <c r="AD87" s="266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71"/>
      <c r="AU87" s="272"/>
    </row>
    <row r="88" spans="1:47" s="4" customFormat="1" ht="21.75" customHeight="1">
      <c r="A88" s="30"/>
      <c r="B88" s="77"/>
      <c r="C88" s="38"/>
      <c r="D88" s="39"/>
      <c r="E88" s="24"/>
      <c r="F88" s="66"/>
      <c r="G88" s="105"/>
      <c r="H88" s="105"/>
      <c r="I88" s="24"/>
      <c r="J88" s="24"/>
      <c r="K88" s="24"/>
      <c r="L88" s="24"/>
      <c r="M88" s="24"/>
      <c r="N88" s="61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71"/>
      <c r="AU88" s="272"/>
    </row>
    <row r="89" spans="1:47" s="4" customFormat="1" ht="21.75" customHeight="1">
      <c r="A89" s="30"/>
      <c r="B89" s="37"/>
      <c r="C89" s="38"/>
      <c r="D89" s="39"/>
      <c r="E89" s="24"/>
      <c r="F89" s="66"/>
      <c r="G89" s="105"/>
      <c r="H89" s="105"/>
      <c r="I89" s="24"/>
      <c r="J89" s="24"/>
      <c r="K89" s="24"/>
      <c r="L89" s="24"/>
      <c r="M89" s="24"/>
      <c r="N89" s="61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71"/>
      <c r="AU89" s="272"/>
    </row>
    <row r="90" spans="1:47" s="4" customFormat="1" ht="21.75" customHeight="1">
      <c r="A90" s="30"/>
      <c r="B90" s="37"/>
      <c r="C90" s="38"/>
      <c r="D90" s="39"/>
      <c r="E90" s="24"/>
      <c r="F90" s="66"/>
      <c r="G90" s="105"/>
      <c r="H90" s="105"/>
      <c r="I90" s="24"/>
      <c r="J90" s="24"/>
      <c r="K90" s="24"/>
      <c r="L90" s="24"/>
      <c r="M90" s="24"/>
      <c r="N90" s="61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71"/>
      <c r="AU90" s="272"/>
    </row>
    <row r="91" spans="1:47" s="4" customFormat="1" ht="21.75" customHeight="1">
      <c r="A91" s="30"/>
      <c r="B91" s="37"/>
      <c r="C91" s="38"/>
      <c r="D91" s="39"/>
      <c r="E91" s="24"/>
      <c r="F91" s="66"/>
      <c r="G91" s="105"/>
      <c r="H91" s="105"/>
      <c r="I91" s="24"/>
      <c r="J91" s="24"/>
      <c r="K91" s="24"/>
      <c r="L91" s="24"/>
      <c r="M91" s="24"/>
      <c r="N91" s="61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71"/>
      <c r="AU91" s="272"/>
    </row>
    <row r="92" spans="1:47" s="4" customFormat="1" ht="21.75" customHeight="1">
      <c r="A92" s="30"/>
      <c r="B92" s="38"/>
      <c r="C92" s="38"/>
      <c r="D92" s="39"/>
      <c r="E92" s="24"/>
      <c r="F92" s="66"/>
      <c r="G92" s="105"/>
      <c r="H92" s="105"/>
      <c r="I92" s="24"/>
      <c r="J92" s="24"/>
      <c r="K92" s="24"/>
      <c r="L92" s="24"/>
      <c r="M92" s="24"/>
      <c r="N92" s="61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71"/>
      <c r="AU92" s="272"/>
    </row>
    <row r="93" spans="1:47" s="4" customFormat="1" ht="21.75" customHeight="1">
      <c r="A93" s="30"/>
      <c r="B93" s="37"/>
      <c r="C93" s="38"/>
      <c r="D93" s="39"/>
      <c r="E93" s="24"/>
      <c r="F93" s="66"/>
      <c r="G93" s="105"/>
      <c r="H93" s="105"/>
      <c r="I93" s="24"/>
      <c r="J93" s="24"/>
      <c r="K93" s="24"/>
      <c r="L93" s="24"/>
      <c r="M93" s="24"/>
      <c r="N93" s="61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71"/>
      <c r="AU93" s="272"/>
    </row>
    <row r="94" spans="1:47" s="4" customFormat="1" ht="21.75" customHeight="1">
      <c r="A94" s="30"/>
      <c r="B94" s="37"/>
      <c r="C94" s="38"/>
      <c r="D94" s="39"/>
      <c r="E94" s="24"/>
      <c r="F94" s="66"/>
      <c r="G94" s="105"/>
      <c r="H94" s="105"/>
      <c r="I94" s="24"/>
      <c r="J94" s="24"/>
      <c r="K94" s="24"/>
      <c r="L94" s="24"/>
      <c r="M94" s="24"/>
      <c r="N94" s="61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71"/>
      <c r="AU94" s="272"/>
    </row>
    <row r="95" spans="1:47" s="4" customFormat="1" ht="21.75" customHeight="1">
      <c r="A95" s="30"/>
      <c r="B95" s="38"/>
      <c r="C95" s="38"/>
      <c r="D95" s="39"/>
      <c r="E95" s="24"/>
      <c r="F95" s="66"/>
      <c r="G95" s="105"/>
      <c r="H95" s="105"/>
      <c r="I95" s="24"/>
      <c r="J95" s="24"/>
      <c r="K95" s="24"/>
      <c r="L95" s="24"/>
      <c r="M95" s="24"/>
      <c r="N95" s="61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71"/>
      <c r="AU95" s="272"/>
    </row>
    <row r="96" spans="1:47" s="16" customFormat="1" ht="21.75" customHeight="1">
      <c r="A96" s="30"/>
      <c r="B96" s="37"/>
      <c r="C96" s="38"/>
      <c r="D96" s="39"/>
      <c r="E96" s="24"/>
      <c r="F96" s="66"/>
      <c r="G96" s="105"/>
      <c r="H96" s="105"/>
      <c r="I96" s="24"/>
      <c r="J96" s="24"/>
      <c r="K96" s="24"/>
      <c r="L96" s="24"/>
      <c r="M96" s="24"/>
      <c r="N96" s="61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71"/>
      <c r="AU96" s="272"/>
    </row>
    <row r="97" spans="1:47" s="16" customFormat="1" ht="21.75" customHeight="1">
      <c r="A97" s="30"/>
      <c r="B97" s="37"/>
      <c r="C97" s="38"/>
      <c r="D97" s="39"/>
      <c r="E97" s="24"/>
      <c r="F97" s="66"/>
      <c r="G97" s="105"/>
      <c r="H97" s="105"/>
      <c r="I97" s="24"/>
      <c r="J97" s="24"/>
      <c r="K97" s="24"/>
      <c r="L97" s="39"/>
      <c r="M97" s="24"/>
      <c r="N97" s="61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71"/>
      <c r="AU97" s="272"/>
    </row>
    <row r="98" spans="1:47" s="16" customFormat="1" ht="21.75" customHeight="1">
      <c r="A98" s="30"/>
      <c r="B98" s="37"/>
      <c r="C98" s="38"/>
      <c r="D98" s="39"/>
      <c r="E98" s="24"/>
      <c r="F98" s="66"/>
      <c r="G98" s="105"/>
      <c r="H98" s="105"/>
      <c r="I98" s="24"/>
      <c r="J98" s="24"/>
      <c r="K98" s="24"/>
      <c r="L98" s="24"/>
      <c r="M98" s="24"/>
      <c r="N98" s="61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71"/>
      <c r="AU98" s="272"/>
    </row>
    <row r="99" spans="1:47" s="16" customFormat="1" ht="21.75" customHeight="1">
      <c r="A99" s="30"/>
      <c r="B99" s="37"/>
      <c r="C99" s="38"/>
      <c r="D99" s="39"/>
      <c r="E99" s="24"/>
      <c r="F99" s="66"/>
      <c r="G99" s="24"/>
      <c r="H99" s="24"/>
      <c r="I99" s="24"/>
      <c r="J99" s="24"/>
      <c r="K99" s="24"/>
      <c r="L99" s="24"/>
      <c r="M99" s="24"/>
      <c r="N99" s="61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71"/>
      <c r="AU99" s="272"/>
    </row>
    <row r="100" spans="1:47" s="16" customFormat="1" ht="21.75" customHeight="1">
      <c r="A100" s="30"/>
      <c r="B100" s="37"/>
      <c r="C100" s="38"/>
      <c r="D100" s="39"/>
      <c r="E100" s="24"/>
      <c r="F100" s="66"/>
      <c r="G100" s="105"/>
      <c r="H100" s="105"/>
      <c r="I100" s="24"/>
      <c r="J100" s="24"/>
      <c r="K100" s="24"/>
      <c r="L100" s="24"/>
      <c r="M100" s="24"/>
      <c r="N100" s="61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71"/>
      <c r="AU100" s="272"/>
    </row>
    <row r="101" spans="1:47" s="4" customFormat="1" ht="21.75" customHeight="1">
      <c r="A101" s="30"/>
      <c r="B101" s="37"/>
      <c r="C101" s="38"/>
      <c r="D101" s="39"/>
      <c r="E101" s="24"/>
      <c r="F101" s="66"/>
      <c r="G101" s="105"/>
      <c r="H101" s="105"/>
      <c r="I101" s="24"/>
      <c r="J101" s="24"/>
      <c r="K101" s="24"/>
      <c r="L101" s="24"/>
      <c r="M101" s="24"/>
      <c r="N101" s="61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71"/>
      <c r="AU101" s="272"/>
    </row>
    <row r="102" spans="1:47" s="4" customFormat="1" ht="21.75" customHeight="1">
      <c r="A102" s="30"/>
      <c r="B102" s="37"/>
      <c r="C102" s="38"/>
      <c r="D102" s="39"/>
      <c r="E102" s="24"/>
      <c r="F102" s="66"/>
      <c r="G102" s="90"/>
      <c r="H102" s="24"/>
      <c r="I102" s="24"/>
      <c r="J102" s="24"/>
      <c r="K102" s="24"/>
      <c r="L102" s="24"/>
      <c r="M102" s="24"/>
      <c r="N102" s="61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71"/>
      <c r="AU102" s="272"/>
    </row>
    <row r="103" spans="1:47" s="4" customFormat="1" ht="21.75" customHeight="1">
      <c r="A103" s="30"/>
      <c r="B103" s="37"/>
      <c r="C103" s="38"/>
      <c r="D103" s="39"/>
      <c r="E103" s="24"/>
      <c r="F103" s="66"/>
      <c r="G103" s="90"/>
      <c r="H103" s="24"/>
      <c r="I103" s="24"/>
      <c r="J103" s="24"/>
      <c r="K103" s="24"/>
      <c r="L103" s="24"/>
      <c r="M103" s="24"/>
      <c r="N103" s="61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71"/>
      <c r="AU103" s="272"/>
    </row>
    <row r="104" spans="1:47" s="4" customFormat="1" ht="21.75" customHeight="1">
      <c r="A104" s="30"/>
      <c r="B104" s="37"/>
      <c r="C104" s="38"/>
      <c r="D104" s="39"/>
      <c r="E104" s="24"/>
      <c r="F104" s="66"/>
      <c r="G104" s="90"/>
      <c r="H104" s="24"/>
      <c r="I104" s="24"/>
      <c r="J104" s="24"/>
      <c r="K104" s="24"/>
      <c r="L104" s="24"/>
      <c r="M104" s="24"/>
      <c r="N104" s="61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71"/>
      <c r="AU104" s="272"/>
    </row>
    <row r="105" spans="1:47" s="4" customFormat="1" ht="21.75" customHeight="1">
      <c r="A105" s="30"/>
      <c r="B105" s="37"/>
      <c r="C105" s="38"/>
      <c r="D105" s="39"/>
      <c r="E105" s="24"/>
      <c r="F105" s="66"/>
      <c r="G105" s="105"/>
      <c r="H105" s="105"/>
      <c r="I105" s="24"/>
      <c r="J105" s="24"/>
      <c r="K105" s="24"/>
      <c r="L105" s="24"/>
      <c r="M105" s="24"/>
      <c r="N105" s="61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71"/>
      <c r="AU105" s="272"/>
    </row>
    <row r="106" spans="1:47" s="4" customFormat="1" ht="21.75" customHeight="1">
      <c r="A106" s="30"/>
      <c r="B106" s="37"/>
      <c r="C106" s="38"/>
      <c r="D106" s="39"/>
      <c r="E106" s="24"/>
      <c r="F106" s="66"/>
      <c r="G106" s="105"/>
      <c r="H106" s="105"/>
      <c r="I106" s="24"/>
      <c r="J106" s="24"/>
      <c r="K106" s="24"/>
      <c r="L106" s="39"/>
      <c r="M106" s="24"/>
      <c r="N106" s="61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71"/>
      <c r="AU106" s="272"/>
    </row>
    <row r="107" spans="1:47" s="4" customFormat="1" ht="21.75" customHeight="1">
      <c r="A107" s="30"/>
      <c r="B107" s="37"/>
      <c r="C107" s="38"/>
      <c r="D107" s="39"/>
      <c r="E107" s="24"/>
      <c r="F107" s="66"/>
      <c r="G107" s="105"/>
      <c r="H107" s="105"/>
      <c r="I107" s="24"/>
      <c r="J107" s="24"/>
      <c r="K107" s="24"/>
      <c r="L107" s="24"/>
      <c r="M107" s="24"/>
      <c r="N107" s="61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71"/>
      <c r="AU107" s="272"/>
    </row>
    <row r="108" spans="1:47" s="4" customFormat="1" ht="21.75" customHeight="1">
      <c r="A108" s="30"/>
      <c r="B108" s="37"/>
      <c r="C108" s="38"/>
      <c r="D108" s="39"/>
      <c r="E108" s="24"/>
      <c r="F108" s="66"/>
      <c r="G108" s="105"/>
      <c r="H108" s="105"/>
      <c r="I108" s="24"/>
      <c r="J108" s="24"/>
      <c r="K108" s="24"/>
      <c r="L108" s="24"/>
      <c r="M108" s="24"/>
      <c r="N108" s="61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71"/>
      <c r="AU108" s="272"/>
    </row>
    <row r="109" spans="1:47" s="4" customFormat="1" ht="21.75" customHeight="1">
      <c r="A109" s="30"/>
      <c r="B109" s="37"/>
      <c r="C109" s="38"/>
      <c r="D109" s="39"/>
      <c r="E109" s="24"/>
      <c r="F109" s="66"/>
      <c r="G109" s="105"/>
      <c r="H109" s="105"/>
      <c r="I109" s="24"/>
      <c r="J109" s="24"/>
      <c r="K109" s="24"/>
      <c r="L109" s="24"/>
      <c r="M109" s="24"/>
      <c r="N109" s="61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71"/>
      <c r="AU109" s="272"/>
    </row>
    <row r="110" spans="1:47" s="4" customFormat="1" ht="21.75" customHeight="1">
      <c r="A110" s="30"/>
      <c r="B110" s="37"/>
      <c r="C110" s="38"/>
      <c r="D110" s="39"/>
      <c r="E110" s="24"/>
      <c r="F110" s="213"/>
      <c r="G110" s="214"/>
      <c r="H110" s="214"/>
      <c r="I110" s="215"/>
      <c r="J110" s="24"/>
      <c r="K110" s="24"/>
      <c r="L110" s="24"/>
      <c r="M110" s="24"/>
      <c r="N110" s="61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71"/>
      <c r="AU110" s="272"/>
    </row>
    <row r="111" spans="1:47" s="4" customFormat="1" ht="21.75" customHeight="1">
      <c r="A111" s="30"/>
      <c r="B111" s="38"/>
      <c r="C111" s="38"/>
      <c r="D111" s="39"/>
      <c r="E111" s="24"/>
      <c r="F111" s="66"/>
      <c r="G111" s="24"/>
      <c r="H111" s="24"/>
      <c r="I111" s="24"/>
      <c r="J111" s="24"/>
      <c r="K111" s="24"/>
      <c r="L111" s="24"/>
      <c r="M111" s="24"/>
      <c r="N111" s="61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71"/>
      <c r="AU111" s="272"/>
    </row>
    <row r="112" spans="1:47" s="4" customFormat="1" ht="21.75" customHeight="1">
      <c r="A112" s="30"/>
      <c r="B112" s="38"/>
      <c r="C112" s="38"/>
      <c r="D112" s="39"/>
      <c r="E112" s="24"/>
      <c r="F112" s="66"/>
      <c r="G112" s="105"/>
      <c r="H112" s="105"/>
      <c r="I112" s="24"/>
      <c r="J112" s="24"/>
      <c r="K112" s="24"/>
      <c r="L112" s="24"/>
      <c r="M112" s="24"/>
      <c r="N112" s="61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71"/>
      <c r="AU112" s="272"/>
    </row>
    <row r="113" spans="1:47" s="4" customFormat="1" ht="21.75" customHeight="1">
      <c r="A113" s="30"/>
      <c r="B113" s="38"/>
      <c r="C113" s="38"/>
      <c r="D113" s="39"/>
      <c r="E113" s="24"/>
      <c r="F113" s="24"/>
      <c r="G113" s="105"/>
      <c r="H113" s="105"/>
      <c r="I113" s="24"/>
      <c r="J113" s="24"/>
      <c r="K113" s="24"/>
      <c r="L113" s="24"/>
      <c r="M113" s="24"/>
      <c r="N113" s="61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71"/>
      <c r="AU113" s="272"/>
    </row>
    <row r="114" spans="1:47" s="4" customFormat="1" ht="21.75" customHeight="1">
      <c r="A114" s="30"/>
      <c r="B114" s="37"/>
      <c r="C114" s="38"/>
      <c r="D114" s="39"/>
      <c r="E114" s="24"/>
      <c r="F114" s="66"/>
      <c r="G114" s="105"/>
      <c r="H114" s="105"/>
      <c r="I114" s="24"/>
      <c r="J114" s="24"/>
      <c r="K114" s="24"/>
      <c r="L114" s="24"/>
      <c r="M114" s="24"/>
      <c r="N114" s="61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71"/>
      <c r="AU114" s="272"/>
    </row>
    <row r="115" spans="1:47" s="4" customFormat="1" ht="21.75" customHeight="1">
      <c r="A115" s="30"/>
      <c r="B115" s="37"/>
      <c r="C115" s="38"/>
      <c r="D115" s="39"/>
      <c r="E115" s="24"/>
      <c r="F115" s="66"/>
      <c r="G115" s="107"/>
      <c r="H115" s="24"/>
      <c r="I115" s="24"/>
      <c r="J115" s="24"/>
      <c r="K115" s="24"/>
      <c r="L115" s="24"/>
      <c r="M115" s="24"/>
      <c r="N115" s="61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71"/>
      <c r="AU115" s="272"/>
    </row>
    <row r="116" spans="1:47" s="4" customFormat="1" ht="21.75" customHeight="1">
      <c r="A116" s="30"/>
      <c r="B116" s="37"/>
      <c r="C116" s="38"/>
      <c r="D116" s="39"/>
      <c r="E116" s="24"/>
      <c r="F116" s="213"/>
      <c r="G116" s="214"/>
      <c r="H116" s="214"/>
      <c r="I116" s="215"/>
      <c r="J116" s="24"/>
      <c r="K116" s="24"/>
      <c r="L116" s="24"/>
      <c r="M116" s="24"/>
      <c r="N116" s="61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71"/>
      <c r="AU116" s="272"/>
    </row>
    <row r="117" spans="1:47" s="4" customFormat="1" ht="21.75" customHeight="1">
      <c r="A117" s="30"/>
      <c r="B117" s="38"/>
      <c r="C117" s="38"/>
      <c r="D117" s="39"/>
      <c r="E117" s="24"/>
      <c r="F117" s="24"/>
      <c r="G117" s="24"/>
      <c r="H117" s="24"/>
      <c r="I117" s="24"/>
      <c r="J117" s="24"/>
      <c r="K117" s="24"/>
      <c r="L117" s="24"/>
      <c r="M117" s="24"/>
      <c r="N117" s="61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71"/>
      <c r="AU117" s="272"/>
    </row>
    <row r="118" spans="1:47" s="4" customFormat="1" ht="21.75" customHeight="1">
      <c r="A118" s="30"/>
      <c r="B118" s="37"/>
      <c r="C118" s="38"/>
      <c r="D118" s="39"/>
      <c r="E118" s="24"/>
      <c r="F118" s="66"/>
      <c r="G118" s="105"/>
      <c r="H118" s="105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71"/>
      <c r="AU118" s="272"/>
    </row>
    <row r="119" spans="1:47" s="4" customFormat="1" ht="21.75" customHeight="1">
      <c r="A119" s="30"/>
      <c r="B119" s="109"/>
      <c r="C119" s="38"/>
      <c r="D119" s="39"/>
      <c r="E119" s="24"/>
      <c r="F119" s="66"/>
      <c r="G119" s="105"/>
      <c r="H119" s="105"/>
      <c r="I119" s="24"/>
      <c r="J119" s="106"/>
      <c r="K119" s="119"/>
      <c r="L119" s="24"/>
      <c r="M119" s="24"/>
      <c r="N119" s="61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71"/>
      <c r="AU119" s="272"/>
    </row>
    <row r="120" spans="1:47" s="4" customFormat="1" ht="21.75" customHeight="1">
      <c r="A120" s="30"/>
      <c r="B120" s="109"/>
      <c r="C120" s="38"/>
      <c r="D120" s="39"/>
      <c r="E120" s="24"/>
      <c r="F120" s="66"/>
      <c r="G120" s="105"/>
      <c r="H120" s="105"/>
      <c r="I120" s="24"/>
      <c r="J120" s="106"/>
      <c r="K120" s="24"/>
      <c r="L120" s="24"/>
      <c r="M120" s="24"/>
      <c r="N120" s="61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71"/>
      <c r="AU120" s="272"/>
    </row>
    <row r="121" spans="1:47" s="4" customFormat="1" ht="21.75" customHeight="1">
      <c r="A121" s="30"/>
      <c r="B121" s="109"/>
      <c r="C121" s="38"/>
      <c r="D121" s="39"/>
      <c r="E121" s="24"/>
      <c r="F121" s="66"/>
      <c r="G121" s="105"/>
      <c r="H121" s="105"/>
      <c r="I121" s="24"/>
      <c r="J121" s="106"/>
      <c r="K121" s="24"/>
      <c r="L121" s="24"/>
      <c r="M121" s="24"/>
      <c r="N121" s="61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71"/>
      <c r="AU121" s="272"/>
    </row>
    <row r="122" spans="1:47" s="4" customFormat="1" ht="21.75" customHeight="1">
      <c r="A122" s="30"/>
      <c r="B122" s="109"/>
      <c r="C122" s="46"/>
      <c r="D122" s="39"/>
      <c r="E122" s="24"/>
      <c r="F122" s="66"/>
      <c r="G122" s="105"/>
      <c r="H122" s="105"/>
      <c r="I122" s="24"/>
      <c r="J122" s="106"/>
      <c r="K122" s="24"/>
      <c r="L122" s="24"/>
      <c r="M122" s="24"/>
      <c r="N122" s="61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71"/>
      <c r="AU122" s="272"/>
    </row>
    <row r="123" spans="1:47" s="4" customFormat="1" ht="21.75" customHeight="1" thickBot="1">
      <c r="A123" s="30"/>
      <c r="B123" s="37"/>
      <c r="C123" s="38"/>
      <c r="D123" s="39"/>
      <c r="E123" s="24"/>
      <c r="F123" s="24"/>
      <c r="G123" s="24"/>
      <c r="H123" s="24"/>
      <c r="I123" s="24"/>
      <c r="J123" s="24"/>
      <c r="K123" s="24"/>
      <c r="L123" s="24"/>
      <c r="M123" s="24"/>
      <c r="N123" s="61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81"/>
      <c r="AU123" s="275"/>
    </row>
    <row r="124" spans="1:47" s="4" customFormat="1" ht="21.75" customHeight="1">
      <c r="A124" s="30"/>
      <c r="B124" s="38"/>
      <c r="C124" s="38"/>
      <c r="D124" s="39"/>
      <c r="E124" s="24"/>
      <c r="F124" s="66"/>
      <c r="G124" s="105"/>
      <c r="H124" s="105"/>
      <c r="I124" s="24"/>
      <c r="J124" s="106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110"/>
      <c r="V124" s="110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69"/>
      <c r="AU124" s="270"/>
    </row>
    <row r="125" spans="1:47" s="4" customFormat="1" ht="21.75" customHeight="1">
      <c r="A125" s="30"/>
      <c r="B125" s="38"/>
      <c r="C125" s="38"/>
      <c r="D125" s="39"/>
      <c r="E125" s="24"/>
      <c r="F125" s="66"/>
      <c r="G125" s="24"/>
      <c r="H125" s="24"/>
      <c r="I125" s="24"/>
      <c r="J125" s="106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110"/>
      <c r="V125" s="110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71"/>
      <c r="AU125" s="272"/>
    </row>
    <row r="126" spans="1:47" s="4" customFormat="1" ht="21.75" customHeight="1">
      <c r="A126" s="30"/>
      <c r="B126" s="38"/>
      <c r="C126" s="38"/>
      <c r="D126" s="39"/>
      <c r="E126" s="24"/>
      <c r="F126" s="66"/>
      <c r="G126" s="90"/>
      <c r="H126" s="24"/>
      <c r="I126" s="24"/>
      <c r="J126" s="106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110"/>
      <c r="V126" s="110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71"/>
      <c r="AU126" s="272"/>
    </row>
    <row r="127" spans="1:47" s="4" customFormat="1" ht="21.75" customHeight="1">
      <c r="A127" s="30"/>
      <c r="B127" s="38"/>
      <c r="C127" s="38"/>
      <c r="D127" s="39"/>
      <c r="E127" s="24"/>
      <c r="F127" s="66"/>
      <c r="G127" s="90"/>
      <c r="H127" s="24"/>
      <c r="I127" s="24"/>
      <c r="J127" s="106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110"/>
      <c r="V127" s="110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71"/>
      <c r="AU127" s="272"/>
    </row>
    <row r="128" spans="1:47" s="4" customFormat="1" ht="21.75" customHeight="1">
      <c r="A128" s="30"/>
      <c r="B128" s="38"/>
      <c r="C128" s="38"/>
      <c r="D128" s="39"/>
      <c r="E128" s="24"/>
      <c r="F128" s="66"/>
      <c r="G128" s="90"/>
      <c r="H128" s="24"/>
      <c r="I128" s="24"/>
      <c r="J128" s="24"/>
      <c r="K128" s="24"/>
      <c r="L128" s="24"/>
      <c r="M128" s="24"/>
      <c r="N128" s="61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71"/>
      <c r="AU128" s="272"/>
    </row>
    <row r="129" spans="1:47" s="4" customFormat="1" ht="21.75" customHeight="1">
      <c r="A129" s="30"/>
      <c r="B129" s="38"/>
      <c r="C129" s="38"/>
      <c r="D129" s="39"/>
      <c r="E129" s="24"/>
      <c r="F129" s="24"/>
      <c r="G129" s="66"/>
      <c r="H129" s="24"/>
      <c r="I129" s="24"/>
      <c r="J129" s="24"/>
      <c r="K129" s="24"/>
      <c r="L129" s="24"/>
      <c r="M129" s="24"/>
      <c r="N129" s="61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71"/>
      <c r="AU129" s="272"/>
    </row>
    <row r="130" spans="1:47" s="4" customFormat="1" ht="21.75" customHeight="1">
      <c r="A130" s="30"/>
      <c r="B130" s="38"/>
      <c r="C130" s="38"/>
      <c r="D130" s="39"/>
      <c r="E130" s="24"/>
      <c r="F130" s="66"/>
      <c r="G130" s="105"/>
      <c r="H130" s="105"/>
      <c r="I130" s="24"/>
      <c r="J130" s="24"/>
      <c r="K130" s="24"/>
      <c r="L130" s="24"/>
      <c r="M130" s="24"/>
      <c r="N130" s="61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71"/>
      <c r="AU130" s="272"/>
    </row>
    <row r="131" spans="1:47" s="4" customFormat="1" ht="21.75" customHeight="1">
      <c r="A131" s="30"/>
      <c r="B131" s="38"/>
      <c r="C131" s="38"/>
      <c r="D131" s="39"/>
      <c r="E131" s="24"/>
      <c r="F131" s="66"/>
      <c r="G131" s="105"/>
      <c r="H131" s="105"/>
      <c r="I131" s="24"/>
      <c r="J131" s="24"/>
      <c r="K131" s="24"/>
      <c r="L131" s="24"/>
      <c r="M131" s="24"/>
      <c r="N131" s="61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71"/>
      <c r="AU131" s="272"/>
    </row>
    <row r="132" spans="1:47" s="4" customFormat="1" ht="21.75" customHeight="1">
      <c r="A132" s="30"/>
      <c r="B132" s="38"/>
      <c r="C132" s="38"/>
      <c r="D132" s="39"/>
      <c r="E132" s="24"/>
      <c r="F132" s="66"/>
      <c r="G132" s="105"/>
      <c r="H132" s="105"/>
      <c r="I132" s="24"/>
      <c r="J132" s="24"/>
      <c r="K132" s="24"/>
      <c r="L132" s="24"/>
      <c r="M132" s="24"/>
      <c r="N132" s="61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71"/>
      <c r="AU132" s="272"/>
    </row>
    <row r="133" spans="1:47" s="4" customFormat="1" ht="21.75" customHeight="1">
      <c r="A133" s="30"/>
      <c r="B133" s="38"/>
      <c r="C133" s="38"/>
      <c r="D133" s="39"/>
      <c r="E133" s="24"/>
      <c r="F133" s="66"/>
      <c r="G133" s="105"/>
      <c r="H133" s="105"/>
      <c r="I133" s="24"/>
      <c r="J133" s="24"/>
      <c r="K133" s="24"/>
      <c r="L133" s="24"/>
      <c r="M133" s="24"/>
      <c r="N133" s="61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71"/>
      <c r="AU133" s="272"/>
    </row>
    <row r="134" spans="1:47" s="4" customFormat="1" ht="21.75" customHeight="1">
      <c r="A134" s="30"/>
      <c r="B134" s="38"/>
      <c r="C134" s="38"/>
      <c r="D134" s="39"/>
      <c r="E134" s="24"/>
      <c r="F134" s="66"/>
      <c r="G134" s="105"/>
      <c r="H134" s="105"/>
      <c r="I134" s="24"/>
      <c r="J134" s="106"/>
      <c r="K134" s="24"/>
      <c r="L134" s="24"/>
      <c r="M134" s="24"/>
      <c r="N134" s="61"/>
      <c r="O134" s="24"/>
      <c r="P134" s="24"/>
      <c r="Q134" s="24"/>
      <c r="R134" s="24"/>
      <c r="S134" s="24"/>
      <c r="T134" s="24"/>
      <c r="U134" s="110"/>
      <c r="V134" s="110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71"/>
      <c r="AU134" s="272"/>
    </row>
    <row r="135" spans="1:47" s="4" customFormat="1" ht="21.75" customHeight="1">
      <c r="A135" s="30"/>
      <c r="B135" s="38"/>
      <c r="C135" s="38"/>
      <c r="D135" s="39"/>
      <c r="E135" s="24"/>
      <c r="F135" s="107"/>
      <c r="G135" s="90"/>
      <c r="H135" s="24"/>
      <c r="I135" s="24"/>
      <c r="J135" s="24"/>
      <c r="K135" s="24"/>
      <c r="L135" s="24"/>
      <c r="M135" s="24"/>
      <c r="N135" s="61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71"/>
      <c r="AU135" s="272"/>
    </row>
    <row r="136" spans="1:47" s="4" customFormat="1" ht="21.75" customHeight="1">
      <c r="A136" s="30"/>
      <c r="B136" s="38"/>
      <c r="C136" s="38"/>
      <c r="D136" s="39"/>
      <c r="E136" s="24"/>
      <c r="F136" s="66"/>
      <c r="G136" s="105"/>
      <c r="H136" s="105"/>
      <c r="I136" s="24"/>
      <c r="J136" s="24"/>
      <c r="K136" s="24"/>
      <c r="L136" s="24"/>
      <c r="M136" s="24"/>
      <c r="N136" s="61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71"/>
      <c r="AU136" s="272"/>
    </row>
    <row r="137" spans="1:47" s="4" customFormat="1" ht="21.75" customHeight="1">
      <c r="A137" s="30"/>
      <c r="B137" s="38"/>
      <c r="C137" s="38"/>
      <c r="D137" s="39"/>
      <c r="E137" s="24"/>
      <c r="F137" s="66"/>
      <c r="G137" s="105"/>
      <c r="H137" s="105"/>
      <c r="I137" s="24"/>
      <c r="J137" s="24"/>
      <c r="K137" s="24"/>
      <c r="L137" s="24"/>
      <c r="M137" s="24"/>
      <c r="N137" s="61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73"/>
      <c r="AU137" s="272"/>
    </row>
    <row r="138" spans="1:47" s="4" customFormat="1" ht="21.75" customHeight="1">
      <c r="A138" s="30"/>
      <c r="B138" s="38"/>
      <c r="C138" s="38"/>
      <c r="D138" s="39"/>
      <c r="E138" s="24"/>
      <c r="F138" s="66"/>
      <c r="G138" s="105"/>
      <c r="H138" s="105"/>
      <c r="I138" s="24"/>
      <c r="J138" s="24"/>
      <c r="K138" s="24"/>
      <c r="L138" s="24"/>
      <c r="M138" s="24"/>
      <c r="N138" s="61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73"/>
      <c r="AU138" s="272"/>
    </row>
    <row r="139" spans="1:47" s="4" customFormat="1" ht="21.75" customHeight="1" thickBot="1">
      <c r="A139" s="30"/>
      <c r="B139" s="38"/>
      <c r="C139" s="38"/>
      <c r="D139" s="39"/>
      <c r="E139" s="24"/>
      <c r="F139" s="108"/>
      <c r="G139" s="90"/>
      <c r="H139" s="24"/>
      <c r="I139" s="24"/>
      <c r="J139" s="24"/>
      <c r="K139" s="24"/>
      <c r="L139" s="24"/>
      <c r="M139" s="24"/>
      <c r="N139" s="61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74"/>
      <c r="AU139" s="275"/>
    </row>
    <row r="140" spans="2:47" s="1" customFormat="1" ht="46.5" customHeight="1">
      <c r="B140" s="233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5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79"/>
      <c r="AU140" s="280"/>
    </row>
    <row r="141" spans="2:47" s="1" customFormat="1" ht="46.5" customHeight="1" thickBot="1">
      <c r="B141" s="236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8"/>
      <c r="O141" s="250"/>
      <c r="P141" s="250"/>
      <c r="Q141" s="250"/>
      <c r="R141" s="250"/>
      <c r="S141" s="250"/>
      <c r="T141" s="250"/>
      <c r="U141" s="212"/>
      <c r="V141" s="212"/>
      <c r="W141" s="212"/>
      <c r="X141" s="212"/>
      <c r="Y141" s="250"/>
      <c r="Z141" s="250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76"/>
      <c r="AU141" s="277"/>
    </row>
    <row r="142" spans="1:48" ht="36" customHeight="1">
      <c r="A142" s="10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85"/>
      <c r="U142" s="49"/>
      <c r="V142" s="49"/>
      <c r="Y142" s="85"/>
      <c r="Z142" s="49"/>
      <c r="AC142" s="49"/>
      <c r="AD142" s="49"/>
      <c r="AT142" s="49"/>
      <c r="AU142" s="49"/>
      <c r="AV142" s="11"/>
    </row>
    <row r="143" spans="2:47" ht="12.75"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85"/>
      <c r="U143" s="49"/>
      <c r="V143" s="49"/>
      <c r="Y143" s="85"/>
      <c r="Z143" s="49"/>
      <c r="AC143" s="49"/>
      <c r="AD143" s="49"/>
      <c r="AT143" s="49"/>
      <c r="AU143" s="49"/>
    </row>
    <row r="144" spans="2:47" ht="12.75"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85"/>
      <c r="U144" s="49"/>
      <c r="V144" s="49"/>
      <c r="Y144" s="85"/>
      <c r="Z144" s="49"/>
      <c r="AC144" s="49"/>
      <c r="AD144" s="49"/>
      <c r="AT144" s="49"/>
      <c r="AU144" s="49"/>
    </row>
    <row r="145" spans="2:47" ht="15.75">
      <c r="B145" s="224"/>
      <c r="C145" s="225"/>
      <c r="D145" s="225"/>
      <c r="E145" s="225"/>
      <c r="F145" s="225"/>
      <c r="G145" s="226"/>
      <c r="H145" s="53"/>
      <c r="I145" s="53"/>
      <c r="J145" s="53"/>
      <c r="K145" s="53"/>
      <c r="L145" s="53"/>
      <c r="M145" s="53"/>
      <c r="N145" s="53"/>
      <c r="O145" s="53"/>
      <c r="P145" s="53"/>
      <c r="Q145" s="101"/>
      <c r="R145" s="101"/>
      <c r="S145" s="94"/>
      <c r="T145" s="94"/>
      <c r="U145" s="95"/>
      <c r="V145" s="95"/>
      <c r="W145" s="53"/>
      <c r="X145" s="53"/>
      <c r="Y145" s="53"/>
      <c r="Z145" s="53"/>
      <c r="AA145" s="95"/>
      <c r="AB145" s="95"/>
      <c r="AC145" s="53"/>
      <c r="AD145" s="53"/>
      <c r="AT145" s="49"/>
      <c r="AU145" s="49"/>
    </row>
    <row r="146" spans="2:47" ht="15">
      <c r="B146" s="49"/>
      <c r="C146" s="49"/>
      <c r="D146" s="49"/>
      <c r="E146" s="49"/>
      <c r="F146" s="49"/>
      <c r="G146" s="49"/>
      <c r="H146" s="49"/>
      <c r="I146" s="49"/>
      <c r="J146" s="49"/>
      <c r="K146" s="79"/>
      <c r="L146" s="79"/>
      <c r="M146" s="79"/>
      <c r="N146" s="79"/>
      <c r="O146" s="193"/>
      <c r="P146" s="193"/>
      <c r="Q146" s="136"/>
      <c r="R146" s="136"/>
      <c r="S146" s="137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27"/>
      <c r="AT146" s="49"/>
      <c r="AU146" s="49"/>
    </row>
    <row r="147" spans="2:47" ht="15">
      <c r="B147" s="49"/>
      <c r="C147" s="49"/>
      <c r="D147" s="49"/>
      <c r="E147" s="49"/>
      <c r="F147" s="49"/>
      <c r="G147" s="49"/>
      <c r="H147" s="49"/>
      <c r="I147" s="49"/>
      <c r="J147" s="49"/>
      <c r="K147" s="79"/>
      <c r="L147" s="79"/>
      <c r="M147" s="79"/>
      <c r="N147" s="79"/>
      <c r="O147" s="193"/>
      <c r="P147" s="79"/>
      <c r="Q147" s="79"/>
      <c r="R147" s="79"/>
      <c r="S147" s="137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27"/>
      <c r="AT147" s="49"/>
      <c r="AU147" s="49"/>
    </row>
    <row r="148" spans="2:47" ht="15">
      <c r="B148" s="49"/>
      <c r="C148" s="49"/>
      <c r="D148" s="49"/>
      <c r="E148" s="49"/>
      <c r="F148" s="49"/>
      <c r="G148" s="49"/>
      <c r="H148" s="49"/>
      <c r="I148" s="49"/>
      <c r="J148" s="49"/>
      <c r="K148" s="360"/>
      <c r="L148" s="361"/>
      <c r="M148" s="361"/>
      <c r="N148" s="361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27"/>
      <c r="AT148" s="49"/>
      <c r="AU148" s="49"/>
    </row>
    <row r="149" spans="2:47" ht="12.75"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85"/>
      <c r="T149" s="49"/>
      <c r="U149" s="49"/>
      <c r="V149" s="49"/>
      <c r="Y149" s="49"/>
      <c r="Z149" s="49"/>
      <c r="AC149" s="49"/>
      <c r="AD149" s="49"/>
      <c r="AT149" s="49"/>
      <c r="AU149" s="49"/>
    </row>
    <row r="150" spans="2:48" s="3" customFormat="1" ht="36" customHeight="1" thickBot="1">
      <c r="B150" s="54"/>
      <c r="C150" s="55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229"/>
      <c r="P150" s="229"/>
      <c r="Q150" s="229"/>
      <c r="R150" s="229"/>
      <c r="S150" s="229"/>
      <c r="T150" s="229"/>
      <c r="U150" s="229"/>
      <c r="V150" s="229"/>
      <c r="Y150" s="229"/>
      <c r="Z150" s="229"/>
      <c r="AC150" s="257"/>
      <c r="AD150" s="257"/>
      <c r="AT150" s="98"/>
      <c r="AU150" s="98"/>
      <c r="AV150" s="13"/>
    </row>
    <row r="151" spans="2:47" s="4" customFormat="1" ht="21.75" customHeight="1">
      <c r="B151" s="233"/>
      <c r="C151" s="299"/>
      <c r="D151" s="251"/>
      <c r="E151" s="251"/>
      <c r="F151" s="251"/>
      <c r="G151" s="254"/>
      <c r="H151" s="254"/>
      <c r="I151" s="251"/>
      <c r="J151" s="254"/>
      <c r="K151" s="254"/>
      <c r="L151" s="254"/>
      <c r="M151" s="254"/>
      <c r="N151" s="254"/>
      <c r="O151" s="216"/>
      <c r="P151" s="217"/>
      <c r="Q151" s="216"/>
      <c r="R151" s="217"/>
      <c r="S151" s="216"/>
      <c r="T151" s="217"/>
      <c r="U151" s="216"/>
      <c r="V151" s="217"/>
      <c r="W151" s="216"/>
      <c r="X151" s="217"/>
      <c r="Y151" s="216"/>
      <c r="Z151" s="217"/>
      <c r="AA151" s="216"/>
      <c r="AB151" s="217"/>
      <c r="AC151" s="216"/>
      <c r="AD151" s="217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282"/>
      <c r="AU151" s="282"/>
    </row>
    <row r="152" spans="2:47" s="4" customFormat="1" ht="27.75" customHeight="1">
      <c r="B152" s="293"/>
      <c r="C152" s="300"/>
      <c r="D152" s="255"/>
      <c r="E152" s="255"/>
      <c r="F152" s="255"/>
      <c r="G152" s="242"/>
      <c r="H152" s="242"/>
      <c r="I152" s="252"/>
      <c r="J152" s="255"/>
      <c r="K152" s="255"/>
      <c r="L152" s="242"/>
      <c r="M152" s="242"/>
      <c r="N152" s="242"/>
      <c r="O152" s="218"/>
      <c r="P152" s="219"/>
      <c r="Q152" s="218"/>
      <c r="R152" s="219"/>
      <c r="S152" s="218"/>
      <c r="T152" s="219"/>
      <c r="U152" s="218"/>
      <c r="V152" s="219"/>
      <c r="W152" s="218"/>
      <c r="X152" s="219"/>
      <c r="Y152" s="218"/>
      <c r="Z152" s="219"/>
      <c r="AA152" s="218"/>
      <c r="AB152" s="219"/>
      <c r="AC152" s="218"/>
      <c r="AD152" s="219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  <c r="AR152" s="241"/>
      <c r="AS152" s="241"/>
      <c r="AT152" s="283"/>
      <c r="AU152" s="304"/>
    </row>
    <row r="153" spans="2:47" s="4" customFormat="1" ht="27.75" customHeight="1" thickBot="1">
      <c r="B153" s="293"/>
      <c r="C153" s="300"/>
      <c r="D153" s="255"/>
      <c r="E153" s="255"/>
      <c r="F153" s="255"/>
      <c r="G153" s="242"/>
      <c r="H153" s="242"/>
      <c r="I153" s="252"/>
      <c r="J153" s="255"/>
      <c r="K153" s="255"/>
      <c r="L153" s="242"/>
      <c r="M153" s="242"/>
      <c r="N153" s="242"/>
      <c r="O153" s="220"/>
      <c r="P153" s="221"/>
      <c r="Q153" s="220"/>
      <c r="R153" s="221"/>
      <c r="S153" s="220"/>
      <c r="T153" s="221"/>
      <c r="U153" s="220"/>
      <c r="V153" s="221"/>
      <c r="W153" s="220"/>
      <c r="X153" s="221"/>
      <c r="Y153" s="220"/>
      <c r="Z153" s="221"/>
      <c r="AA153" s="220"/>
      <c r="AB153" s="221"/>
      <c r="AC153" s="220"/>
      <c r="AD153" s="221"/>
      <c r="AE153" s="242"/>
      <c r="AF153" s="242"/>
      <c r="AG153" s="242"/>
      <c r="AH153" s="242"/>
      <c r="AI153" s="242"/>
      <c r="AJ153" s="242"/>
      <c r="AK153" s="242"/>
      <c r="AL153" s="242"/>
      <c r="AM153" s="242"/>
      <c r="AN153" s="242"/>
      <c r="AO153" s="242"/>
      <c r="AP153" s="242"/>
      <c r="AQ153" s="242"/>
      <c r="AR153" s="242"/>
      <c r="AS153" s="242"/>
      <c r="AT153" s="284"/>
      <c r="AU153" s="304"/>
    </row>
    <row r="154" spans="2:47" s="4" customFormat="1" ht="27.75" customHeight="1">
      <c r="B154" s="293"/>
      <c r="C154" s="300"/>
      <c r="D154" s="255"/>
      <c r="E154" s="255"/>
      <c r="F154" s="255"/>
      <c r="G154" s="242"/>
      <c r="H154" s="242"/>
      <c r="I154" s="252"/>
      <c r="J154" s="255"/>
      <c r="K154" s="255"/>
      <c r="L154" s="242"/>
      <c r="M154" s="242"/>
      <c r="N154" s="242"/>
      <c r="O154" s="220"/>
      <c r="P154" s="221"/>
      <c r="Q154" s="220"/>
      <c r="R154" s="221"/>
      <c r="S154" s="220"/>
      <c r="T154" s="221"/>
      <c r="U154" s="220"/>
      <c r="V154" s="221"/>
      <c r="W154" s="220"/>
      <c r="X154" s="221"/>
      <c r="Y154" s="220"/>
      <c r="Z154" s="221"/>
      <c r="AA154" s="220"/>
      <c r="AB154" s="221"/>
      <c r="AC154" s="220"/>
      <c r="AD154" s="221"/>
      <c r="AE154" s="242"/>
      <c r="AF154" s="242"/>
      <c r="AG154" s="242"/>
      <c r="AH154" s="242"/>
      <c r="AI154" s="242"/>
      <c r="AJ154" s="242"/>
      <c r="AK154" s="242"/>
      <c r="AL154" s="242"/>
      <c r="AM154" s="242"/>
      <c r="AN154" s="242"/>
      <c r="AO154" s="242"/>
      <c r="AP154" s="242"/>
      <c r="AQ154" s="242"/>
      <c r="AR154" s="242"/>
      <c r="AS154" s="242"/>
      <c r="AT154" s="269"/>
      <c r="AU154" s="270"/>
    </row>
    <row r="155" spans="2:47" s="4" customFormat="1" ht="27.75" customHeight="1">
      <c r="B155" s="293"/>
      <c r="C155" s="300"/>
      <c r="D155" s="255"/>
      <c r="E155" s="255"/>
      <c r="F155" s="255"/>
      <c r="G155" s="242"/>
      <c r="H155" s="242"/>
      <c r="I155" s="252"/>
      <c r="J155" s="255"/>
      <c r="K155" s="255"/>
      <c r="L155" s="242"/>
      <c r="M155" s="242"/>
      <c r="N155" s="242"/>
      <c r="O155" s="220"/>
      <c r="P155" s="221"/>
      <c r="Q155" s="220"/>
      <c r="R155" s="221"/>
      <c r="S155" s="220"/>
      <c r="T155" s="221"/>
      <c r="U155" s="220"/>
      <c r="V155" s="221"/>
      <c r="W155" s="220"/>
      <c r="X155" s="221"/>
      <c r="Y155" s="220"/>
      <c r="Z155" s="221"/>
      <c r="AA155" s="220"/>
      <c r="AB155" s="221"/>
      <c r="AC155" s="220"/>
      <c r="AD155" s="221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42"/>
      <c r="AP155" s="242"/>
      <c r="AQ155" s="242"/>
      <c r="AR155" s="242"/>
      <c r="AS155" s="242"/>
      <c r="AT155" s="271"/>
      <c r="AU155" s="272"/>
    </row>
    <row r="156" spans="2:47" s="4" customFormat="1" ht="27.75" customHeight="1">
      <c r="B156" s="293"/>
      <c r="C156" s="300"/>
      <c r="D156" s="255"/>
      <c r="E156" s="255"/>
      <c r="F156" s="255"/>
      <c r="G156" s="242"/>
      <c r="H156" s="242"/>
      <c r="I156" s="252"/>
      <c r="J156" s="255"/>
      <c r="K156" s="255"/>
      <c r="L156" s="242"/>
      <c r="M156" s="242"/>
      <c r="N156" s="242"/>
      <c r="O156" s="220"/>
      <c r="P156" s="221"/>
      <c r="Q156" s="220"/>
      <c r="R156" s="221"/>
      <c r="S156" s="220"/>
      <c r="T156" s="221"/>
      <c r="U156" s="220"/>
      <c r="V156" s="221"/>
      <c r="W156" s="220"/>
      <c r="X156" s="221"/>
      <c r="Y156" s="220"/>
      <c r="Z156" s="221"/>
      <c r="AA156" s="220"/>
      <c r="AB156" s="221"/>
      <c r="AC156" s="220"/>
      <c r="AD156" s="221"/>
      <c r="AE156" s="242"/>
      <c r="AF156" s="242"/>
      <c r="AG156" s="242"/>
      <c r="AH156" s="242"/>
      <c r="AI156" s="242"/>
      <c r="AJ156" s="242"/>
      <c r="AK156" s="242"/>
      <c r="AL156" s="242"/>
      <c r="AM156" s="242"/>
      <c r="AN156" s="242"/>
      <c r="AO156" s="242"/>
      <c r="AP156" s="242"/>
      <c r="AQ156" s="242"/>
      <c r="AR156" s="242"/>
      <c r="AS156" s="242"/>
      <c r="AT156" s="271"/>
      <c r="AU156" s="272"/>
    </row>
    <row r="157" spans="2:47" s="4" customFormat="1" ht="27.75" customHeight="1">
      <c r="B157" s="293"/>
      <c r="C157" s="300"/>
      <c r="D157" s="255"/>
      <c r="E157" s="255"/>
      <c r="F157" s="255"/>
      <c r="G157" s="242"/>
      <c r="H157" s="242"/>
      <c r="I157" s="252"/>
      <c r="J157" s="255"/>
      <c r="K157" s="255"/>
      <c r="L157" s="242"/>
      <c r="M157" s="242"/>
      <c r="N157" s="242"/>
      <c r="O157" s="220"/>
      <c r="P157" s="221"/>
      <c r="Q157" s="220"/>
      <c r="R157" s="221"/>
      <c r="S157" s="220"/>
      <c r="T157" s="221"/>
      <c r="U157" s="220"/>
      <c r="V157" s="221"/>
      <c r="W157" s="220"/>
      <c r="X157" s="221"/>
      <c r="Y157" s="220"/>
      <c r="Z157" s="221"/>
      <c r="AA157" s="220"/>
      <c r="AB157" s="221"/>
      <c r="AC157" s="220"/>
      <c r="AD157" s="221"/>
      <c r="AE157" s="242"/>
      <c r="AF157" s="242"/>
      <c r="AG157" s="242"/>
      <c r="AH157" s="242"/>
      <c r="AI157" s="242"/>
      <c r="AJ157" s="242"/>
      <c r="AK157" s="242"/>
      <c r="AL157" s="242"/>
      <c r="AM157" s="242"/>
      <c r="AN157" s="242"/>
      <c r="AO157" s="242"/>
      <c r="AP157" s="242"/>
      <c r="AQ157" s="242"/>
      <c r="AR157" s="242"/>
      <c r="AS157" s="242"/>
      <c r="AT157" s="271"/>
      <c r="AU157" s="272"/>
    </row>
    <row r="158" spans="2:47" s="4" customFormat="1" ht="27.75" customHeight="1">
      <c r="B158" s="293"/>
      <c r="C158" s="300"/>
      <c r="D158" s="255"/>
      <c r="E158" s="255"/>
      <c r="F158" s="255"/>
      <c r="G158" s="242"/>
      <c r="H158" s="242"/>
      <c r="I158" s="252"/>
      <c r="J158" s="255"/>
      <c r="K158" s="255"/>
      <c r="L158" s="242"/>
      <c r="M158" s="242"/>
      <c r="N158" s="242"/>
      <c r="O158" s="220"/>
      <c r="P158" s="221"/>
      <c r="Q158" s="220"/>
      <c r="R158" s="221"/>
      <c r="S158" s="220"/>
      <c r="T158" s="221"/>
      <c r="U158" s="220"/>
      <c r="V158" s="221"/>
      <c r="W158" s="220"/>
      <c r="X158" s="221"/>
      <c r="Y158" s="220"/>
      <c r="Z158" s="221"/>
      <c r="AA158" s="220"/>
      <c r="AB158" s="221"/>
      <c r="AC158" s="220"/>
      <c r="AD158" s="221"/>
      <c r="AE158" s="242"/>
      <c r="AF158" s="242"/>
      <c r="AG158" s="242"/>
      <c r="AH158" s="242"/>
      <c r="AI158" s="242"/>
      <c r="AJ158" s="242"/>
      <c r="AK158" s="242"/>
      <c r="AL158" s="242"/>
      <c r="AM158" s="242"/>
      <c r="AN158" s="242"/>
      <c r="AO158" s="242"/>
      <c r="AP158" s="242"/>
      <c r="AQ158" s="242"/>
      <c r="AR158" s="242"/>
      <c r="AS158" s="242"/>
      <c r="AT158" s="271"/>
      <c r="AU158" s="272"/>
    </row>
    <row r="159" spans="2:47" s="5" customFormat="1" ht="27.75" customHeight="1">
      <c r="B159" s="301"/>
      <c r="C159" s="302"/>
      <c r="D159" s="256"/>
      <c r="E159" s="256"/>
      <c r="F159" s="256"/>
      <c r="G159" s="243"/>
      <c r="H159" s="243"/>
      <c r="I159" s="253"/>
      <c r="J159" s="256"/>
      <c r="K159" s="256"/>
      <c r="L159" s="243"/>
      <c r="M159" s="243"/>
      <c r="N159" s="243"/>
      <c r="O159" s="222"/>
      <c r="P159" s="223"/>
      <c r="Q159" s="222"/>
      <c r="R159" s="223"/>
      <c r="S159" s="222"/>
      <c r="T159" s="223"/>
      <c r="U159" s="222"/>
      <c r="V159" s="223"/>
      <c r="W159" s="222"/>
      <c r="X159" s="223"/>
      <c r="Y159" s="222"/>
      <c r="Z159" s="223"/>
      <c r="AA159" s="222"/>
      <c r="AB159" s="223"/>
      <c r="AC159" s="222"/>
      <c r="AD159" s="223"/>
      <c r="AE159" s="243"/>
      <c r="AF159" s="243"/>
      <c r="AG159" s="243"/>
      <c r="AH159" s="243"/>
      <c r="AI159" s="243"/>
      <c r="AJ159" s="243"/>
      <c r="AK159" s="243"/>
      <c r="AL159" s="243"/>
      <c r="AM159" s="243"/>
      <c r="AN159" s="243"/>
      <c r="AO159" s="243"/>
      <c r="AP159" s="243"/>
      <c r="AQ159" s="243"/>
      <c r="AR159" s="243"/>
      <c r="AS159" s="243"/>
      <c r="AT159" s="271"/>
      <c r="AU159" s="272"/>
    </row>
    <row r="160" spans="2:47" s="7" customFormat="1" ht="21.75" customHeight="1" thickBot="1">
      <c r="B160" s="56"/>
      <c r="C160" s="56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208"/>
      <c r="P160" s="210"/>
      <c r="Q160" s="208"/>
      <c r="R160" s="210"/>
      <c r="S160" s="208"/>
      <c r="T160" s="210"/>
      <c r="U160" s="208"/>
      <c r="V160" s="210"/>
      <c r="W160" s="208"/>
      <c r="X160" s="210"/>
      <c r="Y160" s="208"/>
      <c r="Z160" s="210"/>
      <c r="AA160" s="208"/>
      <c r="AB160" s="210"/>
      <c r="AC160" s="208"/>
      <c r="AD160" s="210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271"/>
      <c r="AU160" s="272"/>
    </row>
    <row r="161" spans="1:47" s="4" customFormat="1" ht="21.75" customHeight="1">
      <c r="A161" s="30"/>
      <c r="B161" s="77"/>
      <c r="C161" s="113"/>
      <c r="D161" s="39"/>
      <c r="E161" s="24"/>
      <c r="F161" s="24"/>
      <c r="G161" s="24"/>
      <c r="H161" s="24"/>
      <c r="I161" s="24"/>
      <c r="J161" s="24"/>
      <c r="K161" s="24"/>
      <c r="L161" s="24"/>
      <c r="M161" s="24"/>
      <c r="N161" s="61"/>
      <c r="O161" s="227"/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  <c r="AA161" s="227"/>
      <c r="AB161" s="227"/>
      <c r="AC161" s="265"/>
      <c r="AD161" s="265"/>
      <c r="AE161" s="227"/>
      <c r="AF161" s="227"/>
      <c r="AG161" s="227"/>
      <c r="AH161" s="227"/>
      <c r="AI161" s="227"/>
      <c r="AJ161" s="227"/>
      <c r="AK161" s="227"/>
      <c r="AL161" s="227"/>
      <c r="AM161" s="227"/>
      <c r="AN161" s="227"/>
      <c r="AO161" s="227"/>
      <c r="AP161" s="227"/>
      <c r="AQ161" s="227"/>
      <c r="AR161" s="227"/>
      <c r="AS161" s="227"/>
      <c r="AT161" s="271"/>
      <c r="AU161" s="272"/>
    </row>
    <row r="162" spans="1:47" s="4" customFormat="1" ht="21.75" customHeight="1">
      <c r="A162" s="30"/>
      <c r="B162" s="77"/>
      <c r="C162" s="38"/>
      <c r="D162" s="39"/>
      <c r="E162" s="24"/>
      <c r="F162" s="66"/>
      <c r="G162" s="24"/>
      <c r="H162" s="24"/>
      <c r="I162" s="24"/>
      <c r="J162" s="24"/>
      <c r="K162" s="24"/>
      <c r="L162" s="24"/>
      <c r="M162" s="24"/>
      <c r="N162" s="61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66"/>
      <c r="AD162" s="266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71"/>
      <c r="AU162" s="272"/>
    </row>
    <row r="163" spans="1:47" s="4" customFormat="1" ht="21.75" customHeight="1">
      <c r="A163" s="30"/>
      <c r="B163" s="77"/>
      <c r="C163" s="38"/>
      <c r="D163" s="39"/>
      <c r="E163" s="24"/>
      <c r="F163" s="66"/>
      <c r="G163" s="24"/>
      <c r="H163" s="24"/>
      <c r="I163" s="24"/>
      <c r="J163" s="24"/>
      <c r="K163" s="24"/>
      <c r="L163" s="24"/>
      <c r="M163" s="24"/>
      <c r="N163" s="61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71"/>
      <c r="AU163" s="272"/>
    </row>
    <row r="164" spans="1:47" s="4" customFormat="1" ht="21.75" customHeight="1">
      <c r="A164" s="30"/>
      <c r="B164" s="38"/>
      <c r="C164" s="38"/>
      <c r="D164" s="39"/>
      <c r="E164" s="24"/>
      <c r="F164" s="66"/>
      <c r="G164" s="105"/>
      <c r="H164" s="105"/>
      <c r="I164" s="24"/>
      <c r="J164" s="24"/>
      <c r="K164" s="24"/>
      <c r="L164" s="24"/>
      <c r="M164" s="24"/>
      <c r="N164" s="61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71"/>
      <c r="AU164" s="272"/>
    </row>
    <row r="165" spans="1:47" s="4" customFormat="1" ht="21.75" customHeight="1">
      <c r="A165" s="30"/>
      <c r="B165" s="38"/>
      <c r="C165" s="38"/>
      <c r="D165" s="39"/>
      <c r="E165" s="24"/>
      <c r="F165" s="66"/>
      <c r="G165" s="105"/>
      <c r="H165" s="105"/>
      <c r="I165" s="24"/>
      <c r="J165" s="24"/>
      <c r="K165" s="24"/>
      <c r="L165" s="24"/>
      <c r="M165" s="24"/>
      <c r="N165" s="61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71"/>
      <c r="AU165" s="272"/>
    </row>
    <row r="166" spans="1:47" s="4" customFormat="1" ht="21.75" customHeight="1">
      <c r="A166" s="30"/>
      <c r="B166" s="38"/>
      <c r="C166" s="38"/>
      <c r="D166" s="39"/>
      <c r="E166" s="24"/>
      <c r="F166" s="66"/>
      <c r="G166" s="105"/>
      <c r="H166" s="105"/>
      <c r="I166" s="24"/>
      <c r="J166" s="106"/>
      <c r="K166" s="24"/>
      <c r="L166" s="24"/>
      <c r="M166" s="24"/>
      <c r="N166" s="61"/>
      <c r="O166" s="24"/>
      <c r="P166" s="24"/>
      <c r="Q166" s="24"/>
      <c r="R166" s="24"/>
      <c r="S166" s="24"/>
      <c r="T166" s="24"/>
      <c r="U166" s="110"/>
      <c r="V166" s="110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71"/>
      <c r="AU166" s="272"/>
    </row>
    <row r="167" spans="1:47" s="4" customFormat="1" ht="21.75" customHeight="1">
      <c r="A167" s="30"/>
      <c r="B167" s="38"/>
      <c r="C167" s="38"/>
      <c r="D167" s="39"/>
      <c r="E167" s="24"/>
      <c r="F167" s="66"/>
      <c r="G167" s="24"/>
      <c r="H167" s="24"/>
      <c r="I167" s="24"/>
      <c r="J167" s="24"/>
      <c r="K167" s="24"/>
      <c r="L167" s="24"/>
      <c r="M167" s="24"/>
      <c r="N167" s="61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71"/>
      <c r="AU167" s="272"/>
    </row>
    <row r="168" spans="1:47" s="4" customFormat="1" ht="21.75" customHeight="1">
      <c r="A168" s="30"/>
      <c r="B168" s="38"/>
      <c r="C168" s="46"/>
      <c r="D168" s="39"/>
      <c r="E168" s="24"/>
      <c r="F168" s="66"/>
      <c r="G168" s="24"/>
      <c r="H168" s="24"/>
      <c r="I168" s="24"/>
      <c r="J168" s="24"/>
      <c r="K168" s="24"/>
      <c r="L168" s="24"/>
      <c r="M168" s="24"/>
      <c r="N168" s="61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71"/>
      <c r="AU168" s="272"/>
    </row>
    <row r="169" spans="1:47" s="4" customFormat="1" ht="21.75" customHeight="1">
      <c r="A169" s="30"/>
      <c r="B169" s="38"/>
      <c r="C169" s="38"/>
      <c r="D169" s="39"/>
      <c r="E169" s="24"/>
      <c r="F169" s="24"/>
      <c r="G169" s="24"/>
      <c r="H169" s="24"/>
      <c r="I169" s="24"/>
      <c r="J169" s="24"/>
      <c r="K169" s="24"/>
      <c r="L169" s="24"/>
      <c r="M169" s="24"/>
      <c r="N169" s="61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71"/>
      <c r="AU169" s="272"/>
    </row>
    <row r="170" spans="1:47" s="4" customFormat="1" ht="21.75" customHeight="1">
      <c r="A170" s="30"/>
      <c r="B170" s="38"/>
      <c r="C170" s="46"/>
      <c r="D170" s="39"/>
      <c r="E170" s="24"/>
      <c r="F170" s="24"/>
      <c r="G170" s="24"/>
      <c r="H170" s="24"/>
      <c r="I170" s="24"/>
      <c r="J170" s="24"/>
      <c r="K170" s="24"/>
      <c r="L170" s="24"/>
      <c r="M170" s="24"/>
      <c r="N170" s="61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71"/>
      <c r="AU170" s="272"/>
    </row>
    <row r="171" spans="1:47" s="16" customFormat="1" ht="21.75" customHeight="1">
      <c r="A171" s="30"/>
      <c r="B171" s="38"/>
      <c r="C171" s="46"/>
      <c r="D171" s="39"/>
      <c r="E171" s="24"/>
      <c r="F171" s="24"/>
      <c r="G171" s="24"/>
      <c r="H171" s="24"/>
      <c r="I171" s="24"/>
      <c r="J171" s="24"/>
      <c r="K171" s="24"/>
      <c r="L171" s="24"/>
      <c r="M171" s="24"/>
      <c r="N171" s="61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71"/>
      <c r="AU171" s="272"/>
    </row>
    <row r="172" spans="1:47" s="16" customFormat="1" ht="21.75" customHeight="1">
      <c r="A172" s="30"/>
      <c r="B172" s="77"/>
      <c r="C172" s="38"/>
      <c r="D172" s="39"/>
      <c r="E172" s="24"/>
      <c r="F172" s="66"/>
      <c r="G172" s="24"/>
      <c r="H172" s="24"/>
      <c r="I172" s="24"/>
      <c r="J172" s="24"/>
      <c r="K172" s="24"/>
      <c r="L172" s="24"/>
      <c r="M172" s="24"/>
      <c r="N172" s="61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71"/>
      <c r="AU172" s="272"/>
    </row>
    <row r="173" spans="1:47" s="16" customFormat="1" ht="21.75" customHeight="1">
      <c r="A173" s="30"/>
      <c r="B173" s="38"/>
      <c r="C173" s="46"/>
      <c r="D173" s="39"/>
      <c r="E173" s="24"/>
      <c r="F173" s="66"/>
      <c r="G173" s="24"/>
      <c r="H173" s="24"/>
      <c r="I173" s="24"/>
      <c r="J173" s="24"/>
      <c r="K173" s="24"/>
      <c r="L173" s="24"/>
      <c r="M173" s="24"/>
      <c r="N173" s="61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71"/>
      <c r="AU173" s="272"/>
    </row>
    <row r="174" spans="1:47" s="16" customFormat="1" ht="21.75" customHeight="1">
      <c r="A174" s="30"/>
      <c r="B174" s="38"/>
      <c r="C174" s="38"/>
      <c r="D174" s="39"/>
      <c r="E174" s="24"/>
      <c r="F174" s="66"/>
      <c r="G174" s="24"/>
      <c r="H174" s="24"/>
      <c r="I174" s="24"/>
      <c r="J174" s="24"/>
      <c r="K174" s="24"/>
      <c r="L174" s="24"/>
      <c r="M174" s="24"/>
      <c r="N174" s="61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71"/>
      <c r="AU174" s="272"/>
    </row>
    <row r="175" spans="1:47" s="4" customFormat="1" ht="21.75" customHeight="1">
      <c r="A175" s="30"/>
      <c r="B175" s="38"/>
      <c r="C175" s="38"/>
      <c r="D175" s="39"/>
      <c r="E175" s="24"/>
      <c r="F175" s="24"/>
      <c r="G175" s="24"/>
      <c r="H175" s="24"/>
      <c r="I175" s="24"/>
      <c r="J175" s="24"/>
      <c r="K175" s="24"/>
      <c r="L175" s="24"/>
      <c r="M175" s="24"/>
      <c r="N175" s="61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71"/>
      <c r="AU175" s="272"/>
    </row>
    <row r="176" spans="1:47" s="4" customFormat="1" ht="21.75" customHeight="1">
      <c r="A176" s="30"/>
      <c r="B176" s="38"/>
      <c r="C176" s="38"/>
      <c r="D176" s="39"/>
      <c r="E176" s="24"/>
      <c r="F176" s="24"/>
      <c r="G176" s="24"/>
      <c r="H176" s="24"/>
      <c r="I176" s="24"/>
      <c r="J176" s="24"/>
      <c r="K176" s="24"/>
      <c r="L176" s="24"/>
      <c r="M176" s="24"/>
      <c r="N176" s="61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71"/>
      <c r="AU176" s="272"/>
    </row>
    <row r="177" spans="1:47" s="4" customFormat="1" ht="21.75" customHeight="1">
      <c r="A177" s="30"/>
      <c r="B177" s="67"/>
      <c r="C177" s="38"/>
      <c r="D177" s="39"/>
      <c r="E177" s="24"/>
      <c r="F177" s="24"/>
      <c r="G177" s="66"/>
      <c r="H177" s="24"/>
      <c r="I177" s="24"/>
      <c r="J177" s="24"/>
      <c r="K177" s="24"/>
      <c r="L177" s="24"/>
      <c r="M177" s="24"/>
      <c r="N177" s="61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71"/>
      <c r="AU177" s="272"/>
    </row>
    <row r="178" spans="1:47" s="4" customFormat="1" ht="21.75" customHeight="1">
      <c r="A178" s="30"/>
      <c r="B178" s="38"/>
      <c r="C178" s="38"/>
      <c r="D178" s="39"/>
      <c r="E178" s="24"/>
      <c r="F178" s="24"/>
      <c r="G178" s="24"/>
      <c r="H178" s="24"/>
      <c r="I178" s="24"/>
      <c r="J178" s="24"/>
      <c r="K178" s="24"/>
      <c r="L178" s="24"/>
      <c r="M178" s="24"/>
      <c r="N178" s="61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71"/>
      <c r="AU178" s="272"/>
    </row>
    <row r="179" spans="1:47" s="4" customFormat="1" ht="21.75" customHeight="1">
      <c r="A179" s="30"/>
      <c r="B179" s="38"/>
      <c r="C179" s="46"/>
      <c r="D179" s="39"/>
      <c r="E179" s="24"/>
      <c r="F179" s="24"/>
      <c r="G179" s="105"/>
      <c r="H179" s="105"/>
      <c r="I179" s="24"/>
      <c r="J179" s="24"/>
      <c r="K179" s="24"/>
      <c r="L179" s="24"/>
      <c r="M179" s="24"/>
      <c r="N179" s="61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71"/>
      <c r="AU179" s="272"/>
    </row>
    <row r="180" spans="1:47" s="4" customFormat="1" ht="21.75" customHeight="1">
      <c r="A180" s="30"/>
      <c r="B180" s="38"/>
      <c r="C180" s="46"/>
      <c r="D180" s="39"/>
      <c r="E180" s="24"/>
      <c r="F180" s="24"/>
      <c r="G180" s="111"/>
      <c r="H180" s="105"/>
      <c r="I180" s="24"/>
      <c r="J180" s="24"/>
      <c r="K180" s="24"/>
      <c r="L180" s="24"/>
      <c r="M180" s="24"/>
      <c r="N180" s="61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71"/>
      <c r="AU180" s="272"/>
    </row>
    <row r="181" spans="1:47" s="4" customFormat="1" ht="21.75" customHeight="1">
      <c r="A181" s="30"/>
      <c r="B181" s="38"/>
      <c r="C181" s="38"/>
      <c r="D181" s="39"/>
      <c r="E181" s="24"/>
      <c r="F181" s="24"/>
      <c r="G181" s="105"/>
      <c r="H181" s="24"/>
      <c r="I181" s="24"/>
      <c r="J181" s="24"/>
      <c r="K181" s="24"/>
      <c r="L181" s="24"/>
      <c r="M181" s="24"/>
      <c r="N181" s="61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71"/>
      <c r="AU181" s="272"/>
    </row>
    <row r="182" spans="1:47" s="4" customFormat="1" ht="21.75" customHeight="1">
      <c r="A182" s="30"/>
      <c r="B182" s="38"/>
      <c r="C182" s="38"/>
      <c r="D182" s="39"/>
      <c r="E182" s="24"/>
      <c r="F182" s="24"/>
      <c r="G182" s="90"/>
      <c r="H182" s="24"/>
      <c r="I182" s="24"/>
      <c r="J182" s="24"/>
      <c r="K182" s="24"/>
      <c r="L182" s="24"/>
      <c r="M182" s="24"/>
      <c r="N182" s="61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71"/>
      <c r="AU182" s="272"/>
    </row>
    <row r="183" spans="1:47" s="4" customFormat="1" ht="21.75" customHeight="1">
      <c r="A183" s="30"/>
      <c r="B183" s="38"/>
      <c r="C183" s="38"/>
      <c r="D183" s="39"/>
      <c r="E183" s="24"/>
      <c r="F183" s="24"/>
      <c r="G183" s="105"/>
      <c r="H183" s="24"/>
      <c r="I183" s="24"/>
      <c r="J183" s="24"/>
      <c r="K183" s="24"/>
      <c r="L183" s="24"/>
      <c r="M183" s="24"/>
      <c r="N183" s="61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71"/>
      <c r="AU183" s="272"/>
    </row>
    <row r="184" spans="1:47" s="4" customFormat="1" ht="21.75" customHeight="1">
      <c r="A184" s="30"/>
      <c r="B184" s="38"/>
      <c r="C184" s="38"/>
      <c r="D184" s="39"/>
      <c r="E184" s="24"/>
      <c r="F184" s="24"/>
      <c r="G184" s="105"/>
      <c r="H184" s="24"/>
      <c r="I184" s="24"/>
      <c r="J184" s="24"/>
      <c r="K184" s="24"/>
      <c r="L184" s="24"/>
      <c r="M184" s="24"/>
      <c r="N184" s="61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71"/>
      <c r="AU184" s="272"/>
    </row>
    <row r="185" spans="1:47" s="4" customFormat="1" ht="21.75" customHeight="1">
      <c r="A185" s="30"/>
      <c r="B185" s="38"/>
      <c r="C185" s="38"/>
      <c r="D185" s="39"/>
      <c r="E185" s="24"/>
      <c r="F185" s="66"/>
      <c r="G185" s="66"/>
      <c r="H185" s="24"/>
      <c r="I185" s="24"/>
      <c r="J185" s="24"/>
      <c r="K185" s="24"/>
      <c r="L185" s="24"/>
      <c r="M185" s="24"/>
      <c r="N185" s="61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71"/>
      <c r="AU185" s="272"/>
    </row>
    <row r="186" spans="1:47" s="4" customFormat="1" ht="21.75" customHeight="1">
      <c r="A186" s="30"/>
      <c r="B186" s="38"/>
      <c r="C186" s="38"/>
      <c r="D186" s="39"/>
      <c r="E186" s="24"/>
      <c r="F186" s="66"/>
      <c r="G186" s="105"/>
      <c r="H186" s="24"/>
      <c r="I186" s="24"/>
      <c r="J186" s="24"/>
      <c r="K186" s="24"/>
      <c r="L186" s="24"/>
      <c r="M186" s="24"/>
      <c r="N186" s="61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71"/>
      <c r="AU186" s="272"/>
    </row>
    <row r="187" spans="1:47" s="4" customFormat="1" ht="21.75" customHeight="1">
      <c r="A187" s="30"/>
      <c r="B187" s="38"/>
      <c r="C187" s="38"/>
      <c r="D187" s="39"/>
      <c r="E187" s="24"/>
      <c r="F187" s="24"/>
      <c r="G187" s="105"/>
      <c r="H187" s="105"/>
      <c r="I187" s="24"/>
      <c r="J187" s="24"/>
      <c r="K187" s="24"/>
      <c r="L187" s="24"/>
      <c r="M187" s="24"/>
      <c r="N187" s="61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71"/>
      <c r="AU187" s="272"/>
    </row>
    <row r="188" spans="1:47" s="4" customFormat="1" ht="21.75" customHeight="1">
      <c r="A188" s="30"/>
      <c r="B188" s="38"/>
      <c r="C188" s="38"/>
      <c r="D188" s="39"/>
      <c r="E188" s="24"/>
      <c r="F188" s="66"/>
      <c r="G188" s="111"/>
      <c r="H188" s="24"/>
      <c r="I188" s="24"/>
      <c r="J188" s="24"/>
      <c r="K188" s="24"/>
      <c r="L188" s="24"/>
      <c r="M188" s="24"/>
      <c r="N188" s="61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71"/>
      <c r="AU188" s="272"/>
    </row>
    <row r="189" spans="1:47" s="4" customFormat="1" ht="21.75" customHeight="1">
      <c r="A189" s="30"/>
      <c r="B189" s="38"/>
      <c r="C189" s="38"/>
      <c r="D189" s="39"/>
      <c r="E189" s="24"/>
      <c r="F189" s="66"/>
      <c r="G189" s="105"/>
      <c r="H189" s="24"/>
      <c r="I189" s="24"/>
      <c r="J189" s="24"/>
      <c r="K189" s="24"/>
      <c r="L189" s="24"/>
      <c r="M189" s="24"/>
      <c r="N189" s="61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71"/>
      <c r="AU189" s="272"/>
    </row>
    <row r="190" spans="1:47" s="4" customFormat="1" ht="21.75" customHeight="1">
      <c r="A190" s="30"/>
      <c r="B190" s="38"/>
      <c r="C190" s="38"/>
      <c r="D190" s="39"/>
      <c r="E190" s="24"/>
      <c r="F190" s="66"/>
      <c r="G190" s="105"/>
      <c r="H190" s="105"/>
      <c r="I190" s="24"/>
      <c r="J190" s="24"/>
      <c r="K190" s="24"/>
      <c r="L190" s="24"/>
      <c r="M190" s="24"/>
      <c r="N190" s="61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71"/>
      <c r="AU190" s="272"/>
    </row>
    <row r="191" spans="1:47" s="4" customFormat="1" ht="21.75" customHeight="1">
      <c r="A191" s="30"/>
      <c r="B191" s="38"/>
      <c r="C191" s="38"/>
      <c r="D191" s="39"/>
      <c r="E191" s="24"/>
      <c r="F191" s="66"/>
      <c r="G191" s="105"/>
      <c r="H191" s="105"/>
      <c r="I191" s="24"/>
      <c r="J191" s="24"/>
      <c r="K191" s="24"/>
      <c r="L191" s="24"/>
      <c r="M191" s="24"/>
      <c r="N191" s="61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71"/>
      <c r="AU191" s="272"/>
    </row>
    <row r="192" spans="1:47" s="4" customFormat="1" ht="21.75" customHeight="1">
      <c r="A192" s="30"/>
      <c r="B192" s="114"/>
      <c r="C192" s="38"/>
      <c r="D192" s="39"/>
      <c r="E192" s="24"/>
      <c r="F192" s="24"/>
      <c r="G192" s="66"/>
      <c r="H192" s="24"/>
      <c r="I192" s="24"/>
      <c r="J192" s="24"/>
      <c r="K192" s="24"/>
      <c r="L192" s="24"/>
      <c r="M192" s="24"/>
      <c r="N192" s="61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71"/>
      <c r="AU192" s="272"/>
    </row>
    <row r="193" spans="1:47" s="4" customFormat="1" ht="21.75" customHeight="1">
      <c r="A193" s="30"/>
      <c r="B193" s="38"/>
      <c r="C193" s="46"/>
      <c r="D193" s="39"/>
      <c r="E193" s="24"/>
      <c r="F193" s="24"/>
      <c r="G193" s="66"/>
      <c r="H193" s="24"/>
      <c r="I193" s="24"/>
      <c r="J193" s="24"/>
      <c r="K193" s="24"/>
      <c r="L193" s="24"/>
      <c r="M193" s="24"/>
      <c r="N193" s="61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71"/>
      <c r="AU193" s="272"/>
    </row>
    <row r="194" spans="1:47" s="4" customFormat="1" ht="21.75" customHeight="1">
      <c r="A194" s="30"/>
      <c r="B194" s="38"/>
      <c r="C194" s="46"/>
      <c r="D194" s="39"/>
      <c r="E194" s="24"/>
      <c r="F194" s="24"/>
      <c r="G194" s="105"/>
      <c r="H194" s="24"/>
      <c r="I194" s="24"/>
      <c r="J194" s="24"/>
      <c r="K194" s="24"/>
      <c r="L194" s="24"/>
      <c r="M194" s="24"/>
      <c r="N194" s="61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71"/>
      <c r="AU194" s="272"/>
    </row>
    <row r="195" spans="1:47" s="4" customFormat="1" ht="21.75" customHeight="1">
      <c r="A195" s="30"/>
      <c r="B195" s="38"/>
      <c r="C195" s="46"/>
      <c r="D195" s="39"/>
      <c r="E195" s="24"/>
      <c r="F195" s="24"/>
      <c r="G195" s="105"/>
      <c r="H195" s="105"/>
      <c r="I195" s="24"/>
      <c r="J195" s="24"/>
      <c r="K195" s="24"/>
      <c r="L195" s="24"/>
      <c r="M195" s="24"/>
      <c r="N195" s="61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71"/>
      <c r="AU195" s="272"/>
    </row>
    <row r="196" spans="1:47" s="4" customFormat="1" ht="21.75" customHeight="1">
      <c r="A196" s="30"/>
      <c r="B196" s="38"/>
      <c r="C196" s="46"/>
      <c r="D196" s="39"/>
      <c r="E196" s="24"/>
      <c r="F196" s="24"/>
      <c r="G196" s="111"/>
      <c r="H196" s="111"/>
      <c r="I196" s="24"/>
      <c r="J196" s="24"/>
      <c r="K196" s="24"/>
      <c r="L196" s="24"/>
      <c r="M196" s="24"/>
      <c r="N196" s="61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71"/>
      <c r="AU196" s="272"/>
    </row>
    <row r="197" spans="1:47" s="4" customFormat="1" ht="21.75" customHeight="1">
      <c r="A197" s="30"/>
      <c r="B197" s="38"/>
      <c r="C197" s="38"/>
      <c r="D197" s="39"/>
      <c r="E197" s="24"/>
      <c r="F197" s="24"/>
      <c r="G197" s="105"/>
      <c r="H197" s="105"/>
      <c r="I197" s="24"/>
      <c r="J197" s="24"/>
      <c r="K197" s="24"/>
      <c r="L197" s="24"/>
      <c r="M197" s="24"/>
      <c r="N197" s="61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71"/>
      <c r="AU197" s="272"/>
    </row>
    <row r="198" spans="1:47" s="4" customFormat="1" ht="21.75" customHeight="1" thickBot="1">
      <c r="A198" s="30"/>
      <c r="B198" s="38"/>
      <c r="C198" s="38"/>
      <c r="D198" s="39"/>
      <c r="E198" s="24"/>
      <c r="F198" s="24"/>
      <c r="G198" s="90"/>
      <c r="H198" s="90"/>
      <c r="I198" s="24"/>
      <c r="J198" s="24"/>
      <c r="K198" s="24"/>
      <c r="L198" s="24"/>
      <c r="M198" s="24"/>
      <c r="N198" s="61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81"/>
      <c r="AU198" s="275"/>
    </row>
    <row r="199" spans="1:47" s="4" customFormat="1" ht="21.75" customHeight="1">
      <c r="A199" s="30"/>
      <c r="B199" s="38"/>
      <c r="C199" s="38"/>
      <c r="D199" s="39"/>
      <c r="E199" s="24"/>
      <c r="F199" s="24"/>
      <c r="G199" s="105"/>
      <c r="H199" s="105"/>
      <c r="I199" s="24"/>
      <c r="J199" s="24"/>
      <c r="K199" s="24"/>
      <c r="L199" s="24"/>
      <c r="M199" s="24"/>
      <c r="N199" s="61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69"/>
      <c r="AU199" s="270"/>
    </row>
    <row r="200" spans="1:47" s="4" customFormat="1" ht="21.75" customHeight="1">
      <c r="A200" s="30"/>
      <c r="B200" s="38"/>
      <c r="C200" s="38"/>
      <c r="D200" s="39"/>
      <c r="E200" s="24"/>
      <c r="F200" s="24"/>
      <c r="G200" s="105"/>
      <c r="H200" s="105"/>
      <c r="I200" s="24"/>
      <c r="J200" s="24"/>
      <c r="K200" s="24"/>
      <c r="L200" s="24"/>
      <c r="M200" s="24"/>
      <c r="N200" s="61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71"/>
      <c r="AU200" s="272"/>
    </row>
    <row r="201" spans="1:47" s="4" customFormat="1" ht="21.75" customHeight="1">
      <c r="A201" s="30"/>
      <c r="B201" s="38"/>
      <c r="C201" s="38"/>
      <c r="D201" s="39"/>
      <c r="E201" s="24"/>
      <c r="F201" s="24"/>
      <c r="G201" s="105"/>
      <c r="H201" s="105"/>
      <c r="I201" s="24"/>
      <c r="J201" s="106"/>
      <c r="K201" s="24"/>
      <c r="L201" s="24"/>
      <c r="M201" s="24"/>
      <c r="N201" s="61"/>
      <c r="O201" s="24"/>
      <c r="P201" s="24"/>
      <c r="Q201" s="24"/>
      <c r="R201" s="24"/>
      <c r="S201" s="24"/>
      <c r="T201" s="24"/>
      <c r="U201" s="110"/>
      <c r="V201" s="110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71"/>
      <c r="AU201" s="272"/>
    </row>
    <row r="202" spans="1:47" s="4" customFormat="1" ht="21.75" customHeight="1">
      <c r="A202" s="30"/>
      <c r="B202" s="38"/>
      <c r="C202" s="38"/>
      <c r="D202" s="39"/>
      <c r="E202" s="24"/>
      <c r="F202" s="24"/>
      <c r="G202" s="105"/>
      <c r="H202" s="105"/>
      <c r="I202" s="24"/>
      <c r="J202" s="106"/>
      <c r="K202" s="24"/>
      <c r="L202" s="24"/>
      <c r="M202" s="24"/>
      <c r="N202" s="61"/>
      <c r="O202" s="24"/>
      <c r="P202" s="24"/>
      <c r="Q202" s="24"/>
      <c r="R202" s="24"/>
      <c r="S202" s="24"/>
      <c r="T202" s="24"/>
      <c r="U202" s="110"/>
      <c r="V202" s="110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71"/>
      <c r="AU202" s="272"/>
    </row>
    <row r="203" spans="1:47" s="4" customFormat="1" ht="21.75" customHeight="1">
      <c r="A203" s="30"/>
      <c r="B203" s="38"/>
      <c r="C203" s="38"/>
      <c r="D203" s="39"/>
      <c r="E203" s="24"/>
      <c r="F203" s="24"/>
      <c r="G203" s="105"/>
      <c r="H203" s="105"/>
      <c r="I203" s="24"/>
      <c r="J203" s="24"/>
      <c r="K203" s="24"/>
      <c r="L203" s="24"/>
      <c r="M203" s="24"/>
      <c r="N203" s="61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71"/>
      <c r="AU203" s="272"/>
    </row>
    <row r="204" spans="1:47" s="4" customFormat="1" ht="21.75" customHeight="1">
      <c r="A204" s="30"/>
      <c r="B204" s="38"/>
      <c r="C204" s="46"/>
      <c r="D204" s="39"/>
      <c r="E204" s="24"/>
      <c r="F204" s="24"/>
      <c r="G204" s="105"/>
      <c r="H204" s="105"/>
      <c r="I204" s="24"/>
      <c r="J204" s="24"/>
      <c r="K204" s="24"/>
      <c r="L204" s="24"/>
      <c r="M204" s="24"/>
      <c r="N204" s="61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71"/>
      <c r="AU204" s="272"/>
    </row>
    <row r="205" spans="1:47" s="4" customFormat="1" ht="21.75" customHeight="1">
      <c r="A205" s="30"/>
      <c r="B205" s="38"/>
      <c r="C205" s="46"/>
      <c r="D205" s="39"/>
      <c r="E205" s="24"/>
      <c r="F205" s="66"/>
      <c r="G205" s="105"/>
      <c r="H205" s="105"/>
      <c r="I205" s="24"/>
      <c r="J205" s="24"/>
      <c r="K205" s="24"/>
      <c r="L205" s="24"/>
      <c r="M205" s="24"/>
      <c r="N205" s="61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71"/>
      <c r="AU205" s="272"/>
    </row>
    <row r="206" spans="1:47" s="4" customFormat="1" ht="21.75" customHeight="1">
      <c r="A206" s="30"/>
      <c r="B206" s="38"/>
      <c r="C206" s="46"/>
      <c r="D206" s="39"/>
      <c r="E206" s="24"/>
      <c r="F206" s="24"/>
      <c r="G206" s="105"/>
      <c r="H206" s="105"/>
      <c r="I206" s="24"/>
      <c r="J206" s="24"/>
      <c r="K206" s="24"/>
      <c r="L206" s="24"/>
      <c r="M206" s="24"/>
      <c r="N206" s="61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71"/>
      <c r="AU206" s="272"/>
    </row>
    <row r="207" spans="1:47" s="4" customFormat="1" ht="21.75" customHeight="1">
      <c r="A207" s="30"/>
      <c r="B207" s="38"/>
      <c r="C207" s="38"/>
      <c r="D207" s="39"/>
      <c r="E207" s="24"/>
      <c r="F207" s="24"/>
      <c r="G207" s="105"/>
      <c r="H207" s="105"/>
      <c r="I207" s="24"/>
      <c r="J207" s="24"/>
      <c r="K207" s="24"/>
      <c r="L207" s="24"/>
      <c r="M207" s="24"/>
      <c r="N207" s="61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71"/>
      <c r="AU207" s="272"/>
    </row>
    <row r="208" spans="1:47" s="4" customFormat="1" ht="21.75" customHeight="1">
      <c r="A208" s="30"/>
      <c r="B208" s="38"/>
      <c r="C208" s="38"/>
      <c r="D208" s="39"/>
      <c r="E208" s="24"/>
      <c r="F208" s="24"/>
      <c r="G208" s="105"/>
      <c r="H208" s="105"/>
      <c r="I208" s="24"/>
      <c r="J208" s="24"/>
      <c r="K208" s="24"/>
      <c r="L208" s="24"/>
      <c r="M208" s="24"/>
      <c r="N208" s="61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71"/>
      <c r="AU208" s="272"/>
    </row>
    <row r="209" spans="1:47" s="4" customFormat="1" ht="21.75" customHeight="1">
      <c r="A209" s="30"/>
      <c r="B209" s="38"/>
      <c r="C209" s="38"/>
      <c r="D209" s="39"/>
      <c r="E209" s="24"/>
      <c r="F209" s="24"/>
      <c r="G209" s="105"/>
      <c r="H209" s="105"/>
      <c r="I209" s="24"/>
      <c r="J209" s="24"/>
      <c r="K209" s="24"/>
      <c r="L209" s="24"/>
      <c r="M209" s="24"/>
      <c r="N209" s="61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71"/>
      <c r="AU209" s="272"/>
    </row>
    <row r="210" spans="1:47" s="4" customFormat="1" ht="21.75" customHeight="1">
      <c r="A210" s="30"/>
      <c r="B210" s="38"/>
      <c r="C210" s="38"/>
      <c r="D210" s="39"/>
      <c r="E210" s="24"/>
      <c r="F210" s="24"/>
      <c r="G210" s="111"/>
      <c r="H210" s="111"/>
      <c r="I210" s="24"/>
      <c r="J210" s="24"/>
      <c r="K210" s="24"/>
      <c r="L210" s="24"/>
      <c r="M210" s="24"/>
      <c r="N210" s="61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71"/>
      <c r="AU210" s="272"/>
    </row>
    <row r="211" spans="1:47" s="4" customFormat="1" ht="21.75" customHeight="1">
      <c r="A211" s="30"/>
      <c r="B211" s="38"/>
      <c r="C211" s="38"/>
      <c r="D211" s="39"/>
      <c r="E211" s="24"/>
      <c r="F211" s="66"/>
      <c r="G211" s="111"/>
      <c r="H211" s="111"/>
      <c r="I211" s="24"/>
      <c r="J211" s="24"/>
      <c r="K211" s="24"/>
      <c r="L211" s="24"/>
      <c r="M211" s="24"/>
      <c r="N211" s="61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71"/>
      <c r="AU211" s="272"/>
    </row>
    <row r="212" spans="1:47" s="4" customFormat="1" ht="21.75" customHeight="1">
      <c r="A212" s="30"/>
      <c r="B212" s="38"/>
      <c r="C212" s="38"/>
      <c r="D212" s="39"/>
      <c r="E212" s="24"/>
      <c r="F212" s="24"/>
      <c r="G212" s="111"/>
      <c r="H212" s="111"/>
      <c r="I212" s="24"/>
      <c r="J212" s="24"/>
      <c r="K212" s="24"/>
      <c r="L212" s="24"/>
      <c r="M212" s="24"/>
      <c r="N212" s="61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73"/>
      <c r="AU212" s="272"/>
    </row>
    <row r="213" spans="1:47" s="4" customFormat="1" ht="21.75" customHeight="1">
      <c r="A213" s="30"/>
      <c r="B213" s="38"/>
      <c r="C213" s="38"/>
      <c r="D213" s="39"/>
      <c r="E213" s="24"/>
      <c r="F213" s="24"/>
      <c r="G213" s="105"/>
      <c r="H213" s="105"/>
      <c r="I213" s="24"/>
      <c r="J213" s="24"/>
      <c r="K213" s="24"/>
      <c r="L213" s="24"/>
      <c r="M213" s="24"/>
      <c r="N213" s="61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73"/>
      <c r="AU213" s="272"/>
    </row>
    <row r="214" spans="1:47" s="4" customFormat="1" ht="21.75" customHeight="1" thickBot="1">
      <c r="A214" s="30"/>
      <c r="B214" s="77"/>
      <c r="C214" s="91"/>
      <c r="D214" s="39"/>
      <c r="E214" s="24"/>
      <c r="F214" s="107"/>
      <c r="G214" s="90"/>
      <c r="H214" s="24"/>
      <c r="I214" s="24"/>
      <c r="J214" s="24"/>
      <c r="K214" s="24"/>
      <c r="L214" s="24"/>
      <c r="M214" s="24"/>
      <c r="N214" s="61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74"/>
      <c r="AU214" s="275"/>
    </row>
    <row r="215" spans="2:47" s="1" customFormat="1" ht="46.5" customHeight="1">
      <c r="B215" s="233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5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1"/>
      <c r="AT215" s="279"/>
      <c r="AU215" s="280"/>
    </row>
    <row r="216" spans="2:47" s="1" customFormat="1" ht="46.5" customHeight="1" thickBot="1">
      <c r="B216" s="236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8"/>
      <c r="O216" s="250"/>
      <c r="P216" s="250"/>
      <c r="Q216" s="250"/>
      <c r="R216" s="250"/>
      <c r="S216" s="250"/>
      <c r="T216" s="250"/>
      <c r="U216" s="212"/>
      <c r="V216" s="212"/>
      <c r="W216" s="212"/>
      <c r="X216" s="212"/>
      <c r="Y216" s="250"/>
      <c r="Z216" s="250"/>
      <c r="AA216" s="212"/>
      <c r="AB216" s="212"/>
      <c r="AC216" s="212"/>
      <c r="AD216" s="212"/>
      <c r="AE216" s="212"/>
      <c r="AF216" s="212"/>
      <c r="AG216" s="212"/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76"/>
      <c r="AU216" s="277"/>
    </row>
    <row r="217" spans="1:48" ht="36" customHeight="1">
      <c r="A217" s="10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85"/>
      <c r="U217" s="49"/>
      <c r="V217" s="49"/>
      <c r="Y217" s="85"/>
      <c r="Z217" s="49"/>
      <c r="AC217" s="49"/>
      <c r="AD217" s="49"/>
      <c r="AT217" s="49"/>
      <c r="AU217" s="49"/>
      <c r="AV217" s="11"/>
    </row>
    <row r="218" spans="2:47" ht="12.75"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85"/>
      <c r="U218" s="49"/>
      <c r="V218" s="49"/>
      <c r="Y218" s="85"/>
      <c r="Z218" s="49"/>
      <c r="AC218" s="49"/>
      <c r="AD218" s="49"/>
      <c r="AT218" s="49"/>
      <c r="AU218" s="49"/>
    </row>
    <row r="219" spans="2:47" ht="12.75"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85"/>
      <c r="U219" s="85"/>
      <c r="V219" s="85"/>
      <c r="Y219" s="85"/>
      <c r="Z219" s="49"/>
      <c r="AA219" s="85"/>
      <c r="AB219" s="49"/>
      <c r="AC219" s="49"/>
      <c r="AD219" s="49"/>
      <c r="AT219" s="49"/>
      <c r="AU219" s="49"/>
    </row>
    <row r="220" spans="2:47" ht="15.75">
      <c r="B220" s="224"/>
      <c r="C220" s="225"/>
      <c r="D220" s="225"/>
      <c r="E220" s="225"/>
      <c r="F220" s="225"/>
      <c r="G220" s="226"/>
      <c r="H220" s="53"/>
      <c r="I220" s="53"/>
      <c r="J220" s="136"/>
      <c r="K220" s="136"/>
      <c r="L220" s="136"/>
      <c r="M220" s="136"/>
      <c r="N220" s="136"/>
      <c r="O220" s="136"/>
      <c r="P220" s="136"/>
      <c r="Q220" s="191"/>
      <c r="R220" s="136"/>
      <c r="S220" s="192"/>
      <c r="T220" s="196"/>
      <c r="U220" s="191"/>
      <c r="V220" s="191"/>
      <c r="W220" s="191"/>
      <c r="X220" s="191"/>
      <c r="Y220" s="136"/>
      <c r="Z220" s="136"/>
      <c r="AA220" s="136"/>
      <c r="AB220" s="136"/>
      <c r="AC220" s="136"/>
      <c r="AD220" s="136"/>
      <c r="AE220" s="27"/>
      <c r="AT220" s="49"/>
      <c r="AU220" s="49"/>
    </row>
    <row r="221" spans="2:47" ht="15">
      <c r="B221" s="49"/>
      <c r="C221" s="49"/>
      <c r="D221" s="49"/>
      <c r="E221" s="49"/>
      <c r="F221" s="49"/>
      <c r="G221" s="49"/>
      <c r="H221" s="49"/>
      <c r="I221" s="49"/>
      <c r="J221" s="79"/>
      <c r="K221" s="79"/>
      <c r="L221" s="79"/>
      <c r="M221" s="79"/>
      <c r="N221" s="79"/>
      <c r="O221" s="193"/>
      <c r="P221" s="193"/>
      <c r="Q221" s="136"/>
      <c r="R221" s="136"/>
      <c r="S221" s="137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27"/>
      <c r="AT221" s="49"/>
      <c r="AU221" s="49"/>
    </row>
    <row r="222" spans="2:47" ht="15">
      <c r="B222" s="49"/>
      <c r="C222" s="49"/>
      <c r="D222" s="49"/>
      <c r="E222" s="49"/>
      <c r="F222" s="49"/>
      <c r="G222" s="49"/>
      <c r="H222" s="49"/>
      <c r="I222" s="49"/>
      <c r="J222" s="79"/>
      <c r="K222" s="360"/>
      <c r="L222" s="361"/>
      <c r="M222" s="361"/>
      <c r="N222" s="361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27"/>
      <c r="AT222" s="49"/>
      <c r="AU222" s="49"/>
    </row>
    <row r="223" spans="2:47" ht="15">
      <c r="B223" s="49"/>
      <c r="C223" s="49"/>
      <c r="D223" s="49"/>
      <c r="E223" s="49"/>
      <c r="F223" s="49"/>
      <c r="G223" s="49"/>
      <c r="H223" s="49"/>
      <c r="I223" s="49"/>
      <c r="J223" s="79"/>
      <c r="K223" s="360"/>
      <c r="L223" s="361"/>
      <c r="M223" s="361"/>
      <c r="N223" s="361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27"/>
      <c r="AT223" s="49"/>
      <c r="AU223" s="49"/>
    </row>
    <row r="224" spans="2:47" ht="12.75"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85"/>
      <c r="T224" s="49"/>
      <c r="U224" s="49"/>
      <c r="V224" s="49"/>
      <c r="Y224" s="49"/>
      <c r="Z224" s="49"/>
      <c r="AC224" s="49"/>
      <c r="AD224" s="49"/>
      <c r="AT224" s="49"/>
      <c r="AU224" s="49"/>
    </row>
    <row r="225" spans="2:48" s="3" customFormat="1" ht="36" customHeight="1" thickBot="1">
      <c r="B225" s="54"/>
      <c r="C225" s="55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229"/>
      <c r="P225" s="229"/>
      <c r="Q225" s="229"/>
      <c r="R225" s="229"/>
      <c r="S225" s="229"/>
      <c r="T225" s="229"/>
      <c r="U225" s="229"/>
      <c r="V225" s="229"/>
      <c r="Y225" s="229"/>
      <c r="Z225" s="229"/>
      <c r="AC225" s="257"/>
      <c r="AD225" s="257"/>
      <c r="AT225" s="98"/>
      <c r="AU225" s="98"/>
      <c r="AV225" s="13"/>
    </row>
    <row r="226" spans="2:47" s="4" customFormat="1" ht="21.75" customHeight="1">
      <c r="B226" s="233"/>
      <c r="C226" s="299"/>
      <c r="D226" s="251"/>
      <c r="E226" s="251"/>
      <c r="F226" s="251"/>
      <c r="G226" s="254"/>
      <c r="H226" s="254"/>
      <c r="I226" s="251"/>
      <c r="J226" s="254"/>
      <c r="K226" s="254"/>
      <c r="L226" s="254"/>
      <c r="M226" s="254"/>
      <c r="N226" s="254"/>
      <c r="O226" s="216"/>
      <c r="P226" s="217"/>
      <c r="Q226" s="216"/>
      <c r="R226" s="217"/>
      <c r="S226" s="216"/>
      <c r="T226" s="217"/>
      <c r="U226" s="216"/>
      <c r="V226" s="217"/>
      <c r="W226" s="216"/>
      <c r="X226" s="217"/>
      <c r="Y226" s="216"/>
      <c r="Z226" s="217"/>
      <c r="AA226" s="216"/>
      <c r="AB226" s="217"/>
      <c r="AC226" s="216"/>
      <c r="AD226" s="217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282"/>
      <c r="AU226" s="282"/>
    </row>
    <row r="227" spans="2:47" s="4" customFormat="1" ht="27.75" customHeight="1">
      <c r="B227" s="293"/>
      <c r="C227" s="300"/>
      <c r="D227" s="255"/>
      <c r="E227" s="255"/>
      <c r="F227" s="255"/>
      <c r="G227" s="242"/>
      <c r="H227" s="242"/>
      <c r="I227" s="252"/>
      <c r="J227" s="255"/>
      <c r="K227" s="255"/>
      <c r="L227" s="242"/>
      <c r="M227" s="242"/>
      <c r="N227" s="242"/>
      <c r="O227" s="218"/>
      <c r="P227" s="219"/>
      <c r="Q227" s="218"/>
      <c r="R227" s="219"/>
      <c r="S227" s="218"/>
      <c r="T227" s="219"/>
      <c r="U227" s="218"/>
      <c r="V227" s="219"/>
      <c r="W227" s="218"/>
      <c r="X227" s="219"/>
      <c r="Y227" s="218"/>
      <c r="Z227" s="219"/>
      <c r="AA227" s="218"/>
      <c r="AB227" s="219"/>
      <c r="AC227" s="218"/>
      <c r="AD227" s="219"/>
      <c r="AE227" s="241"/>
      <c r="AF227" s="241"/>
      <c r="AG227" s="241"/>
      <c r="AH227" s="241"/>
      <c r="AI227" s="241"/>
      <c r="AJ227" s="241"/>
      <c r="AK227" s="241"/>
      <c r="AL227" s="241"/>
      <c r="AM227" s="241"/>
      <c r="AN227" s="241"/>
      <c r="AO227" s="241"/>
      <c r="AP227" s="241"/>
      <c r="AQ227" s="241"/>
      <c r="AR227" s="241"/>
      <c r="AS227" s="241"/>
      <c r="AT227" s="283"/>
      <c r="AU227" s="304"/>
    </row>
    <row r="228" spans="2:47" s="4" customFormat="1" ht="27.75" customHeight="1" thickBot="1">
      <c r="B228" s="293"/>
      <c r="C228" s="300"/>
      <c r="D228" s="255"/>
      <c r="E228" s="255"/>
      <c r="F228" s="255"/>
      <c r="G228" s="242"/>
      <c r="H228" s="242"/>
      <c r="I228" s="252"/>
      <c r="J228" s="255"/>
      <c r="K228" s="255"/>
      <c r="L228" s="242"/>
      <c r="M228" s="242"/>
      <c r="N228" s="242"/>
      <c r="O228" s="220"/>
      <c r="P228" s="221"/>
      <c r="Q228" s="220"/>
      <c r="R228" s="221"/>
      <c r="S228" s="220"/>
      <c r="T228" s="221"/>
      <c r="U228" s="220"/>
      <c r="V228" s="221"/>
      <c r="W228" s="220"/>
      <c r="X228" s="221"/>
      <c r="Y228" s="220"/>
      <c r="Z228" s="221"/>
      <c r="AA228" s="220"/>
      <c r="AB228" s="221"/>
      <c r="AC228" s="220"/>
      <c r="AD228" s="221"/>
      <c r="AE228" s="242"/>
      <c r="AF228" s="242"/>
      <c r="AG228" s="242"/>
      <c r="AH228" s="242"/>
      <c r="AI228" s="242"/>
      <c r="AJ228" s="242"/>
      <c r="AK228" s="242"/>
      <c r="AL228" s="242"/>
      <c r="AM228" s="242"/>
      <c r="AN228" s="242"/>
      <c r="AO228" s="242"/>
      <c r="AP228" s="242"/>
      <c r="AQ228" s="242"/>
      <c r="AR228" s="242"/>
      <c r="AS228" s="242"/>
      <c r="AT228" s="284"/>
      <c r="AU228" s="304"/>
    </row>
    <row r="229" spans="2:47" s="4" customFormat="1" ht="27.75" customHeight="1">
      <c r="B229" s="293"/>
      <c r="C229" s="300"/>
      <c r="D229" s="255"/>
      <c r="E229" s="255"/>
      <c r="F229" s="255"/>
      <c r="G229" s="242"/>
      <c r="H229" s="242"/>
      <c r="I229" s="252"/>
      <c r="J229" s="255"/>
      <c r="K229" s="255"/>
      <c r="L229" s="242"/>
      <c r="M229" s="242"/>
      <c r="N229" s="242"/>
      <c r="O229" s="220"/>
      <c r="P229" s="221"/>
      <c r="Q229" s="220"/>
      <c r="R229" s="221"/>
      <c r="S229" s="220"/>
      <c r="T229" s="221"/>
      <c r="U229" s="220"/>
      <c r="V229" s="221"/>
      <c r="W229" s="220"/>
      <c r="X229" s="221"/>
      <c r="Y229" s="220"/>
      <c r="Z229" s="221"/>
      <c r="AA229" s="220"/>
      <c r="AB229" s="221"/>
      <c r="AC229" s="220"/>
      <c r="AD229" s="221"/>
      <c r="AE229" s="242"/>
      <c r="AF229" s="242"/>
      <c r="AG229" s="242"/>
      <c r="AH229" s="242"/>
      <c r="AI229" s="242"/>
      <c r="AJ229" s="242"/>
      <c r="AK229" s="242"/>
      <c r="AL229" s="242"/>
      <c r="AM229" s="242"/>
      <c r="AN229" s="242"/>
      <c r="AO229" s="242"/>
      <c r="AP229" s="242"/>
      <c r="AQ229" s="242"/>
      <c r="AR229" s="242"/>
      <c r="AS229" s="242"/>
      <c r="AT229" s="269"/>
      <c r="AU229" s="270"/>
    </row>
    <row r="230" spans="2:47" s="4" customFormat="1" ht="27.75" customHeight="1">
      <c r="B230" s="293"/>
      <c r="C230" s="300"/>
      <c r="D230" s="255"/>
      <c r="E230" s="255"/>
      <c r="F230" s="255"/>
      <c r="G230" s="242"/>
      <c r="H230" s="242"/>
      <c r="I230" s="252"/>
      <c r="J230" s="255"/>
      <c r="K230" s="255"/>
      <c r="L230" s="242"/>
      <c r="M230" s="242"/>
      <c r="N230" s="242"/>
      <c r="O230" s="220"/>
      <c r="P230" s="221"/>
      <c r="Q230" s="220"/>
      <c r="R230" s="221"/>
      <c r="S230" s="220"/>
      <c r="T230" s="221"/>
      <c r="U230" s="220"/>
      <c r="V230" s="221"/>
      <c r="W230" s="220"/>
      <c r="X230" s="221"/>
      <c r="Y230" s="220"/>
      <c r="Z230" s="221"/>
      <c r="AA230" s="220"/>
      <c r="AB230" s="221"/>
      <c r="AC230" s="220"/>
      <c r="AD230" s="221"/>
      <c r="AE230" s="242"/>
      <c r="AF230" s="242"/>
      <c r="AG230" s="242"/>
      <c r="AH230" s="242"/>
      <c r="AI230" s="242"/>
      <c r="AJ230" s="242"/>
      <c r="AK230" s="242"/>
      <c r="AL230" s="242"/>
      <c r="AM230" s="242"/>
      <c r="AN230" s="242"/>
      <c r="AO230" s="242"/>
      <c r="AP230" s="242"/>
      <c r="AQ230" s="242"/>
      <c r="AR230" s="242"/>
      <c r="AS230" s="242"/>
      <c r="AT230" s="271"/>
      <c r="AU230" s="272"/>
    </row>
    <row r="231" spans="2:47" s="4" customFormat="1" ht="27.75" customHeight="1">
      <c r="B231" s="293"/>
      <c r="C231" s="300"/>
      <c r="D231" s="255"/>
      <c r="E231" s="255"/>
      <c r="F231" s="255"/>
      <c r="G231" s="242"/>
      <c r="H231" s="242"/>
      <c r="I231" s="252"/>
      <c r="J231" s="255"/>
      <c r="K231" s="255"/>
      <c r="L231" s="242"/>
      <c r="M231" s="242"/>
      <c r="N231" s="242"/>
      <c r="O231" s="220"/>
      <c r="P231" s="221"/>
      <c r="Q231" s="220"/>
      <c r="R231" s="221"/>
      <c r="S231" s="220"/>
      <c r="T231" s="221"/>
      <c r="U231" s="220"/>
      <c r="V231" s="221"/>
      <c r="W231" s="220"/>
      <c r="X231" s="221"/>
      <c r="Y231" s="220"/>
      <c r="Z231" s="221"/>
      <c r="AA231" s="220"/>
      <c r="AB231" s="221"/>
      <c r="AC231" s="220"/>
      <c r="AD231" s="221"/>
      <c r="AE231" s="242"/>
      <c r="AF231" s="242"/>
      <c r="AG231" s="242"/>
      <c r="AH231" s="242"/>
      <c r="AI231" s="242"/>
      <c r="AJ231" s="242"/>
      <c r="AK231" s="242"/>
      <c r="AL231" s="242"/>
      <c r="AM231" s="242"/>
      <c r="AN231" s="242"/>
      <c r="AO231" s="242"/>
      <c r="AP231" s="242"/>
      <c r="AQ231" s="242"/>
      <c r="AR231" s="242"/>
      <c r="AS231" s="242"/>
      <c r="AT231" s="271"/>
      <c r="AU231" s="272"/>
    </row>
    <row r="232" spans="2:47" s="4" customFormat="1" ht="27.75" customHeight="1">
      <c r="B232" s="293"/>
      <c r="C232" s="300"/>
      <c r="D232" s="255"/>
      <c r="E232" s="255"/>
      <c r="F232" s="255"/>
      <c r="G232" s="242"/>
      <c r="H232" s="242"/>
      <c r="I232" s="252"/>
      <c r="J232" s="255"/>
      <c r="K232" s="255"/>
      <c r="L232" s="242"/>
      <c r="M232" s="242"/>
      <c r="N232" s="242"/>
      <c r="O232" s="220"/>
      <c r="P232" s="221"/>
      <c r="Q232" s="220"/>
      <c r="R232" s="221"/>
      <c r="S232" s="220"/>
      <c r="T232" s="221"/>
      <c r="U232" s="220"/>
      <c r="V232" s="221"/>
      <c r="W232" s="220"/>
      <c r="X232" s="221"/>
      <c r="Y232" s="220"/>
      <c r="Z232" s="221"/>
      <c r="AA232" s="220"/>
      <c r="AB232" s="221"/>
      <c r="AC232" s="220"/>
      <c r="AD232" s="221"/>
      <c r="AE232" s="242"/>
      <c r="AF232" s="242"/>
      <c r="AG232" s="242"/>
      <c r="AH232" s="242"/>
      <c r="AI232" s="242"/>
      <c r="AJ232" s="242"/>
      <c r="AK232" s="242"/>
      <c r="AL232" s="242"/>
      <c r="AM232" s="242"/>
      <c r="AN232" s="242"/>
      <c r="AO232" s="242"/>
      <c r="AP232" s="242"/>
      <c r="AQ232" s="242"/>
      <c r="AR232" s="242"/>
      <c r="AS232" s="242"/>
      <c r="AT232" s="271"/>
      <c r="AU232" s="272"/>
    </row>
    <row r="233" spans="2:47" s="4" customFormat="1" ht="27.75" customHeight="1">
      <c r="B233" s="293"/>
      <c r="C233" s="300"/>
      <c r="D233" s="255"/>
      <c r="E233" s="255"/>
      <c r="F233" s="255"/>
      <c r="G233" s="242"/>
      <c r="H233" s="242"/>
      <c r="I233" s="252"/>
      <c r="J233" s="255"/>
      <c r="K233" s="255"/>
      <c r="L233" s="242"/>
      <c r="M233" s="242"/>
      <c r="N233" s="242"/>
      <c r="O233" s="220"/>
      <c r="P233" s="221"/>
      <c r="Q233" s="220"/>
      <c r="R233" s="221"/>
      <c r="S233" s="220"/>
      <c r="T233" s="221"/>
      <c r="U233" s="220"/>
      <c r="V233" s="221"/>
      <c r="W233" s="220"/>
      <c r="X233" s="221"/>
      <c r="Y233" s="220"/>
      <c r="Z233" s="221"/>
      <c r="AA233" s="220"/>
      <c r="AB233" s="221"/>
      <c r="AC233" s="220"/>
      <c r="AD233" s="221"/>
      <c r="AE233" s="242"/>
      <c r="AF233" s="242"/>
      <c r="AG233" s="242"/>
      <c r="AH233" s="242"/>
      <c r="AI233" s="242"/>
      <c r="AJ233" s="242"/>
      <c r="AK233" s="242"/>
      <c r="AL233" s="242"/>
      <c r="AM233" s="242"/>
      <c r="AN233" s="242"/>
      <c r="AO233" s="242"/>
      <c r="AP233" s="242"/>
      <c r="AQ233" s="242"/>
      <c r="AR233" s="242"/>
      <c r="AS233" s="242"/>
      <c r="AT233" s="271"/>
      <c r="AU233" s="272"/>
    </row>
    <row r="234" spans="2:47" s="5" customFormat="1" ht="27.75" customHeight="1">
      <c r="B234" s="301"/>
      <c r="C234" s="302"/>
      <c r="D234" s="256"/>
      <c r="E234" s="256"/>
      <c r="F234" s="256"/>
      <c r="G234" s="243"/>
      <c r="H234" s="243"/>
      <c r="I234" s="253"/>
      <c r="J234" s="256"/>
      <c r="K234" s="256"/>
      <c r="L234" s="243"/>
      <c r="M234" s="243"/>
      <c r="N234" s="243"/>
      <c r="O234" s="222"/>
      <c r="P234" s="223"/>
      <c r="Q234" s="222"/>
      <c r="R234" s="223"/>
      <c r="S234" s="222"/>
      <c r="T234" s="223"/>
      <c r="U234" s="222"/>
      <c r="V234" s="223"/>
      <c r="W234" s="222"/>
      <c r="X234" s="223"/>
      <c r="Y234" s="222"/>
      <c r="Z234" s="223"/>
      <c r="AA234" s="222"/>
      <c r="AB234" s="223"/>
      <c r="AC234" s="222"/>
      <c r="AD234" s="223"/>
      <c r="AE234" s="243"/>
      <c r="AF234" s="243"/>
      <c r="AG234" s="243"/>
      <c r="AH234" s="243"/>
      <c r="AI234" s="243"/>
      <c r="AJ234" s="243"/>
      <c r="AK234" s="243"/>
      <c r="AL234" s="243"/>
      <c r="AM234" s="243"/>
      <c r="AN234" s="243"/>
      <c r="AO234" s="243"/>
      <c r="AP234" s="243"/>
      <c r="AQ234" s="243"/>
      <c r="AR234" s="243"/>
      <c r="AS234" s="243"/>
      <c r="AT234" s="271"/>
      <c r="AU234" s="272"/>
    </row>
    <row r="235" spans="2:47" s="7" customFormat="1" ht="21.75" customHeight="1" thickBot="1">
      <c r="B235" s="56"/>
      <c r="C235" s="56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208"/>
      <c r="P235" s="210"/>
      <c r="Q235" s="208"/>
      <c r="R235" s="210"/>
      <c r="S235" s="208"/>
      <c r="T235" s="210"/>
      <c r="U235" s="208"/>
      <c r="V235" s="210"/>
      <c r="W235" s="208"/>
      <c r="X235" s="210"/>
      <c r="Y235" s="208"/>
      <c r="Z235" s="210"/>
      <c r="AA235" s="208"/>
      <c r="AB235" s="210"/>
      <c r="AC235" s="208"/>
      <c r="AD235" s="210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271"/>
      <c r="AU235" s="272"/>
    </row>
    <row r="236" spans="1:47" s="4" customFormat="1" ht="21.75" customHeight="1">
      <c r="A236" s="30"/>
      <c r="B236" s="77"/>
      <c r="C236" s="113"/>
      <c r="D236" s="39"/>
      <c r="E236" s="24"/>
      <c r="F236" s="24"/>
      <c r="G236" s="24"/>
      <c r="H236" s="24"/>
      <c r="I236" s="24"/>
      <c r="J236" s="24"/>
      <c r="K236" s="24"/>
      <c r="L236" s="24"/>
      <c r="M236" s="24"/>
      <c r="N236" s="61"/>
      <c r="O236" s="227"/>
      <c r="P236" s="227"/>
      <c r="Q236" s="227"/>
      <c r="R236" s="227"/>
      <c r="S236" s="227"/>
      <c r="T236" s="227"/>
      <c r="U236" s="227"/>
      <c r="V236" s="227"/>
      <c r="W236" s="227"/>
      <c r="X236" s="227"/>
      <c r="Y236" s="227"/>
      <c r="Z236" s="227"/>
      <c r="AA236" s="227"/>
      <c r="AB236" s="227"/>
      <c r="AC236" s="265"/>
      <c r="AD236" s="265"/>
      <c r="AE236" s="227"/>
      <c r="AF236" s="227"/>
      <c r="AG236" s="227"/>
      <c r="AH236" s="227"/>
      <c r="AI236" s="227"/>
      <c r="AJ236" s="227"/>
      <c r="AK236" s="227"/>
      <c r="AL236" s="227"/>
      <c r="AM236" s="227"/>
      <c r="AN236" s="227"/>
      <c r="AO236" s="227"/>
      <c r="AP236" s="227"/>
      <c r="AQ236" s="227"/>
      <c r="AR236" s="227"/>
      <c r="AS236" s="227"/>
      <c r="AT236" s="271"/>
      <c r="AU236" s="272"/>
    </row>
    <row r="237" spans="1:47" s="4" customFormat="1" ht="21.75" customHeight="1">
      <c r="A237" s="30"/>
      <c r="B237" s="230"/>
      <c r="C237" s="231"/>
      <c r="D237" s="231"/>
      <c r="E237" s="231"/>
      <c r="F237" s="231"/>
      <c r="G237" s="231"/>
      <c r="H237" s="231"/>
      <c r="I237" s="232"/>
      <c r="J237" s="24"/>
      <c r="K237" s="24"/>
      <c r="L237" s="24"/>
      <c r="M237" s="24"/>
      <c r="N237" s="61"/>
      <c r="O237" s="228"/>
      <c r="P237" s="228"/>
      <c r="Q237" s="228"/>
      <c r="R237" s="228"/>
      <c r="S237" s="228"/>
      <c r="T237" s="228"/>
      <c r="U237" s="228"/>
      <c r="V237" s="228"/>
      <c r="W237" s="228"/>
      <c r="X237" s="228"/>
      <c r="Y237" s="228"/>
      <c r="Z237" s="228"/>
      <c r="AA237" s="228"/>
      <c r="AB237" s="228"/>
      <c r="AC237" s="266"/>
      <c r="AD237" s="266"/>
      <c r="AE237" s="228"/>
      <c r="AF237" s="228"/>
      <c r="AG237" s="228"/>
      <c r="AH237" s="228"/>
      <c r="AI237" s="228"/>
      <c r="AJ237" s="228"/>
      <c r="AK237" s="228"/>
      <c r="AL237" s="228"/>
      <c r="AM237" s="228"/>
      <c r="AN237" s="228"/>
      <c r="AO237" s="228"/>
      <c r="AP237" s="228"/>
      <c r="AQ237" s="228"/>
      <c r="AR237" s="228"/>
      <c r="AS237" s="228"/>
      <c r="AT237" s="271"/>
      <c r="AU237" s="272"/>
    </row>
    <row r="238" spans="1:47" s="4" customFormat="1" ht="21.75" customHeight="1">
      <c r="A238" s="30"/>
      <c r="B238" s="77"/>
      <c r="C238" s="38"/>
      <c r="D238" s="39"/>
      <c r="E238" s="24"/>
      <c r="F238" s="107"/>
      <c r="G238" s="90"/>
      <c r="H238" s="24"/>
      <c r="I238" s="24"/>
      <c r="J238" s="24"/>
      <c r="K238" s="24"/>
      <c r="L238" s="24"/>
      <c r="M238" s="24"/>
      <c r="N238" s="61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71"/>
      <c r="AU238" s="272"/>
    </row>
    <row r="239" spans="1:47" s="4" customFormat="1" ht="21.75" customHeight="1">
      <c r="A239" s="30"/>
      <c r="B239" s="38"/>
      <c r="C239" s="38"/>
      <c r="D239" s="39"/>
      <c r="E239" s="24"/>
      <c r="F239" s="24"/>
      <c r="G239" s="105"/>
      <c r="H239" s="105"/>
      <c r="I239" s="24"/>
      <c r="J239" s="24"/>
      <c r="K239" s="24"/>
      <c r="L239" s="24"/>
      <c r="M239" s="24"/>
      <c r="N239" s="61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71"/>
      <c r="AU239" s="272"/>
    </row>
    <row r="240" spans="1:47" s="4" customFormat="1" ht="21.75" customHeight="1">
      <c r="A240" s="30"/>
      <c r="B240" s="38"/>
      <c r="C240" s="38"/>
      <c r="D240" s="39"/>
      <c r="E240" s="24"/>
      <c r="F240" s="24"/>
      <c r="G240" s="105"/>
      <c r="H240" s="105"/>
      <c r="I240" s="24"/>
      <c r="J240" s="106"/>
      <c r="K240" s="24"/>
      <c r="L240" s="24"/>
      <c r="M240" s="24"/>
      <c r="N240" s="61"/>
      <c r="O240" s="24"/>
      <c r="P240" s="24"/>
      <c r="Q240" s="24"/>
      <c r="R240" s="24"/>
      <c r="S240" s="24"/>
      <c r="T240" s="24"/>
      <c r="U240" s="110"/>
      <c r="V240" s="110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71"/>
      <c r="AU240" s="272"/>
    </row>
    <row r="241" spans="1:47" s="4" customFormat="1" ht="21.75" customHeight="1">
      <c r="A241" s="30"/>
      <c r="B241" s="38"/>
      <c r="C241" s="38"/>
      <c r="D241" s="39"/>
      <c r="E241" s="24"/>
      <c r="F241" s="66"/>
      <c r="G241" s="105"/>
      <c r="H241" s="105"/>
      <c r="I241" s="24"/>
      <c r="J241" s="106"/>
      <c r="K241" s="24"/>
      <c r="L241" s="24"/>
      <c r="M241" s="24"/>
      <c r="N241" s="61"/>
      <c r="O241" s="24"/>
      <c r="P241" s="24"/>
      <c r="Q241" s="24"/>
      <c r="R241" s="24"/>
      <c r="S241" s="24"/>
      <c r="T241" s="24"/>
      <c r="U241" s="110"/>
      <c r="V241" s="110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71"/>
      <c r="AU241" s="272"/>
    </row>
    <row r="242" spans="1:47" s="4" customFormat="1" ht="21.75" customHeight="1">
      <c r="A242" s="30"/>
      <c r="B242" s="38"/>
      <c r="C242" s="38"/>
      <c r="D242" s="39"/>
      <c r="E242" s="24"/>
      <c r="F242" s="66"/>
      <c r="G242" s="105"/>
      <c r="H242" s="105"/>
      <c r="I242" s="24"/>
      <c r="J242" s="106"/>
      <c r="K242" s="24"/>
      <c r="L242" s="24"/>
      <c r="M242" s="24"/>
      <c r="N242" s="61"/>
      <c r="O242" s="24"/>
      <c r="P242" s="24"/>
      <c r="Q242" s="24"/>
      <c r="R242" s="24"/>
      <c r="S242" s="24"/>
      <c r="T242" s="24"/>
      <c r="U242" s="110"/>
      <c r="V242" s="110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71"/>
      <c r="AU242" s="272"/>
    </row>
    <row r="243" spans="1:47" s="4" customFormat="1" ht="21.75" customHeight="1">
      <c r="A243" s="30"/>
      <c r="B243" s="38"/>
      <c r="C243" s="38"/>
      <c r="D243" s="39"/>
      <c r="E243" s="24"/>
      <c r="F243" s="24"/>
      <c r="G243" s="105"/>
      <c r="H243" s="105"/>
      <c r="I243" s="24"/>
      <c r="J243" s="106"/>
      <c r="K243" s="24"/>
      <c r="L243" s="24"/>
      <c r="M243" s="24"/>
      <c r="N243" s="61"/>
      <c r="O243" s="24"/>
      <c r="P243" s="24"/>
      <c r="Q243" s="24"/>
      <c r="R243" s="24"/>
      <c r="S243" s="24"/>
      <c r="T243" s="24"/>
      <c r="U243" s="110"/>
      <c r="V243" s="110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71"/>
      <c r="AU243" s="272"/>
    </row>
    <row r="244" spans="1:47" s="4" customFormat="1" ht="21.75" customHeight="1">
      <c r="A244" s="30"/>
      <c r="B244" s="38"/>
      <c r="C244" s="38"/>
      <c r="D244" s="39"/>
      <c r="E244" s="24"/>
      <c r="F244" s="24"/>
      <c r="G244" s="24"/>
      <c r="H244" s="24"/>
      <c r="I244" s="24"/>
      <c r="J244" s="24"/>
      <c r="K244" s="24"/>
      <c r="L244" s="24"/>
      <c r="M244" s="24"/>
      <c r="N244" s="61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71"/>
      <c r="AU244" s="272"/>
    </row>
    <row r="245" spans="1:47" s="4" customFormat="1" ht="21.75" customHeight="1">
      <c r="A245" s="30"/>
      <c r="B245" s="38"/>
      <c r="C245" s="38"/>
      <c r="D245" s="39"/>
      <c r="E245" s="24"/>
      <c r="F245" s="24"/>
      <c r="G245" s="105"/>
      <c r="H245" s="105"/>
      <c r="I245" s="24"/>
      <c r="J245" s="106"/>
      <c r="K245" s="24"/>
      <c r="L245" s="24"/>
      <c r="M245" s="24"/>
      <c r="N245" s="61"/>
      <c r="O245" s="24"/>
      <c r="P245" s="24"/>
      <c r="Q245" s="24"/>
      <c r="R245" s="24"/>
      <c r="S245" s="24"/>
      <c r="T245" s="24"/>
      <c r="U245" s="110"/>
      <c r="V245" s="110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71"/>
      <c r="AU245" s="272"/>
    </row>
    <row r="246" spans="1:47" s="4" customFormat="1" ht="21.75" customHeight="1">
      <c r="A246" s="30"/>
      <c r="B246" s="38"/>
      <c r="C246" s="38"/>
      <c r="D246" s="39"/>
      <c r="E246" s="24"/>
      <c r="F246" s="24"/>
      <c r="G246" s="105"/>
      <c r="H246" s="105"/>
      <c r="I246" s="24"/>
      <c r="J246" s="106"/>
      <c r="K246" s="24"/>
      <c r="L246" s="24"/>
      <c r="M246" s="24"/>
      <c r="N246" s="61"/>
      <c r="O246" s="24"/>
      <c r="P246" s="24"/>
      <c r="Q246" s="24"/>
      <c r="R246" s="24"/>
      <c r="S246" s="24"/>
      <c r="T246" s="24"/>
      <c r="U246" s="110"/>
      <c r="V246" s="110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71"/>
      <c r="AU246" s="272"/>
    </row>
    <row r="247" spans="1:47" s="4" customFormat="1" ht="21.75" customHeight="1">
      <c r="A247" s="30"/>
      <c r="B247" s="38"/>
      <c r="C247" s="38"/>
      <c r="D247" s="39"/>
      <c r="E247" s="24"/>
      <c r="F247" s="66"/>
      <c r="G247" s="105"/>
      <c r="H247" s="105"/>
      <c r="I247" s="24"/>
      <c r="J247" s="106"/>
      <c r="K247" s="24"/>
      <c r="L247" s="24"/>
      <c r="M247" s="24"/>
      <c r="N247" s="61"/>
      <c r="O247" s="24"/>
      <c r="P247" s="24"/>
      <c r="Q247" s="24"/>
      <c r="R247" s="24"/>
      <c r="S247" s="24"/>
      <c r="T247" s="24"/>
      <c r="U247" s="110"/>
      <c r="V247" s="110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71"/>
      <c r="AU247" s="272"/>
    </row>
    <row r="248" spans="1:47" s="4" customFormat="1" ht="21.75" customHeight="1">
      <c r="A248" s="30"/>
      <c r="B248" s="38"/>
      <c r="C248" s="46"/>
      <c r="D248" s="39"/>
      <c r="E248" s="24"/>
      <c r="F248" s="66"/>
      <c r="G248" s="105"/>
      <c r="H248" s="105"/>
      <c r="I248" s="24"/>
      <c r="J248" s="106"/>
      <c r="K248" s="24"/>
      <c r="L248" s="24"/>
      <c r="M248" s="24"/>
      <c r="N248" s="61"/>
      <c r="O248" s="24"/>
      <c r="P248" s="24"/>
      <c r="Q248" s="24"/>
      <c r="R248" s="24"/>
      <c r="S248" s="24"/>
      <c r="T248" s="24"/>
      <c r="U248" s="110"/>
      <c r="V248" s="110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71"/>
      <c r="AU248" s="272"/>
    </row>
    <row r="249" spans="1:47" s="4" customFormat="1" ht="21.75" customHeight="1">
      <c r="A249" s="30"/>
      <c r="B249" s="38"/>
      <c r="C249" s="38"/>
      <c r="D249" s="39"/>
      <c r="E249" s="24"/>
      <c r="F249" s="107"/>
      <c r="G249" s="90"/>
      <c r="H249" s="24"/>
      <c r="I249" s="24"/>
      <c r="J249" s="24"/>
      <c r="K249" s="24"/>
      <c r="L249" s="24"/>
      <c r="M249" s="24"/>
      <c r="N249" s="61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71"/>
      <c r="AU249" s="272"/>
    </row>
    <row r="250" spans="1:47" s="4" customFormat="1" ht="21.75" customHeight="1">
      <c r="A250" s="30"/>
      <c r="B250" s="230"/>
      <c r="C250" s="231"/>
      <c r="D250" s="231"/>
      <c r="E250" s="231"/>
      <c r="F250" s="231"/>
      <c r="G250" s="231"/>
      <c r="H250" s="231"/>
      <c r="I250" s="232"/>
      <c r="J250" s="24"/>
      <c r="K250" s="24"/>
      <c r="L250" s="24"/>
      <c r="M250" s="24"/>
      <c r="N250" s="61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71"/>
      <c r="AU250" s="272"/>
    </row>
    <row r="251" spans="1:47" s="4" customFormat="1" ht="21.75" customHeight="1">
      <c r="A251" s="30"/>
      <c r="B251" s="67"/>
      <c r="C251" s="38"/>
      <c r="D251" s="39"/>
      <c r="E251" s="24"/>
      <c r="F251" s="107"/>
      <c r="G251" s="90"/>
      <c r="H251" s="24"/>
      <c r="I251" s="24"/>
      <c r="J251" s="24"/>
      <c r="K251" s="24"/>
      <c r="L251" s="24"/>
      <c r="M251" s="24"/>
      <c r="N251" s="61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71"/>
      <c r="AU251" s="272"/>
    </row>
    <row r="252" spans="1:47" s="4" customFormat="1" ht="21.75" customHeight="1">
      <c r="A252" s="30"/>
      <c r="B252" s="38"/>
      <c r="C252" s="38"/>
      <c r="D252" s="39"/>
      <c r="E252" s="24"/>
      <c r="F252" s="66"/>
      <c r="G252" s="105"/>
      <c r="H252" s="105"/>
      <c r="I252" s="24"/>
      <c r="J252" s="24"/>
      <c r="K252" s="24"/>
      <c r="L252" s="24"/>
      <c r="M252" s="24"/>
      <c r="N252" s="61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71"/>
      <c r="AU252" s="272"/>
    </row>
    <row r="253" spans="1:47" s="4" customFormat="1" ht="21.75" customHeight="1">
      <c r="A253" s="30"/>
      <c r="B253" s="38"/>
      <c r="C253" s="38"/>
      <c r="D253" s="39"/>
      <c r="E253" s="24"/>
      <c r="F253" s="66"/>
      <c r="G253" s="105"/>
      <c r="H253" s="24"/>
      <c r="I253" s="24"/>
      <c r="J253" s="24"/>
      <c r="K253" s="24"/>
      <c r="L253" s="24"/>
      <c r="M253" s="24"/>
      <c r="N253" s="61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71"/>
      <c r="AU253" s="272"/>
    </row>
    <row r="254" spans="1:47" s="4" customFormat="1" ht="21.75" customHeight="1">
      <c r="A254" s="30"/>
      <c r="B254" s="38"/>
      <c r="C254" s="38"/>
      <c r="D254" s="39"/>
      <c r="E254" s="24"/>
      <c r="F254" s="24"/>
      <c r="G254" s="105"/>
      <c r="H254" s="24"/>
      <c r="I254" s="24"/>
      <c r="J254" s="24"/>
      <c r="K254" s="24"/>
      <c r="L254" s="24"/>
      <c r="M254" s="24"/>
      <c r="N254" s="61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71"/>
      <c r="AU254" s="272"/>
    </row>
    <row r="255" spans="1:47" s="4" customFormat="1" ht="21.75" customHeight="1">
      <c r="A255" s="30"/>
      <c r="B255" s="38"/>
      <c r="C255" s="38"/>
      <c r="D255" s="39"/>
      <c r="E255" s="24"/>
      <c r="F255" s="24"/>
      <c r="G255" s="105"/>
      <c r="H255" s="24"/>
      <c r="I255" s="24"/>
      <c r="J255" s="24"/>
      <c r="K255" s="24"/>
      <c r="L255" s="24"/>
      <c r="M255" s="24"/>
      <c r="N255" s="61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71"/>
      <c r="AU255" s="272"/>
    </row>
    <row r="256" spans="1:47" s="16" customFormat="1" ht="21.75" customHeight="1">
      <c r="A256" s="30"/>
      <c r="B256" s="38"/>
      <c r="C256" s="38"/>
      <c r="D256" s="39"/>
      <c r="E256" s="24"/>
      <c r="F256" s="24"/>
      <c r="G256" s="105"/>
      <c r="H256" s="24"/>
      <c r="I256" s="24"/>
      <c r="J256" s="24"/>
      <c r="K256" s="24"/>
      <c r="L256" s="24"/>
      <c r="M256" s="24"/>
      <c r="N256" s="61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71"/>
      <c r="AU256" s="272"/>
    </row>
    <row r="257" spans="1:47" s="16" customFormat="1" ht="21.75" customHeight="1">
      <c r="A257" s="30"/>
      <c r="B257" s="38"/>
      <c r="C257" s="38"/>
      <c r="D257" s="39"/>
      <c r="E257" s="24"/>
      <c r="F257" s="24"/>
      <c r="G257" s="90"/>
      <c r="H257" s="24"/>
      <c r="I257" s="24"/>
      <c r="J257" s="24"/>
      <c r="K257" s="24"/>
      <c r="L257" s="24"/>
      <c r="M257" s="24"/>
      <c r="N257" s="61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71"/>
      <c r="AU257" s="272"/>
    </row>
    <row r="258" spans="1:47" s="16" customFormat="1" ht="21.75" customHeight="1">
      <c r="A258" s="30"/>
      <c r="B258" s="67"/>
      <c r="C258" s="38"/>
      <c r="D258" s="39"/>
      <c r="E258" s="24"/>
      <c r="F258" s="107"/>
      <c r="G258" s="90"/>
      <c r="H258" s="24"/>
      <c r="I258" s="24"/>
      <c r="J258" s="24"/>
      <c r="K258" s="24"/>
      <c r="L258" s="24"/>
      <c r="M258" s="24"/>
      <c r="N258" s="61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71"/>
      <c r="AU258" s="272"/>
    </row>
    <row r="259" spans="1:47" s="16" customFormat="1" ht="21.75" customHeight="1">
      <c r="A259" s="30"/>
      <c r="B259" s="38"/>
      <c r="C259" s="38"/>
      <c r="D259" s="39"/>
      <c r="E259" s="24"/>
      <c r="F259" s="24"/>
      <c r="G259" s="105"/>
      <c r="H259" s="105"/>
      <c r="I259" s="24"/>
      <c r="J259" s="24"/>
      <c r="K259" s="24"/>
      <c r="L259" s="24"/>
      <c r="M259" s="24"/>
      <c r="N259" s="61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71"/>
      <c r="AU259" s="272"/>
    </row>
    <row r="260" spans="1:47" s="4" customFormat="1" ht="21.75" customHeight="1">
      <c r="A260" s="30"/>
      <c r="B260" s="38"/>
      <c r="C260" s="38"/>
      <c r="D260" s="39"/>
      <c r="E260" s="24"/>
      <c r="F260" s="24"/>
      <c r="G260" s="105"/>
      <c r="H260" s="105"/>
      <c r="I260" s="24"/>
      <c r="J260" s="24"/>
      <c r="K260" s="24"/>
      <c r="L260" s="24"/>
      <c r="M260" s="24"/>
      <c r="N260" s="61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71"/>
      <c r="AU260" s="272"/>
    </row>
    <row r="261" spans="1:47" s="4" customFormat="1" ht="21.75" customHeight="1">
      <c r="A261" s="30"/>
      <c r="B261" s="38"/>
      <c r="C261" s="38"/>
      <c r="D261" s="39"/>
      <c r="E261" s="24"/>
      <c r="F261" s="24"/>
      <c r="G261" s="105"/>
      <c r="H261" s="105"/>
      <c r="I261" s="24"/>
      <c r="J261" s="24"/>
      <c r="K261" s="24"/>
      <c r="L261" s="24"/>
      <c r="M261" s="24"/>
      <c r="N261" s="61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71"/>
      <c r="AU261" s="272"/>
    </row>
    <row r="262" spans="1:47" s="4" customFormat="1" ht="21.75" customHeight="1">
      <c r="A262" s="30"/>
      <c r="B262" s="38"/>
      <c r="C262" s="38"/>
      <c r="D262" s="39"/>
      <c r="E262" s="24"/>
      <c r="F262" s="66"/>
      <c r="G262" s="105"/>
      <c r="H262" s="105"/>
      <c r="I262" s="24"/>
      <c r="J262" s="24"/>
      <c r="K262" s="24"/>
      <c r="L262" s="24"/>
      <c r="M262" s="24"/>
      <c r="N262" s="61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71"/>
      <c r="AU262" s="272"/>
    </row>
    <row r="263" spans="1:47" s="4" customFormat="1" ht="21.75" customHeight="1">
      <c r="A263" s="30"/>
      <c r="B263" s="38"/>
      <c r="C263" s="38"/>
      <c r="D263" s="39"/>
      <c r="E263" s="24"/>
      <c r="F263" s="24"/>
      <c r="G263" s="105"/>
      <c r="H263" s="105"/>
      <c r="I263" s="24"/>
      <c r="J263" s="24"/>
      <c r="K263" s="24"/>
      <c r="L263" s="24"/>
      <c r="M263" s="24"/>
      <c r="N263" s="61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71"/>
      <c r="AU263" s="272"/>
    </row>
    <row r="264" spans="1:47" s="4" customFormat="1" ht="21.75" customHeight="1">
      <c r="A264" s="30"/>
      <c r="B264" s="38"/>
      <c r="C264" s="38"/>
      <c r="D264" s="39"/>
      <c r="E264" s="24"/>
      <c r="F264" s="24"/>
      <c r="G264" s="105"/>
      <c r="H264" s="105"/>
      <c r="I264" s="24"/>
      <c r="J264" s="24"/>
      <c r="K264" s="24"/>
      <c r="L264" s="24"/>
      <c r="M264" s="24"/>
      <c r="N264" s="61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71"/>
      <c r="AU264" s="272"/>
    </row>
    <row r="265" spans="1:47" s="4" customFormat="1" ht="21.75" customHeight="1">
      <c r="A265" s="30"/>
      <c r="B265" s="38"/>
      <c r="C265" s="38"/>
      <c r="D265" s="39"/>
      <c r="E265" s="24"/>
      <c r="F265" s="24"/>
      <c r="G265" s="105"/>
      <c r="H265" s="105"/>
      <c r="I265" s="24"/>
      <c r="J265" s="24"/>
      <c r="K265" s="24"/>
      <c r="L265" s="24"/>
      <c r="M265" s="24"/>
      <c r="N265" s="61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71"/>
      <c r="AU265" s="272"/>
    </row>
    <row r="266" spans="1:47" s="4" customFormat="1" ht="21.75" customHeight="1">
      <c r="A266" s="30"/>
      <c r="B266" s="38"/>
      <c r="C266" s="38"/>
      <c r="D266" s="39"/>
      <c r="E266" s="24"/>
      <c r="F266" s="66"/>
      <c r="G266" s="105"/>
      <c r="H266" s="105"/>
      <c r="I266" s="24"/>
      <c r="J266" s="24"/>
      <c r="K266" s="24"/>
      <c r="L266" s="24"/>
      <c r="M266" s="24"/>
      <c r="N266" s="61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71"/>
      <c r="AU266" s="272"/>
    </row>
    <row r="267" spans="1:47" s="4" customFormat="1" ht="21.75" customHeight="1">
      <c r="A267" s="30"/>
      <c r="B267" s="38"/>
      <c r="C267" s="38"/>
      <c r="D267" s="39"/>
      <c r="E267" s="24"/>
      <c r="F267" s="24"/>
      <c r="G267" s="105"/>
      <c r="H267" s="105"/>
      <c r="I267" s="24"/>
      <c r="J267" s="24"/>
      <c r="K267" s="24"/>
      <c r="L267" s="24"/>
      <c r="M267" s="24"/>
      <c r="N267" s="61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71"/>
      <c r="AU267" s="272"/>
    </row>
    <row r="268" spans="1:47" s="4" customFormat="1" ht="21.75" customHeight="1">
      <c r="A268" s="30"/>
      <c r="B268" s="38"/>
      <c r="C268" s="38"/>
      <c r="D268" s="39"/>
      <c r="E268" s="24"/>
      <c r="F268" s="24"/>
      <c r="G268" s="105"/>
      <c r="H268" s="24"/>
      <c r="I268" s="24"/>
      <c r="J268" s="24"/>
      <c r="K268" s="24"/>
      <c r="L268" s="24"/>
      <c r="M268" s="24"/>
      <c r="N268" s="61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71"/>
      <c r="AU268" s="272"/>
    </row>
    <row r="269" spans="1:47" s="4" customFormat="1" ht="21.75" customHeight="1">
      <c r="A269" s="30"/>
      <c r="B269" s="38"/>
      <c r="C269" s="38"/>
      <c r="D269" s="39"/>
      <c r="E269" s="24"/>
      <c r="F269" s="24"/>
      <c r="G269" s="105"/>
      <c r="H269" s="24"/>
      <c r="I269" s="24"/>
      <c r="J269" s="24"/>
      <c r="K269" s="24"/>
      <c r="L269" s="24"/>
      <c r="M269" s="24"/>
      <c r="N269" s="61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71"/>
      <c r="AU269" s="272"/>
    </row>
    <row r="270" spans="1:47" s="4" customFormat="1" ht="21.75" customHeight="1">
      <c r="A270" s="30"/>
      <c r="B270" s="38"/>
      <c r="C270" s="38"/>
      <c r="D270" s="39"/>
      <c r="E270" s="24"/>
      <c r="F270" s="24"/>
      <c r="G270" s="105"/>
      <c r="H270" s="105"/>
      <c r="I270" s="24"/>
      <c r="J270" s="24"/>
      <c r="K270" s="24"/>
      <c r="L270" s="24"/>
      <c r="M270" s="24"/>
      <c r="N270" s="61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71"/>
      <c r="AU270" s="272"/>
    </row>
    <row r="271" spans="1:47" s="4" customFormat="1" ht="21.75" customHeight="1">
      <c r="A271" s="30"/>
      <c r="B271" s="38"/>
      <c r="C271" s="38"/>
      <c r="D271" s="39"/>
      <c r="E271" s="24"/>
      <c r="F271" s="24"/>
      <c r="G271" s="105"/>
      <c r="H271" s="105"/>
      <c r="I271" s="24"/>
      <c r="J271" s="24"/>
      <c r="K271" s="24"/>
      <c r="L271" s="24"/>
      <c r="M271" s="24"/>
      <c r="N271" s="61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71"/>
      <c r="AU271" s="272"/>
    </row>
    <row r="272" spans="1:47" s="4" customFormat="1" ht="21.75" customHeight="1">
      <c r="A272" s="30"/>
      <c r="B272" s="38"/>
      <c r="C272" s="38"/>
      <c r="D272" s="39"/>
      <c r="E272" s="24"/>
      <c r="F272" s="24"/>
      <c r="G272" s="105"/>
      <c r="H272" s="105"/>
      <c r="I272" s="24"/>
      <c r="J272" s="106"/>
      <c r="K272" s="24"/>
      <c r="L272" s="24"/>
      <c r="M272" s="24"/>
      <c r="N272" s="61"/>
      <c r="O272" s="24"/>
      <c r="P272" s="24"/>
      <c r="Q272" s="24"/>
      <c r="R272" s="24"/>
      <c r="S272" s="24"/>
      <c r="T272" s="24"/>
      <c r="U272" s="24"/>
      <c r="V272" s="110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71"/>
      <c r="AU272" s="272"/>
    </row>
    <row r="273" spans="1:47" s="4" customFormat="1" ht="21.75" customHeight="1" thickBot="1">
      <c r="A273" s="30"/>
      <c r="B273" s="38"/>
      <c r="C273" s="38"/>
      <c r="D273" s="39"/>
      <c r="E273" s="24"/>
      <c r="F273" s="107"/>
      <c r="G273" s="90"/>
      <c r="H273" s="24"/>
      <c r="I273" s="24"/>
      <c r="J273" s="24"/>
      <c r="K273" s="24"/>
      <c r="L273" s="24"/>
      <c r="M273" s="24"/>
      <c r="N273" s="61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81"/>
      <c r="AU273" s="275"/>
    </row>
    <row r="274" spans="1:47" s="4" customFormat="1" ht="21.75" customHeight="1">
      <c r="A274" s="30"/>
      <c r="B274" s="230"/>
      <c r="C274" s="231"/>
      <c r="D274" s="231"/>
      <c r="E274" s="231"/>
      <c r="F274" s="231"/>
      <c r="G274" s="231"/>
      <c r="H274" s="231"/>
      <c r="I274" s="232"/>
      <c r="J274" s="24"/>
      <c r="K274" s="24"/>
      <c r="L274" s="24"/>
      <c r="M274" s="24"/>
      <c r="N274" s="61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69"/>
      <c r="AU274" s="270"/>
    </row>
    <row r="275" spans="1:47" s="4" customFormat="1" ht="21.75" customHeight="1">
      <c r="A275" s="30"/>
      <c r="B275" s="67"/>
      <c r="C275" s="38"/>
      <c r="D275" s="39"/>
      <c r="E275" s="24"/>
      <c r="F275" s="107"/>
      <c r="G275" s="90"/>
      <c r="H275" s="24"/>
      <c r="I275" s="24"/>
      <c r="J275" s="24"/>
      <c r="K275" s="24"/>
      <c r="L275" s="24"/>
      <c r="M275" s="24"/>
      <c r="N275" s="61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71"/>
      <c r="AU275" s="272"/>
    </row>
    <row r="276" spans="1:47" s="4" customFormat="1" ht="21.75" customHeight="1">
      <c r="A276" s="30"/>
      <c r="B276" s="38"/>
      <c r="C276" s="38"/>
      <c r="D276" s="39"/>
      <c r="E276" s="24"/>
      <c r="F276" s="66"/>
      <c r="G276" s="105"/>
      <c r="H276" s="24"/>
      <c r="I276" s="24"/>
      <c r="J276" s="24"/>
      <c r="K276" s="24"/>
      <c r="L276" s="24"/>
      <c r="M276" s="24"/>
      <c r="N276" s="61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71"/>
      <c r="AU276" s="272"/>
    </row>
    <row r="277" spans="1:47" s="4" customFormat="1" ht="21.75" customHeight="1">
      <c r="A277" s="30"/>
      <c r="B277" s="38"/>
      <c r="C277" s="38"/>
      <c r="D277" s="39"/>
      <c r="E277" s="24"/>
      <c r="F277" s="66"/>
      <c r="G277" s="105"/>
      <c r="H277" s="24"/>
      <c r="I277" s="24"/>
      <c r="J277" s="24"/>
      <c r="K277" s="24"/>
      <c r="L277" s="24"/>
      <c r="M277" s="24"/>
      <c r="N277" s="61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71"/>
      <c r="AU277" s="272"/>
    </row>
    <row r="278" spans="1:47" s="4" customFormat="1" ht="21.75" customHeight="1">
      <c r="A278" s="30"/>
      <c r="B278" s="38"/>
      <c r="C278" s="38"/>
      <c r="D278" s="39"/>
      <c r="E278" s="24"/>
      <c r="F278" s="24"/>
      <c r="G278" s="105"/>
      <c r="H278" s="24"/>
      <c r="I278" s="24"/>
      <c r="J278" s="24"/>
      <c r="K278" s="24"/>
      <c r="L278" s="24"/>
      <c r="M278" s="24"/>
      <c r="N278" s="61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71"/>
      <c r="AU278" s="272"/>
    </row>
    <row r="279" spans="1:47" s="4" customFormat="1" ht="21.75" customHeight="1">
      <c r="A279" s="30"/>
      <c r="B279" s="38"/>
      <c r="C279" s="38"/>
      <c r="D279" s="39"/>
      <c r="E279" s="24"/>
      <c r="F279" s="24"/>
      <c r="G279" s="105"/>
      <c r="H279" s="24"/>
      <c r="I279" s="24"/>
      <c r="J279" s="24"/>
      <c r="K279" s="24"/>
      <c r="L279" s="24"/>
      <c r="M279" s="24"/>
      <c r="N279" s="61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71"/>
      <c r="AU279" s="272"/>
    </row>
    <row r="280" spans="1:47" s="4" customFormat="1" ht="21.75" customHeight="1">
      <c r="A280" s="30"/>
      <c r="B280" s="38"/>
      <c r="C280" s="38"/>
      <c r="D280" s="39"/>
      <c r="E280" s="24"/>
      <c r="F280" s="24"/>
      <c r="G280" s="105"/>
      <c r="H280" s="24"/>
      <c r="I280" s="24"/>
      <c r="J280" s="24"/>
      <c r="K280" s="24"/>
      <c r="L280" s="24"/>
      <c r="M280" s="24"/>
      <c r="N280" s="61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71"/>
      <c r="AU280" s="272"/>
    </row>
    <row r="281" spans="1:47" s="4" customFormat="1" ht="21.75" customHeight="1">
      <c r="A281" s="30"/>
      <c r="B281" s="38"/>
      <c r="C281" s="38"/>
      <c r="D281" s="39"/>
      <c r="E281" s="24"/>
      <c r="F281" s="24"/>
      <c r="G281" s="66"/>
      <c r="H281" s="24"/>
      <c r="I281" s="24"/>
      <c r="J281" s="24"/>
      <c r="K281" s="24"/>
      <c r="L281" s="24"/>
      <c r="M281" s="24"/>
      <c r="N281" s="61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71"/>
      <c r="AU281" s="272"/>
    </row>
    <row r="282" spans="1:47" s="4" customFormat="1" ht="21.75" customHeight="1">
      <c r="A282" s="30"/>
      <c r="B282" s="67"/>
      <c r="C282" s="38"/>
      <c r="D282" s="39"/>
      <c r="E282" s="24"/>
      <c r="F282" s="24"/>
      <c r="G282" s="66"/>
      <c r="H282" s="24"/>
      <c r="I282" s="24"/>
      <c r="J282" s="24"/>
      <c r="K282" s="24"/>
      <c r="L282" s="24"/>
      <c r="M282" s="24"/>
      <c r="N282" s="61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71"/>
      <c r="AU282" s="272"/>
    </row>
    <row r="283" spans="1:47" s="4" customFormat="1" ht="21.75" customHeight="1">
      <c r="A283" s="30"/>
      <c r="B283" s="38"/>
      <c r="C283" s="38"/>
      <c r="D283" s="39"/>
      <c r="E283" s="24"/>
      <c r="F283" s="24"/>
      <c r="G283" s="105"/>
      <c r="H283" s="105"/>
      <c r="I283" s="24"/>
      <c r="J283" s="24"/>
      <c r="K283" s="24"/>
      <c r="L283" s="24"/>
      <c r="M283" s="24"/>
      <c r="N283" s="61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71"/>
      <c r="AU283" s="272"/>
    </row>
    <row r="284" spans="1:47" s="4" customFormat="1" ht="21.75" customHeight="1">
      <c r="A284" s="30"/>
      <c r="B284" s="38"/>
      <c r="C284" s="46"/>
      <c r="D284" s="39"/>
      <c r="E284" s="24"/>
      <c r="F284" s="24"/>
      <c r="G284" s="105"/>
      <c r="H284" s="24"/>
      <c r="I284" s="24"/>
      <c r="J284" s="24"/>
      <c r="K284" s="24"/>
      <c r="L284" s="24"/>
      <c r="M284" s="24"/>
      <c r="N284" s="61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71"/>
      <c r="AU284" s="272"/>
    </row>
    <row r="285" spans="1:47" s="4" customFormat="1" ht="21.75" customHeight="1">
      <c r="A285" s="30"/>
      <c r="B285" s="38"/>
      <c r="C285" s="46"/>
      <c r="D285" s="39"/>
      <c r="E285" s="24"/>
      <c r="F285" s="66"/>
      <c r="G285" s="105"/>
      <c r="H285" s="24"/>
      <c r="I285" s="24"/>
      <c r="J285" s="24"/>
      <c r="K285" s="24"/>
      <c r="L285" s="24"/>
      <c r="M285" s="24"/>
      <c r="N285" s="61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71"/>
      <c r="AU285" s="272"/>
    </row>
    <row r="286" spans="1:47" s="4" customFormat="1" ht="21.75" customHeight="1">
      <c r="A286" s="30"/>
      <c r="B286" s="38"/>
      <c r="C286" s="46"/>
      <c r="D286" s="39"/>
      <c r="E286" s="24"/>
      <c r="F286" s="107"/>
      <c r="G286" s="90"/>
      <c r="H286" s="24"/>
      <c r="I286" s="24"/>
      <c r="J286" s="24"/>
      <c r="K286" s="24"/>
      <c r="L286" s="24"/>
      <c r="M286" s="24"/>
      <c r="N286" s="61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71"/>
      <c r="AU286" s="272"/>
    </row>
    <row r="287" spans="1:47" s="4" customFormat="1" ht="21.75" customHeight="1">
      <c r="A287" s="30"/>
      <c r="B287" s="38"/>
      <c r="C287" s="46"/>
      <c r="D287" s="39"/>
      <c r="E287" s="24"/>
      <c r="F287" s="107"/>
      <c r="G287" s="90"/>
      <c r="H287" s="24"/>
      <c r="I287" s="24"/>
      <c r="J287" s="24"/>
      <c r="K287" s="24"/>
      <c r="L287" s="24"/>
      <c r="M287" s="24"/>
      <c r="N287" s="61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73"/>
      <c r="AU287" s="272"/>
    </row>
    <row r="288" spans="1:47" s="4" customFormat="1" ht="21.75" customHeight="1">
      <c r="A288" s="30"/>
      <c r="B288" s="38"/>
      <c r="C288" s="46"/>
      <c r="D288" s="39"/>
      <c r="E288" s="24"/>
      <c r="F288" s="107"/>
      <c r="G288" s="90"/>
      <c r="H288" s="24"/>
      <c r="I288" s="24"/>
      <c r="J288" s="24"/>
      <c r="K288" s="24"/>
      <c r="L288" s="24"/>
      <c r="M288" s="24"/>
      <c r="N288" s="61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73"/>
      <c r="AU288" s="272"/>
    </row>
    <row r="289" spans="1:47" s="4" customFormat="1" ht="21.75" customHeight="1" thickBot="1">
      <c r="A289" s="30"/>
      <c r="B289" s="38"/>
      <c r="C289" s="38"/>
      <c r="D289" s="39"/>
      <c r="E289" s="24"/>
      <c r="F289" s="108"/>
      <c r="G289" s="90"/>
      <c r="H289" s="24"/>
      <c r="I289" s="24"/>
      <c r="J289" s="24"/>
      <c r="K289" s="24"/>
      <c r="L289" s="24"/>
      <c r="M289" s="24"/>
      <c r="N289" s="61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74"/>
      <c r="AU289" s="275"/>
    </row>
    <row r="290" spans="2:47" s="1" customFormat="1" ht="46.5" customHeight="1">
      <c r="B290" s="233"/>
      <c r="C290" s="234"/>
      <c r="D290" s="234"/>
      <c r="E290" s="234"/>
      <c r="F290" s="234"/>
      <c r="G290" s="234"/>
      <c r="H290" s="234"/>
      <c r="I290" s="234"/>
      <c r="J290" s="234"/>
      <c r="K290" s="234"/>
      <c r="L290" s="234"/>
      <c r="M290" s="234"/>
      <c r="N290" s="235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/>
      <c r="AF290" s="211"/>
      <c r="AG290" s="211"/>
      <c r="AH290" s="211"/>
      <c r="AI290" s="211"/>
      <c r="AJ290" s="211"/>
      <c r="AK290" s="211"/>
      <c r="AL290" s="211"/>
      <c r="AM290" s="211"/>
      <c r="AN290" s="211"/>
      <c r="AO290" s="211"/>
      <c r="AP290" s="211"/>
      <c r="AQ290" s="211"/>
      <c r="AR290" s="211"/>
      <c r="AS290" s="211"/>
      <c r="AT290" s="279"/>
      <c r="AU290" s="280"/>
    </row>
    <row r="291" spans="2:47" s="1" customFormat="1" ht="46.5" customHeight="1" thickBot="1">
      <c r="B291" s="236"/>
      <c r="C291" s="237"/>
      <c r="D291" s="237"/>
      <c r="E291" s="237"/>
      <c r="F291" s="237"/>
      <c r="G291" s="237"/>
      <c r="H291" s="237"/>
      <c r="I291" s="237"/>
      <c r="J291" s="237"/>
      <c r="K291" s="237"/>
      <c r="L291" s="237"/>
      <c r="M291" s="237"/>
      <c r="N291" s="238"/>
      <c r="O291" s="250"/>
      <c r="P291" s="250"/>
      <c r="Q291" s="250"/>
      <c r="R291" s="250"/>
      <c r="S291" s="250"/>
      <c r="T291" s="250"/>
      <c r="U291" s="212"/>
      <c r="V291" s="212"/>
      <c r="W291" s="212"/>
      <c r="X291" s="212"/>
      <c r="Y291" s="250"/>
      <c r="Z291" s="250"/>
      <c r="AA291" s="212"/>
      <c r="AB291" s="212"/>
      <c r="AC291" s="212"/>
      <c r="AD291" s="212"/>
      <c r="AE291" s="212"/>
      <c r="AF291" s="212"/>
      <c r="AG291" s="212"/>
      <c r="AH291" s="212"/>
      <c r="AI291" s="212"/>
      <c r="AJ291" s="212"/>
      <c r="AK291" s="212"/>
      <c r="AL291" s="212"/>
      <c r="AM291" s="212"/>
      <c r="AN291" s="212"/>
      <c r="AO291" s="212"/>
      <c r="AP291" s="212"/>
      <c r="AQ291" s="212"/>
      <c r="AR291" s="212"/>
      <c r="AS291" s="212"/>
      <c r="AT291" s="276"/>
      <c r="AU291" s="277"/>
    </row>
    <row r="292" spans="1:48" ht="36" customHeight="1">
      <c r="A292" s="10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85"/>
      <c r="U292" s="49"/>
      <c r="V292" s="49"/>
      <c r="Y292" s="85"/>
      <c r="Z292" s="49"/>
      <c r="AC292" s="49"/>
      <c r="AD292" s="49"/>
      <c r="AT292" s="49"/>
      <c r="AU292" s="49"/>
      <c r="AV292" s="11"/>
    </row>
    <row r="293" spans="2:47" ht="12.75"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85"/>
      <c r="U293" s="49"/>
      <c r="V293" s="49"/>
      <c r="Y293" s="85"/>
      <c r="Z293" s="49"/>
      <c r="AC293" s="49"/>
      <c r="AD293" s="49"/>
      <c r="AT293" s="49"/>
      <c r="AU293" s="49"/>
    </row>
    <row r="294" spans="2:47" ht="12.75"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85"/>
      <c r="U294" s="85"/>
      <c r="V294" s="85"/>
      <c r="Y294" s="85"/>
      <c r="Z294" s="49"/>
      <c r="AA294" s="18"/>
      <c r="AB294" s="18"/>
      <c r="AC294" s="49"/>
      <c r="AD294" s="49"/>
      <c r="AT294" s="49"/>
      <c r="AU294" s="49"/>
    </row>
    <row r="295" spans="2:47" ht="15.75">
      <c r="B295" s="224"/>
      <c r="C295" s="225"/>
      <c r="D295" s="225"/>
      <c r="E295" s="225"/>
      <c r="F295" s="225"/>
      <c r="G295" s="226"/>
      <c r="H295" s="53"/>
      <c r="I295" s="53"/>
      <c r="J295" s="53"/>
      <c r="K295" s="53"/>
      <c r="L295" s="53"/>
      <c r="M295" s="53"/>
      <c r="N295" s="53"/>
      <c r="O295" s="53"/>
      <c r="P295" s="53"/>
      <c r="Q295" s="101"/>
      <c r="R295" s="53"/>
      <c r="S295" s="94"/>
      <c r="T295" s="93"/>
      <c r="U295" s="101"/>
      <c r="V295" s="101"/>
      <c r="W295" s="101"/>
      <c r="X295" s="101"/>
      <c r="Y295" s="53"/>
      <c r="Z295" s="53"/>
      <c r="AA295" s="53"/>
      <c r="AB295" s="53"/>
      <c r="AC295" s="53"/>
      <c r="AD295" s="53"/>
      <c r="AT295" s="49"/>
      <c r="AU295" s="49"/>
    </row>
    <row r="296" spans="2:47" ht="15">
      <c r="B296" s="49"/>
      <c r="C296" s="49"/>
      <c r="D296" s="49"/>
      <c r="E296" s="49"/>
      <c r="F296" s="49"/>
      <c r="G296" s="49"/>
      <c r="H296" s="49"/>
      <c r="I296" s="49"/>
      <c r="J296" s="79"/>
      <c r="K296" s="79"/>
      <c r="L296" s="79"/>
      <c r="M296" s="79"/>
      <c r="N296" s="79"/>
      <c r="O296" s="193"/>
      <c r="P296" s="193"/>
      <c r="Q296" s="136"/>
      <c r="R296" s="136"/>
      <c r="S296" s="137"/>
      <c r="T296" s="79"/>
      <c r="U296" s="79"/>
      <c r="V296" s="79"/>
      <c r="W296" s="27"/>
      <c r="X296" s="27"/>
      <c r="Y296" s="79"/>
      <c r="Z296" s="79"/>
      <c r="AA296" s="27"/>
      <c r="AB296" s="27"/>
      <c r="AC296" s="79"/>
      <c r="AD296" s="79"/>
      <c r="AT296" s="49"/>
      <c r="AU296" s="49"/>
    </row>
    <row r="297" spans="2:47" ht="15">
      <c r="B297" s="49"/>
      <c r="C297" s="49"/>
      <c r="D297" s="49"/>
      <c r="E297" s="49"/>
      <c r="F297" s="49"/>
      <c r="G297" s="49"/>
      <c r="H297" s="49"/>
      <c r="I297" s="49"/>
      <c r="J297" s="79"/>
      <c r="K297" s="360"/>
      <c r="L297" s="361"/>
      <c r="M297" s="361"/>
      <c r="N297" s="361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B297" s="193"/>
      <c r="AC297" s="193"/>
      <c r="AD297" s="193"/>
      <c r="AT297" s="49"/>
      <c r="AU297" s="49"/>
    </row>
    <row r="298" spans="2:47" ht="12.75">
      <c r="B298" s="49"/>
      <c r="C298" s="49"/>
      <c r="D298" s="49"/>
      <c r="E298" s="49"/>
      <c r="F298" s="49"/>
      <c r="G298" s="49"/>
      <c r="H298" s="49"/>
      <c r="I298" s="4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137"/>
      <c r="U298" s="79"/>
      <c r="V298" s="79"/>
      <c r="W298" s="27"/>
      <c r="X298" s="27"/>
      <c r="Y298" s="79"/>
      <c r="Z298" s="79"/>
      <c r="AA298" s="27"/>
      <c r="AB298" s="27"/>
      <c r="AC298" s="79"/>
      <c r="AD298" s="79"/>
      <c r="AT298" s="49"/>
      <c r="AU298" s="49"/>
    </row>
    <row r="299" spans="2:47" ht="12.75">
      <c r="B299" s="49"/>
      <c r="C299" s="49"/>
      <c r="D299" s="49"/>
      <c r="E299" s="49"/>
      <c r="F299" s="49"/>
      <c r="G299" s="49"/>
      <c r="H299" s="49"/>
      <c r="I299" s="4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137"/>
      <c r="U299" s="79"/>
      <c r="V299" s="79"/>
      <c r="W299" s="27"/>
      <c r="X299" s="27"/>
      <c r="Y299" s="79"/>
      <c r="Z299" s="79"/>
      <c r="AA299" s="27"/>
      <c r="AB299" s="27"/>
      <c r="AC299" s="79"/>
      <c r="AD299" s="79"/>
      <c r="AT299" s="49"/>
      <c r="AU299" s="49"/>
    </row>
    <row r="300" spans="2:47" ht="12.75"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85"/>
      <c r="U300" s="49"/>
      <c r="V300" s="49"/>
      <c r="Y300" s="49"/>
      <c r="Z300" s="49"/>
      <c r="AC300" s="49"/>
      <c r="AD300" s="49"/>
      <c r="AT300" s="49"/>
      <c r="AU300" s="49"/>
    </row>
    <row r="301" spans="2:47" ht="12.75"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85"/>
      <c r="U301" s="49"/>
      <c r="V301" s="49"/>
      <c r="Y301" s="49"/>
      <c r="Z301" s="49"/>
      <c r="AC301" s="49"/>
      <c r="AD301" s="49"/>
      <c r="AT301" s="49"/>
      <c r="AU301" s="49"/>
    </row>
    <row r="302" spans="2:47" ht="12.75"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85"/>
      <c r="U302" s="49"/>
      <c r="V302" s="49"/>
      <c r="Y302" s="49"/>
      <c r="Z302" s="49"/>
      <c r="AC302" s="49"/>
      <c r="AD302" s="49"/>
      <c r="AT302" s="49"/>
      <c r="AU302" s="49"/>
    </row>
    <row r="303" spans="1:48" ht="36" customHeight="1" thickBot="1">
      <c r="A303" s="3"/>
      <c r="B303" s="54"/>
      <c r="C303" s="55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229"/>
      <c r="P303" s="229"/>
      <c r="Q303" s="229"/>
      <c r="R303" s="229"/>
      <c r="S303" s="229"/>
      <c r="T303" s="229"/>
      <c r="U303" s="229"/>
      <c r="V303" s="229"/>
      <c r="Y303" s="229"/>
      <c r="Z303" s="229"/>
      <c r="AC303" s="257"/>
      <c r="AD303" s="257"/>
      <c r="AT303" s="98"/>
      <c r="AU303" s="98"/>
      <c r="AV303" s="13"/>
    </row>
    <row r="304" spans="1:48" ht="21.75" customHeight="1">
      <c r="A304" s="4"/>
      <c r="B304" s="233"/>
      <c r="C304" s="299"/>
      <c r="D304" s="251"/>
      <c r="E304" s="251"/>
      <c r="F304" s="251"/>
      <c r="G304" s="254"/>
      <c r="H304" s="254"/>
      <c r="I304" s="251"/>
      <c r="J304" s="254"/>
      <c r="K304" s="254"/>
      <c r="L304" s="254"/>
      <c r="M304" s="254"/>
      <c r="N304" s="254"/>
      <c r="O304" s="216"/>
      <c r="P304" s="217"/>
      <c r="Q304" s="216"/>
      <c r="R304" s="217"/>
      <c r="S304" s="216"/>
      <c r="T304" s="217"/>
      <c r="U304" s="216"/>
      <c r="V304" s="217"/>
      <c r="W304" s="216"/>
      <c r="X304" s="217"/>
      <c r="Y304" s="216"/>
      <c r="Z304" s="217"/>
      <c r="AA304" s="216"/>
      <c r="AB304" s="217"/>
      <c r="AC304" s="216"/>
      <c r="AD304" s="217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282"/>
      <c r="AU304" s="282"/>
      <c r="AV304" s="4"/>
    </row>
    <row r="305" spans="1:48" ht="27.75" customHeight="1">
      <c r="A305" s="4"/>
      <c r="B305" s="293"/>
      <c r="C305" s="300"/>
      <c r="D305" s="255"/>
      <c r="E305" s="255"/>
      <c r="F305" s="255"/>
      <c r="G305" s="242"/>
      <c r="H305" s="242"/>
      <c r="I305" s="252"/>
      <c r="J305" s="255"/>
      <c r="K305" s="255"/>
      <c r="L305" s="242"/>
      <c r="M305" s="242"/>
      <c r="N305" s="242"/>
      <c r="O305" s="218"/>
      <c r="P305" s="219"/>
      <c r="Q305" s="218"/>
      <c r="R305" s="219"/>
      <c r="S305" s="218"/>
      <c r="T305" s="219"/>
      <c r="U305" s="218"/>
      <c r="V305" s="219"/>
      <c r="W305" s="218"/>
      <c r="X305" s="219"/>
      <c r="Y305" s="218"/>
      <c r="Z305" s="219"/>
      <c r="AA305" s="218"/>
      <c r="AB305" s="219"/>
      <c r="AC305" s="218"/>
      <c r="AD305" s="219"/>
      <c r="AE305" s="241"/>
      <c r="AF305" s="241"/>
      <c r="AG305" s="241"/>
      <c r="AH305" s="241"/>
      <c r="AI305" s="241"/>
      <c r="AJ305" s="241"/>
      <c r="AK305" s="241"/>
      <c r="AL305" s="241"/>
      <c r="AM305" s="241"/>
      <c r="AN305" s="241"/>
      <c r="AO305" s="241"/>
      <c r="AP305" s="241"/>
      <c r="AQ305" s="241"/>
      <c r="AR305" s="241"/>
      <c r="AS305" s="241"/>
      <c r="AT305" s="283"/>
      <c r="AU305" s="304"/>
      <c r="AV305" s="4"/>
    </row>
    <row r="306" spans="1:48" ht="27.75" customHeight="1" thickBot="1">
      <c r="A306" s="4"/>
      <c r="B306" s="293"/>
      <c r="C306" s="300"/>
      <c r="D306" s="255"/>
      <c r="E306" s="255"/>
      <c r="F306" s="255"/>
      <c r="G306" s="242"/>
      <c r="H306" s="242"/>
      <c r="I306" s="252"/>
      <c r="J306" s="255"/>
      <c r="K306" s="255"/>
      <c r="L306" s="242"/>
      <c r="M306" s="242"/>
      <c r="N306" s="242"/>
      <c r="O306" s="220"/>
      <c r="P306" s="221"/>
      <c r="Q306" s="220"/>
      <c r="R306" s="221"/>
      <c r="S306" s="220"/>
      <c r="T306" s="221"/>
      <c r="U306" s="220"/>
      <c r="V306" s="221"/>
      <c r="W306" s="220"/>
      <c r="X306" s="221"/>
      <c r="Y306" s="220"/>
      <c r="Z306" s="221"/>
      <c r="AA306" s="220"/>
      <c r="AB306" s="221"/>
      <c r="AC306" s="220"/>
      <c r="AD306" s="221"/>
      <c r="AE306" s="242"/>
      <c r="AF306" s="242"/>
      <c r="AG306" s="242"/>
      <c r="AH306" s="242"/>
      <c r="AI306" s="242"/>
      <c r="AJ306" s="242"/>
      <c r="AK306" s="242"/>
      <c r="AL306" s="242"/>
      <c r="AM306" s="242"/>
      <c r="AN306" s="242"/>
      <c r="AO306" s="242"/>
      <c r="AP306" s="242"/>
      <c r="AQ306" s="242"/>
      <c r="AR306" s="242"/>
      <c r="AS306" s="242"/>
      <c r="AT306" s="284"/>
      <c r="AU306" s="304"/>
      <c r="AV306" s="4"/>
    </row>
    <row r="307" spans="1:48" ht="27.75" customHeight="1">
      <c r="A307" s="4"/>
      <c r="B307" s="293"/>
      <c r="C307" s="300"/>
      <c r="D307" s="255"/>
      <c r="E307" s="255"/>
      <c r="F307" s="255"/>
      <c r="G307" s="242"/>
      <c r="H307" s="242"/>
      <c r="I307" s="252"/>
      <c r="J307" s="255"/>
      <c r="K307" s="255"/>
      <c r="L307" s="242"/>
      <c r="M307" s="242"/>
      <c r="N307" s="242"/>
      <c r="O307" s="220"/>
      <c r="P307" s="221"/>
      <c r="Q307" s="220"/>
      <c r="R307" s="221"/>
      <c r="S307" s="220"/>
      <c r="T307" s="221"/>
      <c r="U307" s="220"/>
      <c r="V307" s="221"/>
      <c r="W307" s="220"/>
      <c r="X307" s="221"/>
      <c r="Y307" s="220"/>
      <c r="Z307" s="221"/>
      <c r="AA307" s="220"/>
      <c r="AB307" s="221"/>
      <c r="AC307" s="220"/>
      <c r="AD307" s="221"/>
      <c r="AE307" s="242"/>
      <c r="AF307" s="242"/>
      <c r="AG307" s="242"/>
      <c r="AH307" s="242"/>
      <c r="AI307" s="242"/>
      <c r="AJ307" s="242"/>
      <c r="AK307" s="242"/>
      <c r="AL307" s="242"/>
      <c r="AM307" s="242"/>
      <c r="AN307" s="242"/>
      <c r="AO307" s="242"/>
      <c r="AP307" s="242"/>
      <c r="AQ307" s="242"/>
      <c r="AR307" s="242"/>
      <c r="AS307" s="242"/>
      <c r="AT307" s="269"/>
      <c r="AU307" s="270"/>
      <c r="AV307" s="4"/>
    </row>
    <row r="308" spans="1:48" ht="27.75" customHeight="1">
      <c r="A308" s="4"/>
      <c r="B308" s="293"/>
      <c r="C308" s="300"/>
      <c r="D308" s="255"/>
      <c r="E308" s="255"/>
      <c r="F308" s="255"/>
      <c r="G308" s="242"/>
      <c r="H308" s="242"/>
      <c r="I308" s="252"/>
      <c r="J308" s="255"/>
      <c r="K308" s="255"/>
      <c r="L308" s="242"/>
      <c r="M308" s="242"/>
      <c r="N308" s="242"/>
      <c r="O308" s="220"/>
      <c r="P308" s="221"/>
      <c r="Q308" s="220"/>
      <c r="R308" s="221"/>
      <c r="S308" s="220"/>
      <c r="T308" s="221"/>
      <c r="U308" s="220"/>
      <c r="V308" s="221"/>
      <c r="W308" s="220"/>
      <c r="X308" s="221"/>
      <c r="Y308" s="220"/>
      <c r="Z308" s="221"/>
      <c r="AA308" s="220"/>
      <c r="AB308" s="221"/>
      <c r="AC308" s="220"/>
      <c r="AD308" s="221"/>
      <c r="AE308" s="242"/>
      <c r="AF308" s="242"/>
      <c r="AG308" s="242"/>
      <c r="AH308" s="242"/>
      <c r="AI308" s="242"/>
      <c r="AJ308" s="242"/>
      <c r="AK308" s="242"/>
      <c r="AL308" s="242"/>
      <c r="AM308" s="242"/>
      <c r="AN308" s="242"/>
      <c r="AO308" s="242"/>
      <c r="AP308" s="242"/>
      <c r="AQ308" s="242"/>
      <c r="AR308" s="242"/>
      <c r="AS308" s="242"/>
      <c r="AT308" s="271"/>
      <c r="AU308" s="272"/>
      <c r="AV308" s="4"/>
    </row>
    <row r="309" spans="1:48" ht="27.75" customHeight="1">
      <c r="A309" s="4"/>
      <c r="B309" s="293"/>
      <c r="C309" s="300"/>
      <c r="D309" s="255"/>
      <c r="E309" s="255"/>
      <c r="F309" s="255"/>
      <c r="G309" s="242"/>
      <c r="H309" s="242"/>
      <c r="I309" s="252"/>
      <c r="J309" s="255"/>
      <c r="K309" s="255"/>
      <c r="L309" s="242"/>
      <c r="M309" s="242"/>
      <c r="N309" s="242"/>
      <c r="O309" s="220"/>
      <c r="P309" s="221"/>
      <c r="Q309" s="220"/>
      <c r="R309" s="221"/>
      <c r="S309" s="220"/>
      <c r="T309" s="221"/>
      <c r="U309" s="220"/>
      <c r="V309" s="221"/>
      <c r="W309" s="220"/>
      <c r="X309" s="221"/>
      <c r="Y309" s="220"/>
      <c r="Z309" s="221"/>
      <c r="AA309" s="220"/>
      <c r="AB309" s="221"/>
      <c r="AC309" s="220"/>
      <c r="AD309" s="221"/>
      <c r="AE309" s="242"/>
      <c r="AF309" s="242"/>
      <c r="AG309" s="242"/>
      <c r="AH309" s="242"/>
      <c r="AI309" s="242"/>
      <c r="AJ309" s="242"/>
      <c r="AK309" s="242"/>
      <c r="AL309" s="242"/>
      <c r="AM309" s="242"/>
      <c r="AN309" s="242"/>
      <c r="AO309" s="242"/>
      <c r="AP309" s="242"/>
      <c r="AQ309" s="242"/>
      <c r="AR309" s="242"/>
      <c r="AS309" s="242"/>
      <c r="AT309" s="271"/>
      <c r="AU309" s="272"/>
      <c r="AV309" s="4"/>
    </row>
    <row r="310" spans="1:48" ht="27.75" customHeight="1">
      <c r="A310" s="4"/>
      <c r="B310" s="293"/>
      <c r="C310" s="300"/>
      <c r="D310" s="255"/>
      <c r="E310" s="255"/>
      <c r="F310" s="255"/>
      <c r="G310" s="242"/>
      <c r="H310" s="242"/>
      <c r="I310" s="252"/>
      <c r="J310" s="255"/>
      <c r="K310" s="255"/>
      <c r="L310" s="242"/>
      <c r="M310" s="242"/>
      <c r="N310" s="242"/>
      <c r="O310" s="220"/>
      <c r="P310" s="221"/>
      <c r="Q310" s="220"/>
      <c r="R310" s="221"/>
      <c r="S310" s="220"/>
      <c r="T310" s="221"/>
      <c r="U310" s="220"/>
      <c r="V310" s="221"/>
      <c r="W310" s="220"/>
      <c r="X310" s="221"/>
      <c r="Y310" s="220"/>
      <c r="Z310" s="221"/>
      <c r="AA310" s="220"/>
      <c r="AB310" s="221"/>
      <c r="AC310" s="220"/>
      <c r="AD310" s="221"/>
      <c r="AE310" s="242"/>
      <c r="AF310" s="242"/>
      <c r="AG310" s="242"/>
      <c r="AH310" s="242"/>
      <c r="AI310" s="242"/>
      <c r="AJ310" s="242"/>
      <c r="AK310" s="242"/>
      <c r="AL310" s="242"/>
      <c r="AM310" s="242"/>
      <c r="AN310" s="242"/>
      <c r="AO310" s="242"/>
      <c r="AP310" s="242"/>
      <c r="AQ310" s="242"/>
      <c r="AR310" s="242"/>
      <c r="AS310" s="242"/>
      <c r="AT310" s="271"/>
      <c r="AU310" s="272"/>
      <c r="AV310" s="4"/>
    </row>
    <row r="311" spans="1:48" ht="27.75" customHeight="1">
      <c r="A311" s="4"/>
      <c r="B311" s="293"/>
      <c r="C311" s="300"/>
      <c r="D311" s="255"/>
      <c r="E311" s="255"/>
      <c r="F311" s="255"/>
      <c r="G311" s="242"/>
      <c r="H311" s="242"/>
      <c r="I311" s="252"/>
      <c r="J311" s="255"/>
      <c r="K311" s="255"/>
      <c r="L311" s="242"/>
      <c r="M311" s="242"/>
      <c r="N311" s="242"/>
      <c r="O311" s="220"/>
      <c r="P311" s="221"/>
      <c r="Q311" s="220"/>
      <c r="R311" s="221"/>
      <c r="S311" s="220"/>
      <c r="T311" s="221"/>
      <c r="U311" s="220"/>
      <c r="V311" s="221"/>
      <c r="W311" s="220"/>
      <c r="X311" s="221"/>
      <c r="Y311" s="220"/>
      <c r="Z311" s="221"/>
      <c r="AA311" s="220"/>
      <c r="AB311" s="221"/>
      <c r="AC311" s="220"/>
      <c r="AD311" s="221"/>
      <c r="AE311" s="242"/>
      <c r="AF311" s="242"/>
      <c r="AG311" s="242"/>
      <c r="AH311" s="242"/>
      <c r="AI311" s="242"/>
      <c r="AJ311" s="242"/>
      <c r="AK311" s="242"/>
      <c r="AL311" s="242"/>
      <c r="AM311" s="242"/>
      <c r="AN311" s="242"/>
      <c r="AO311" s="242"/>
      <c r="AP311" s="242"/>
      <c r="AQ311" s="242"/>
      <c r="AR311" s="242"/>
      <c r="AS311" s="242"/>
      <c r="AT311" s="271"/>
      <c r="AU311" s="272"/>
      <c r="AV311" s="4"/>
    </row>
    <row r="312" spans="1:48" ht="27.75" customHeight="1">
      <c r="A312" s="5"/>
      <c r="B312" s="301"/>
      <c r="C312" s="302"/>
      <c r="D312" s="256"/>
      <c r="E312" s="256"/>
      <c r="F312" s="256"/>
      <c r="G312" s="243"/>
      <c r="H312" s="243"/>
      <c r="I312" s="253"/>
      <c r="J312" s="256"/>
      <c r="K312" s="256"/>
      <c r="L312" s="243"/>
      <c r="M312" s="243"/>
      <c r="N312" s="243"/>
      <c r="O312" s="222"/>
      <c r="P312" s="223"/>
      <c r="Q312" s="222"/>
      <c r="R312" s="223"/>
      <c r="S312" s="222"/>
      <c r="T312" s="223"/>
      <c r="U312" s="222"/>
      <c r="V312" s="223"/>
      <c r="W312" s="222"/>
      <c r="X312" s="223"/>
      <c r="Y312" s="222"/>
      <c r="Z312" s="223"/>
      <c r="AA312" s="222"/>
      <c r="AB312" s="223"/>
      <c r="AC312" s="222"/>
      <c r="AD312" s="223"/>
      <c r="AE312" s="243"/>
      <c r="AF312" s="243"/>
      <c r="AG312" s="243"/>
      <c r="AH312" s="243"/>
      <c r="AI312" s="243"/>
      <c r="AJ312" s="243"/>
      <c r="AK312" s="243"/>
      <c r="AL312" s="243"/>
      <c r="AM312" s="243"/>
      <c r="AN312" s="243"/>
      <c r="AO312" s="243"/>
      <c r="AP312" s="243"/>
      <c r="AQ312" s="243"/>
      <c r="AR312" s="243"/>
      <c r="AS312" s="243"/>
      <c r="AT312" s="271"/>
      <c r="AU312" s="272"/>
      <c r="AV312" s="5"/>
    </row>
    <row r="313" spans="1:48" ht="21.75" customHeight="1" thickBot="1">
      <c r="A313" s="7"/>
      <c r="B313" s="56"/>
      <c r="C313" s="56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208"/>
      <c r="P313" s="210"/>
      <c r="Q313" s="208"/>
      <c r="R313" s="210"/>
      <c r="S313" s="208"/>
      <c r="T313" s="210"/>
      <c r="U313" s="208"/>
      <c r="V313" s="210"/>
      <c r="W313" s="208"/>
      <c r="X313" s="210"/>
      <c r="Y313" s="208"/>
      <c r="Z313" s="210"/>
      <c r="AA313" s="208"/>
      <c r="AB313" s="210"/>
      <c r="AC313" s="208"/>
      <c r="AD313" s="210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271"/>
      <c r="AU313" s="272"/>
      <c r="AV313" s="7"/>
    </row>
    <row r="314" spans="1:48" ht="21.75" customHeight="1">
      <c r="A314" s="30"/>
      <c r="B314" s="77"/>
      <c r="C314" s="113"/>
      <c r="D314" s="39"/>
      <c r="E314" s="24"/>
      <c r="F314" s="24"/>
      <c r="G314" s="24"/>
      <c r="H314" s="24"/>
      <c r="I314" s="24"/>
      <c r="J314" s="24"/>
      <c r="K314" s="24"/>
      <c r="L314" s="24"/>
      <c r="M314" s="24"/>
      <c r="N314" s="61"/>
      <c r="O314" s="227"/>
      <c r="P314" s="227"/>
      <c r="Q314" s="227"/>
      <c r="R314" s="227"/>
      <c r="S314" s="227"/>
      <c r="T314" s="227"/>
      <c r="U314" s="227"/>
      <c r="V314" s="227"/>
      <c r="W314" s="227"/>
      <c r="X314" s="227"/>
      <c r="Y314" s="227"/>
      <c r="Z314" s="227"/>
      <c r="AA314" s="227"/>
      <c r="AB314" s="227"/>
      <c r="AC314" s="265"/>
      <c r="AD314" s="265"/>
      <c r="AE314" s="227"/>
      <c r="AF314" s="227"/>
      <c r="AG314" s="227"/>
      <c r="AH314" s="227"/>
      <c r="AI314" s="227"/>
      <c r="AJ314" s="227"/>
      <c r="AK314" s="227"/>
      <c r="AL314" s="227"/>
      <c r="AM314" s="227"/>
      <c r="AN314" s="227"/>
      <c r="AO314" s="227"/>
      <c r="AP314" s="227"/>
      <c r="AQ314" s="227"/>
      <c r="AR314" s="227"/>
      <c r="AS314" s="227"/>
      <c r="AT314" s="271"/>
      <c r="AU314" s="272"/>
      <c r="AV314" s="4"/>
    </row>
    <row r="315" spans="1:48" ht="21.75" customHeight="1">
      <c r="A315" s="30"/>
      <c r="B315" s="230"/>
      <c r="C315" s="231"/>
      <c r="D315" s="231"/>
      <c r="E315" s="231"/>
      <c r="F315" s="231"/>
      <c r="G315" s="231"/>
      <c r="H315" s="231"/>
      <c r="I315" s="232"/>
      <c r="J315" s="24"/>
      <c r="K315" s="24"/>
      <c r="L315" s="24"/>
      <c r="M315" s="24"/>
      <c r="N315" s="61"/>
      <c r="O315" s="228"/>
      <c r="P315" s="228"/>
      <c r="Q315" s="228"/>
      <c r="R315" s="228"/>
      <c r="S315" s="228"/>
      <c r="T315" s="228"/>
      <c r="U315" s="228"/>
      <c r="V315" s="228"/>
      <c r="W315" s="228"/>
      <c r="X315" s="228"/>
      <c r="Y315" s="228"/>
      <c r="Z315" s="228"/>
      <c r="AA315" s="228"/>
      <c r="AB315" s="228"/>
      <c r="AC315" s="266"/>
      <c r="AD315" s="266"/>
      <c r="AE315" s="228"/>
      <c r="AF315" s="228"/>
      <c r="AG315" s="228"/>
      <c r="AH315" s="228"/>
      <c r="AI315" s="228"/>
      <c r="AJ315" s="228"/>
      <c r="AK315" s="228"/>
      <c r="AL315" s="228"/>
      <c r="AM315" s="228"/>
      <c r="AN315" s="228"/>
      <c r="AO315" s="228"/>
      <c r="AP315" s="228"/>
      <c r="AQ315" s="228"/>
      <c r="AR315" s="228"/>
      <c r="AS315" s="228"/>
      <c r="AT315" s="271"/>
      <c r="AU315" s="272"/>
      <c r="AV315" s="4"/>
    </row>
    <row r="316" spans="1:48" ht="21.75" customHeight="1">
      <c r="A316" s="30"/>
      <c r="B316" s="77"/>
      <c r="C316" s="38"/>
      <c r="D316" s="39"/>
      <c r="E316" s="24"/>
      <c r="F316" s="24"/>
      <c r="G316" s="24"/>
      <c r="H316" s="24"/>
      <c r="I316" s="24"/>
      <c r="J316" s="24"/>
      <c r="K316" s="24"/>
      <c r="L316" s="24"/>
      <c r="M316" s="24"/>
      <c r="N316" s="61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71"/>
      <c r="AU316" s="272"/>
      <c r="AV316" s="4"/>
    </row>
    <row r="317" spans="1:48" ht="21.75" customHeight="1">
      <c r="A317" s="30"/>
      <c r="B317" s="38"/>
      <c r="C317" s="38"/>
      <c r="D317" s="39"/>
      <c r="E317" s="24"/>
      <c r="F317" s="66"/>
      <c r="G317" s="105"/>
      <c r="H317" s="105"/>
      <c r="I317" s="24"/>
      <c r="J317" s="24"/>
      <c r="K317" s="24"/>
      <c r="L317" s="24"/>
      <c r="M317" s="24"/>
      <c r="N317" s="61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71"/>
      <c r="AU317" s="272"/>
      <c r="AV317" s="4"/>
    </row>
    <row r="318" spans="1:48" ht="21.75" customHeight="1">
      <c r="A318" s="30"/>
      <c r="B318" s="38"/>
      <c r="C318" s="38"/>
      <c r="D318" s="39"/>
      <c r="E318" s="24"/>
      <c r="F318" s="66"/>
      <c r="G318" s="105"/>
      <c r="H318" s="105"/>
      <c r="I318" s="24"/>
      <c r="J318" s="24"/>
      <c r="K318" s="24"/>
      <c r="L318" s="24"/>
      <c r="M318" s="24"/>
      <c r="N318" s="61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71"/>
      <c r="AU318" s="272"/>
      <c r="AV318" s="4"/>
    </row>
    <row r="319" spans="1:48" ht="21.75" customHeight="1">
      <c r="A319" s="30"/>
      <c r="B319" s="38"/>
      <c r="C319" s="38"/>
      <c r="D319" s="39"/>
      <c r="E319" s="24"/>
      <c r="F319" s="24"/>
      <c r="G319" s="105"/>
      <c r="H319" s="105"/>
      <c r="I319" s="24"/>
      <c r="J319" s="106"/>
      <c r="K319" s="24"/>
      <c r="L319" s="24"/>
      <c r="M319" s="24"/>
      <c r="N319" s="61"/>
      <c r="O319" s="24"/>
      <c r="P319" s="24"/>
      <c r="Q319" s="24"/>
      <c r="R319" s="24"/>
      <c r="S319" s="24"/>
      <c r="T319" s="24"/>
      <c r="U319" s="110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71"/>
      <c r="AU319" s="272"/>
      <c r="AV319" s="4"/>
    </row>
    <row r="320" spans="1:48" ht="21.75" customHeight="1">
      <c r="A320" s="30"/>
      <c r="B320" s="38"/>
      <c r="C320" s="38"/>
      <c r="D320" s="39"/>
      <c r="E320" s="24"/>
      <c r="F320" s="24"/>
      <c r="G320" s="105"/>
      <c r="H320" s="105"/>
      <c r="I320" s="24"/>
      <c r="J320" s="106"/>
      <c r="K320" s="24"/>
      <c r="L320" s="24"/>
      <c r="M320" s="24"/>
      <c r="N320" s="61"/>
      <c r="O320" s="24"/>
      <c r="P320" s="24"/>
      <c r="Q320" s="24"/>
      <c r="R320" s="24"/>
      <c r="S320" s="24"/>
      <c r="T320" s="24"/>
      <c r="U320" s="110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71"/>
      <c r="AU320" s="272"/>
      <c r="AV320" s="4"/>
    </row>
    <row r="321" spans="1:48" ht="21.75" customHeight="1">
      <c r="A321" s="30"/>
      <c r="B321" s="38"/>
      <c r="C321" s="38"/>
      <c r="D321" s="39"/>
      <c r="E321" s="24"/>
      <c r="F321" s="66"/>
      <c r="G321" s="105"/>
      <c r="H321" s="105"/>
      <c r="I321" s="24"/>
      <c r="J321" s="24"/>
      <c r="K321" s="24"/>
      <c r="L321" s="24"/>
      <c r="M321" s="24"/>
      <c r="N321" s="61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71"/>
      <c r="AU321" s="272"/>
      <c r="AV321" s="4"/>
    </row>
    <row r="322" spans="1:48" ht="21.75" customHeight="1">
      <c r="A322" s="30"/>
      <c r="B322" s="38"/>
      <c r="C322" s="38"/>
      <c r="D322" s="39"/>
      <c r="E322" s="24"/>
      <c r="F322" s="24"/>
      <c r="G322" s="24"/>
      <c r="H322" s="24"/>
      <c r="I322" s="24"/>
      <c r="J322" s="24"/>
      <c r="K322" s="24"/>
      <c r="L322" s="24"/>
      <c r="M322" s="24"/>
      <c r="N322" s="61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71"/>
      <c r="AU322" s="272"/>
      <c r="AV322" s="4"/>
    </row>
    <row r="323" spans="1:48" ht="21.75" customHeight="1">
      <c r="A323" s="30"/>
      <c r="B323" s="38"/>
      <c r="C323" s="38"/>
      <c r="D323" s="39"/>
      <c r="E323" s="24"/>
      <c r="F323" s="24"/>
      <c r="G323" s="105"/>
      <c r="H323" s="105"/>
      <c r="I323" s="24"/>
      <c r="J323" s="24"/>
      <c r="K323" s="24"/>
      <c r="L323" s="24"/>
      <c r="M323" s="24"/>
      <c r="N323" s="61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71"/>
      <c r="AU323" s="272"/>
      <c r="AV323" s="4"/>
    </row>
    <row r="324" spans="1:48" ht="21.75" customHeight="1">
      <c r="A324" s="30"/>
      <c r="B324" s="38"/>
      <c r="C324" s="38"/>
      <c r="D324" s="39"/>
      <c r="E324" s="24"/>
      <c r="F324" s="24"/>
      <c r="G324" s="24"/>
      <c r="H324" s="24"/>
      <c r="I324" s="24"/>
      <c r="J324" s="24"/>
      <c r="K324" s="24"/>
      <c r="L324" s="24"/>
      <c r="M324" s="24"/>
      <c r="N324" s="61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71"/>
      <c r="AU324" s="272"/>
      <c r="AV324" s="4"/>
    </row>
    <row r="325" spans="1:48" ht="21.75" customHeight="1">
      <c r="A325" s="30"/>
      <c r="B325" s="38"/>
      <c r="C325" s="38"/>
      <c r="D325" s="39"/>
      <c r="E325" s="24"/>
      <c r="F325" s="66"/>
      <c r="G325" s="24"/>
      <c r="H325" s="24"/>
      <c r="I325" s="24"/>
      <c r="J325" s="24"/>
      <c r="K325" s="24"/>
      <c r="L325" s="24"/>
      <c r="M325" s="24"/>
      <c r="N325" s="61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71"/>
      <c r="AU325" s="272"/>
      <c r="AV325" s="4"/>
    </row>
    <row r="326" spans="1:48" ht="21.75" customHeight="1">
      <c r="A326" s="30"/>
      <c r="B326" s="38"/>
      <c r="C326" s="38"/>
      <c r="D326" s="39"/>
      <c r="E326" s="24"/>
      <c r="F326" s="24"/>
      <c r="G326" s="24"/>
      <c r="H326" s="24"/>
      <c r="I326" s="24"/>
      <c r="J326" s="24"/>
      <c r="K326" s="24"/>
      <c r="L326" s="24"/>
      <c r="M326" s="24"/>
      <c r="N326" s="61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71"/>
      <c r="AU326" s="272"/>
      <c r="AV326" s="4"/>
    </row>
    <row r="327" spans="1:48" ht="21.75" customHeight="1">
      <c r="A327" s="30"/>
      <c r="B327" s="230"/>
      <c r="C327" s="231"/>
      <c r="D327" s="231"/>
      <c r="E327" s="231"/>
      <c r="F327" s="231"/>
      <c r="G327" s="231"/>
      <c r="H327" s="231"/>
      <c r="I327" s="232"/>
      <c r="J327" s="24"/>
      <c r="K327" s="24"/>
      <c r="L327" s="24"/>
      <c r="M327" s="24"/>
      <c r="N327" s="61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71"/>
      <c r="AU327" s="272"/>
      <c r="AV327" s="4"/>
    </row>
    <row r="328" spans="1:48" ht="21.75" customHeight="1">
      <c r="A328" s="30"/>
      <c r="B328" s="67"/>
      <c r="C328" s="38"/>
      <c r="D328" s="39"/>
      <c r="E328" s="24"/>
      <c r="F328" s="107"/>
      <c r="G328" s="90"/>
      <c r="H328" s="24"/>
      <c r="I328" s="24"/>
      <c r="J328" s="24"/>
      <c r="K328" s="24"/>
      <c r="L328" s="24"/>
      <c r="M328" s="24"/>
      <c r="N328" s="61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71"/>
      <c r="AU328" s="272"/>
      <c r="AV328" s="4"/>
    </row>
    <row r="329" spans="1:48" ht="21.75" customHeight="1">
      <c r="A329" s="30"/>
      <c r="B329" s="38"/>
      <c r="C329" s="38"/>
      <c r="D329" s="39"/>
      <c r="E329" s="24"/>
      <c r="F329" s="66"/>
      <c r="G329" s="105"/>
      <c r="H329" s="24"/>
      <c r="I329" s="24"/>
      <c r="J329" s="24"/>
      <c r="K329" s="24"/>
      <c r="L329" s="24"/>
      <c r="M329" s="24"/>
      <c r="N329" s="61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71"/>
      <c r="AU329" s="272"/>
      <c r="AV329" s="4"/>
    </row>
    <row r="330" spans="1:48" ht="21.75" customHeight="1">
      <c r="A330" s="30"/>
      <c r="B330" s="38"/>
      <c r="C330" s="38"/>
      <c r="D330" s="39"/>
      <c r="E330" s="24"/>
      <c r="F330" s="24"/>
      <c r="G330" s="105"/>
      <c r="H330" s="24"/>
      <c r="I330" s="24"/>
      <c r="J330" s="39"/>
      <c r="K330" s="24"/>
      <c r="L330" s="24"/>
      <c r="M330" s="24"/>
      <c r="N330" s="61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71"/>
      <c r="AU330" s="272"/>
      <c r="AV330" s="4"/>
    </row>
    <row r="331" spans="1:48" ht="21.75" customHeight="1">
      <c r="A331" s="30"/>
      <c r="B331" s="38"/>
      <c r="C331" s="38"/>
      <c r="D331" s="39"/>
      <c r="E331" s="24"/>
      <c r="F331" s="24"/>
      <c r="G331" s="105"/>
      <c r="H331" s="24"/>
      <c r="I331" s="24"/>
      <c r="J331" s="24"/>
      <c r="K331" s="24"/>
      <c r="L331" s="24"/>
      <c r="M331" s="24"/>
      <c r="N331" s="61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71"/>
      <c r="AU331" s="272"/>
      <c r="AV331" s="4"/>
    </row>
    <row r="332" spans="1:48" ht="21.75" customHeight="1">
      <c r="A332" s="30"/>
      <c r="B332" s="38"/>
      <c r="C332" s="38"/>
      <c r="D332" s="39"/>
      <c r="E332" s="24"/>
      <c r="F332" s="24"/>
      <c r="G332" s="24"/>
      <c r="H332" s="24"/>
      <c r="I332" s="24"/>
      <c r="J332" s="39"/>
      <c r="K332" s="24"/>
      <c r="L332" s="24"/>
      <c r="M332" s="24"/>
      <c r="N332" s="61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71"/>
      <c r="AU332" s="272"/>
      <c r="AV332" s="4"/>
    </row>
    <row r="333" spans="1:48" ht="21.75" customHeight="1">
      <c r="A333" s="30"/>
      <c r="B333" s="38"/>
      <c r="C333" s="38"/>
      <c r="D333" s="39"/>
      <c r="E333" s="24"/>
      <c r="F333" s="66"/>
      <c r="G333" s="24"/>
      <c r="H333" s="24"/>
      <c r="I333" s="24"/>
      <c r="J333" s="24"/>
      <c r="K333" s="24"/>
      <c r="L333" s="24"/>
      <c r="M333" s="24"/>
      <c r="N333" s="61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71"/>
      <c r="AU333" s="272"/>
      <c r="AV333" s="4"/>
    </row>
    <row r="334" spans="1:48" ht="21.75" customHeight="1">
      <c r="A334" s="30"/>
      <c r="B334" s="38"/>
      <c r="C334" s="46"/>
      <c r="D334" s="39"/>
      <c r="E334" s="24"/>
      <c r="F334" s="24"/>
      <c r="G334" s="24"/>
      <c r="H334" s="24"/>
      <c r="I334" s="24"/>
      <c r="J334" s="24"/>
      <c r="K334" s="24"/>
      <c r="L334" s="24"/>
      <c r="M334" s="24"/>
      <c r="N334" s="61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71"/>
      <c r="AU334" s="272"/>
      <c r="AV334" s="4"/>
    </row>
    <row r="335" spans="1:48" ht="21.75" customHeight="1">
      <c r="A335" s="30"/>
      <c r="B335" s="38"/>
      <c r="C335" s="38"/>
      <c r="D335" s="39"/>
      <c r="E335" s="24"/>
      <c r="F335" s="24"/>
      <c r="G335" s="24"/>
      <c r="H335" s="24"/>
      <c r="I335" s="24"/>
      <c r="J335" s="24"/>
      <c r="K335" s="24"/>
      <c r="L335" s="24"/>
      <c r="M335" s="24"/>
      <c r="N335" s="61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71"/>
      <c r="AU335" s="272"/>
      <c r="AV335" s="4"/>
    </row>
    <row r="336" spans="1:48" ht="21.75" customHeight="1">
      <c r="A336" s="30"/>
      <c r="B336" s="38"/>
      <c r="C336" s="46"/>
      <c r="D336" s="39"/>
      <c r="E336" s="24"/>
      <c r="F336" s="24"/>
      <c r="G336" s="105"/>
      <c r="H336" s="24"/>
      <c r="I336" s="24"/>
      <c r="J336" s="24"/>
      <c r="K336" s="24"/>
      <c r="L336" s="24"/>
      <c r="M336" s="24"/>
      <c r="N336" s="61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71"/>
      <c r="AU336" s="272"/>
      <c r="AV336" s="4"/>
    </row>
    <row r="337" spans="1:48" ht="21.75" customHeight="1">
      <c r="A337" s="30"/>
      <c r="B337" s="38"/>
      <c r="C337" s="38"/>
      <c r="D337" s="39"/>
      <c r="E337" s="24"/>
      <c r="F337" s="24"/>
      <c r="G337" s="105"/>
      <c r="H337" s="24"/>
      <c r="I337" s="24"/>
      <c r="J337" s="24"/>
      <c r="K337" s="24"/>
      <c r="L337" s="24"/>
      <c r="M337" s="24"/>
      <c r="N337" s="61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71"/>
      <c r="AU337" s="272"/>
      <c r="AV337" s="4"/>
    </row>
    <row r="338" spans="1:48" ht="21.75" customHeight="1">
      <c r="A338" s="30"/>
      <c r="B338" s="38"/>
      <c r="C338" s="38"/>
      <c r="D338" s="39"/>
      <c r="E338" s="24"/>
      <c r="F338" s="24"/>
      <c r="G338" s="105"/>
      <c r="H338" s="24"/>
      <c r="I338" s="24"/>
      <c r="J338" s="24"/>
      <c r="K338" s="24"/>
      <c r="L338" s="24"/>
      <c r="M338" s="24"/>
      <c r="N338" s="61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71"/>
      <c r="AU338" s="272"/>
      <c r="AV338" s="4"/>
    </row>
    <row r="339" spans="1:48" ht="21.75" customHeight="1">
      <c r="A339" s="30"/>
      <c r="B339" s="38"/>
      <c r="C339" s="38"/>
      <c r="D339" s="39"/>
      <c r="E339" s="24"/>
      <c r="F339" s="24"/>
      <c r="G339" s="105"/>
      <c r="H339" s="24"/>
      <c r="I339" s="24"/>
      <c r="J339" s="39"/>
      <c r="K339" s="24"/>
      <c r="L339" s="24"/>
      <c r="M339" s="24"/>
      <c r="N339" s="61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71"/>
      <c r="AU339" s="272"/>
      <c r="AV339" s="4"/>
    </row>
    <row r="340" spans="1:48" ht="21.75" customHeight="1">
      <c r="A340" s="30"/>
      <c r="B340" s="38"/>
      <c r="C340" s="46"/>
      <c r="D340" s="39"/>
      <c r="E340" s="24"/>
      <c r="F340" s="24"/>
      <c r="G340" s="105"/>
      <c r="H340" s="24"/>
      <c r="I340" s="24"/>
      <c r="J340" s="39"/>
      <c r="K340" s="24"/>
      <c r="L340" s="24"/>
      <c r="M340" s="24"/>
      <c r="N340" s="61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71"/>
      <c r="AU340" s="272"/>
      <c r="AV340" s="4"/>
    </row>
    <row r="341" spans="1:48" ht="21.75" customHeight="1">
      <c r="A341" s="30"/>
      <c r="B341" s="38"/>
      <c r="C341" s="46"/>
      <c r="D341" s="39"/>
      <c r="E341" s="24"/>
      <c r="F341" s="24"/>
      <c r="G341" s="105"/>
      <c r="H341" s="24"/>
      <c r="I341" s="24"/>
      <c r="J341" s="24"/>
      <c r="K341" s="24"/>
      <c r="L341" s="24"/>
      <c r="M341" s="24"/>
      <c r="N341" s="61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71"/>
      <c r="AU341" s="272"/>
      <c r="AV341" s="4"/>
    </row>
    <row r="342" spans="1:48" ht="21.75" customHeight="1">
      <c r="A342" s="30"/>
      <c r="B342" s="38"/>
      <c r="C342" s="38"/>
      <c r="D342" s="39"/>
      <c r="E342" s="24"/>
      <c r="F342" s="24"/>
      <c r="G342" s="105"/>
      <c r="H342" s="24"/>
      <c r="I342" s="24"/>
      <c r="J342" s="39"/>
      <c r="K342" s="24"/>
      <c r="L342" s="24"/>
      <c r="M342" s="24"/>
      <c r="N342" s="61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71"/>
      <c r="AU342" s="272"/>
      <c r="AV342" s="4"/>
    </row>
    <row r="343" spans="1:48" ht="21.75" customHeight="1">
      <c r="A343" s="30"/>
      <c r="B343" s="38"/>
      <c r="C343" s="38"/>
      <c r="D343" s="39"/>
      <c r="E343" s="24"/>
      <c r="F343" s="24"/>
      <c r="G343" s="24"/>
      <c r="H343" s="24"/>
      <c r="I343" s="24"/>
      <c r="J343" s="24"/>
      <c r="K343" s="24"/>
      <c r="L343" s="24"/>
      <c r="M343" s="24"/>
      <c r="N343" s="61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71"/>
      <c r="AU343" s="272"/>
      <c r="AV343" s="4"/>
    </row>
    <row r="344" spans="1:48" ht="21.75" customHeight="1">
      <c r="A344" s="30"/>
      <c r="B344" s="38"/>
      <c r="C344" s="38"/>
      <c r="D344" s="39"/>
      <c r="E344" s="24"/>
      <c r="F344" s="24"/>
      <c r="G344" s="105"/>
      <c r="H344" s="24"/>
      <c r="I344" s="24"/>
      <c r="J344" s="24"/>
      <c r="K344" s="24"/>
      <c r="L344" s="24"/>
      <c r="M344" s="24"/>
      <c r="N344" s="61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71"/>
      <c r="AU344" s="272"/>
      <c r="AV344" s="4"/>
    </row>
    <row r="345" spans="1:48" ht="21.75" customHeight="1">
      <c r="A345" s="30"/>
      <c r="B345" s="38"/>
      <c r="C345" s="38"/>
      <c r="D345" s="39"/>
      <c r="E345" s="24"/>
      <c r="F345" s="24"/>
      <c r="G345" s="105"/>
      <c r="H345" s="24"/>
      <c r="I345" s="24"/>
      <c r="J345" s="24"/>
      <c r="K345" s="24"/>
      <c r="L345" s="24"/>
      <c r="M345" s="24"/>
      <c r="N345" s="61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71"/>
      <c r="AU345" s="272"/>
      <c r="AV345" s="4"/>
    </row>
    <row r="346" spans="1:48" ht="21.75" customHeight="1">
      <c r="A346" s="30"/>
      <c r="B346" s="38"/>
      <c r="C346" s="38"/>
      <c r="D346" s="39"/>
      <c r="E346" s="24"/>
      <c r="F346" s="24"/>
      <c r="G346" s="105"/>
      <c r="H346" s="24"/>
      <c r="I346" s="24"/>
      <c r="J346" s="24"/>
      <c r="K346" s="24"/>
      <c r="L346" s="24"/>
      <c r="M346" s="24"/>
      <c r="N346" s="61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71"/>
      <c r="AU346" s="272"/>
      <c r="AV346" s="4"/>
    </row>
    <row r="347" spans="1:48" ht="21.75" customHeight="1">
      <c r="A347" s="30"/>
      <c r="B347" s="38"/>
      <c r="C347" s="38"/>
      <c r="D347" s="39"/>
      <c r="E347" s="24"/>
      <c r="F347" s="24"/>
      <c r="G347" s="24"/>
      <c r="H347" s="24"/>
      <c r="I347" s="24"/>
      <c r="J347" s="24"/>
      <c r="K347" s="24"/>
      <c r="L347" s="24"/>
      <c r="M347" s="24"/>
      <c r="N347" s="61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71"/>
      <c r="AU347" s="272"/>
      <c r="AV347" s="4"/>
    </row>
    <row r="348" spans="1:48" ht="21.75" customHeight="1">
      <c r="A348" s="30"/>
      <c r="B348" s="38"/>
      <c r="C348" s="38"/>
      <c r="D348" s="39"/>
      <c r="E348" s="24"/>
      <c r="F348" s="66"/>
      <c r="G348" s="105"/>
      <c r="H348" s="24"/>
      <c r="I348" s="24"/>
      <c r="J348" s="24"/>
      <c r="K348" s="24"/>
      <c r="L348" s="24"/>
      <c r="M348" s="24"/>
      <c r="N348" s="61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71"/>
      <c r="AU348" s="272"/>
      <c r="AV348" s="4"/>
    </row>
    <row r="349" spans="1:48" ht="21.75" customHeight="1">
      <c r="A349" s="30"/>
      <c r="B349" s="38"/>
      <c r="C349" s="38"/>
      <c r="D349" s="39"/>
      <c r="E349" s="24"/>
      <c r="F349" s="66"/>
      <c r="G349" s="105"/>
      <c r="H349" s="24"/>
      <c r="I349" s="24"/>
      <c r="J349" s="24"/>
      <c r="K349" s="24"/>
      <c r="L349" s="24"/>
      <c r="M349" s="24"/>
      <c r="N349" s="61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71"/>
      <c r="AU349" s="272"/>
      <c r="AV349" s="16"/>
    </row>
    <row r="350" spans="1:48" ht="21.75" customHeight="1">
      <c r="A350" s="30"/>
      <c r="B350" s="38"/>
      <c r="C350" s="38"/>
      <c r="D350" s="39"/>
      <c r="E350" s="24"/>
      <c r="F350" s="24"/>
      <c r="G350" s="105"/>
      <c r="H350" s="24"/>
      <c r="I350" s="24"/>
      <c r="J350" s="24"/>
      <c r="K350" s="24"/>
      <c r="L350" s="24"/>
      <c r="M350" s="24"/>
      <c r="N350" s="61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71"/>
      <c r="AU350" s="272"/>
      <c r="AV350" s="16"/>
    </row>
    <row r="351" spans="1:48" ht="21.75" customHeight="1" thickBot="1">
      <c r="A351" s="30"/>
      <c r="B351" s="38"/>
      <c r="C351" s="38"/>
      <c r="D351" s="39"/>
      <c r="E351" s="24"/>
      <c r="F351" s="24"/>
      <c r="G351" s="24"/>
      <c r="H351" s="24"/>
      <c r="I351" s="24"/>
      <c r="J351" s="24"/>
      <c r="K351" s="24"/>
      <c r="L351" s="24"/>
      <c r="M351" s="24"/>
      <c r="N351" s="61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81"/>
      <c r="AU351" s="275"/>
      <c r="AV351" s="16"/>
    </row>
    <row r="352" spans="1:48" ht="21.75" customHeight="1">
      <c r="A352" s="30"/>
      <c r="B352" s="38"/>
      <c r="C352" s="38"/>
      <c r="D352" s="39"/>
      <c r="E352" s="24"/>
      <c r="F352" s="24"/>
      <c r="G352" s="105"/>
      <c r="H352" s="24"/>
      <c r="I352" s="24"/>
      <c r="J352" s="24"/>
      <c r="K352" s="24"/>
      <c r="L352" s="24"/>
      <c r="M352" s="24"/>
      <c r="N352" s="61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69"/>
      <c r="AU352" s="270"/>
      <c r="AV352" s="16"/>
    </row>
    <row r="353" spans="1:48" ht="21.75" customHeight="1">
      <c r="A353" s="30"/>
      <c r="B353" s="38"/>
      <c r="C353" s="38"/>
      <c r="D353" s="39"/>
      <c r="E353" s="24"/>
      <c r="F353" s="24"/>
      <c r="G353" s="105"/>
      <c r="H353" s="24"/>
      <c r="I353" s="24"/>
      <c r="J353" s="24"/>
      <c r="K353" s="24"/>
      <c r="L353" s="24"/>
      <c r="M353" s="24"/>
      <c r="N353" s="61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71"/>
      <c r="AU353" s="272"/>
      <c r="AV353" s="16"/>
    </row>
    <row r="354" spans="1:48" ht="21.75" customHeight="1">
      <c r="A354" s="30"/>
      <c r="B354" s="38"/>
      <c r="C354" s="38"/>
      <c r="D354" s="39"/>
      <c r="E354" s="24"/>
      <c r="F354" s="24"/>
      <c r="G354" s="105"/>
      <c r="H354" s="24"/>
      <c r="I354" s="24"/>
      <c r="J354" s="24"/>
      <c r="K354" s="24"/>
      <c r="L354" s="24"/>
      <c r="M354" s="24"/>
      <c r="N354" s="61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71"/>
      <c r="AU354" s="272"/>
      <c r="AV354" s="4"/>
    </row>
    <row r="355" spans="1:48" ht="21.75" customHeight="1">
      <c r="A355" s="30"/>
      <c r="B355" s="38"/>
      <c r="C355" s="46"/>
      <c r="D355" s="39"/>
      <c r="E355" s="24"/>
      <c r="F355" s="24"/>
      <c r="G355" s="105"/>
      <c r="H355" s="24"/>
      <c r="I355" s="24"/>
      <c r="J355" s="24"/>
      <c r="K355" s="24"/>
      <c r="L355" s="24"/>
      <c r="M355" s="24"/>
      <c r="N355" s="61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71"/>
      <c r="AU355" s="272"/>
      <c r="AV355" s="4"/>
    </row>
    <row r="356" spans="1:48" ht="21.75" customHeight="1">
      <c r="A356" s="30"/>
      <c r="B356" s="46"/>
      <c r="C356" s="46"/>
      <c r="D356" s="39"/>
      <c r="E356" s="24"/>
      <c r="F356" s="24"/>
      <c r="G356" s="105"/>
      <c r="H356" s="24"/>
      <c r="I356" s="24"/>
      <c r="J356" s="24"/>
      <c r="K356" s="24"/>
      <c r="L356" s="39"/>
      <c r="M356" s="24"/>
      <c r="N356" s="61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71"/>
      <c r="AU356" s="272"/>
      <c r="AV356" s="4"/>
    </row>
    <row r="357" spans="1:48" ht="21.75" customHeight="1">
      <c r="A357" s="30"/>
      <c r="B357" s="38"/>
      <c r="C357" s="46"/>
      <c r="D357" s="39"/>
      <c r="E357" s="24"/>
      <c r="F357" s="24"/>
      <c r="G357" s="24"/>
      <c r="H357" s="24"/>
      <c r="I357" s="24"/>
      <c r="J357" s="24"/>
      <c r="K357" s="24"/>
      <c r="L357" s="39"/>
      <c r="M357" s="24"/>
      <c r="N357" s="61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71"/>
      <c r="AU357" s="272"/>
      <c r="AV357" s="4"/>
    </row>
    <row r="358" spans="1:48" ht="21.75" customHeight="1">
      <c r="A358" s="30"/>
      <c r="B358" s="38"/>
      <c r="C358" s="38"/>
      <c r="D358" s="39"/>
      <c r="E358" s="24"/>
      <c r="F358" s="24"/>
      <c r="G358" s="105"/>
      <c r="H358" s="24"/>
      <c r="I358" s="24"/>
      <c r="J358" s="24"/>
      <c r="K358" s="24"/>
      <c r="L358" s="24"/>
      <c r="M358" s="24"/>
      <c r="N358" s="61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71"/>
      <c r="AU358" s="272"/>
      <c r="AV358" s="4"/>
    </row>
    <row r="359" spans="1:48" ht="21.75" customHeight="1">
      <c r="A359" s="30"/>
      <c r="B359" s="38"/>
      <c r="C359" s="38"/>
      <c r="D359" s="39"/>
      <c r="E359" s="24"/>
      <c r="F359" s="24"/>
      <c r="G359" s="24"/>
      <c r="H359" s="24"/>
      <c r="I359" s="24"/>
      <c r="J359" s="24"/>
      <c r="K359" s="24"/>
      <c r="L359" s="24"/>
      <c r="M359" s="24"/>
      <c r="N359" s="61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71"/>
      <c r="AU359" s="272"/>
      <c r="AV359" s="4"/>
    </row>
    <row r="360" spans="1:48" ht="21.75" customHeight="1">
      <c r="A360" s="30"/>
      <c r="B360" s="38"/>
      <c r="C360" s="38"/>
      <c r="D360" s="39"/>
      <c r="E360" s="24"/>
      <c r="F360" s="24"/>
      <c r="G360" s="105"/>
      <c r="H360" s="24"/>
      <c r="I360" s="24"/>
      <c r="J360" s="24"/>
      <c r="K360" s="24"/>
      <c r="L360" s="24"/>
      <c r="M360" s="24"/>
      <c r="N360" s="61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71"/>
      <c r="AU360" s="272"/>
      <c r="AV360" s="4"/>
    </row>
    <row r="361" spans="1:48" ht="21.75" customHeight="1">
      <c r="A361" s="30"/>
      <c r="B361" s="38"/>
      <c r="C361" s="46"/>
      <c r="D361" s="39"/>
      <c r="E361" s="24"/>
      <c r="F361" s="24"/>
      <c r="G361" s="105"/>
      <c r="H361" s="24"/>
      <c r="I361" s="24"/>
      <c r="J361" s="24"/>
      <c r="K361" s="24"/>
      <c r="L361" s="24"/>
      <c r="M361" s="24"/>
      <c r="N361" s="61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71"/>
      <c r="AU361" s="272"/>
      <c r="AV361" s="4"/>
    </row>
    <row r="362" spans="1:48" ht="21.75" customHeight="1">
      <c r="A362" s="30"/>
      <c r="B362" s="38"/>
      <c r="C362" s="38"/>
      <c r="D362" s="39"/>
      <c r="E362" s="24"/>
      <c r="F362" s="24"/>
      <c r="G362" s="105"/>
      <c r="H362" s="24"/>
      <c r="I362" s="24"/>
      <c r="J362" s="24"/>
      <c r="K362" s="24"/>
      <c r="L362" s="24"/>
      <c r="M362" s="24"/>
      <c r="N362" s="61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71"/>
      <c r="AU362" s="272"/>
      <c r="AV362" s="4"/>
    </row>
    <row r="363" spans="1:48" ht="21.75" customHeight="1">
      <c r="A363" s="30"/>
      <c r="B363" s="38"/>
      <c r="C363" s="38"/>
      <c r="D363" s="39"/>
      <c r="E363" s="24"/>
      <c r="F363" s="24"/>
      <c r="G363" s="105"/>
      <c r="H363" s="24"/>
      <c r="I363" s="24"/>
      <c r="J363" s="24"/>
      <c r="K363" s="24"/>
      <c r="L363" s="24"/>
      <c r="M363" s="24"/>
      <c r="N363" s="61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71"/>
      <c r="AU363" s="272"/>
      <c r="AV363" s="4"/>
    </row>
    <row r="364" spans="1:48" ht="21.75" customHeight="1">
      <c r="A364" s="30"/>
      <c r="B364" s="38"/>
      <c r="C364" s="46"/>
      <c r="D364" s="39"/>
      <c r="E364" s="24"/>
      <c r="F364" s="24"/>
      <c r="G364" s="105"/>
      <c r="H364" s="24"/>
      <c r="I364" s="24"/>
      <c r="J364" s="24"/>
      <c r="K364" s="24"/>
      <c r="L364" s="39"/>
      <c r="M364" s="24"/>
      <c r="N364" s="61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71"/>
      <c r="AU364" s="272"/>
      <c r="AV364" s="4"/>
    </row>
    <row r="365" spans="1:48" ht="21.75" customHeight="1">
      <c r="A365" s="30"/>
      <c r="B365" s="38"/>
      <c r="C365" s="46"/>
      <c r="D365" s="39"/>
      <c r="E365" s="24"/>
      <c r="F365" s="24"/>
      <c r="G365" s="24"/>
      <c r="H365" s="24"/>
      <c r="I365" s="24"/>
      <c r="J365" s="24"/>
      <c r="K365" s="24"/>
      <c r="L365" s="24"/>
      <c r="M365" s="24"/>
      <c r="N365" s="61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73"/>
      <c r="AU365" s="272"/>
      <c r="AV365" s="4"/>
    </row>
    <row r="366" spans="1:48" ht="21.75" customHeight="1">
      <c r="A366" s="30"/>
      <c r="B366" s="38"/>
      <c r="C366" s="38"/>
      <c r="D366" s="39"/>
      <c r="E366" s="24"/>
      <c r="F366" s="24"/>
      <c r="G366" s="24"/>
      <c r="H366" s="24"/>
      <c r="I366" s="24"/>
      <c r="J366" s="24"/>
      <c r="K366" s="24"/>
      <c r="L366" s="24"/>
      <c r="M366" s="24"/>
      <c r="N366" s="61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73"/>
      <c r="AU366" s="272"/>
      <c r="AV366" s="4"/>
    </row>
    <row r="367" spans="1:48" ht="21.75" customHeight="1" thickBot="1">
      <c r="A367" s="30"/>
      <c r="B367" s="38"/>
      <c r="C367" s="46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61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74"/>
      <c r="AU367" s="275"/>
      <c r="AV367" s="4"/>
    </row>
    <row r="368" spans="1:48" ht="46.5" customHeight="1">
      <c r="A368" s="1"/>
      <c r="B368" s="233"/>
      <c r="C368" s="234"/>
      <c r="D368" s="234"/>
      <c r="E368" s="234"/>
      <c r="F368" s="234"/>
      <c r="G368" s="234"/>
      <c r="H368" s="234"/>
      <c r="I368" s="234"/>
      <c r="J368" s="234"/>
      <c r="K368" s="234"/>
      <c r="L368" s="234"/>
      <c r="M368" s="234"/>
      <c r="N368" s="235"/>
      <c r="O368" s="211"/>
      <c r="P368" s="211"/>
      <c r="Q368" s="211"/>
      <c r="R368" s="211"/>
      <c r="S368" s="211"/>
      <c r="T368" s="211"/>
      <c r="U368" s="211"/>
      <c r="V368" s="211"/>
      <c r="W368" s="211"/>
      <c r="X368" s="211"/>
      <c r="Y368" s="211"/>
      <c r="Z368" s="211"/>
      <c r="AA368" s="211"/>
      <c r="AB368" s="211"/>
      <c r="AC368" s="211"/>
      <c r="AD368" s="211"/>
      <c r="AE368" s="211"/>
      <c r="AF368" s="211"/>
      <c r="AG368" s="211"/>
      <c r="AH368" s="211"/>
      <c r="AI368" s="211"/>
      <c r="AJ368" s="211"/>
      <c r="AK368" s="211"/>
      <c r="AL368" s="211"/>
      <c r="AM368" s="211"/>
      <c r="AN368" s="211"/>
      <c r="AO368" s="211"/>
      <c r="AP368" s="211"/>
      <c r="AQ368" s="211"/>
      <c r="AR368" s="211"/>
      <c r="AS368" s="211"/>
      <c r="AT368" s="279"/>
      <c r="AU368" s="280"/>
      <c r="AV368" s="1"/>
    </row>
    <row r="369" spans="1:48" ht="46.5" customHeight="1" thickBot="1">
      <c r="A369" s="1"/>
      <c r="B369" s="236"/>
      <c r="C369" s="237"/>
      <c r="D369" s="237"/>
      <c r="E369" s="237"/>
      <c r="F369" s="237"/>
      <c r="G369" s="237"/>
      <c r="H369" s="237"/>
      <c r="I369" s="237"/>
      <c r="J369" s="237"/>
      <c r="K369" s="237"/>
      <c r="L369" s="237"/>
      <c r="M369" s="237"/>
      <c r="N369" s="238"/>
      <c r="O369" s="250"/>
      <c r="P369" s="250"/>
      <c r="Q369" s="250"/>
      <c r="R369" s="250"/>
      <c r="S369" s="250"/>
      <c r="T369" s="250"/>
      <c r="U369" s="212"/>
      <c r="V369" s="212"/>
      <c r="W369" s="212"/>
      <c r="X369" s="212"/>
      <c r="Y369" s="250"/>
      <c r="Z369" s="250"/>
      <c r="AA369" s="212"/>
      <c r="AB369" s="212"/>
      <c r="AC369" s="212"/>
      <c r="AD369" s="212"/>
      <c r="AE369" s="212"/>
      <c r="AF369" s="212"/>
      <c r="AG369" s="212"/>
      <c r="AH369" s="212"/>
      <c r="AI369" s="212"/>
      <c r="AJ369" s="212"/>
      <c r="AK369" s="212"/>
      <c r="AL369" s="212"/>
      <c r="AM369" s="212"/>
      <c r="AN369" s="212"/>
      <c r="AO369" s="212"/>
      <c r="AP369" s="212"/>
      <c r="AQ369" s="212"/>
      <c r="AR369" s="212"/>
      <c r="AS369" s="212"/>
      <c r="AT369" s="276"/>
      <c r="AU369" s="277"/>
      <c r="AV369" s="1"/>
    </row>
    <row r="370" spans="1:48" ht="12.75">
      <c r="A370" s="10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85"/>
      <c r="U370" s="49"/>
      <c r="V370" s="49"/>
      <c r="Y370" s="85"/>
      <c r="Z370" s="49"/>
      <c r="AC370" s="49"/>
      <c r="AD370" s="49"/>
      <c r="AT370" s="49"/>
      <c r="AU370" s="49"/>
      <c r="AV370" s="11"/>
    </row>
    <row r="371" spans="2:47" ht="12.75"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85"/>
      <c r="U371" s="49"/>
      <c r="V371" s="49"/>
      <c r="Y371" s="85"/>
      <c r="Z371" s="49"/>
      <c r="AC371" s="49"/>
      <c r="AD371" s="49"/>
      <c r="AT371" s="49"/>
      <c r="AU371" s="49"/>
    </row>
    <row r="372" spans="2:47" ht="12.75"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85"/>
      <c r="U372" s="49"/>
      <c r="V372" s="49"/>
      <c r="Y372" s="85"/>
      <c r="Z372" s="49"/>
      <c r="AC372" s="49"/>
      <c r="AD372" s="49"/>
      <c r="AT372" s="49"/>
      <c r="AU372" s="49"/>
    </row>
    <row r="373" spans="2:47" ht="15.75">
      <c r="B373" s="224"/>
      <c r="C373" s="224"/>
      <c r="D373" s="224"/>
      <c r="E373" s="224"/>
      <c r="F373" s="224"/>
      <c r="G373" s="224"/>
      <c r="H373" s="53"/>
      <c r="I373" s="53"/>
      <c r="J373" s="53"/>
      <c r="K373" s="53"/>
      <c r="L373" s="53"/>
      <c r="M373" s="53"/>
      <c r="N373" s="53"/>
      <c r="O373" s="53"/>
      <c r="P373" s="53"/>
      <c r="Q373" s="101"/>
      <c r="R373" s="53"/>
      <c r="S373" s="94"/>
      <c r="T373" s="93"/>
      <c r="U373" s="101"/>
      <c r="V373" s="101"/>
      <c r="W373" s="101"/>
      <c r="X373" s="101"/>
      <c r="Y373" s="53"/>
      <c r="Z373" s="53"/>
      <c r="AA373" s="101"/>
      <c r="AB373" s="101"/>
      <c r="AC373" s="53"/>
      <c r="AD373" s="53"/>
      <c r="AT373" s="49"/>
      <c r="AU373" s="49"/>
    </row>
    <row r="374" spans="2:47" ht="15"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96"/>
      <c r="P374" s="96"/>
      <c r="Q374" s="53"/>
      <c r="R374" s="53"/>
      <c r="S374" s="85"/>
      <c r="T374" s="49"/>
      <c r="U374" s="49"/>
      <c r="V374" s="49"/>
      <c r="Y374" s="49"/>
      <c r="Z374" s="49"/>
      <c r="AC374" s="49"/>
      <c r="AD374" s="49"/>
      <c r="AT374" s="49"/>
      <c r="AU374" s="49"/>
    </row>
    <row r="375" spans="2:47" ht="15"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96"/>
      <c r="P375" s="49"/>
      <c r="Q375" s="49"/>
      <c r="R375" s="49"/>
      <c r="S375" s="85"/>
      <c r="T375" s="49"/>
      <c r="U375" s="49"/>
      <c r="V375" s="49"/>
      <c r="Y375" s="49"/>
      <c r="Z375" s="49"/>
      <c r="AC375" s="49"/>
      <c r="AD375" s="49"/>
      <c r="AT375" s="49"/>
      <c r="AU375" s="49"/>
    </row>
    <row r="376" spans="2:47" ht="12.75"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85"/>
      <c r="U376" s="49"/>
      <c r="V376" s="49"/>
      <c r="Y376" s="49"/>
      <c r="Z376" s="49"/>
      <c r="AC376" s="49"/>
      <c r="AD376" s="49"/>
      <c r="AT376" s="49"/>
      <c r="AU376" s="49"/>
    </row>
    <row r="377" spans="2:47" ht="15"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53"/>
      <c r="Q377" s="53"/>
      <c r="R377" s="53"/>
      <c r="S377" s="49"/>
      <c r="T377" s="85"/>
      <c r="U377" s="49"/>
      <c r="V377" s="49"/>
      <c r="Y377" s="49"/>
      <c r="Z377" s="49"/>
      <c r="AC377" s="49"/>
      <c r="AD377" s="49"/>
      <c r="AT377" s="49"/>
      <c r="AU377" s="49"/>
    </row>
    <row r="378" spans="2:47" ht="15"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53"/>
      <c r="Q378" s="53"/>
      <c r="R378" s="53"/>
      <c r="S378" s="49"/>
      <c r="T378" s="85"/>
      <c r="U378" s="49"/>
      <c r="V378" s="49"/>
      <c r="Y378" s="49"/>
      <c r="Z378" s="49"/>
      <c r="AC378" s="49"/>
      <c r="AD378" s="49"/>
      <c r="AT378" s="49"/>
      <c r="AU378" s="49"/>
    </row>
    <row r="379" spans="2:47" ht="15"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53"/>
      <c r="Q379" s="53"/>
      <c r="R379" s="53"/>
      <c r="S379" s="49"/>
      <c r="T379" s="85"/>
      <c r="U379" s="49"/>
      <c r="V379" s="49"/>
      <c r="Y379" s="49"/>
      <c r="Z379" s="49"/>
      <c r="AC379" s="49"/>
      <c r="AD379" s="49"/>
      <c r="AT379" s="49"/>
      <c r="AU379" s="49"/>
    </row>
    <row r="380" spans="1:48" ht="36" customHeight="1" thickBot="1">
      <c r="A380" s="3"/>
      <c r="B380" s="54"/>
      <c r="C380" s="55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229"/>
      <c r="P380" s="229"/>
      <c r="Q380" s="229"/>
      <c r="R380" s="229"/>
      <c r="S380" s="229"/>
      <c r="T380" s="229"/>
      <c r="U380" s="229"/>
      <c r="V380" s="229"/>
      <c r="Y380" s="229"/>
      <c r="Z380" s="229"/>
      <c r="AC380" s="168"/>
      <c r="AD380" s="168"/>
      <c r="AT380" s="98"/>
      <c r="AU380" s="98"/>
      <c r="AV380" s="13"/>
    </row>
    <row r="381" spans="1:48" ht="21.75" customHeight="1">
      <c r="A381" s="4"/>
      <c r="B381" s="233"/>
      <c r="C381" s="299"/>
      <c r="D381" s="251"/>
      <c r="E381" s="251"/>
      <c r="F381" s="251"/>
      <c r="G381" s="254"/>
      <c r="H381" s="254"/>
      <c r="I381" s="251"/>
      <c r="J381" s="254"/>
      <c r="K381" s="254"/>
      <c r="L381" s="254"/>
      <c r="M381" s="254"/>
      <c r="N381" s="254"/>
      <c r="O381" s="216"/>
      <c r="P381" s="217"/>
      <c r="Q381" s="216"/>
      <c r="R381" s="217"/>
      <c r="S381" s="216"/>
      <c r="T381" s="217"/>
      <c r="U381" s="216"/>
      <c r="V381" s="217"/>
      <c r="W381" s="216"/>
      <c r="X381" s="217"/>
      <c r="Y381" s="216"/>
      <c r="Z381" s="217"/>
      <c r="AA381" s="216"/>
      <c r="AB381" s="217"/>
      <c r="AC381" s="121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282"/>
      <c r="AU381" s="282"/>
      <c r="AV381" s="4"/>
    </row>
    <row r="382" spans="1:48" ht="27.75" customHeight="1">
      <c r="A382" s="4"/>
      <c r="B382" s="293"/>
      <c r="C382" s="300"/>
      <c r="D382" s="255"/>
      <c r="E382" s="255"/>
      <c r="F382" s="255"/>
      <c r="G382" s="242"/>
      <c r="H382" s="242"/>
      <c r="I382" s="252"/>
      <c r="J382" s="255"/>
      <c r="K382" s="255"/>
      <c r="L382" s="242"/>
      <c r="M382" s="242"/>
      <c r="N382" s="242"/>
      <c r="O382" s="218"/>
      <c r="P382" s="219"/>
      <c r="Q382" s="218"/>
      <c r="R382" s="219"/>
      <c r="S382" s="218"/>
      <c r="T382" s="219"/>
      <c r="U382" s="218"/>
      <c r="V382" s="219"/>
      <c r="W382" s="218"/>
      <c r="X382" s="219"/>
      <c r="Y382" s="218"/>
      <c r="Z382" s="219"/>
      <c r="AA382" s="218"/>
      <c r="AB382" s="219"/>
      <c r="AC382" s="241"/>
      <c r="AD382" s="241"/>
      <c r="AE382" s="241"/>
      <c r="AF382" s="241"/>
      <c r="AG382" s="241"/>
      <c r="AH382" s="241"/>
      <c r="AI382" s="241"/>
      <c r="AJ382" s="241"/>
      <c r="AK382" s="241"/>
      <c r="AL382" s="241"/>
      <c r="AM382" s="241"/>
      <c r="AN382" s="241"/>
      <c r="AO382" s="241"/>
      <c r="AP382" s="241"/>
      <c r="AQ382" s="241"/>
      <c r="AR382" s="241"/>
      <c r="AS382" s="241"/>
      <c r="AT382" s="283"/>
      <c r="AU382" s="304"/>
      <c r="AV382" s="4"/>
    </row>
    <row r="383" spans="1:48" ht="27.75" customHeight="1" thickBot="1">
      <c r="A383" s="4"/>
      <c r="B383" s="293"/>
      <c r="C383" s="300"/>
      <c r="D383" s="255"/>
      <c r="E383" s="255"/>
      <c r="F383" s="255"/>
      <c r="G383" s="242"/>
      <c r="H383" s="242"/>
      <c r="I383" s="252"/>
      <c r="J383" s="255"/>
      <c r="K383" s="255"/>
      <c r="L383" s="242"/>
      <c r="M383" s="242"/>
      <c r="N383" s="242"/>
      <c r="O383" s="220"/>
      <c r="P383" s="221"/>
      <c r="Q383" s="220"/>
      <c r="R383" s="221"/>
      <c r="S383" s="220"/>
      <c r="T383" s="221"/>
      <c r="U383" s="220"/>
      <c r="V383" s="221"/>
      <c r="W383" s="220"/>
      <c r="X383" s="221"/>
      <c r="Y383" s="220"/>
      <c r="Z383" s="221"/>
      <c r="AA383" s="220"/>
      <c r="AB383" s="221"/>
      <c r="AC383" s="242"/>
      <c r="AD383" s="242"/>
      <c r="AE383" s="242"/>
      <c r="AF383" s="242"/>
      <c r="AG383" s="242"/>
      <c r="AH383" s="242"/>
      <c r="AI383" s="242"/>
      <c r="AJ383" s="242"/>
      <c r="AK383" s="242"/>
      <c r="AL383" s="242"/>
      <c r="AM383" s="242"/>
      <c r="AN383" s="242"/>
      <c r="AO383" s="242"/>
      <c r="AP383" s="242"/>
      <c r="AQ383" s="242"/>
      <c r="AR383" s="242"/>
      <c r="AS383" s="242"/>
      <c r="AT383" s="284"/>
      <c r="AU383" s="304"/>
      <c r="AV383" s="4"/>
    </row>
    <row r="384" spans="1:48" ht="27.75" customHeight="1">
      <c r="A384" s="4"/>
      <c r="B384" s="293"/>
      <c r="C384" s="300"/>
      <c r="D384" s="255"/>
      <c r="E384" s="255"/>
      <c r="F384" s="255"/>
      <c r="G384" s="242"/>
      <c r="H384" s="242"/>
      <c r="I384" s="252"/>
      <c r="J384" s="255"/>
      <c r="K384" s="255"/>
      <c r="L384" s="242"/>
      <c r="M384" s="242"/>
      <c r="N384" s="242"/>
      <c r="O384" s="220"/>
      <c r="P384" s="221"/>
      <c r="Q384" s="220"/>
      <c r="R384" s="221"/>
      <c r="S384" s="220"/>
      <c r="T384" s="221"/>
      <c r="U384" s="220"/>
      <c r="V384" s="221"/>
      <c r="W384" s="220"/>
      <c r="X384" s="221"/>
      <c r="Y384" s="220"/>
      <c r="Z384" s="221"/>
      <c r="AA384" s="220"/>
      <c r="AB384" s="221"/>
      <c r="AC384" s="242"/>
      <c r="AD384" s="242"/>
      <c r="AE384" s="242"/>
      <c r="AF384" s="242"/>
      <c r="AG384" s="242"/>
      <c r="AH384" s="242"/>
      <c r="AI384" s="242"/>
      <c r="AJ384" s="242"/>
      <c r="AK384" s="242"/>
      <c r="AL384" s="242"/>
      <c r="AM384" s="242"/>
      <c r="AN384" s="242"/>
      <c r="AO384" s="242"/>
      <c r="AP384" s="242"/>
      <c r="AQ384" s="242"/>
      <c r="AR384" s="242"/>
      <c r="AS384" s="242"/>
      <c r="AT384" s="269"/>
      <c r="AU384" s="270"/>
      <c r="AV384" s="4"/>
    </row>
    <row r="385" spans="1:48" ht="27.75" customHeight="1">
      <c r="A385" s="4"/>
      <c r="B385" s="293"/>
      <c r="C385" s="300"/>
      <c r="D385" s="255"/>
      <c r="E385" s="255"/>
      <c r="F385" s="255"/>
      <c r="G385" s="242"/>
      <c r="H385" s="242"/>
      <c r="I385" s="252"/>
      <c r="J385" s="255"/>
      <c r="K385" s="255"/>
      <c r="L385" s="242"/>
      <c r="M385" s="242"/>
      <c r="N385" s="242"/>
      <c r="O385" s="220"/>
      <c r="P385" s="221"/>
      <c r="Q385" s="220"/>
      <c r="R385" s="221"/>
      <c r="S385" s="220"/>
      <c r="T385" s="221"/>
      <c r="U385" s="220"/>
      <c r="V385" s="221"/>
      <c r="W385" s="220"/>
      <c r="X385" s="221"/>
      <c r="Y385" s="220"/>
      <c r="Z385" s="221"/>
      <c r="AA385" s="220"/>
      <c r="AB385" s="221"/>
      <c r="AC385" s="242"/>
      <c r="AD385" s="242"/>
      <c r="AE385" s="242"/>
      <c r="AF385" s="242"/>
      <c r="AG385" s="242"/>
      <c r="AH385" s="242"/>
      <c r="AI385" s="242"/>
      <c r="AJ385" s="242"/>
      <c r="AK385" s="242"/>
      <c r="AL385" s="242"/>
      <c r="AM385" s="242"/>
      <c r="AN385" s="242"/>
      <c r="AO385" s="242"/>
      <c r="AP385" s="242"/>
      <c r="AQ385" s="242"/>
      <c r="AR385" s="242"/>
      <c r="AS385" s="242"/>
      <c r="AT385" s="271"/>
      <c r="AU385" s="272"/>
      <c r="AV385" s="4"/>
    </row>
    <row r="386" spans="1:48" ht="27.75" customHeight="1">
      <c r="A386" s="4"/>
      <c r="B386" s="293"/>
      <c r="C386" s="300"/>
      <c r="D386" s="255"/>
      <c r="E386" s="255"/>
      <c r="F386" s="255"/>
      <c r="G386" s="242"/>
      <c r="H386" s="242"/>
      <c r="I386" s="252"/>
      <c r="J386" s="255"/>
      <c r="K386" s="255"/>
      <c r="L386" s="242"/>
      <c r="M386" s="242"/>
      <c r="N386" s="242"/>
      <c r="O386" s="220"/>
      <c r="P386" s="221"/>
      <c r="Q386" s="220"/>
      <c r="R386" s="221"/>
      <c r="S386" s="220"/>
      <c r="T386" s="221"/>
      <c r="U386" s="220"/>
      <c r="V386" s="221"/>
      <c r="W386" s="220"/>
      <c r="X386" s="221"/>
      <c r="Y386" s="220"/>
      <c r="Z386" s="221"/>
      <c r="AA386" s="220"/>
      <c r="AB386" s="221"/>
      <c r="AC386" s="242"/>
      <c r="AD386" s="242"/>
      <c r="AE386" s="242"/>
      <c r="AF386" s="242"/>
      <c r="AG386" s="242"/>
      <c r="AH386" s="242"/>
      <c r="AI386" s="242"/>
      <c r="AJ386" s="242"/>
      <c r="AK386" s="242"/>
      <c r="AL386" s="242"/>
      <c r="AM386" s="242"/>
      <c r="AN386" s="242"/>
      <c r="AO386" s="242"/>
      <c r="AP386" s="242"/>
      <c r="AQ386" s="242"/>
      <c r="AR386" s="242"/>
      <c r="AS386" s="242"/>
      <c r="AT386" s="271"/>
      <c r="AU386" s="272"/>
      <c r="AV386" s="4"/>
    </row>
    <row r="387" spans="1:48" ht="27.75" customHeight="1">
      <c r="A387" s="4"/>
      <c r="B387" s="293"/>
      <c r="C387" s="300"/>
      <c r="D387" s="255"/>
      <c r="E387" s="255"/>
      <c r="F387" s="255"/>
      <c r="G387" s="242"/>
      <c r="H387" s="242"/>
      <c r="I387" s="252"/>
      <c r="J387" s="255"/>
      <c r="K387" s="255"/>
      <c r="L387" s="242"/>
      <c r="M387" s="242"/>
      <c r="N387" s="242"/>
      <c r="O387" s="220"/>
      <c r="P387" s="221"/>
      <c r="Q387" s="220"/>
      <c r="R387" s="221"/>
      <c r="S387" s="220"/>
      <c r="T387" s="221"/>
      <c r="U387" s="220"/>
      <c r="V387" s="221"/>
      <c r="W387" s="220"/>
      <c r="X387" s="221"/>
      <c r="Y387" s="220"/>
      <c r="Z387" s="221"/>
      <c r="AA387" s="220"/>
      <c r="AB387" s="221"/>
      <c r="AC387" s="242"/>
      <c r="AD387" s="242"/>
      <c r="AE387" s="242"/>
      <c r="AF387" s="242"/>
      <c r="AG387" s="242"/>
      <c r="AH387" s="242"/>
      <c r="AI387" s="242"/>
      <c r="AJ387" s="242"/>
      <c r="AK387" s="242"/>
      <c r="AL387" s="242"/>
      <c r="AM387" s="242"/>
      <c r="AN387" s="242"/>
      <c r="AO387" s="242"/>
      <c r="AP387" s="242"/>
      <c r="AQ387" s="242"/>
      <c r="AR387" s="242"/>
      <c r="AS387" s="242"/>
      <c r="AT387" s="271"/>
      <c r="AU387" s="272"/>
      <c r="AV387" s="4"/>
    </row>
    <row r="388" spans="1:48" ht="27.75" customHeight="1">
      <c r="A388" s="4"/>
      <c r="B388" s="293"/>
      <c r="C388" s="300"/>
      <c r="D388" s="255"/>
      <c r="E388" s="255"/>
      <c r="F388" s="255"/>
      <c r="G388" s="242"/>
      <c r="H388" s="242"/>
      <c r="I388" s="252"/>
      <c r="J388" s="255"/>
      <c r="K388" s="255"/>
      <c r="L388" s="242"/>
      <c r="M388" s="242"/>
      <c r="N388" s="242"/>
      <c r="O388" s="220"/>
      <c r="P388" s="221"/>
      <c r="Q388" s="220"/>
      <c r="R388" s="221"/>
      <c r="S388" s="220"/>
      <c r="T388" s="221"/>
      <c r="U388" s="220"/>
      <c r="V388" s="221"/>
      <c r="W388" s="220"/>
      <c r="X388" s="221"/>
      <c r="Y388" s="220"/>
      <c r="Z388" s="221"/>
      <c r="AA388" s="220"/>
      <c r="AB388" s="221"/>
      <c r="AC388" s="242"/>
      <c r="AD388" s="242"/>
      <c r="AE388" s="242"/>
      <c r="AF388" s="242"/>
      <c r="AG388" s="242"/>
      <c r="AH388" s="242"/>
      <c r="AI388" s="242"/>
      <c r="AJ388" s="242"/>
      <c r="AK388" s="242"/>
      <c r="AL388" s="242"/>
      <c r="AM388" s="242"/>
      <c r="AN388" s="242"/>
      <c r="AO388" s="242"/>
      <c r="AP388" s="242"/>
      <c r="AQ388" s="242"/>
      <c r="AR388" s="242"/>
      <c r="AS388" s="242"/>
      <c r="AT388" s="271"/>
      <c r="AU388" s="272"/>
      <c r="AV388" s="4"/>
    </row>
    <row r="389" spans="1:48" ht="27.75" customHeight="1">
      <c r="A389" s="5"/>
      <c r="B389" s="301"/>
      <c r="C389" s="302"/>
      <c r="D389" s="256"/>
      <c r="E389" s="256"/>
      <c r="F389" s="256"/>
      <c r="G389" s="243"/>
      <c r="H389" s="243"/>
      <c r="I389" s="253"/>
      <c r="J389" s="256"/>
      <c r="K389" s="256"/>
      <c r="L389" s="243"/>
      <c r="M389" s="243"/>
      <c r="N389" s="243"/>
      <c r="O389" s="222"/>
      <c r="P389" s="223"/>
      <c r="Q389" s="222"/>
      <c r="R389" s="223"/>
      <c r="S389" s="222"/>
      <c r="T389" s="223"/>
      <c r="U389" s="222"/>
      <c r="V389" s="223"/>
      <c r="W389" s="222"/>
      <c r="X389" s="223"/>
      <c r="Y389" s="222"/>
      <c r="Z389" s="223"/>
      <c r="AA389" s="222"/>
      <c r="AB389" s="223"/>
      <c r="AC389" s="243"/>
      <c r="AD389" s="243"/>
      <c r="AE389" s="243"/>
      <c r="AF389" s="243"/>
      <c r="AG389" s="243"/>
      <c r="AH389" s="243"/>
      <c r="AI389" s="243"/>
      <c r="AJ389" s="243"/>
      <c r="AK389" s="243"/>
      <c r="AL389" s="243"/>
      <c r="AM389" s="243"/>
      <c r="AN389" s="243"/>
      <c r="AO389" s="243"/>
      <c r="AP389" s="243"/>
      <c r="AQ389" s="243"/>
      <c r="AR389" s="243"/>
      <c r="AS389" s="243"/>
      <c r="AT389" s="271"/>
      <c r="AU389" s="272"/>
      <c r="AV389" s="5"/>
    </row>
    <row r="390" spans="1:48" ht="21.75" customHeight="1" thickBot="1">
      <c r="A390" s="7"/>
      <c r="B390" s="56"/>
      <c r="C390" s="56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208"/>
      <c r="P390" s="210"/>
      <c r="Q390" s="208"/>
      <c r="R390" s="210"/>
      <c r="S390" s="208"/>
      <c r="T390" s="210"/>
      <c r="U390" s="208"/>
      <c r="V390" s="210"/>
      <c r="W390" s="208"/>
      <c r="X390" s="210"/>
      <c r="Y390" s="208"/>
      <c r="Z390" s="210"/>
      <c r="AA390" s="208"/>
      <c r="AB390" s="210"/>
      <c r="AC390" s="120"/>
      <c r="AD390" s="120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271"/>
      <c r="AU390" s="272"/>
      <c r="AV390" s="7"/>
    </row>
    <row r="391" spans="1:48" ht="21.75" customHeight="1">
      <c r="A391" s="30"/>
      <c r="B391" s="87"/>
      <c r="C391" s="87"/>
      <c r="D391" s="58"/>
      <c r="E391" s="60"/>
      <c r="F391" s="60"/>
      <c r="G391" s="58"/>
      <c r="H391" s="60"/>
      <c r="I391" s="60"/>
      <c r="J391" s="59"/>
      <c r="K391" s="59"/>
      <c r="L391" s="59"/>
      <c r="M391" s="59"/>
      <c r="N391" s="88"/>
      <c r="O391" s="227"/>
      <c r="P391" s="227"/>
      <c r="Q391" s="227"/>
      <c r="R391" s="227"/>
      <c r="S391" s="227"/>
      <c r="T391" s="227"/>
      <c r="U391" s="227"/>
      <c r="V391" s="227"/>
      <c r="W391" s="227"/>
      <c r="X391" s="227"/>
      <c r="Y391" s="227"/>
      <c r="Z391" s="227"/>
      <c r="AA391" s="227"/>
      <c r="AB391" s="227"/>
      <c r="AC391" s="265"/>
      <c r="AD391" s="265"/>
      <c r="AE391" s="227"/>
      <c r="AF391" s="227"/>
      <c r="AG391" s="227"/>
      <c r="AH391" s="227"/>
      <c r="AI391" s="227"/>
      <c r="AJ391" s="227"/>
      <c r="AK391" s="227"/>
      <c r="AL391" s="227"/>
      <c r="AM391" s="227"/>
      <c r="AN391" s="227"/>
      <c r="AO391" s="227"/>
      <c r="AP391" s="227"/>
      <c r="AQ391" s="227"/>
      <c r="AR391" s="227"/>
      <c r="AS391" s="227"/>
      <c r="AT391" s="271"/>
      <c r="AU391" s="272"/>
      <c r="AV391" s="4"/>
    </row>
    <row r="392" spans="1:48" ht="21.75" customHeight="1">
      <c r="A392" s="30"/>
      <c r="B392" s="230"/>
      <c r="C392" s="231"/>
      <c r="D392" s="231"/>
      <c r="E392" s="231"/>
      <c r="F392" s="231"/>
      <c r="G392" s="231"/>
      <c r="H392" s="231"/>
      <c r="I392" s="232"/>
      <c r="J392" s="24"/>
      <c r="K392" s="24"/>
      <c r="L392" s="24"/>
      <c r="M392" s="24"/>
      <c r="N392" s="61"/>
      <c r="O392" s="228"/>
      <c r="P392" s="228"/>
      <c r="Q392" s="228"/>
      <c r="R392" s="228"/>
      <c r="S392" s="228"/>
      <c r="T392" s="228"/>
      <c r="U392" s="228"/>
      <c r="V392" s="228"/>
      <c r="W392" s="228"/>
      <c r="X392" s="228"/>
      <c r="Y392" s="228"/>
      <c r="Z392" s="228"/>
      <c r="AA392" s="228"/>
      <c r="AB392" s="228"/>
      <c r="AC392" s="266"/>
      <c r="AD392" s="266"/>
      <c r="AE392" s="228"/>
      <c r="AF392" s="228"/>
      <c r="AG392" s="228"/>
      <c r="AH392" s="228"/>
      <c r="AI392" s="228"/>
      <c r="AJ392" s="228"/>
      <c r="AK392" s="228"/>
      <c r="AL392" s="228"/>
      <c r="AM392" s="228"/>
      <c r="AN392" s="228"/>
      <c r="AO392" s="228"/>
      <c r="AP392" s="228"/>
      <c r="AQ392" s="228"/>
      <c r="AR392" s="228"/>
      <c r="AS392" s="228"/>
      <c r="AT392" s="271"/>
      <c r="AU392" s="272"/>
      <c r="AV392" s="4"/>
    </row>
    <row r="393" spans="1:48" ht="21.75" customHeight="1">
      <c r="A393" s="30"/>
      <c r="B393" s="291"/>
      <c r="C393" s="292"/>
      <c r="D393" s="39"/>
      <c r="E393" s="24"/>
      <c r="F393" s="107"/>
      <c r="G393" s="90"/>
      <c r="H393" s="24"/>
      <c r="I393" s="24"/>
      <c r="J393" s="24"/>
      <c r="K393" s="24"/>
      <c r="L393" s="24"/>
      <c r="M393" s="24"/>
      <c r="N393" s="61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71"/>
      <c r="AU393" s="272"/>
      <c r="AV393" s="4"/>
    </row>
    <row r="394" spans="1:48" ht="21.75" customHeight="1">
      <c r="A394" s="30"/>
      <c r="B394" s="38"/>
      <c r="C394" s="38"/>
      <c r="D394" s="39"/>
      <c r="E394" s="24"/>
      <c r="F394" s="24"/>
      <c r="G394" s="105"/>
      <c r="H394" s="105"/>
      <c r="I394" s="24"/>
      <c r="J394" s="24"/>
      <c r="K394" s="24"/>
      <c r="L394" s="24"/>
      <c r="M394" s="24"/>
      <c r="N394" s="61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71"/>
      <c r="AU394" s="272"/>
      <c r="AV394" s="4"/>
    </row>
    <row r="395" spans="1:48" ht="21.75" customHeight="1">
      <c r="A395" s="30"/>
      <c r="B395" s="38"/>
      <c r="C395" s="46"/>
      <c r="D395" s="39"/>
      <c r="E395" s="24"/>
      <c r="F395" s="24"/>
      <c r="G395" s="105"/>
      <c r="H395" s="24"/>
      <c r="I395" s="24"/>
      <c r="J395" s="24"/>
      <c r="K395" s="24"/>
      <c r="L395" s="24"/>
      <c r="M395" s="24"/>
      <c r="N395" s="61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71"/>
      <c r="AU395" s="272"/>
      <c r="AV395" s="4"/>
    </row>
    <row r="396" spans="1:48" ht="21.75" customHeight="1">
      <c r="A396" s="30"/>
      <c r="B396" s="38"/>
      <c r="C396" s="46"/>
      <c r="D396" s="39"/>
      <c r="E396" s="24"/>
      <c r="F396" s="24"/>
      <c r="G396" s="105"/>
      <c r="H396" s="24"/>
      <c r="I396" s="24"/>
      <c r="J396" s="24"/>
      <c r="K396" s="24"/>
      <c r="L396" s="24"/>
      <c r="M396" s="24"/>
      <c r="N396" s="61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71"/>
      <c r="AU396" s="272"/>
      <c r="AV396" s="4"/>
    </row>
    <row r="397" spans="1:48" ht="21.75" customHeight="1">
      <c r="A397" s="30"/>
      <c r="B397" s="38"/>
      <c r="C397" s="38"/>
      <c r="D397" s="39"/>
      <c r="E397" s="24"/>
      <c r="F397" s="66"/>
      <c r="G397" s="105"/>
      <c r="H397" s="24"/>
      <c r="I397" s="24"/>
      <c r="J397" s="24"/>
      <c r="K397" s="24"/>
      <c r="L397" s="24"/>
      <c r="M397" s="24"/>
      <c r="N397" s="61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71"/>
      <c r="AU397" s="272"/>
      <c r="AV397" s="4"/>
    </row>
    <row r="398" spans="1:48" ht="21.75" customHeight="1">
      <c r="A398" s="30"/>
      <c r="B398" s="38"/>
      <c r="C398" s="38"/>
      <c r="D398" s="39"/>
      <c r="E398" s="24"/>
      <c r="F398" s="24"/>
      <c r="G398" s="105"/>
      <c r="H398" s="24"/>
      <c r="I398" s="24"/>
      <c r="J398" s="24"/>
      <c r="K398" s="24"/>
      <c r="L398" s="24"/>
      <c r="M398" s="24"/>
      <c r="N398" s="61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71"/>
      <c r="AU398" s="272"/>
      <c r="AV398" s="4"/>
    </row>
    <row r="399" spans="1:48" ht="21.75" customHeight="1">
      <c r="A399" s="30"/>
      <c r="B399" s="38"/>
      <c r="C399" s="46"/>
      <c r="D399" s="39"/>
      <c r="E399" s="24"/>
      <c r="F399" s="24"/>
      <c r="G399" s="66"/>
      <c r="H399" s="24"/>
      <c r="I399" s="24"/>
      <c r="J399" s="24"/>
      <c r="K399" s="24"/>
      <c r="L399" s="24"/>
      <c r="M399" s="24"/>
      <c r="N399" s="61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71"/>
      <c r="AU399" s="272"/>
      <c r="AV399" s="4"/>
    </row>
    <row r="400" spans="1:48" ht="21.75" customHeight="1">
      <c r="A400" s="30"/>
      <c r="B400" s="38"/>
      <c r="C400" s="38"/>
      <c r="D400" s="39"/>
      <c r="E400" s="24"/>
      <c r="F400" s="24"/>
      <c r="G400" s="105"/>
      <c r="H400" s="105"/>
      <c r="I400" s="24"/>
      <c r="J400" s="24"/>
      <c r="K400" s="24"/>
      <c r="L400" s="24"/>
      <c r="M400" s="24"/>
      <c r="N400" s="61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71"/>
      <c r="AU400" s="272"/>
      <c r="AV400" s="4"/>
    </row>
    <row r="401" spans="1:48" ht="21.75" customHeight="1">
      <c r="A401" s="30"/>
      <c r="B401" s="38"/>
      <c r="C401" s="38"/>
      <c r="D401" s="39"/>
      <c r="E401" s="24"/>
      <c r="F401" s="24"/>
      <c r="G401" s="105"/>
      <c r="H401" s="105"/>
      <c r="I401" s="24"/>
      <c r="J401" s="24"/>
      <c r="K401" s="24"/>
      <c r="L401" s="24"/>
      <c r="M401" s="24"/>
      <c r="N401" s="61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71"/>
      <c r="AU401" s="272"/>
      <c r="AV401" s="4"/>
    </row>
    <row r="402" spans="1:48" ht="21.75" customHeight="1">
      <c r="A402" s="30"/>
      <c r="B402" s="38"/>
      <c r="C402" s="46"/>
      <c r="D402" s="39"/>
      <c r="E402" s="24"/>
      <c r="F402" s="24"/>
      <c r="G402" s="105"/>
      <c r="H402" s="24"/>
      <c r="I402" s="24"/>
      <c r="J402" s="24"/>
      <c r="K402" s="24"/>
      <c r="L402" s="24"/>
      <c r="M402" s="24"/>
      <c r="N402" s="61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71"/>
      <c r="AU402" s="272"/>
      <c r="AV402" s="4"/>
    </row>
    <row r="403" spans="1:48" ht="21.75" customHeight="1">
      <c r="A403" s="30"/>
      <c r="B403" s="38"/>
      <c r="C403" s="38"/>
      <c r="D403" s="39"/>
      <c r="E403" s="24"/>
      <c r="F403" s="213"/>
      <c r="G403" s="214"/>
      <c r="H403" s="214"/>
      <c r="I403" s="215"/>
      <c r="J403" s="24"/>
      <c r="K403" s="24"/>
      <c r="L403" s="24"/>
      <c r="M403" s="24"/>
      <c r="N403" s="61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71"/>
      <c r="AU403" s="272"/>
      <c r="AV403" s="16"/>
    </row>
    <row r="404" spans="1:48" ht="21.75" customHeight="1">
      <c r="A404" s="30"/>
      <c r="B404" s="38"/>
      <c r="C404" s="46"/>
      <c r="D404" s="39"/>
      <c r="E404" s="24"/>
      <c r="F404" s="24"/>
      <c r="G404" s="105"/>
      <c r="H404" s="105"/>
      <c r="I404" s="24"/>
      <c r="J404" s="24"/>
      <c r="K404" s="24"/>
      <c r="L404" s="24"/>
      <c r="M404" s="24"/>
      <c r="N404" s="61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71"/>
      <c r="AU404" s="272"/>
      <c r="AV404" s="16"/>
    </row>
    <row r="405" spans="1:48" ht="21.75" customHeight="1">
      <c r="A405" s="30"/>
      <c r="B405" s="38"/>
      <c r="C405" s="38"/>
      <c r="D405" s="39"/>
      <c r="E405" s="24"/>
      <c r="F405" s="24"/>
      <c r="G405" s="66"/>
      <c r="H405" s="24"/>
      <c r="I405" s="24"/>
      <c r="J405" s="24"/>
      <c r="K405" s="24"/>
      <c r="L405" s="24"/>
      <c r="M405" s="24"/>
      <c r="N405" s="61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71"/>
      <c r="AU405" s="272"/>
      <c r="AV405" s="16"/>
    </row>
    <row r="406" spans="1:48" ht="21.75" customHeight="1">
      <c r="A406" s="30"/>
      <c r="B406" s="38"/>
      <c r="C406" s="38"/>
      <c r="D406" s="39"/>
      <c r="E406" s="24"/>
      <c r="F406" s="24"/>
      <c r="G406" s="105"/>
      <c r="H406" s="105"/>
      <c r="I406" s="24"/>
      <c r="J406" s="24"/>
      <c r="K406" s="24"/>
      <c r="L406" s="24"/>
      <c r="M406" s="24"/>
      <c r="N406" s="61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71"/>
      <c r="AU406" s="272"/>
      <c r="AV406" s="16"/>
    </row>
    <row r="407" spans="1:48" ht="21.75" customHeight="1">
      <c r="A407" s="30"/>
      <c r="B407" s="38"/>
      <c r="C407" s="46"/>
      <c r="D407" s="39"/>
      <c r="E407" s="24"/>
      <c r="F407" s="24"/>
      <c r="G407" s="66"/>
      <c r="H407" s="24"/>
      <c r="I407" s="24"/>
      <c r="J407" s="24"/>
      <c r="K407" s="24"/>
      <c r="L407" s="24"/>
      <c r="M407" s="24"/>
      <c r="N407" s="61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71"/>
      <c r="AU407" s="272"/>
      <c r="AV407" s="16"/>
    </row>
    <row r="408" spans="1:48" ht="21.75" customHeight="1">
      <c r="A408" s="30"/>
      <c r="B408" s="38"/>
      <c r="C408" s="46"/>
      <c r="D408" s="39"/>
      <c r="E408" s="24"/>
      <c r="F408" s="24"/>
      <c r="G408" s="66"/>
      <c r="H408" s="24"/>
      <c r="I408" s="24"/>
      <c r="J408" s="24"/>
      <c r="K408" s="119"/>
      <c r="L408" s="24"/>
      <c r="M408" s="24"/>
      <c r="N408" s="61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71"/>
      <c r="AU408" s="272"/>
      <c r="AV408" s="4"/>
    </row>
    <row r="409" spans="1:48" ht="21.75" customHeight="1">
      <c r="A409" s="30"/>
      <c r="B409" s="38"/>
      <c r="C409" s="46"/>
      <c r="D409" s="39"/>
      <c r="E409" s="24"/>
      <c r="F409" s="24"/>
      <c r="G409" s="105"/>
      <c r="H409" s="105"/>
      <c r="I409" s="24"/>
      <c r="J409" s="24"/>
      <c r="K409" s="24"/>
      <c r="L409" s="24"/>
      <c r="M409" s="24"/>
      <c r="N409" s="61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71"/>
      <c r="AU409" s="272"/>
      <c r="AV409" s="4"/>
    </row>
    <row r="410" spans="1:48" ht="21.75" customHeight="1">
      <c r="A410" s="30"/>
      <c r="B410" s="38"/>
      <c r="C410" s="46"/>
      <c r="D410" s="39"/>
      <c r="E410" s="24"/>
      <c r="F410" s="24"/>
      <c r="G410" s="66"/>
      <c r="H410" s="24"/>
      <c r="I410" s="24"/>
      <c r="J410" s="24"/>
      <c r="K410" s="24"/>
      <c r="L410" s="24"/>
      <c r="M410" s="24"/>
      <c r="N410" s="61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71"/>
      <c r="AU410" s="272"/>
      <c r="AV410" s="4"/>
    </row>
    <row r="411" spans="1:48" ht="21.75" customHeight="1">
      <c r="A411" s="30"/>
      <c r="B411" s="38"/>
      <c r="C411" s="38"/>
      <c r="D411" s="39"/>
      <c r="E411" s="24"/>
      <c r="F411" s="24"/>
      <c r="G411" s="105"/>
      <c r="H411" s="105"/>
      <c r="I411" s="24"/>
      <c r="J411" s="24"/>
      <c r="K411" s="24"/>
      <c r="L411" s="24"/>
      <c r="M411" s="24"/>
      <c r="N411" s="61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71"/>
      <c r="AU411" s="272"/>
      <c r="AV411" s="4"/>
    </row>
    <row r="412" spans="1:48" ht="21.75" customHeight="1">
      <c r="A412" s="30"/>
      <c r="B412" s="38"/>
      <c r="C412" s="38"/>
      <c r="D412" s="39"/>
      <c r="E412" s="24"/>
      <c r="F412" s="24"/>
      <c r="G412" s="90"/>
      <c r="H412" s="24"/>
      <c r="I412" s="24"/>
      <c r="J412" s="24"/>
      <c r="K412" s="24"/>
      <c r="L412" s="24"/>
      <c r="M412" s="24"/>
      <c r="N412" s="61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71"/>
      <c r="AU412" s="272"/>
      <c r="AV412" s="4"/>
    </row>
    <row r="413" spans="1:48" ht="21.75" customHeight="1">
      <c r="A413" s="30"/>
      <c r="B413" s="38"/>
      <c r="C413" s="38"/>
      <c r="D413" s="39"/>
      <c r="E413" s="24"/>
      <c r="F413" s="24"/>
      <c r="G413" s="105"/>
      <c r="H413" s="105"/>
      <c r="I413" s="24"/>
      <c r="J413" s="24"/>
      <c r="K413" s="24"/>
      <c r="L413" s="24"/>
      <c r="M413" s="24"/>
      <c r="N413" s="61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71"/>
      <c r="AU413" s="272"/>
      <c r="AV413" s="4"/>
    </row>
    <row r="414" spans="1:48" ht="21.75" customHeight="1">
      <c r="A414" s="30"/>
      <c r="B414" s="38"/>
      <c r="C414" s="38"/>
      <c r="D414" s="39"/>
      <c r="E414" s="24"/>
      <c r="F414" s="24"/>
      <c r="G414" s="105"/>
      <c r="H414" s="105"/>
      <c r="I414" s="24"/>
      <c r="J414" s="24"/>
      <c r="K414" s="24"/>
      <c r="L414" s="24"/>
      <c r="M414" s="24"/>
      <c r="N414" s="61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71"/>
      <c r="AU414" s="272"/>
      <c r="AV414" s="4"/>
    </row>
    <row r="415" spans="1:48" ht="21.75" customHeight="1">
      <c r="A415" s="30"/>
      <c r="B415" s="38"/>
      <c r="C415" s="46"/>
      <c r="D415" s="39"/>
      <c r="E415" s="24"/>
      <c r="F415" s="24"/>
      <c r="G415" s="66"/>
      <c r="H415" s="24"/>
      <c r="I415" s="24"/>
      <c r="J415" s="24"/>
      <c r="K415" s="24"/>
      <c r="L415" s="24"/>
      <c r="M415" s="24"/>
      <c r="N415" s="61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71"/>
      <c r="AU415" s="272"/>
      <c r="AV415" s="4"/>
    </row>
    <row r="416" spans="1:48" ht="21.75" customHeight="1">
      <c r="A416" s="30"/>
      <c r="B416" s="38"/>
      <c r="C416" s="38"/>
      <c r="D416" s="39"/>
      <c r="E416" s="24"/>
      <c r="F416" s="66"/>
      <c r="G416" s="105"/>
      <c r="H416" s="105"/>
      <c r="I416" s="24"/>
      <c r="J416" s="24"/>
      <c r="K416" s="24"/>
      <c r="L416" s="24"/>
      <c r="M416" s="24"/>
      <c r="N416" s="61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71"/>
      <c r="AU416" s="272"/>
      <c r="AV416" s="4"/>
    </row>
    <row r="417" spans="1:48" ht="21.75" customHeight="1">
      <c r="A417" s="30"/>
      <c r="B417" s="38"/>
      <c r="C417" s="38"/>
      <c r="D417" s="39"/>
      <c r="E417" s="24"/>
      <c r="F417" s="24"/>
      <c r="G417" s="105"/>
      <c r="H417" s="105"/>
      <c r="I417" s="24"/>
      <c r="J417" s="24"/>
      <c r="K417" s="24"/>
      <c r="L417" s="24"/>
      <c r="M417" s="24"/>
      <c r="N417" s="61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71"/>
      <c r="AU417" s="272"/>
      <c r="AV417" s="4"/>
    </row>
    <row r="418" spans="1:48" ht="21.75" customHeight="1">
      <c r="A418" s="30"/>
      <c r="B418" s="38"/>
      <c r="C418" s="46"/>
      <c r="D418" s="39"/>
      <c r="E418" s="24"/>
      <c r="F418" s="66"/>
      <c r="G418" s="105"/>
      <c r="H418" s="105"/>
      <c r="I418" s="24"/>
      <c r="J418" s="24"/>
      <c r="K418" s="24"/>
      <c r="L418" s="24"/>
      <c r="M418" s="24"/>
      <c r="N418" s="61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71"/>
      <c r="AU418" s="272"/>
      <c r="AV418" s="4"/>
    </row>
    <row r="419" spans="1:48" ht="21.75" customHeight="1">
      <c r="A419" s="30"/>
      <c r="B419" s="38"/>
      <c r="C419" s="38"/>
      <c r="D419" s="39"/>
      <c r="E419" s="24"/>
      <c r="F419" s="66"/>
      <c r="G419" s="105"/>
      <c r="H419" s="105"/>
      <c r="I419" s="24"/>
      <c r="J419" s="24"/>
      <c r="K419" s="24"/>
      <c r="L419" s="24"/>
      <c r="M419" s="24"/>
      <c r="N419" s="61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71"/>
      <c r="AU419" s="272"/>
      <c r="AV419" s="4"/>
    </row>
    <row r="420" spans="1:48" ht="21.75" customHeight="1">
      <c r="A420" s="30"/>
      <c r="B420" s="38"/>
      <c r="C420" s="38"/>
      <c r="D420" s="39"/>
      <c r="E420" s="24"/>
      <c r="F420" s="66"/>
      <c r="G420" s="105"/>
      <c r="H420" s="105"/>
      <c r="I420" s="24"/>
      <c r="J420" s="24"/>
      <c r="K420" s="24"/>
      <c r="L420" s="24"/>
      <c r="M420" s="24"/>
      <c r="N420" s="61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71"/>
      <c r="AU420" s="272"/>
      <c r="AV420" s="4"/>
    </row>
    <row r="421" spans="1:48" ht="21.75" customHeight="1">
      <c r="A421" s="30"/>
      <c r="B421" s="38"/>
      <c r="C421" s="46"/>
      <c r="D421" s="39"/>
      <c r="E421" s="24"/>
      <c r="F421" s="24"/>
      <c r="G421" s="66"/>
      <c r="H421" s="24"/>
      <c r="I421" s="24"/>
      <c r="J421" s="24"/>
      <c r="K421" s="24"/>
      <c r="L421" s="24"/>
      <c r="M421" s="24"/>
      <c r="N421" s="61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71"/>
      <c r="AU421" s="272"/>
      <c r="AV421" s="4"/>
    </row>
    <row r="422" spans="1:48" ht="21.75" customHeight="1">
      <c r="A422" s="30"/>
      <c r="B422" s="38"/>
      <c r="C422" s="38"/>
      <c r="D422" s="39"/>
      <c r="E422" s="24"/>
      <c r="F422" s="66"/>
      <c r="G422" s="105"/>
      <c r="H422" s="105"/>
      <c r="I422" s="24"/>
      <c r="J422" s="24"/>
      <c r="K422" s="24"/>
      <c r="L422" s="24"/>
      <c r="M422" s="24"/>
      <c r="N422" s="61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71"/>
      <c r="AU422" s="272"/>
      <c r="AV422" s="4"/>
    </row>
    <row r="423" spans="1:48" ht="21.75" customHeight="1">
      <c r="A423" s="30"/>
      <c r="B423" s="38"/>
      <c r="C423" s="38"/>
      <c r="D423" s="39"/>
      <c r="E423" s="24"/>
      <c r="F423" s="24"/>
      <c r="G423" s="105"/>
      <c r="H423" s="105"/>
      <c r="I423" s="24"/>
      <c r="J423" s="24"/>
      <c r="K423" s="24"/>
      <c r="L423" s="24"/>
      <c r="M423" s="24"/>
      <c r="N423" s="61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71"/>
      <c r="AU423" s="272"/>
      <c r="AV423" s="4"/>
    </row>
    <row r="424" spans="1:48" ht="21.75" customHeight="1">
      <c r="A424" s="30"/>
      <c r="B424" s="38"/>
      <c r="C424" s="38"/>
      <c r="D424" s="39"/>
      <c r="E424" s="24"/>
      <c r="F424" s="24"/>
      <c r="G424" s="66"/>
      <c r="H424" s="24"/>
      <c r="I424" s="24"/>
      <c r="J424" s="24"/>
      <c r="K424" s="24"/>
      <c r="L424" s="24"/>
      <c r="M424" s="24"/>
      <c r="N424" s="61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71"/>
      <c r="AU424" s="272"/>
      <c r="AV424" s="4"/>
    </row>
    <row r="425" spans="1:48" ht="21.75" customHeight="1">
      <c r="A425" s="30"/>
      <c r="B425" s="38"/>
      <c r="C425" s="46"/>
      <c r="D425" s="39"/>
      <c r="E425" s="24"/>
      <c r="F425" s="24"/>
      <c r="G425" s="66"/>
      <c r="H425" s="24"/>
      <c r="I425" s="24"/>
      <c r="J425" s="24"/>
      <c r="K425" s="24"/>
      <c r="L425" s="24"/>
      <c r="M425" s="24"/>
      <c r="N425" s="61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71"/>
      <c r="AU425" s="272"/>
      <c r="AV425" s="4"/>
    </row>
    <row r="426" spans="1:48" ht="21.75" customHeight="1">
      <c r="A426" s="30"/>
      <c r="B426" s="38"/>
      <c r="C426" s="38"/>
      <c r="D426" s="39"/>
      <c r="E426" s="24"/>
      <c r="F426" s="24"/>
      <c r="G426" s="105"/>
      <c r="H426" s="105"/>
      <c r="I426" s="24"/>
      <c r="J426" s="24"/>
      <c r="K426" s="24"/>
      <c r="L426" s="24"/>
      <c r="M426" s="24"/>
      <c r="N426" s="61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71"/>
      <c r="AU426" s="272"/>
      <c r="AV426" s="4"/>
    </row>
    <row r="427" spans="1:48" ht="21.75" customHeight="1">
      <c r="A427" s="30"/>
      <c r="B427" s="38"/>
      <c r="C427" s="46"/>
      <c r="D427" s="39"/>
      <c r="E427" s="24"/>
      <c r="F427" s="24"/>
      <c r="G427" s="105"/>
      <c r="H427" s="105"/>
      <c r="I427" s="24"/>
      <c r="J427" s="24"/>
      <c r="K427" s="24"/>
      <c r="L427" s="24"/>
      <c r="M427" s="24"/>
      <c r="N427" s="61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71"/>
      <c r="AU427" s="272"/>
      <c r="AV427" s="4"/>
    </row>
    <row r="428" spans="1:48" ht="21.75" customHeight="1" thickBot="1">
      <c r="A428" s="30"/>
      <c r="B428" s="38"/>
      <c r="C428" s="46"/>
      <c r="D428" s="39"/>
      <c r="E428" s="24"/>
      <c r="F428" s="24"/>
      <c r="G428" s="66"/>
      <c r="H428" s="24"/>
      <c r="I428" s="24"/>
      <c r="J428" s="24"/>
      <c r="K428" s="24"/>
      <c r="L428" s="24"/>
      <c r="M428" s="24"/>
      <c r="N428" s="61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81"/>
      <c r="AU428" s="275"/>
      <c r="AV428" s="4"/>
    </row>
    <row r="429" spans="1:48" ht="21.75" customHeight="1">
      <c r="A429" s="30"/>
      <c r="B429" s="38"/>
      <c r="C429" s="38"/>
      <c r="D429" s="39"/>
      <c r="E429" s="24"/>
      <c r="F429" s="213"/>
      <c r="G429" s="214"/>
      <c r="H429" s="214"/>
      <c r="I429" s="215"/>
      <c r="J429" s="24"/>
      <c r="K429" s="24"/>
      <c r="L429" s="24"/>
      <c r="M429" s="24"/>
      <c r="N429" s="61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69"/>
      <c r="AU429" s="270"/>
      <c r="AV429" s="4"/>
    </row>
    <row r="430" spans="1:48" ht="21.75" customHeight="1">
      <c r="A430" s="30"/>
      <c r="B430" s="38"/>
      <c r="C430" s="38"/>
      <c r="D430" s="39"/>
      <c r="E430" s="24"/>
      <c r="F430" s="24"/>
      <c r="G430" s="105"/>
      <c r="H430" s="105"/>
      <c r="I430" s="24"/>
      <c r="J430" s="24"/>
      <c r="K430" s="24"/>
      <c r="L430" s="24"/>
      <c r="M430" s="24"/>
      <c r="N430" s="61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71"/>
      <c r="AU430" s="272"/>
      <c r="AV430" s="4"/>
    </row>
    <row r="431" spans="1:48" ht="21.75" customHeight="1">
      <c r="A431" s="30"/>
      <c r="B431" s="38"/>
      <c r="C431" s="38"/>
      <c r="D431" s="39"/>
      <c r="E431" s="24"/>
      <c r="F431" s="24"/>
      <c r="G431" s="105"/>
      <c r="H431" s="105"/>
      <c r="I431" s="24"/>
      <c r="J431" s="24"/>
      <c r="K431" s="24"/>
      <c r="L431" s="24"/>
      <c r="M431" s="24"/>
      <c r="N431" s="61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71"/>
      <c r="AU431" s="272"/>
      <c r="AV431" s="4"/>
    </row>
    <row r="432" spans="1:48" ht="21.75" customHeight="1">
      <c r="A432" s="30"/>
      <c r="B432" s="38"/>
      <c r="C432" s="38"/>
      <c r="D432" s="39"/>
      <c r="E432" s="24"/>
      <c r="F432" s="24"/>
      <c r="G432" s="105"/>
      <c r="H432" s="105"/>
      <c r="I432" s="24"/>
      <c r="J432" s="24"/>
      <c r="K432" s="24"/>
      <c r="L432" s="24"/>
      <c r="M432" s="24"/>
      <c r="N432" s="61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71"/>
      <c r="AU432" s="272"/>
      <c r="AV432" s="4"/>
    </row>
    <row r="433" spans="1:48" ht="21.75" customHeight="1">
      <c r="A433" s="30"/>
      <c r="B433" s="38"/>
      <c r="C433" s="38"/>
      <c r="D433" s="39"/>
      <c r="E433" s="24"/>
      <c r="F433" s="24"/>
      <c r="G433" s="105"/>
      <c r="H433" s="105"/>
      <c r="I433" s="24"/>
      <c r="J433" s="24"/>
      <c r="K433" s="24"/>
      <c r="L433" s="24"/>
      <c r="M433" s="24"/>
      <c r="N433" s="61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71"/>
      <c r="AU433" s="272"/>
      <c r="AV433" s="4"/>
    </row>
    <row r="434" spans="1:48" ht="21.75" customHeight="1">
      <c r="A434" s="30"/>
      <c r="B434" s="38"/>
      <c r="C434" s="38"/>
      <c r="D434" s="39"/>
      <c r="E434" s="24"/>
      <c r="F434" s="213"/>
      <c r="G434" s="214"/>
      <c r="H434" s="214"/>
      <c r="I434" s="215"/>
      <c r="J434" s="24"/>
      <c r="K434" s="24"/>
      <c r="L434" s="24"/>
      <c r="M434" s="24"/>
      <c r="N434" s="61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71"/>
      <c r="AU434" s="272"/>
      <c r="AV434" s="4"/>
    </row>
    <row r="435" spans="1:48" ht="21.75" customHeight="1">
      <c r="A435" s="30"/>
      <c r="B435" s="38"/>
      <c r="C435" s="38"/>
      <c r="D435" s="39"/>
      <c r="E435" s="24"/>
      <c r="F435" s="24"/>
      <c r="G435" s="66"/>
      <c r="H435" s="24"/>
      <c r="I435" s="24"/>
      <c r="J435" s="24"/>
      <c r="K435" s="24"/>
      <c r="L435" s="24"/>
      <c r="M435" s="24"/>
      <c r="N435" s="61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71"/>
      <c r="AU435" s="272"/>
      <c r="AV435" s="4"/>
    </row>
    <row r="436" spans="1:48" ht="21.75" customHeight="1">
      <c r="A436" s="30"/>
      <c r="B436" s="38"/>
      <c r="C436" s="38"/>
      <c r="D436" s="39"/>
      <c r="E436" s="24"/>
      <c r="F436" s="24"/>
      <c r="G436" s="105"/>
      <c r="H436" s="105"/>
      <c r="I436" s="24"/>
      <c r="J436" s="24"/>
      <c r="K436" s="24"/>
      <c r="L436" s="24"/>
      <c r="M436" s="24"/>
      <c r="N436" s="61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71"/>
      <c r="AU436" s="272"/>
      <c r="AV436" s="4"/>
    </row>
    <row r="437" spans="1:48" ht="21.75" customHeight="1">
      <c r="A437" s="30"/>
      <c r="B437" s="38"/>
      <c r="C437" s="38"/>
      <c r="D437" s="39"/>
      <c r="E437" s="24"/>
      <c r="F437" s="24"/>
      <c r="G437" s="66"/>
      <c r="H437" s="24"/>
      <c r="I437" s="24"/>
      <c r="J437" s="24"/>
      <c r="K437" s="24"/>
      <c r="L437" s="24"/>
      <c r="M437" s="24"/>
      <c r="N437" s="61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71"/>
      <c r="AU437" s="272"/>
      <c r="AV437" s="4"/>
    </row>
    <row r="438" spans="1:48" ht="21.75" customHeight="1">
      <c r="A438" s="30"/>
      <c r="B438" s="38"/>
      <c r="C438" s="38"/>
      <c r="D438" s="39"/>
      <c r="E438" s="24"/>
      <c r="F438" s="24"/>
      <c r="G438" s="105"/>
      <c r="H438" s="105"/>
      <c r="I438" s="24"/>
      <c r="J438" s="24"/>
      <c r="K438" s="24"/>
      <c r="L438" s="24"/>
      <c r="M438" s="24"/>
      <c r="N438" s="61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71"/>
      <c r="AU438" s="272"/>
      <c r="AV438" s="4"/>
    </row>
    <row r="439" spans="1:48" ht="21.75" customHeight="1">
      <c r="A439" s="30"/>
      <c r="B439" s="38"/>
      <c r="C439" s="46"/>
      <c r="D439" s="39"/>
      <c r="E439" s="24"/>
      <c r="F439" s="24"/>
      <c r="G439" s="66"/>
      <c r="H439" s="24"/>
      <c r="I439" s="24"/>
      <c r="J439" s="24"/>
      <c r="K439" s="24"/>
      <c r="L439" s="24"/>
      <c r="M439" s="24"/>
      <c r="N439" s="61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71"/>
      <c r="AU439" s="272"/>
      <c r="AV439" s="4"/>
    </row>
    <row r="440" spans="1:48" ht="21.75" customHeight="1">
      <c r="A440" s="30"/>
      <c r="B440" s="38"/>
      <c r="C440" s="38"/>
      <c r="D440" s="39"/>
      <c r="E440" s="24"/>
      <c r="F440" s="24"/>
      <c r="G440" s="66"/>
      <c r="H440" s="24"/>
      <c r="I440" s="24"/>
      <c r="J440" s="24"/>
      <c r="K440" s="24"/>
      <c r="L440" s="24"/>
      <c r="M440" s="24"/>
      <c r="N440" s="61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71"/>
      <c r="AU440" s="272"/>
      <c r="AV440" s="4"/>
    </row>
    <row r="441" spans="1:48" ht="21.75" customHeight="1">
      <c r="A441" s="30"/>
      <c r="B441" s="38"/>
      <c r="C441" s="38"/>
      <c r="D441" s="39"/>
      <c r="E441" s="24"/>
      <c r="F441" s="107"/>
      <c r="G441" s="90"/>
      <c r="H441" s="24"/>
      <c r="I441" s="24"/>
      <c r="J441" s="24"/>
      <c r="K441" s="24"/>
      <c r="L441" s="24"/>
      <c r="M441" s="24"/>
      <c r="N441" s="61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71"/>
      <c r="AU441" s="272"/>
      <c r="AV441" s="4"/>
    </row>
    <row r="442" spans="1:48" ht="21.75" customHeight="1">
      <c r="A442" s="30"/>
      <c r="B442" s="38"/>
      <c r="C442" s="38"/>
      <c r="D442" s="39"/>
      <c r="E442" s="24"/>
      <c r="F442" s="107"/>
      <c r="G442" s="90"/>
      <c r="H442" s="24"/>
      <c r="I442" s="24"/>
      <c r="J442" s="24"/>
      <c r="K442" s="24"/>
      <c r="L442" s="24"/>
      <c r="M442" s="24"/>
      <c r="N442" s="61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73"/>
      <c r="AU442" s="272"/>
      <c r="AV442" s="4"/>
    </row>
    <row r="443" spans="1:48" ht="21.75" customHeight="1">
      <c r="A443" s="30"/>
      <c r="B443" s="38"/>
      <c r="C443" s="38"/>
      <c r="D443" s="39"/>
      <c r="E443" s="24"/>
      <c r="F443" s="107"/>
      <c r="G443" s="90"/>
      <c r="H443" s="24"/>
      <c r="I443" s="24"/>
      <c r="J443" s="24"/>
      <c r="K443" s="24"/>
      <c r="L443" s="24"/>
      <c r="M443" s="24"/>
      <c r="N443" s="61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73"/>
      <c r="AU443" s="272"/>
      <c r="AV443" s="4"/>
    </row>
    <row r="444" spans="1:48" ht="21.75" customHeight="1" thickBot="1">
      <c r="A444" s="30"/>
      <c r="B444" s="38"/>
      <c r="C444" s="38"/>
      <c r="D444" s="39"/>
      <c r="E444" s="24"/>
      <c r="F444" s="57"/>
      <c r="G444" s="66"/>
      <c r="H444" s="24"/>
      <c r="I444" s="24"/>
      <c r="J444" s="24"/>
      <c r="K444" s="24"/>
      <c r="L444" s="24"/>
      <c r="M444" s="24"/>
      <c r="N444" s="61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74"/>
      <c r="AU444" s="275"/>
      <c r="AV444" s="4"/>
    </row>
    <row r="445" spans="1:48" ht="46.5" customHeight="1">
      <c r="A445" s="1"/>
      <c r="B445" s="233"/>
      <c r="C445" s="234"/>
      <c r="D445" s="234"/>
      <c r="E445" s="234"/>
      <c r="F445" s="234"/>
      <c r="G445" s="234"/>
      <c r="H445" s="234"/>
      <c r="I445" s="234"/>
      <c r="J445" s="234"/>
      <c r="K445" s="234"/>
      <c r="L445" s="234"/>
      <c r="M445" s="234"/>
      <c r="N445" s="235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  <c r="AB445" s="211"/>
      <c r="AC445" s="211"/>
      <c r="AD445" s="211"/>
      <c r="AE445" s="211"/>
      <c r="AF445" s="211"/>
      <c r="AG445" s="211"/>
      <c r="AH445" s="211"/>
      <c r="AI445" s="211"/>
      <c r="AJ445" s="211"/>
      <c r="AK445" s="211"/>
      <c r="AL445" s="211"/>
      <c r="AM445" s="211"/>
      <c r="AN445" s="211"/>
      <c r="AO445" s="211"/>
      <c r="AP445" s="211"/>
      <c r="AQ445" s="211"/>
      <c r="AR445" s="211"/>
      <c r="AS445" s="211"/>
      <c r="AT445" s="279"/>
      <c r="AU445" s="280"/>
      <c r="AV445" s="1"/>
    </row>
    <row r="446" spans="1:48" ht="46.5" customHeight="1" thickBot="1">
      <c r="A446" s="1"/>
      <c r="B446" s="236"/>
      <c r="C446" s="237"/>
      <c r="D446" s="237"/>
      <c r="E446" s="237"/>
      <c r="F446" s="237"/>
      <c r="G446" s="237"/>
      <c r="H446" s="237"/>
      <c r="I446" s="237"/>
      <c r="J446" s="237"/>
      <c r="K446" s="237"/>
      <c r="L446" s="237"/>
      <c r="M446" s="237"/>
      <c r="N446" s="238"/>
      <c r="O446" s="250"/>
      <c r="P446" s="250"/>
      <c r="Q446" s="250"/>
      <c r="R446" s="250"/>
      <c r="S446" s="250"/>
      <c r="T446" s="250"/>
      <c r="U446" s="212"/>
      <c r="V446" s="212"/>
      <c r="W446" s="212"/>
      <c r="X446" s="212"/>
      <c r="Y446" s="250"/>
      <c r="Z446" s="250"/>
      <c r="AA446" s="212"/>
      <c r="AB446" s="212"/>
      <c r="AC446" s="212"/>
      <c r="AD446" s="212"/>
      <c r="AE446" s="212"/>
      <c r="AF446" s="212"/>
      <c r="AG446" s="212"/>
      <c r="AH446" s="212"/>
      <c r="AI446" s="212"/>
      <c r="AJ446" s="212"/>
      <c r="AK446" s="212"/>
      <c r="AL446" s="212"/>
      <c r="AM446" s="212"/>
      <c r="AN446" s="212"/>
      <c r="AO446" s="212"/>
      <c r="AP446" s="212"/>
      <c r="AQ446" s="212"/>
      <c r="AR446" s="212"/>
      <c r="AS446" s="212"/>
      <c r="AT446" s="276"/>
      <c r="AU446" s="277"/>
      <c r="AV446" s="1"/>
    </row>
    <row r="447" spans="1:48" ht="12.75">
      <c r="A447" s="10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85"/>
      <c r="U447" s="49"/>
      <c r="V447" s="49"/>
      <c r="Y447" s="85"/>
      <c r="Z447" s="49"/>
      <c r="AC447" s="49"/>
      <c r="AD447" s="49"/>
      <c r="AT447" s="49"/>
      <c r="AU447" s="49"/>
      <c r="AV447" s="11"/>
    </row>
    <row r="448" spans="2:47" ht="12.75"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85"/>
      <c r="U448" s="49"/>
      <c r="V448" s="49"/>
      <c r="Y448" s="85"/>
      <c r="Z448" s="49"/>
      <c r="AC448" s="49"/>
      <c r="AD448" s="49"/>
      <c r="AT448" s="49"/>
      <c r="AU448" s="49"/>
    </row>
    <row r="449" spans="2:47" ht="12.75"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85"/>
      <c r="U449" s="49"/>
      <c r="V449" s="49"/>
      <c r="Y449" s="85"/>
      <c r="Z449" s="49"/>
      <c r="AC449" s="49"/>
      <c r="AD449" s="49"/>
      <c r="AT449" s="49"/>
      <c r="AU449" s="49"/>
    </row>
    <row r="450" spans="2:47" ht="15.75">
      <c r="B450" s="224"/>
      <c r="C450" s="224"/>
      <c r="D450" s="224"/>
      <c r="E450" s="224"/>
      <c r="F450" s="224"/>
      <c r="G450" s="224"/>
      <c r="H450" s="53"/>
      <c r="I450" s="53"/>
      <c r="J450" s="53"/>
      <c r="K450" s="53"/>
      <c r="L450" s="53"/>
      <c r="M450" s="53"/>
      <c r="N450" s="53"/>
      <c r="O450" s="53"/>
      <c r="P450" s="53"/>
      <c r="Q450" s="101"/>
      <c r="R450" s="53"/>
      <c r="S450" s="94"/>
      <c r="T450" s="93"/>
      <c r="U450" s="101"/>
      <c r="V450" s="101"/>
      <c r="W450" s="101"/>
      <c r="X450" s="101"/>
      <c r="Y450" s="53"/>
      <c r="Z450" s="53"/>
      <c r="AA450" s="53"/>
      <c r="AB450" s="53"/>
      <c r="AC450" s="53"/>
      <c r="AD450" s="53"/>
      <c r="AT450" s="49"/>
      <c r="AU450" s="49"/>
    </row>
    <row r="451" spans="2:47" ht="15"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96"/>
      <c r="P451" s="96"/>
      <c r="Q451" s="53"/>
      <c r="R451" s="53"/>
      <c r="S451" s="85"/>
      <c r="T451" s="49"/>
      <c r="U451" s="49"/>
      <c r="V451" s="49"/>
      <c r="Y451" s="49"/>
      <c r="Z451" s="49"/>
      <c r="AC451" s="49"/>
      <c r="AD451" s="49"/>
      <c r="AT451" s="49"/>
      <c r="AU451" s="49"/>
    </row>
    <row r="452" spans="2:47" ht="15"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96"/>
      <c r="P452" s="49"/>
      <c r="Q452" s="49"/>
      <c r="R452" s="49"/>
      <c r="S452" s="85"/>
      <c r="T452" s="49"/>
      <c r="U452" s="49"/>
      <c r="V452" s="49"/>
      <c r="Y452" s="49"/>
      <c r="Z452" s="49"/>
      <c r="AC452" s="49"/>
      <c r="AD452" s="49"/>
      <c r="AT452" s="49"/>
      <c r="AU452" s="49"/>
    </row>
    <row r="453" spans="2:47" ht="12.75"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85"/>
      <c r="U453" s="49"/>
      <c r="V453" s="49"/>
      <c r="Y453" s="49"/>
      <c r="Z453" s="49"/>
      <c r="AC453" s="49"/>
      <c r="AD453" s="49"/>
      <c r="AT453" s="49"/>
      <c r="AU453" s="49"/>
    </row>
    <row r="454" spans="2:47" ht="15"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53"/>
      <c r="Q454" s="53"/>
      <c r="R454" s="53"/>
      <c r="S454" s="49"/>
      <c r="T454" s="85"/>
      <c r="U454" s="49"/>
      <c r="V454" s="49"/>
      <c r="Y454" s="49"/>
      <c r="Z454" s="49"/>
      <c r="AC454" s="49"/>
      <c r="AD454" s="49"/>
      <c r="AT454" s="49"/>
      <c r="AU454" s="49"/>
    </row>
    <row r="455" spans="2:47" ht="15"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53"/>
      <c r="Q455" s="53"/>
      <c r="R455" s="53"/>
      <c r="S455" s="49"/>
      <c r="T455" s="85"/>
      <c r="U455" s="49"/>
      <c r="V455" s="49"/>
      <c r="Y455" s="49"/>
      <c r="Z455" s="49"/>
      <c r="AC455" s="49"/>
      <c r="AD455" s="49"/>
      <c r="AT455" s="49"/>
      <c r="AU455" s="49"/>
    </row>
    <row r="456" spans="2:47" ht="15"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53"/>
      <c r="Q456" s="53"/>
      <c r="R456" s="53"/>
      <c r="S456" s="49"/>
      <c r="T456" s="85"/>
      <c r="U456" s="49"/>
      <c r="V456" s="49"/>
      <c r="Y456" s="49"/>
      <c r="Z456" s="49"/>
      <c r="AC456" s="49"/>
      <c r="AD456" s="49"/>
      <c r="AT456" s="49"/>
      <c r="AU456" s="49"/>
    </row>
    <row r="457" spans="1:48" ht="36" customHeight="1" thickBot="1">
      <c r="A457" s="3"/>
      <c r="B457" s="54"/>
      <c r="C457" s="55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151"/>
      <c r="O457" s="229"/>
      <c r="P457" s="229"/>
      <c r="Q457" s="229"/>
      <c r="R457" s="229"/>
      <c r="S457" s="229"/>
      <c r="T457" s="229"/>
      <c r="U457" s="229"/>
      <c r="V457" s="229"/>
      <c r="Y457" s="229"/>
      <c r="Z457" s="229"/>
      <c r="AC457" s="257"/>
      <c r="AD457" s="257"/>
      <c r="AT457" s="98"/>
      <c r="AU457" s="98"/>
      <c r="AV457" s="13"/>
    </row>
    <row r="458" spans="1:48" ht="21.75" customHeight="1">
      <c r="A458" s="4"/>
      <c r="B458" s="233"/>
      <c r="C458" s="299"/>
      <c r="D458" s="251"/>
      <c r="E458" s="251"/>
      <c r="F458" s="251"/>
      <c r="G458" s="254"/>
      <c r="H458" s="254"/>
      <c r="I458" s="251"/>
      <c r="J458" s="254"/>
      <c r="K458" s="254"/>
      <c r="L458" s="254"/>
      <c r="M458" s="254"/>
      <c r="N458" s="254"/>
      <c r="O458" s="216"/>
      <c r="P458" s="217"/>
      <c r="Q458" s="216"/>
      <c r="R458" s="217"/>
      <c r="S458" s="216"/>
      <c r="T458" s="217"/>
      <c r="U458" s="216"/>
      <c r="V458" s="217"/>
      <c r="W458" s="216"/>
      <c r="X458" s="217"/>
      <c r="Y458" s="216"/>
      <c r="Z458" s="217"/>
      <c r="AA458" s="216"/>
      <c r="AB458" s="217"/>
      <c r="AC458" s="216"/>
      <c r="AD458" s="217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282"/>
      <c r="AU458" s="282"/>
      <c r="AV458" s="4"/>
    </row>
    <row r="459" spans="1:48" ht="27.75" customHeight="1">
      <c r="A459" s="4"/>
      <c r="B459" s="293"/>
      <c r="C459" s="300"/>
      <c r="D459" s="255"/>
      <c r="E459" s="255"/>
      <c r="F459" s="255"/>
      <c r="G459" s="242"/>
      <c r="H459" s="242"/>
      <c r="I459" s="252"/>
      <c r="J459" s="255"/>
      <c r="K459" s="255"/>
      <c r="L459" s="242"/>
      <c r="M459" s="242"/>
      <c r="N459" s="242"/>
      <c r="O459" s="218"/>
      <c r="P459" s="219"/>
      <c r="Q459" s="218"/>
      <c r="R459" s="219"/>
      <c r="S459" s="218"/>
      <c r="T459" s="219"/>
      <c r="U459" s="218"/>
      <c r="V459" s="219"/>
      <c r="W459" s="218"/>
      <c r="X459" s="219"/>
      <c r="Y459" s="218"/>
      <c r="Z459" s="219"/>
      <c r="AA459" s="218"/>
      <c r="AB459" s="219"/>
      <c r="AC459" s="218"/>
      <c r="AD459" s="219"/>
      <c r="AE459" s="241"/>
      <c r="AF459" s="241"/>
      <c r="AG459" s="241"/>
      <c r="AH459" s="241"/>
      <c r="AI459" s="241"/>
      <c r="AJ459" s="241"/>
      <c r="AK459" s="241"/>
      <c r="AL459" s="241"/>
      <c r="AM459" s="241"/>
      <c r="AN459" s="241"/>
      <c r="AO459" s="241"/>
      <c r="AP459" s="241"/>
      <c r="AQ459" s="241"/>
      <c r="AR459" s="241"/>
      <c r="AS459" s="241"/>
      <c r="AT459" s="283"/>
      <c r="AU459" s="304"/>
      <c r="AV459" s="4"/>
    </row>
    <row r="460" spans="1:48" ht="27.75" customHeight="1" thickBot="1">
      <c r="A460" s="4"/>
      <c r="B460" s="293"/>
      <c r="C460" s="300"/>
      <c r="D460" s="255"/>
      <c r="E460" s="255"/>
      <c r="F460" s="255"/>
      <c r="G460" s="242"/>
      <c r="H460" s="242"/>
      <c r="I460" s="252"/>
      <c r="J460" s="255"/>
      <c r="K460" s="255"/>
      <c r="L460" s="242"/>
      <c r="M460" s="242"/>
      <c r="N460" s="242"/>
      <c r="O460" s="220"/>
      <c r="P460" s="221"/>
      <c r="Q460" s="220"/>
      <c r="R460" s="221"/>
      <c r="S460" s="220"/>
      <c r="T460" s="221"/>
      <c r="U460" s="220"/>
      <c r="V460" s="221"/>
      <c r="W460" s="220"/>
      <c r="X460" s="221"/>
      <c r="Y460" s="220"/>
      <c r="Z460" s="221"/>
      <c r="AA460" s="220"/>
      <c r="AB460" s="221"/>
      <c r="AC460" s="220"/>
      <c r="AD460" s="221"/>
      <c r="AE460" s="242"/>
      <c r="AF460" s="242"/>
      <c r="AG460" s="242"/>
      <c r="AH460" s="242"/>
      <c r="AI460" s="242"/>
      <c r="AJ460" s="242"/>
      <c r="AK460" s="242"/>
      <c r="AL460" s="242"/>
      <c r="AM460" s="242"/>
      <c r="AN460" s="242"/>
      <c r="AO460" s="242"/>
      <c r="AP460" s="242"/>
      <c r="AQ460" s="242"/>
      <c r="AR460" s="242"/>
      <c r="AS460" s="242"/>
      <c r="AT460" s="284"/>
      <c r="AU460" s="304"/>
      <c r="AV460" s="4"/>
    </row>
    <row r="461" spans="1:48" ht="27.75" customHeight="1">
      <c r="A461" s="4"/>
      <c r="B461" s="293"/>
      <c r="C461" s="300"/>
      <c r="D461" s="255"/>
      <c r="E461" s="255"/>
      <c r="F461" s="255"/>
      <c r="G461" s="242"/>
      <c r="H461" s="242"/>
      <c r="I461" s="252"/>
      <c r="J461" s="255"/>
      <c r="K461" s="255"/>
      <c r="L461" s="242"/>
      <c r="M461" s="242"/>
      <c r="N461" s="242"/>
      <c r="O461" s="220"/>
      <c r="P461" s="221"/>
      <c r="Q461" s="220"/>
      <c r="R461" s="221"/>
      <c r="S461" s="220"/>
      <c r="T461" s="221"/>
      <c r="U461" s="220"/>
      <c r="V461" s="221"/>
      <c r="W461" s="220"/>
      <c r="X461" s="221"/>
      <c r="Y461" s="220"/>
      <c r="Z461" s="221"/>
      <c r="AA461" s="220"/>
      <c r="AB461" s="221"/>
      <c r="AC461" s="220"/>
      <c r="AD461" s="221"/>
      <c r="AE461" s="242"/>
      <c r="AF461" s="242"/>
      <c r="AG461" s="242"/>
      <c r="AH461" s="242"/>
      <c r="AI461" s="242"/>
      <c r="AJ461" s="242"/>
      <c r="AK461" s="242"/>
      <c r="AL461" s="242"/>
      <c r="AM461" s="242"/>
      <c r="AN461" s="242"/>
      <c r="AO461" s="242"/>
      <c r="AP461" s="242"/>
      <c r="AQ461" s="242"/>
      <c r="AR461" s="242"/>
      <c r="AS461" s="242"/>
      <c r="AT461" s="269"/>
      <c r="AU461" s="270"/>
      <c r="AV461" s="4"/>
    </row>
    <row r="462" spans="1:48" ht="27.75" customHeight="1">
      <c r="A462" s="4"/>
      <c r="B462" s="293"/>
      <c r="C462" s="300"/>
      <c r="D462" s="255"/>
      <c r="E462" s="255"/>
      <c r="F462" s="255"/>
      <c r="G462" s="242"/>
      <c r="H462" s="242"/>
      <c r="I462" s="252"/>
      <c r="J462" s="255"/>
      <c r="K462" s="255"/>
      <c r="L462" s="242"/>
      <c r="M462" s="242"/>
      <c r="N462" s="242"/>
      <c r="O462" s="220"/>
      <c r="P462" s="221"/>
      <c r="Q462" s="220"/>
      <c r="R462" s="221"/>
      <c r="S462" s="220"/>
      <c r="T462" s="221"/>
      <c r="U462" s="220"/>
      <c r="V462" s="221"/>
      <c r="W462" s="220"/>
      <c r="X462" s="221"/>
      <c r="Y462" s="220"/>
      <c r="Z462" s="221"/>
      <c r="AA462" s="220"/>
      <c r="AB462" s="221"/>
      <c r="AC462" s="220"/>
      <c r="AD462" s="221"/>
      <c r="AE462" s="242"/>
      <c r="AF462" s="242"/>
      <c r="AG462" s="242"/>
      <c r="AH462" s="242"/>
      <c r="AI462" s="242"/>
      <c r="AJ462" s="242"/>
      <c r="AK462" s="242"/>
      <c r="AL462" s="242"/>
      <c r="AM462" s="242"/>
      <c r="AN462" s="242"/>
      <c r="AO462" s="242"/>
      <c r="AP462" s="242"/>
      <c r="AQ462" s="242"/>
      <c r="AR462" s="242"/>
      <c r="AS462" s="242"/>
      <c r="AT462" s="271"/>
      <c r="AU462" s="272"/>
      <c r="AV462" s="4"/>
    </row>
    <row r="463" spans="1:48" ht="27.75" customHeight="1">
      <c r="A463" s="4"/>
      <c r="B463" s="293"/>
      <c r="C463" s="300"/>
      <c r="D463" s="255"/>
      <c r="E463" s="255"/>
      <c r="F463" s="255"/>
      <c r="G463" s="242"/>
      <c r="H463" s="242"/>
      <c r="I463" s="252"/>
      <c r="J463" s="255"/>
      <c r="K463" s="255"/>
      <c r="L463" s="242"/>
      <c r="M463" s="242"/>
      <c r="N463" s="242"/>
      <c r="O463" s="220"/>
      <c r="P463" s="221"/>
      <c r="Q463" s="220"/>
      <c r="R463" s="221"/>
      <c r="S463" s="220"/>
      <c r="T463" s="221"/>
      <c r="U463" s="220"/>
      <c r="V463" s="221"/>
      <c r="W463" s="220"/>
      <c r="X463" s="221"/>
      <c r="Y463" s="220"/>
      <c r="Z463" s="221"/>
      <c r="AA463" s="220"/>
      <c r="AB463" s="221"/>
      <c r="AC463" s="220"/>
      <c r="AD463" s="221"/>
      <c r="AE463" s="242"/>
      <c r="AF463" s="242"/>
      <c r="AG463" s="242"/>
      <c r="AH463" s="242"/>
      <c r="AI463" s="242"/>
      <c r="AJ463" s="242"/>
      <c r="AK463" s="242"/>
      <c r="AL463" s="242"/>
      <c r="AM463" s="242"/>
      <c r="AN463" s="242"/>
      <c r="AO463" s="242"/>
      <c r="AP463" s="242"/>
      <c r="AQ463" s="242"/>
      <c r="AR463" s="242"/>
      <c r="AS463" s="242"/>
      <c r="AT463" s="271"/>
      <c r="AU463" s="272"/>
      <c r="AV463" s="4"/>
    </row>
    <row r="464" spans="1:48" ht="27.75" customHeight="1">
      <c r="A464" s="4"/>
      <c r="B464" s="293"/>
      <c r="C464" s="300"/>
      <c r="D464" s="255"/>
      <c r="E464" s="255"/>
      <c r="F464" s="255"/>
      <c r="G464" s="242"/>
      <c r="H464" s="242"/>
      <c r="I464" s="252"/>
      <c r="J464" s="255"/>
      <c r="K464" s="255"/>
      <c r="L464" s="242"/>
      <c r="M464" s="242"/>
      <c r="N464" s="242"/>
      <c r="O464" s="220"/>
      <c r="P464" s="221"/>
      <c r="Q464" s="220"/>
      <c r="R464" s="221"/>
      <c r="S464" s="220"/>
      <c r="T464" s="221"/>
      <c r="U464" s="220"/>
      <c r="V464" s="221"/>
      <c r="W464" s="220"/>
      <c r="X464" s="221"/>
      <c r="Y464" s="220"/>
      <c r="Z464" s="221"/>
      <c r="AA464" s="220"/>
      <c r="AB464" s="221"/>
      <c r="AC464" s="220"/>
      <c r="AD464" s="221"/>
      <c r="AE464" s="242"/>
      <c r="AF464" s="242"/>
      <c r="AG464" s="242"/>
      <c r="AH464" s="242"/>
      <c r="AI464" s="242"/>
      <c r="AJ464" s="242"/>
      <c r="AK464" s="242"/>
      <c r="AL464" s="242"/>
      <c r="AM464" s="242"/>
      <c r="AN464" s="242"/>
      <c r="AO464" s="242"/>
      <c r="AP464" s="242"/>
      <c r="AQ464" s="242"/>
      <c r="AR464" s="242"/>
      <c r="AS464" s="242"/>
      <c r="AT464" s="271"/>
      <c r="AU464" s="272"/>
      <c r="AV464" s="4"/>
    </row>
    <row r="465" spans="1:48" ht="27.75" customHeight="1">
      <c r="A465" s="4"/>
      <c r="B465" s="293"/>
      <c r="C465" s="300"/>
      <c r="D465" s="255"/>
      <c r="E465" s="255"/>
      <c r="F465" s="255"/>
      <c r="G465" s="242"/>
      <c r="H465" s="242"/>
      <c r="I465" s="252"/>
      <c r="J465" s="255"/>
      <c r="K465" s="255"/>
      <c r="L465" s="242"/>
      <c r="M465" s="242"/>
      <c r="N465" s="242"/>
      <c r="O465" s="220"/>
      <c r="P465" s="221"/>
      <c r="Q465" s="220"/>
      <c r="R465" s="221"/>
      <c r="S465" s="220"/>
      <c r="T465" s="221"/>
      <c r="U465" s="220"/>
      <c r="V465" s="221"/>
      <c r="W465" s="220"/>
      <c r="X465" s="221"/>
      <c r="Y465" s="220"/>
      <c r="Z465" s="221"/>
      <c r="AA465" s="220"/>
      <c r="AB465" s="221"/>
      <c r="AC465" s="220"/>
      <c r="AD465" s="221"/>
      <c r="AE465" s="242"/>
      <c r="AF465" s="242"/>
      <c r="AG465" s="242"/>
      <c r="AH465" s="242"/>
      <c r="AI465" s="242"/>
      <c r="AJ465" s="242"/>
      <c r="AK465" s="242"/>
      <c r="AL465" s="242"/>
      <c r="AM465" s="242"/>
      <c r="AN465" s="242"/>
      <c r="AO465" s="242"/>
      <c r="AP465" s="242"/>
      <c r="AQ465" s="242"/>
      <c r="AR465" s="242"/>
      <c r="AS465" s="242"/>
      <c r="AT465" s="271"/>
      <c r="AU465" s="272"/>
      <c r="AV465" s="4"/>
    </row>
    <row r="466" spans="1:48" ht="27.75" customHeight="1">
      <c r="A466" s="5"/>
      <c r="B466" s="301"/>
      <c r="C466" s="302"/>
      <c r="D466" s="256"/>
      <c r="E466" s="256"/>
      <c r="F466" s="256"/>
      <c r="G466" s="243"/>
      <c r="H466" s="243"/>
      <c r="I466" s="253"/>
      <c r="J466" s="256"/>
      <c r="K466" s="256"/>
      <c r="L466" s="243"/>
      <c r="M466" s="243"/>
      <c r="N466" s="243"/>
      <c r="O466" s="222"/>
      <c r="P466" s="223"/>
      <c r="Q466" s="222"/>
      <c r="R466" s="223"/>
      <c r="S466" s="222"/>
      <c r="T466" s="223"/>
      <c r="U466" s="222"/>
      <c r="V466" s="223"/>
      <c r="W466" s="222"/>
      <c r="X466" s="223"/>
      <c r="Y466" s="222"/>
      <c r="Z466" s="223"/>
      <c r="AA466" s="222"/>
      <c r="AB466" s="223"/>
      <c r="AC466" s="222"/>
      <c r="AD466" s="223"/>
      <c r="AE466" s="243"/>
      <c r="AF466" s="243"/>
      <c r="AG466" s="243"/>
      <c r="AH466" s="243"/>
      <c r="AI466" s="243"/>
      <c r="AJ466" s="243"/>
      <c r="AK466" s="243"/>
      <c r="AL466" s="243"/>
      <c r="AM466" s="243"/>
      <c r="AN466" s="243"/>
      <c r="AO466" s="243"/>
      <c r="AP466" s="243"/>
      <c r="AQ466" s="243"/>
      <c r="AR466" s="243"/>
      <c r="AS466" s="243"/>
      <c r="AT466" s="271"/>
      <c r="AU466" s="272"/>
      <c r="AV466" s="5"/>
    </row>
    <row r="467" spans="1:48" ht="21.75" customHeight="1" thickBot="1">
      <c r="A467" s="7"/>
      <c r="B467" s="56"/>
      <c r="C467" s="56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208"/>
      <c r="P467" s="210"/>
      <c r="Q467" s="208"/>
      <c r="R467" s="210"/>
      <c r="S467" s="208"/>
      <c r="T467" s="210"/>
      <c r="U467" s="208"/>
      <c r="V467" s="210"/>
      <c r="W467" s="208"/>
      <c r="X467" s="210"/>
      <c r="Y467" s="208"/>
      <c r="Z467" s="210"/>
      <c r="AA467" s="208"/>
      <c r="AB467" s="210"/>
      <c r="AC467" s="208"/>
      <c r="AD467" s="210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271"/>
      <c r="AU467" s="272"/>
      <c r="AV467" s="7"/>
    </row>
    <row r="468" spans="1:48" ht="21.75" customHeight="1">
      <c r="A468" s="30"/>
      <c r="B468" s="87"/>
      <c r="C468" s="87"/>
      <c r="D468" s="58"/>
      <c r="E468" s="60"/>
      <c r="F468" s="60"/>
      <c r="G468" s="58"/>
      <c r="H468" s="60"/>
      <c r="I468" s="60"/>
      <c r="J468" s="59"/>
      <c r="K468" s="59"/>
      <c r="L468" s="59"/>
      <c r="M468" s="59"/>
      <c r="N468" s="59"/>
      <c r="O468" s="227"/>
      <c r="P468" s="227"/>
      <c r="Q468" s="227"/>
      <c r="R468" s="227"/>
      <c r="S468" s="227"/>
      <c r="T468" s="227"/>
      <c r="U468" s="227"/>
      <c r="V468" s="227"/>
      <c r="W468" s="227"/>
      <c r="X468" s="227"/>
      <c r="Y468" s="227"/>
      <c r="Z468" s="227"/>
      <c r="AA468" s="227"/>
      <c r="AB468" s="227"/>
      <c r="AC468" s="227"/>
      <c r="AD468" s="265"/>
      <c r="AE468" s="227"/>
      <c r="AF468" s="227"/>
      <c r="AG468" s="227"/>
      <c r="AH468" s="227"/>
      <c r="AI468" s="227"/>
      <c r="AJ468" s="227"/>
      <c r="AK468" s="227"/>
      <c r="AL468" s="227"/>
      <c r="AM468" s="227"/>
      <c r="AN468" s="227"/>
      <c r="AO468" s="227"/>
      <c r="AP468" s="227"/>
      <c r="AQ468" s="227"/>
      <c r="AR468" s="227"/>
      <c r="AS468" s="227"/>
      <c r="AT468" s="271"/>
      <c r="AU468" s="272"/>
      <c r="AV468" s="4"/>
    </row>
    <row r="469" spans="1:48" ht="21.75" customHeight="1">
      <c r="A469" s="30"/>
      <c r="B469" s="38"/>
      <c r="C469" s="46"/>
      <c r="D469" s="39"/>
      <c r="E469" s="24"/>
      <c r="F469" s="39"/>
      <c r="G469" s="24"/>
      <c r="H469" s="24"/>
      <c r="I469" s="24"/>
      <c r="J469" s="24"/>
      <c r="K469" s="24"/>
      <c r="L469" s="24"/>
      <c r="M469" s="24"/>
      <c r="N469" s="24"/>
      <c r="O469" s="228"/>
      <c r="P469" s="228"/>
      <c r="Q469" s="228"/>
      <c r="R469" s="228"/>
      <c r="S469" s="228"/>
      <c r="T469" s="228"/>
      <c r="U469" s="228"/>
      <c r="V469" s="228"/>
      <c r="W469" s="228"/>
      <c r="X469" s="228"/>
      <c r="Y469" s="228"/>
      <c r="Z469" s="228"/>
      <c r="AA469" s="228"/>
      <c r="AB469" s="228"/>
      <c r="AC469" s="228"/>
      <c r="AD469" s="266"/>
      <c r="AE469" s="228"/>
      <c r="AF469" s="228"/>
      <c r="AG469" s="228"/>
      <c r="AH469" s="228"/>
      <c r="AI469" s="228"/>
      <c r="AJ469" s="228"/>
      <c r="AK469" s="228"/>
      <c r="AL469" s="228"/>
      <c r="AM469" s="228"/>
      <c r="AN469" s="228"/>
      <c r="AO469" s="228"/>
      <c r="AP469" s="228"/>
      <c r="AQ469" s="228"/>
      <c r="AR469" s="228"/>
      <c r="AS469" s="228"/>
      <c r="AT469" s="271"/>
      <c r="AU469" s="272"/>
      <c r="AV469" s="4"/>
    </row>
    <row r="470" spans="1:48" ht="21.75" customHeight="1">
      <c r="A470" s="30"/>
      <c r="B470" s="38"/>
      <c r="C470" s="46"/>
      <c r="D470" s="39"/>
      <c r="E470" s="24"/>
      <c r="F470" s="39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61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71"/>
      <c r="AU470" s="272"/>
      <c r="AV470" s="4"/>
    </row>
    <row r="471" spans="1:48" ht="21.75" customHeight="1">
      <c r="A471" s="30"/>
      <c r="B471" s="38"/>
      <c r="C471" s="46"/>
      <c r="D471" s="39"/>
      <c r="E471" s="24"/>
      <c r="F471" s="24"/>
      <c r="G471" s="105"/>
      <c r="H471" s="105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61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71"/>
      <c r="AU471" s="272"/>
      <c r="AV471" s="4"/>
    </row>
    <row r="472" spans="1:48" ht="21.75" customHeight="1">
      <c r="A472" s="30"/>
      <c r="B472" s="38"/>
      <c r="C472" s="38"/>
      <c r="D472" s="39"/>
      <c r="E472" s="24"/>
      <c r="F472" s="24"/>
      <c r="G472" s="66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61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71"/>
      <c r="AU472" s="272"/>
      <c r="AV472" s="4"/>
    </row>
    <row r="473" spans="1:48" ht="21.75" customHeight="1">
      <c r="A473" s="30"/>
      <c r="B473" s="38"/>
      <c r="C473" s="38"/>
      <c r="D473" s="39"/>
      <c r="E473" s="24"/>
      <c r="F473" s="24"/>
      <c r="G473" s="105"/>
      <c r="H473" s="105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61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71"/>
      <c r="AU473" s="272"/>
      <c r="AV473" s="4"/>
    </row>
    <row r="474" spans="1:48" ht="21.75" customHeight="1">
      <c r="A474" s="30"/>
      <c r="B474" s="38"/>
      <c r="C474" s="38"/>
      <c r="D474" s="39"/>
      <c r="E474" s="24"/>
      <c r="F474" s="39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61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71"/>
      <c r="AU474" s="272"/>
      <c r="AV474" s="4"/>
    </row>
    <row r="475" spans="1:48" ht="21.75" customHeight="1">
      <c r="A475" s="30"/>
      <c r="B475" s="38"/>
      <c r="C475" s="38"/>
      <c r="D475" s="39"/>
      <c r="E475" s="24"/>
      <c r="F475" s="39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61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71"/>
      <c r="AU475" s="272"/>
      <c r="AV475" s="4"/>
    </row>
    <row r="476" spans="1:48" ht="21.75" customHeight="1">
      <c r="A476" s="30"/>
      <c r="B476" s="67"/>
      <c r="C476" s="38"/>
      <c r="D476" s="39"/>
      <c r="E476" s="24"/>
      <c r="F476" s="107"/>
      <c r="G476" s="90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61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71"/>
      <c r="AU476" s="272"/>
      <c r="AV476" s="4"/>
    </row>
    <row r="477" spans="1:48" ht="21.75" customHeight="1">
      <c r="A477" s="30"/>
      <c r="B477" s="38"/>
      <c r="C477" s="38"/>
      <c r="D477" s="39"/>
      <c r="E477" s="24"/>
      <c r="F477" s="24"/>
      <c r="G477" s="105"/>
      <c r="H477" s="105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61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71"/>
      <c r="AU477" s="272"/>
      <c r="AV477" s="4"/>
    </row>
    <row r="478" spans="1:48" ht="21.75" customHeight="1">
      <c r="A478" s="30"/>
      <c r="B478" s="38"/>
      <c r="C478" s="38"/>
      <c r="D478" s="39"/>
      <c r="E478" s="24"/>
      <c r="F478" s="24"/>
      <c r="G478" s="105"/>
      <c r="H478" s="105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61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71"/>
      <c r="AU478" s="272"/>
      <c r="AV478" s="4"/>
    </row>
    <row r="479" spans="1:48" ht="21.75" customHeight="1">
      <c r="A479" s="30"/>
      <c r="B479" s="38"/>
      <c r="C479" s="38"/>
      <c r="D479" s="39"/>
      <c r="E479" s="24"/>
      <c r="F479" s="24"/>
      <c r="G479" s="105"/>
      <c r="H479" s="105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61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71"/>
      <c r="AU479" s="272"/>
      <c r="AV479" s="4"/>
    </row>
    <row r="480" spans="1:48" ht="21.75" customHeight="1">
      <c r="A480" s="30"/>
      <c r="B480" s="38"/>
      <c r="C480" s="38"/>
      <c r="D480" s="39"/>
      <c r="E480" s="24"/>
      <c r="F480" s="24"/>
      <c r="G480" s="105"/>
      <c r="H480" s="105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61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71"/>
      <c r="AU480" s="272"/>
      <c r="AV480" s="16"/>
    </row>
    <row r="481" spans="1:48" ht="21.75" customHeight="1">
      <c r="A481" s="30"/>
      <c r="B481" s="38"/>
      <c r="C481" s="38"/>
      <c r="D481" s="39"/>
      <c r="E481" s="24"/>
      <c r="F481" s="39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61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71"/>
      <c r="AU481" s="272"/>
      <c r="AV481" s="16"/>
    </row>
    <row r="482" spans="1:48" ht="21.75" customHeight="1">
      <c r="A482" s="30"/>
      <c r="B482" s="38"/>
      <c r="C482" s="46"/>
      <c r="D482" s="39"/>
      <c r="E482" s="24"/>
      <c r="F482" s="39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61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71"/>
      <c r="AU482" s="272"/>
      <c r="AV482" s="16"/>
    </row>
    <row r="483" spans="1:48" ht="21.75" customHeight="1">
      <c r="A483" s="30"/>
      <c r="B483" s="38"/>
      <c r="C483" s="46"/>
      <c r="D483" s="39"/>
      <c r="E483" s="24"/>
      <c r="F483" s="66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61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71"/>
      <c r="AU483" s="272"/>
      <c r="AV483" s="16"/>
    </row>
    <row r="484" spans="1:48" ht="21.75" customHeight="1">
      <c r="A484" s="30"/>
      <c r="B484" s="38"/>
      <c r="C484" s="38"/>
      <c r="D484" s="39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61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71"/>
      <c r="AU484" s="272"/>
      <c r="AV484" s="16"/>
    </row>
    <row r="485" spans="1:48" ht="21.75" customHeight="1">
      <c r="A485" s="30"/>
      <c r="B485" s="38"/>
      <c r="C485" s="38"/>
      <c r="D485" s="39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61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71"/>
      <c r="AU485" s="272"/>
      <c r="AV485" s="4"/>
    </row>
    <row r="486" spans="1:48" ht="21.75" customHeight="1">
      <c r="A486" s="30"/>
      <c r="B486" s="38"/>
      <c r="C486" s="38"/>
      <c r="D486" s="39"/>
      <c r="E486" s="24"/>
      <c r="F486" s="39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61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71"/>
      <c r="AU486" s="272"/>
      <c r="AV486" s="4"/>
    </row>
    <row r="487" spans="1:48" ht="21.75" customHeight="1">
      <c r="A487" s="30"/>
      <c r="B487" s="38"/>
      <c r="C487" s="38"/>
      <c r="D487" s="39"/>
      <c r="E487" s="24"/>
      <c r="F487" s="24"/>
      <c r="G487" s="105"/>
      <c r="H487" s="105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61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71"/>
      <c r="AU487" s="272"/>
      <c r="AV487" s="4"/>
    </row>
    <row r="488" spans="1:48" ht="21.75" customHeight="1">
      <c r="A488" s="30"/>
      <c r="B488" s="38"/>
      <c r="C488" s="38"/>
      <c r="D488" s="39"/>
      <c r="E488" s="24"/>
      <c r="F488" s="24"/>
      <c r="G488" s="105"/>
      <c r="H488" s="105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61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71"/>
      <c r="AU488" s="272"/>
      <c r="AV488" s="4"/>
    </row>
    <row r="489" spans="1:48" ht="21.75" customHeight="1">
      <c r="A489" s="30"/>
      <c r="B489" s="109"/>
      <c r="C489" s="109"/>
      <c r="D489" s="39"/>
      <c r="E489" s="24"/>
      <c r="F489" s="66"/>
      <c r="G489" s="105"/>
      <c r="H489" s="105"/>
      <c r="I489" s="24"/>
      <c r="J489" s="112"/>
      <c r="K489" s="119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61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71"/>
      <c r="AU489" s="272"/>
      <c r="AV489" s="4"/>
    </row>
    <row r="490" spans="1:48" ht="21.75" customHeight="1">
      <c r="A490" s="30"/>
      <c r="B490" s="109"/>
      <c r="C490" s="109"/>
      <c r="D490" s="39"/>
      <c r="E490" s="24"/>
      <c r="F490" s="66"/>
      <c r="G490" s="105"/>
      <c r="H490" s="105"/>
      <c r="I490" s="24"/>
      <c r="J490" s="106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61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71"/>
      <c r="AU490" s="272"/>
      <c r="AV490" s="4"/>
    </row>
    <row r="491" spans="1:48" ht="21.75" customHeight="1">
      <c r="A491" s="30"/>
      <c r="B491" s="109"/>
      <c r="C491" s="118"/>
      <c r="D491" s="39"/>
      <c r="E491" s="24"/>
      <c r="F491" s="66"/>
      <c r="G491" s="105"/>
      <c r="H491" s="105"/>
      <c r="I491" s="24"/>
      <c r="J491" s="106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61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71"/>
      <c r="AU491" s="272"/>
      <c r="AV491" s="4"/>
    </row>
    <row r="492" spans="1:48" ht="21.75" customHeight="1">
      <c r="A492" s="30"/>
      <c r="B492" s="38"/>
      <c r="C492" s="38"/>
      <c r="D492" s="39"/>
      <c r="E492" s="24"/>
      <c r="F492" s="66"/>
      <c r="G492" s="105"/>
      <c r="H492" s="105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61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71"/>
      <c r="AU492" s="272"/>
      <c r="AV492" s="4"/>
    </row>
    <row r="493" spans="1:48" ht="21.75" customHeight="1">
      <c r="A493" s="30"/>
      <c r="B493" s="38"/>
      <c r="C493" s="38"/>
      <c r="D493" s="39"/>
      <c r="E493" s="24"/>
      <c r="F493" s="66"/>
      <c r="G493" s="105"/>
      <c r="H493" s="105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61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71"/>
      <c r="AU493" s="272"/>
      <c r="AV493" s="4"/>
    </row>
    <row r="494" spans="1:48" ht="21.75" customHeight="1">
      <c r="A494" s="30"/>
      <c r="B494" s="38"/>
      <c r="C494" s="46"/>
      <c r="D494" s="39"/>
      <c r="E494" s="24"/>
      <c r="F494" s="66"/>
      <c r="G494" s="105"/>
      <c r="H494" s="105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61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71"/>
      <c r="AU494" s="272"/>
      <c r="AV494" s="4"/>
    </row>
    <row r="495" spans="1:48" ht="21.75" customHeight="1">
      <c r="A495" s="30"/>
      <c r="B495" s="38"/>
      <c r="C495" s="38"/>
      <c r="D495" s="39"/>
      <c r="E495" s="24"/>
      <c r="F495" s="66"/>
      <c r="G495" s="105"/>
      <c r="H495" s="105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61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71"/>
      <c r="AU495" s="272"/>
      <c r="AV495" s="4"/>
    </row>
    <row r="496" spans="1:48" ht="21.75" customHeight="1">
      <c r="A496" s="30"/>
      <c r="B496" s="38"/>
      <c r="C496" s="38"/>
      <c r="D496" s="39"/>
      <c r="E496" s="24"/>
      <c r="F496" s="66"/>
      <c r="G496" s="105"/>
      <c r="H496" s="105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61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71"/>
      <c r="AU496" s="272"/>
      <c r="AV496" s="4"/>
    </row>
    <row r="497" spans="1:48" ht="21.75" customHeight="1">
      <c r="A497" s="30"/>
      <c r="B497" s="38"/>
      <c r="C497" s="38"/>
      <c r="D497" s="39"/>
      <c r="E497" s="24"/>
      <c r="F497" s="66"/>
      <c r="G497" s="105"/>
      <c r="H497" s="105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61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71"/>
      <c r="AU497" s="272"/>
      <c r="AV497" s="4"/>
    </row>
    <row r="498" spans="1:48" ht="21.75" customHeight="1">
      <c r="A498" s="30"/>
      <c r="B498" s="38"/>
      <c r="C498" s="38"/>
      <c r="D498" s="39"/>
      <c r="E498" s="24"/>
      <c r="F498" s="66"/>
      <c r="G498" s="105"/>
      <c r="H498" s="105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61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71"/>
      <c r="AU498" s="272"/>
      <c r="AV498" s="4"/>
    </row>
    <row r="499" spans="1:48" ht="21.75" customHeight="1">
      <c r="A499" s="30"/>
      <c r="B499" s="38"/>
      <c r="C499" s="46"/>
      <c r="D499" s="39"/>
      <c r="E499" s="24"/>
      <c r="F499" s="39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61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71"/>
      <c r="AU499" s="272"/>
      <c r="AV499" s="4"/>
    </row>
    <row r="500" spans="1:48" ht="21.75" customHeight="1">
      <c r="A500" s="30"/>
      <c r="B500" s="38"/>
      <c r="C500" s="46"/>
      <c r="D500" s="39"/>
      <c r="E500" s="24"/>
      <c r="F500" s="39"/>
      <c r="G500" s="24"/>
      <c r="H500" s="24"/>
      <c r="I500" s="152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61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71"/>
      <c r="AU500" s="272"/>
      <c r="AV500" s="4"/>
    </row>
    <row r="501" spans="1:48" ht="21.75" customHeight="1">
      <c r="A501" s="30"/>
      <c r="B501" s="141"/>
      <c r="C501" s="38"/>
      <c r="D501" s="39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61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71"/>
      <c r="AU501" s="272"/>
      <c r="AV501" s="4"/>
    </row>
    <row r="502" spans="1:48" ht="21.75" customHeight="1">
      <c r="A502" s="30"/>
      <c r="B502" s="38"/>
      <c r="C502" s="38"/>
      <c r="D502" s="39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61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71"/>
      <c r="AU502" s="272"/>
      <c r="AV502" s="4"/>
    </row>
    <row r="503" spans="1:48" ht="21.75" customHeight="1">
      <c r="A503" s="30"/>
      <c r="B503" s="38"/>
      <c r="C503" s="38"/>
      <c r="D503" s="39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61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71"/>
      <c r="AU503" s="272"/>
      <c r="AV503" s="4"/>
    </row>
    <row r="504" spans="1:48" ht="21.75" customHeight="1">
      <c r="A504" s="30"/>
      <c r="B504" s="141"/>
      <c r="C504" s="38"/>
      <c r="D504" s="39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61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71"/>
      <c r="AU504" s="272"/>
      <c r="AV504" s="4"/>
    </row>
    <row r="505" spans="1:48" ht="21.75" customHeight="1" thickBot="1">
      <c r="A505" s="30"/>
      <c r="B505" s="38"/>
      <c r="C505" s="38"/>
      <c r="D505" s="39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61"/>
      <c r="W505" s="24"/>
      <c r="X505" s="61"/>
      <c r="Y505" s="24"/>
      <c r="Z505" s="24"/>
      <c r="AA505" s="24"/>
      <c r="AB505" s="24"/>
      <c r="AC505" s="61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81"/>
      <c r="AU505" s="275"/>
      <c r="AV505" s="4"/>
    </row>
    <row r="506" spans="1:48" ht="21.75" customHeight="1">
      <c r="A506" s="30"/>
      <c r="B506" s="38"/>
      <c r="C506" s="38"/>
      <c r="D506" s="39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61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69"/>
      <c r="AU506" s="270"/>
      <c r="AV506" s="4"/>
    </row>
    <row r="507" spans="1:48" ht="21.75" customHeight="1">
      <c r="A507" s="30"/>
      <c r="B507" s="141"/>
      <c r="C507" s="38"/>
      <c r="D507" s="39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61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71"/>
      <c r="AU507" s="272"/>
      <c r="AV507" s="4"/>
    </row>
    <row r="508" spans="1:48" ht="21.75" customHeight="1">
      <c r="A508" s="30"/>
      <c r="B508" s="38"/>
      <c r="C508" s="46"/>
      <c r="D508" s="39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61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71"/>
      <c r="AU508" s="272"/>
      <c r="AV508" s="4"/>
    </row>
    <row r="509" spans="1:48" ht="21.75" customHeight="1">
      <c r="A509" s="30"/>
      <c r="B509" s="38"/>
      <c r="C509" s="38"/>
      <c r="D509" s="39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61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71"/>
      <c r="AU509" s="272"/>
      <c r="AV509" s="4"/>
    </row>
    <row r="510" spans="1:48" ht="21.75" customHeight="1">
      <c r="A510" s="30"/>
      <c r="B510" s="141"/>
      <c r="C510" s="38"/>
      <c r="D510" s="39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61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71"/>
      <c r="AU510" s="272"/>
      <c r="AV510" s="4"/>
    </row>
    <row r="511" spans="1:48" ht="21.75" customHeight="1">
      <c r="A511" s="30"/>
      <c r="B511" s="38"/>
      <c r="C511" s="38"/>
      <c r="D511" s="39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61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71"/>
      <c r="AU511" s="272"/>
      <c r="AV511" s="4"/>
    </row>
    <row r="512" spans="1:48" ht="21.75" customHeight="1">
      <c r="A512" s="30"/>
      <c r="B512" s="38"/>
      <c r="C512" s="38"/>
      <c r="D512" s="39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61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71"/>
      <c r="AU512" s="272"/>
      <c r="AV512" s="4"/>
    </row>
    <row r="513" spans="1:48" ht="21.75" customHeight="1">
      <c r="A513" s="30"/>
      <c r="B513" s="141"/>
      <c r="C513" s="38"/>
      <c r="D513" s="39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61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71"/>
      <c r="AU513" s="272"/>
      <c r="AV513" s="4"/>
    </row>
    <row r="514" spans="1:48" ht="21.75" customHeight="1">
      <c r="A514" s="30"/>
      <c r="B514" s="38"/>
      <c r="C514" s="46"/>
      <c r="D514" s="39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61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71"/>
      <c r="AU514" s="272"/>
      <c r="AV514" s="4"/>
    </row>
    <row r="515" spans="1:48" ht="21.75" customHeight="1">
      <c r="A515" s="30"/>
      <c r="B515" s="38"/>
      <c r="C515" s="38"/>
      <c r="D515" s="39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61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71"/>
      <c r="AU515" s="272"/>
      <c r="AV515" s="4"/>
    </row>
    <row r="516" spans="1:48" ht="21.75" customHeight="1">
      <c r="A516" s="30"/>
      <c r="B516" s="38"/>
      <c r="C516" s="46"/>
      <c r="D516" s="39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61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71"/>
      <c r="AU516" s="272"/>
      <c r="AV516" s="4"/>
    </row>
    <row r="517" spans="1:48" ht="21.75" customHeight="1">
      <c r="A517" s="30"/>
      <c r="B517" s="141"/>
      <c r="C517" s="46"/>
      <c r="D517" s="39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61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71"/>
      <c r="AU517" s="272"/>
      <c r="AV517" s="4"/>
    </row>
    <row r="518" spans="1:48" ht="21.75" customHeight="1">
      <c r="A518" s="30"/>
      <c r="B518" s="38"/>
      <c r="C518" s="46"/>
      <c r="D518" s="39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61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71"/>
      <c r="AU518" s="272"/>
      <c r="AV518" s="4"/>
    </row>
    <row r="519" spans="1:48" ht="21.75" customHeight="1">
      <c r="A519" s="30"/>
      <c r="B519" s="38"/>
      <c r="C519" s="46"/>
      <c r="D519" s="39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73"/>
      <c r="AU519" s="272"/>
      <c r="AV519" s="4"/>
    </row>
    <row r="520" spans="1:48" ht="21.75" customHeight="1">
      <c r="A520" s="30"/>
      <c r="B520" s="38"/>
      <c r="C520" s="46"/>
      <c r="D520" s="39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73"/>
      <c r="AU520" s="272"/>
      <c r="AV520" s="4"/>
    </row>
    <row r="521" spans="1:48" ht="21.75" customHeight="1" thickBot="1">
      <c r="A521" s="30"/>
      <c r="B521" s="38"/>
      <c r="C521" s="46"/>
      <c r="D521" s="39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61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74"/>
      <c r="AU521" s="275"/>
      <c r="AV521" s="4"/>
    </row>
    <row r="522" spans="1:48" ht="46.5" customHeight="1">
      <c r="A522" s="1"/>
      <c r="B522" s="233"/>
      <c r="C522" s="234"/>
      <c r="D522" s="234"/>
      <c r="E522" s="234"/>
      <c r="F522" s="234"/>
      <c r="G522" s="234"/>
      <c r="H522" s="234"/>
      <c r="I522" s="234"/>
      <c r="J522" s="234"/>
      <c r="K522" s="234"/>
      <c r="L522" s="234"/>
      <c r="M522" s="234"/>
      <c r="N522" s="235"/>
      <c r="O522" s="211"/>
      <c r="P522" s="211"/>
      <c r="Q522" s="211"/>
      <c r="R522" s="211"/>
      <c r="S522" s="211"/>
      <c r="T522" s="211"/>
      <c r="U522" s="211"/>
      <c r="V522" s="211"/>
      <c r="W522" s="211"/>
      <c r="X522" s="211"/>
      <c r="Y522" s="211"/>
      <c r="Z522" s="211"/>
      <c r="AA522" s="211"/>
      <c r="AB522" s="211"/>
      <c r="AC522" s="211"/>
      <c r="AD522" s="211"/>
      <c r="AE522" s="211"/>
      <c r="AF522" s="211"/>
      <c r="AG522" s="211"/>
      <c r="AH522" s="211"/>
      <c r="AI522" s="211"/>
      <c r="AJ522" s="211"/>
      <c r="AK522" s="211"/>
      <c r="AL522" s="211"/>
      <c r="AM522" s="211"/>
      <c r="AN522" s="211"/>
      <c r="AO522" s="211"/>
      <c r="AP522" s="211"/>
      <c r="AQ522" s="211"/>
      <c r="AR522" s="211"/>
      <c r="AS522" s="211"/>
      <c r="AT522" s="279"/>
      <c r="AU522" s="280"/>
      <c r="AV522" s="1"/>
    </row>
    <row r="523" spans="1:48" ht="46.5" customHeight="1" thickBot="1">
      <c r="A523" s="1"/>
      <c r="B523" s="236"/>
      <c r="C523" s="237"/>
      <c r="D523" s="237"/>
      <c r="E523" s="237"/>
      <c r="F523" s="237"/>
      <c r="G523" s="237"/>
      <c r="H523" s="237"/>
      <c r="I523" s="237"/>
      <c r="J523" s="237"/>
      <c r="K523" s="237"/>
      <c r="L523" s="237"/>
      <c r="M523" s="237"/>
      <c r="N523" s="238"/>
      <c r="O523" s="250"/>
      <c r="P523" s="250"/>
      <c r="Q523" s="250"/>
      <c r="R523" s="250"/>
      <c r="S523" s="250"/>
      <c r="T523" s="250"/>
      <c r="U523" s="212"/>
      <c r="V523" s="212"/>
      <c r="W523" s="212"/>
      <c r="X523" s="212"/>
      <c r="Y523" s="250"/>
      <c r="Z523" s="250"/>
      <c r="AA523" s="212"/>
      <c r="AB523" s="212"/>
      <c r="AC523" s="212"/>
      <c r="AD523" s="212"/>
      <c r="AE523" s="212"/>
      <c r="AF523" s="212"/>
      <c r="AG523" s="212"/>
      <c r="AH523" s="212"/>
      <c r="AI523" s="212"/>
      <c r="AJ523" s="212"/>
      <c r="AK523" s="212"/>
      <c r="AL523" s="212"/>
      <c r="AM523" s="212"/>
      <c r="AN523" s="212"/>
      <c r="AO523" s="212"/>
      <c r="AP523" s="212"/>
      <c r="AQ523" s="212"/>
      <c r="AR523" s="212"/>
      <c r="AS523" s="212"/>
      <c r="AT523" s="276"/>
      <c r="AU523" s="277"/>
      <c r="AV523" s="1"/>
    </row>
    <row r="524" spans="1:48" ht="12.75">
      <c r="A524" s="10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85"/>
      <c r="U524" s="49"/>
      <c r="V524" s="49"/>
      <c r="Y524" s="85"/>
      <c r="Z524" s="49"/>
      <c r="AC524" s="49"/>
      <c r="AD524" s="49"/>
      <c r="AT524" s="49"/>
      <c r="AU524" s="49"/>
      <c r="AV524" s="11"/>
    </row>
    <row r="525" spans="2:47" ht="12.75"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85"/>
      <c r="U525" s="49"/>
      <c r="V525" s="49"/>
      <c r="Y525" s="85"/>
      <c r="Z525" s="49"/>
      <c r="AC525" s="49"/>
      <c r="AD525" s="49"/>
      <c r="AT525" s="49"/>
      <c r="AU525" s="49"/>
    </row>
    <row r="526" spans="2:47" ht="12.75"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85"/>
      <c r="U526" s="49"/>
      <c r="V526" s="49"/>
      <c r="W526" s="49"/>
      <c r="X526" s="49"/>
      <c r="Y526" s="85"/>
      <c r="Z526" s="49"/>
      <c r="AC526" s="49"/>
      <c r="AD526" s="49"/>
      <c r="AT526" s="49"/>
      <c r="AU526" s="49"/>
    </row>
    <row r="527" spans="2:47" ht="15.75">
      <c r="B527" s="224"/>
      <c r="C527" s="224"/>
      <c r="D527" s="224"/>
      <c r="E527" s="224"/>
      <c r="F527" s="224"/>
      <c r="G527" s="224"/>
      <c r="H527" s="53"/>
      <c r="I527" s="53"/>
      <c r="J527" s="136"/>
      <c r="K527" s="136"/>
      <c r="L527" s="136"/>
      <c r="M527" s="136"/>
      <c r="N527" s="136"/>
      <c r="O527" s="136"/>
      <c r="P527" s="136"/>
      <c r="Q527" s="191"/>
      <c r="R527" s="136"/>
      <c r="S527" s="192"/>
      <c r="T527" s="196"/>
      <c r="U527" s="191"/>
      <c r="V527" s="191"/>
      <c r="W527" s="191"/>
      <c r="X527" s="191"/>
      <c r="Y527" s="136"/>
      <c r="Z527" s="136"/>
      <c r="AA527" s="136"/>
      <c r="AB527" s="136"/>
      <c r="AC527" s="191"/>
      <c r="AD527" s="136"/>
      <c r="AE527" s="27"/>
      <c r="AF527" s="27"/>
      <c r="AT527" s="49"/>
      <c r="AU527" s="49"/>
    </row>
    <row r="528" spans="2:47" ht="15">
      <c r="B528" s="49"/>
      <c r="C528" s="49"/>
      <c r="D528" s="49"/>
      <c r="E528" s="49"/>
      <c r="F528" s="49"/>
      <c r="G528" s="49"/>
      <c r="H528" s="49"/>
      <c r="I528" s="49"/>
      <c r="J528" s="79"/>
      <c r="K528" s="79"/>
      <c r="L528" s="79"/>
      <c r="M528" s="79"/>
      <c r="N528" s="79"/>
      <c r="O528" s="193"/>
      <c r="P528" s="193"/>
      <c r="Q528" s="136"/>
      <c r="R528" s="136"/>
      <c r="S528" s="137"/>
      <c r="T528" s="79"/>
      <c r="U528" s="79"/>
      <c r="V528" s="79"/>
      <c r="W528" s="27"/>
      <c r="X528" s="27"/>
      <c r="Y528" s="79"/>
      <c r="Z528" s="79"/>
      <c r="AA528" s="27"/>
      <c r="AB528" s="27"/>
      <c r="AC528" s="79"/>
      <c r="AD528" s="79"/>
      <c r="AE528" s="27"/>
      <c r="AF528" s="27"/>
      <c r="AT528" s="49"/>
      <c r="AU528" s="49"/>
    </row>
    <row r="529" spans="2:47" ht="15">
      <c r="B529" s="49"/>
      <c r="C529" s="49"/>
      <c r="D529" s="49"/>
      <c r="E529" s="49"/>
      <c r="F529" s="49"/>
      <c r="G529" s="49"/>
      <c r="H529" s="49"/>
      <c r="I529" s="49"/>
      <c r="J529" s="79"/>
      <c r="K529" s="360"/>
      <c r="L529" s="360"/>
      <c r="M529" s="360"/>
      <c r="N529" s="360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B529" s="193"/>
      <c r="AC529" s="193"/>
      <c r="AD529" s="193"/>
      <c r="AE529" s="27"/>
      <c r="AF529" s="27"/>
      <c r="AT529" s="49"/>
      <c r="AU529" s="49"/>
    </row>
    <row r="530" spans="2:47" ht="15">
      <c r="B530" s="49"/>
      <c r="C530" s="49"/>
      <c r="D530" s="49"/>
      <c r="E530" s="49"/>
      <c r="F530" s="49"/>
      <c r="G530" s="49"/>
      <c r="H530" s="49"/>
      <c r="I530" s="49"/>
      <c r="J530" s="79"/>
      <c r="K530" s="360"/>
      <c r="L530" s="361"/>
      <c r="M530" s="361"/>
      <c r="N530" s="361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B530" s="193"/>
      <c r="AC530" s="193"/>
      <c r="AD530" s="193"/>
      <c r="AE530" s="27"/>
      <c r="AF530" s="27"/>
      <c r="AT530" s="49"/>
      <c r="AU530" s="49"/>
    </row>
    <row r="531" spans="2:47" ht="15">
      <c r="B531" s="49"/>
      <c r="C531" s="49"/>
      <c r="D531" s="49"/>
      <c r="E531" s="49"/>
      <c r="F531" s="49"/>
      <c r="G531" s="49"/>
      <c r="H531" s="49"/>
      <c r="I531" s="49"/>
      <c r="J531" s="79"/>
      <c r="K531" s="79"/>
      <c r="L531" s="79"/>
      <c r="M531" s="79"/>
      <c r="N531" s="79"/>
      <c r="O531" s="79"/>
      <c r="P531" s="136"/>
      <c r="Q531" s="136"/>
      <c r="R531" s="136"/>
      <c r="S531" s="79"/>
      <c r="T531" s="137"/>
      <c r="U531" s="79"/>
      <c r="V531" s="79"/>
      <c r="W531" s="79"/>
      <c r="X531" s="79"/>
      <c r="Y531" s="79"/>
      <c r="Z531" s="79"/>
      <c r="AA531" s="27"/>
      <c r="AB531" s="27"/>
      <c r="AC531" s="27"/>
      <c r="AD531" s="27"/>
      <c r="AE531" s="27"/>
      <c r="AF531" s="27"/>
      <c r="AT531" s="49"/>
      <c r="AU531" s="49"/>
    </row>
    <row r="532" spans="2:47" ht="15" customHeight="1"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85"/>
      <c r="U532" s="49"/>
      <c r="V532" s="49"/>
      <c r="W532" s="49"/>
      <c r="X532" s="49"/>
      <c r="Y532" s="49"/>
      <c r="Z532" s="49"/>
      <c r="AT532" s="49"/>
      <c r="AU532" s="49"/>
    </row>
    <row r="533" spans="2:47" ht="15" customHeight="1"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85"/>
      <c r="U533" s="49"/>
      <c r="V533" s="49"/>
      <c r="W533" s="49"/>
      <c r="X533" s="49"/>
      <c r="Y533" s="49"/>
      <c r="Z533" s="49"/>
      <c r="AT533" s="49"/>
      <c r="AU533" s="49"/>
    </row>
    <row r="534" spans="1:48" s="3" customFormat="1" ht="36" customHeight="1" thickBot="1">
      <c r="A534" s="12"/>
      <c r="B534" s="54"/>
      <c r="C534" s="55"/>
      <c r="D534" s="55"/>
      <c r="E534" s="55"/>
      <c r="F534" s="55"/>
      <c r="G534" s="55"/>
      <c r="H534" s="55"/>
      <c r="I534" s="55"/>
      <c r="J534" s="55"/>
      <c r="K534" s="99"/>
      <c r="L534" s="99"/>
      <c r="M534" s="229"/>
      <c r="N534" s="229"/>
      <c r="O534" s="229"/>
      <c r="P534" s="229"/>
      <c r="Q534" s="229"/>
      <c r="R534" s="229"/>
      <c r="S534" s="99"/>
      <c r="T534" s="99"/>
      <c r="U534" s="99"/>
      <c r="V534" s="99"/>
      <c r="W534" s="99"/>
      <c r="X534" s="99"/>
      <c r="Y534" s="99"/>
      <c r="Z534" s="99"/>
      <c r="AT534" s="98"/>
      <c r="AU534" s="98"/>
      <c r="AV534" s="13"/>
    </row>
    <row r="535" spans="2:47" s="4" customFormat="1" ht="21.75" customHeight="1">
      <c r="B535" s="233"/>
      <c r="C535" s="235"/>
      <c r="D535" s="251"/>
      <c r="E535" s="251"/>
      <c r="F535" s="251"/>
      <c r="G535" s="254"/>
      <c r="H535" s="254"/>
      <c r="I535" s="251"/>
      <c r="J535" s="254"/>
      <c r="K535" s="58"/>
      <c r="L535" s="58"/>
      <c r="M535" s="216"/>
      <c r="N535" s="217"/>
      <c r="O535" s="216"/>
      <c r="P535" s="217"/>
      <c r="Q535" s="216"/>
      <c r="R535" s="217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282"/>
      <c r="AU535" s="282"/>
    </row>
    <row r="536" spans="2:47" s="4" customFormat="1" ht="27.75" customHeight="1">
      <c r="B536" s="293"/>
      <c r="C536" s="294"/>
      <c r="D536" s="252"/>
      <c r="E536" s="252"/>
      <c r="F536" s="252"/>
      <c r="G536" s="242"/>
      <c r="H536" s="242"/>
      <c r="I536" s="252"/>
      <c r="J536" s="255"/>
      <c r="K536" s="241"/>
      <c r="L536" s="241"/>
      <c r="M536" s="218"/>
      <c r="N536" s="219"/>
      <c r="O536" s="218"/>
      <c r="P536" s="219"/>
      <c r="Q536" s="218"/>
      <c r="R536" s="219"/>
      <c r="S536" s="241"/>
      <c r="T536" s="241"/>
      <c r="U536" s="241"/>
      <c r="V536" s="241"/>
      <c r="W536" s="241"/>
      <c r="X536" s="241"/>
      <c r="Y536" s="241"/>
      <c r="Z536" s="241"/>
      <c r="AA536" s="241"/>
      <c r="AB536" s="241"/>
      <c r="AC536" s="241"/>
      <c r="AD536" s="241"/>
      <c r="AE536" s="241"/>
      <c r="AF536" s="241"/>
      <c r="AG536" s="241"/>
      <c r="AH536" s="241"/>
      <c r="AI536" s="241"/>
      <c r="AJ536" s="241"/>
      <c r="AK536" s="241"/>
      <c r="AL536" s="241"/>
      <c r="AM536" s="241"/>
      <c r="AN536" s="241"/>
      <c r="AO536" s="241"/>
      <c r="AP536" s="241"/>
      <c r="AQ536" s="241"/>
      <c r="AR536" s="241"/>
      <c r="AS536" s="241"/>
      <c r="AT536" s="283"/>
      <c r="AU536" s="304"/>
    </row>
    <row r="537" spans="2:47" s="4" customFormat="1" ht="27.75" customHeight="1" thickBot="1">
      <c r="B537" s="293"/>
      <c r="C537" s="294"/>
      <c r="D537" s="252"/>
      <c r="E537" s="252"/>
      <c r="F537" s="252"/>
      <c r="G537" s="242"/>
      <c r="H537" s="242"/>
      <c r="I537" s="252"/>
      <c r="J537" s="255"/>
      <c r="K537" s="255"/>
      <c r="L537" s="255"/>
      <c r="M537" s="220"/>
      <c r="N537" s="221"/>
      <c r="O537" s="220"/>
      <c r="P537" s="221"/>
      <c r="Q537" s="220"/>
      <c r="R537" s="221"/>
      <c r="S537" s="255"/>
      <c r="T537" s="242"/>
      <c r="U537" s="242"/>
      <c r="V537" s="242"/>
      <c r="W537" s="242"/>
      <c r="X537" s="242"/>
      <c r="Y537" s="242"/>
      <c r="Z537" s="242"/>
      <c r="AA537" s="242"/>
      <c r="AB537" s="242"/>
      <c r="AC537" s="242"/>
      <c r="AD537" s="242"/>
      <c r="AE537" s="242"/>
      <c r="AF537" s="242"/>
      <c r="AG537" s="242"/>
      <c r="AH537" s="242"/>
      <c r="AI537" s="242"/>
      <c r="AJ537" s="242"/>
      <c r="AK537" s="242"/>
      <c r="AL537" s="242"/>
      <c r="AM537" s="242"/>
      <c r="AN537" s="242"/>
      <c r="AO537" s="242"/>
      <c r="AP537" s="242"/>
      <c r="AQ537" s="242"/>
      <c r="AR537" s="242"/>
      <c r="AS537" s="242"/>
      <c r="AT537" s="284"/>
      <c r="AU537" s="304"/>
    </row>
    <row r="538" spans="2:47" s="4" customFormat="1" ht="27.75" customHeight="1">
      <c r="B538" s="293"/>
      <c r="C538" s="294"/>
      <c r="D538" s="252"/>
      <c r="E538" s="252"/>
      <c r="F538" s="252"/>
      <c r="G538" s="242"/>
      <c r="H538" s="242"/>
      <c r="I538" s="252"/>
      <c r="J538" s="255"/>
      <c r="K538" s="255"/>
      <c r="L538" s="255"/>
      <c r="M538" s="220"/>
      <c r="N538" s="221"/>
      <c r="O538" s="220"/>
      <c r="P538" s="221"/>
      <c r="Q538" s="220"/>
      <c r="R538" s="221"/>
      <c r="S538" s="255"/>
      <c r="T538" s="242"/>
      <c r="U538" s="242"/>
      <c r="V538" s="242"/>
      <c r="W538" s="242"/>
      <c r="X538" s="242"/>
      <c r="Y538" s="242"/>
      <c r="Z538" s="242"/>
      <c r="AA538" s="242"/>
      <c r="AB538" s="242"/>
      <c r="AC538" s="242"/>
      <c r="AD538" s="242"/>
      <c r="AE538" s="242"/>
      <c r="AF538" s="242"/>
      <c r="AG538" s="242"/>
      <c r="AH538" s="242"/>
      <c r="AI538" s="242"/>
      <c r="AJ538" s="242"/>
      <c r="AK538" s="242"/>
      <c r="AL538" s="242"/>
      <c r="AM538" s="242"/>
      <c r="AN538" s="242"/>
      <c r="AO538" s="242"/>
      <c r="AP538" s="242"/>
      <c r="AQ538" s="242"/>
      <c r="AR538" s="242"/>
      <c r="AS538" s="242"/>
      <c r="AT538" s="269"/>
      <c r="AU538" s="270"/>
    </row>
    <row r="539" spans="2:47" s="4" customFormat="1" ht="27.75" customHeight="1">
      <c r="B539" s="293"/>
      <c r="C539" s="294"/>
      <c r="D539" s="252"/>
      <c r="E539" s="252"/>
      <c r="F539" s="252"/>
      <c r="G539" s="242"/>
      <c r="H539" s="242"/>
      <c r="I539" s="252"/>
      <c r="J539" s="255"/>
      <c r="K539" s="255"/>
      <c r="L539" s="255"/>
      <c r="M539" s="220"/>
      <c r="N539" s="221"/>
      <c r="O539" s="220"/>
      <c r="P539" s="221"/>
      <c r="Q539" s="220"/>
      <c r="R539" s="221"/>
      <c r="S539" s="255"/>
      <c r="T539" s="242"/>
      <c r="U539" s="242"/>
      <c r="V539" s="242"/>
      <c r="W539" s="242"/>
      <c r="X539" s="242"/>
      <c r="Y539" s="242"/>
      <c r="Z539" s="242"/>
      <c r="AA539" s="242"/>
      <c r="AB539" s="242"/>
      <c r="AC539" s="242"/>
      <c r="AD539" s="242"/>
      <c r="AE539" s="242"/>
      <c r="AF539" s="242"/>
      <c r="AG539" s="242"/>
      <c r="AH539" s="242"/>
      <c r="AI539" s="242"/>
      <c r="AJ539" s="242"/>
      <c r="AK539" s="242"/>
      <c r="AL539" s="242"/>
      <c r="AM539" s="242"/>
      <c r="AN539" s="242"/>
      <c r="AO539" s="242"/>
      <c r="AP539" s="242"/>
      <c r="AQ539" s="242"/>
      <c r="AR539" s="242"/>
      <c r="AS539" s="242"/>
      <c r="AT539" s="271"/>
      <c r="AU539" s="272"/>
    </row>
    <row r="540" spans="2:47" s="4" customFormat="1" ht="27.75" customHeight="1">
      <c r="B540" s="293"/>
      <c r="C540" s="294"/>
      <c r="D540" s="252"/>
      <c r="E540" s="252"/>
      <c r="F540" s="252"/>
      <c r="G540" s="242"/>
      <c r="H540" s="242"/>
      <c r="I540" s="252"/>
      <c r="J540" s="255"/>
      <c r="K540" s="255"/>
      <c r="L540" s="255"/>
      <c r="M540" s="220"/>
      <c r="N540" s="221"/>
      <c r="O540" s="220"/>
      <c r="P540" s="221"/>
      <c r="Q540" s="220"/>
      <c r="R540" s="221"/>
      <c r="S540" s="255"/>
      <c r="T540" s="242"/>
      <c r="U540" s="242"/>
      <c r="V540" s="242"/>
      <c r="W540" s="242"/>
      <c r="X540" s="242"/>
      <c r="Y540" s="242"/>
      <c r="Z540" s="242"/>
      <c r="AA540" s="242"/>
      <c r="AB540" s="242"/>
      <c r="AC540" s="242"/>
      <c r="AD540" s="242"/>
      <c r="AE540" s="242"/>
      <c r="AF540" s="242"/>
      <c r="AG540" s="242"/>
      <c r="AH540" s="242"/>
      <c r="AI540" s="242"/>
      <c r="AJ540" s="242"/>
      <c r="AK540" s="242"/>
      <c r="AL540" s="242"/>
      <c r="AM540" s="242"/>
      <c r="AN540" s="242"/>
      <c r="AO540" s="242"/>
      <c r="AP540" s="242"/>
      <c r="AQ540" s="242"/>
      <c r="AR540" s="242"/>
      <c r="AS540" s="242"/>
      <c r="AT540" s="271"/>
      <c r="AU540" s="272"/>
    </row>
    <row r="541" spans="2:47" s="4" customFormat="1" ht="27.75" customHeight="1">
      <c r="B541" s="293"/>
      <c r="C541" s="294"/>
      <c r="D541" s="252"/>
      <c r="E541" s="252"/>
      <c r="F541" s="252"/>
      <c r="G541" s="242"/>
      <c r="H541" s="242"/>
      <c r="I541" s="252"/>
      <c r="J541" s="255"/>
      <c r="K541" s="255"/>
      <c r="L541" s="255"/>
      <c r="M541" s="220"/>
      <c r="N541" s="221"/>
      <c r="O541" s="220"/>
      <c r="P541" s="221"/>
      <c r="Q541" s="220"/>
      <c r="R541" s="221"/>
      <c r="S541" s="255"/>
      <c r="T541" s="242"/>
      <c r="U541" s="242"/>
      <c r="V541" s="242"/>
      <c r="W541" s="242"/>
      <c r="X541" s="242"/>
      <c r="Y541" s="242"/>
      <c r="Z541" s="242"/>
      <c r="AA541" s="242"/>
      <c r="AB541" s="242"/>
      <c r="AC541" s="242"/>
      <c r="AD541" s="242"/>
      <c r="AE541" s="242"/>
      <c r="AF541" s="242"/>
      <c r="AG541" s="242"/>
      <c r="AH541" s="242"/>
      <c r="AI541" s="242"/>
      <c r="AJ541" s="242"/>
      <c r="AK541" s="242"/>
      <c r="AL541" s="242"/>
      <c r="AM541" s="242"/>
      <c r="AN541" s="242"/>
      <c r="AO541" s="242"/>
      <c r="AP541" s="242"/>
      <c r="AQ541" s="242"/>
      <c r="AR541" s="242"/>
      <c r="AS541" s="242"/>
      <c r="AT541" s="271"/>
      <c r="AU541" s="272"/>
    </row>
    <row r="542" spans="2:47" s="4" customFormat="1" ht="27.75" customHeight="1">
      <c r="B542" s="293"/>
      <c r="C542" s="294"/>
      <c r="D542" s="252"/>
      <c r="E542" s="252"/>
      <c r="F542" s="252"/>
      <c r="G542" s="242"/>
      <c r="H542" s="242"/>
      <c r="I542" s="252"/>
      <c r="J542" s="255"/>
      <c r="K542" s="255"/>
      <c r="L542" s="255"/>
      <c r="M542" s="220"/>
      <c r="N542" s="221"/>
      <c r="O542" s="220"/>
      <c r="P542" s="221"/>
      <c r="Q542" s="220"/>
      <c r="R542" s="221"/>
      <c r="S542" s="255"/>
      <c r="T542" s="242"/>
      <c r="U542" s="242"/>
      <c r="V542" s="242"/>
      <c r="W542" s="242"/>
      <c r="X542" s="242"/>
      <c r="Y542" s="242"/>
      <c r="Z542" s="242"/>
      <c r="AA542" s="242"/>
      <c r="AB542" s="242"/>
      <c r="AC542" s="242"/>
      <c r="AD542" s="242"/>
      <c r="AE542" s="242"/>
      <c r="AF542" s="242"/>
      <c r="AG542" s="242"/>
      <c r="AH542" s="242"/>
      <c r="AI542" s="242"/>
      <c r="AJ542" s="242"/>
      <c r="AK542" s="242"/>
      <c r="AL542" s="242"/>
      <c r="AM542" s="242"/>
      <c r="AN542" s="242"/>
      <c r="AO542" s="242"/>
      <c r="AP542" s="242"/>
      <c r="AQ542" s="242"/>
      <c r="AR542" s="242"/>
      <c r="AS542" s="242"/>
      <c r="AT542" s="271"/>
      <c r="AU542" s="272"/>
    </row>
    <row r="543" spans="2:47" s="5" customFormat="1" ht="27.75" customHeight="1">
      <c r="B543" s="295"/>
      <c r="C543" s="296"/>
      <c r="D543" s="253"/>
      <c r="E543" s="253"/>
      <c r="F543" s="253"/>
      <c r="G543" s="243"/>
      <c r="H543" s="243"/>
      <c r="I543" s="253"/>
      <c r="J543" s="256"/>
      <c r="K543" s="256"/>
      <c r="L543" s="256"/>
      <c r="M543" s="222"/>
      <c r="N543" s="223"/>
      <c r="O543" s="222"/>
      <c r="P543" s="223"/>
      <c r="Q543" s="222"/>
      <c r="R543" s="223"/>
      <c r="S543" s="256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  <c r="AJ543" s="243"/>
      <c r="AK543" s="243"/>
      <c r="AL543" s="243"/>
      <c r="AM543" s="243"/>
      <c r="AN543" s="243"/>
      <c r="AO543" s="243"/>
      <c r="AP543" s="243"/>
      <c r="AQ543" s="243"/>
      <c r="AR543" s="243"/>
      <c r="AS543" s="243"/>
      <c r="AT543" s="271"/>
      <c r="AU543" s="272"/>
    </row>
    <row r="544" spans="2:47" s="7" customFormat="1" ht="21.75" customHeight="1" thickBot="1">
      <c r="B544" s="56"/>
      <c r="C544" s="56"/>
      <c r="D544" s="57"/>
      <c r="E544" s="57"/>
      <c r="F544" s="57"/>
      <c r="G544" s="57"/>
      <c r="H544" s="57"/>
      <c r="I544" s="57"/>
      <c r="J544" s="57"/>
      <c r="K544" s="57"/>
      <c r="L544" s="57"/>
      <c r="M544" s="208"/>
      <c r="N544" s="210"/>
      <c r="O544" s="208"/>
      <c r="P544" s="210"/>
      <c r="Q544" s="208"/>
      <c r="R544" s="210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271"/>
      <c r="AU544" s="272"/>
    </row>
    <row r="545" spans="1:47" s="4" customFormat="1" ht="21.75" customHeight="1">
      <c r="A545" s="30"/>
      <c r="B545" s="291"/>
      <c r="C545" s="292"/>
      <c r="D545" s="42"/>
      <c r="E545" s="42"/>
      <c r="F545" s="42"/>
      <c r="G545" s="42"/>
      <c r="H545" s="42"/>
      <c r="I545" s="43"/>
      <c r="J545" s="58"/>
      <c r="K545" s="346"/>
      <c r="L545" s="346"/>
      <c r="M545" s="227"/>
      <c r="N545" s="227"/>
      <c r="O545" s="227"/>
      <c r="P545" s="227"/>
      <c r="Q545" s="227"/>
      <c r="R545" s="227"/>
      <c r="S545" s="289"/>
      <c r="T545" s="289"/>
      <c r="U545" s="289"/>
      <c r="V545" s="289"/>
      <c r="W545" s="289"/>
      <c r="X545" s="289"/>
      <c r="Y545" s="289"/>
      <c r="Z545" s="289"/>
      <c r="AA545" s="227"/>
      <c r="AB545" s="227"/>
      <c r="AC545" s="227"/>
      <c r="AD545" s="227"/>
      <c r="AE545" s="227"/>
      <c r="AF545" s="227"/>
      <c r="AG545" s="227"/>
      <c r="AH545" s="227"/>
      <c r="AI545" s="227"/>
      <c r="AJ545" s="227"/>
      <c r="AK545" s="227"/>
      <c r="AL545" s="227"/>
      <c r="AM545" s="227"/>
      <c r="AN545" s="227"/>
      <c r="AO545" s="227"/>
      <c r="AP545" s="227"/>
      <c r="AQ545" s="227"/>
      <c r="AR545" s="227"/>
      <c r="AS545" s="227"/>
      <c r="AT545" s="271"/>
      <c r="AU545" s="272"/>
    </row>
    <row r="546" spans="1:47" s="4" customFormat="1" ht="21.75" customHeight="1">
      <c r="A546" s="30"/>
      <c r="B546" s="37"/>
      <c r="C546" s="38"/>
      <c r="D546" s="39"/>
      <c r="E546" s="24"/>
      <c r="F546" s="24"/>
      <c r="G546" s="24"/>
      <c r="H546" s="24"/>
      <c r="I546" s="24"/>
      <c r="J546" s="39"/>
      <c r="K546" s="347"/>
      <c r="L546" s="347"/>
      <c r="M546" s="228"/>
      <c r="N546" s="228"/>
      <c r="O546" s="228"/>
      <c r="P546" s="228"/>
      <c r="Q546" s="228"/>
      <c r="R546" s="228"/>
      <c r="S546" s="290"/>
      <c r="T546" s="290"/>
      <c r="U546" s="290"/>
      <c r="V546" s="290"/>
      <c r="W546" s="290"/>
      <c r="X546" s="290"/>
      <c r="Y546" s="290"/>
      <c r="Z546" s="290"/>
      <c r="AA546" s="228"/>
      <c r="AB546" s="228"/>
      <c r="AC546" s="228"/>
      <c r="AD546" s="228"/>
      <c r="AE546" s="228"/>
      <c r="AF546" s="228"/>
      <c r="AG546" s="228"/>
      <c r="AH546" s="228"/>
      <c r="AI546" s="228"/>
      <c r="AJ546" s="228"/>
      <c r="AK546" s="228"/>
      <c r="AL546" s="228"/>
      <c r="AM546" s="228"/>
      <c r="AN546" s="228"/>
      <c r="AO546" s="228"/>
      <c r="AP546" s="228"/>
      <c r="AQ546" s="228"/>
      <c r="AR546" s="228"/>
      <c r="AS546" s="228"/>
      <c r="AT546" s="271"/>
      <c r="AU546" s="272"/>
    </row>
    <row r="547" spans="1:47" s="4" customFormat="1" ht="21.75" customHeight="1">
      <c r="A547" s="30"/>
      <c r="B547" s="37"/>
      <c r="C547" s="38"/>
      <c r="D547" s="39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71"/>
      <c r="AU547" s="272"/>
    </row>
    <row r="548" spans="1:47" s="4" customFormat="1" ht="21.75" customHeight="1">
      <c r="A548" s="30"/>
      <c r="B548" s="37"/>
      <c r="C548" s="38"/>
      <c r="D548" s="39"/>
      <c r="E548" s="24"/>
      <c r="F548" s="24"/>
      <c r="G548" s="24"/>
      <c r="H548" s="24"/>
      <c r="I548" s="24"/>
      <c r="J548" s="24"/>
      <c r="K548" s="24"/>
      <c r="L548" s="24"/>
      <c r="M548" s="24"/>
      <c r="N548" s="61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71"/>
      <c r="AU548" s="272"/>
    </row>
    <row r="549" spans="1:47" s="4" customFormat="1" ht="21.75" customHeight="1">
      <c r="A549" s="30"/>
      <c r="B549" s="38"/>
      <c r="C549" s="38"/>
      <c r="D549" s="39"/>
      <c r="E549" s="24"/>
      <c r="F549" s="24"/>
      <c r="G549" s="24"/>
      <c r="H549" s="24"/>
      <c r="I549" s="24"/>
      <c r="J549" s="24"/>
      <c r="K549" s="24"/>
      <c r="L549" s="24"/>
      <c r="M549" s="24"/>
      <c r="N549" s="61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71"/>
      <c r="AU549" s="272"/>
    </row>
    <row r="550" spans="1:47" s="4" customFormat="1" ht="21.75" customHeight="1">
      <c r="A550" s="30"/>
      <c r="B550" s="38"/>
      <c r="C550" s="38"/>
      <c r="D550" s="39"/>
      <c r="E550" s="24"/>
      <c r="F550" s="24"/>
      <c r="G550" s="24"/>
      <c r="H550" s="24"/>
      <c r="I550" s="24"/>
      <c r="J550" s="39"/>
      <c r="K550" s="24"/>
      <c r="L550" s="24"/>
      <c r="M550" s="24"/>
      <c r="N550" s="61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71"/>
      <c r="AU550" s="272"/>
    </row>
    <row r="551" spans="1:47" s="4" customFormat="1" ht="21.75" customHeight="1">
      <c r="A551" s="30"/>
      <c r="B551" s="38"/>
      <c r="C551" s="38"/>
      <c r="D551" s="39"/>
      <c r="E551" s="24"/>
      <c r="F551" s="24"/>
      <c r="G551" s="24"/>
      <c r="H551" s="24"/>
      <c r="I551" s="24"/>
      <c r="J551" s="39"/>
      <c r="K551" s="24"/>
      <c r="L551" s="24"/>
      <c r="M551" s="24"/>
      <c r="N551" s="61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71"/>
      <c r="AU551" s="272"/>
    </row>
    <row r="552" spans="1:47" s="4" customFormat="1" ht="21.75" customHeight="1">
      <c r="A552" s="30"/>
      <c r="B552" s="38"/>
      <c r="C552" s="38"/>
      <c r="D552" s="39"/>
      <c r="E552" s="24"/>
      <c r="F552" s="24"/>
      <c r="G552" s="24"/>
      <c r="H552" s="24"/>
      <c r="I552" s="24"/>
      <c r="J552" s="39"/>
      <c r="K552" s="24"/>
      <c r="L552" s="24"/>
      <c r="M552" s="24"/>
      <c r="N552" s="61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71"/>
      <c r="AU552" s="272"/>
    </row>
    <row r="553" spans="1:47" s="4" customFormat="1" ht="21.75" customHeight="1">
      <c r="A553" s="30"/>
      <c r="B553" s="38"/>
      <c r="C553" s="38"/>
      <c r="D553" s="39"/>
      <c r="E553" s="24"/>
      <c r="F553" s="24"/>
      <c r="G553" s="105"/>
      <c r="H553" s="105"/>
      <c r="I553" s="24"/>
      <c r="J553" s="39"/>
      <c r="K553" s="24"/>
      <c r="L553" s="24"/>
      <c r="M553" s="24"/>
      <c r="N553" s="61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71"/>
      <c r="AU553" s="272"/>
    </row>
    <row r="554" spans="1:47" s="4" customFormat="1" ht="21.75" customHeight="1">
      <c r="A554" s="30"/>
      <c r="B554" s="38"/>
      <c r="C554" s="38"/>
      <c r="D554" s="39"/>
      <c r="E554" s="24"/>
      <c r="F554" s="24"/>
      <c r="G554" s="105"/>
      <c r="H554" s="105"/>
      <c r="I554" s="24"/>
      <c r="J554" s="39"/>
      <c r="K554" s="24"/>
      <c r="L554" s="24"/>
      <c r="M554" s="24"/>
      <c r="N554" s="61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71"/>
      <c r="AU554" s="272"/>
    </row>
    <row r="555" spans="1:47" s="4" customFormat="1" ht="21.75" customHeight="1">
      <c r="A555" s="30"/>
      <c r="B555" s="38"/>
      <c r="C555" s="38"/>
      <c r="D555" s="39"/>
      <c r="E555" s="24"/>
      <c r="F555" s="24"/>
      <c r="G555" s="24"/>
      <c r="H555" s="24"/>
      <c r="I555" s="24"/>
      <c r="J555" s="24"/>
      <c r="K555" s="24"/>
      <c r="L555" s="24"/>
      <c r="M555" s="24"/>
      <c r="N555" s="61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71"/>
      <c r="AU555" s="272"/>
    </row>
    <row r="556" spans="1:47" s="4" customFormat="1" ht="21.75" customHeight="1">
      <c r="A556" s="30"/>
      <c r="B556" s="37"/>
      <c r="C556" s="38"/>
      <c r="D556" s="39"/>
      <c r="E556" s="24"/>
      <c r="F556" s="24"/>
      <c r="G556" s="24"/>
      <c r="H556" s="24"/>
      <c r="I556" s="24"/>
      <c r="J556" s="24"/>
      <c r="K556" s="24"/>
      <c r="L556" s="24"/>
      <c r="M556" s="24"/>
      <c r="N556" s="61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71"/>
      <c r="AU556" s="272"/>
    </row>
    <row r="557" spans="1:47" s="4" customFormat="1" ht="21.75" customHeight="1">
      <c r="A557" s="30"/>
      <c r="B557" s="37"/>
      <c r="C557" s="38"/>
      <c r="D557" s="39"/>
      <c r="E557" s="24"/>
      <c r="F557" s="66"/>
      <c r="G557" s="107"/>
      <c r="H557" s="24"/>
      <c r="I557" s="24"/>
      <c r="J557" s="39"/>
      <c r="K557" s="24"/>
      <c r="L557" s="24"/>
      <c r="M557" s="24"/>
      <c r="N557" s="61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71"/>
      <c r="AU557" s="272"/>
    </row>
    <row r="558" spans="1:47" s="16" customFormat="1" ht="21.75" customHeight="1">
      <c r="A558" s="30"/>
      <c r="B558" s="38"/>
      <c r="C558" s="38"/>
      <c r="D558" s="39"/>
      <c r="E558" s="24"/>
      <c r="F558" s="66"/>
      <c r="G558" s="24"/>
      <c r="H558" s="24"/>
      <c r="I558" s="24"/>
      <c r="J558" s="24"/>
      <c r="K558" s="24"/>
      <c r="L558" s="24"/>
      <c r="M558" s="24"/>
      <c r="N558" s="61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71"/>
      <c r="AU558" s="272"/>
    </row>
    <row r="559" spans="1:47" s="16" customFormat="1" ht="21.75" customHeight="1">
      <c r="A559" s="30"/>
      <c r="B559" s="38"/>
      <c r="C559" s="38"/>
      <c r="D559" s="39"/>
      <c r="E559" s="24"/>
      <c r="F559" s="66"/>
      <c r="G559" s="24"/>
      <c r="H559" s="24"/>
      <c r="I559" s="24"/>
      <c r="J559" s="24"/>
      <c r="K559" s="24"/>
      <c r="L559" s="24"/>
      <c r="M559" s="24"/>
      <c r="N559" s="61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71"/>
      <c r="AU559" s="272"/>
    </row>
    <row r="560" spans="1:47" s="16" customFormat="1" ht="21.75" customHeight="1">
      <c r="A560" s="30"/>
      <c r="B560" s="38"/>
      <c r="C560" s="46"/>
      <c r="D560" s="39"/>
      <c r="E560" s="24"/>
      <c r="F560" s="24"/>
      <c r="G560" s="24"/>
      <c r="H560" s="24"/>
      <c r="I560" s="24"/>
      <c r="J560" s="24"/>
      <c r="K560" s="24"/>
      <c r="L560" s="24"/>
      <c r="M560" s="24"/>
      <c r="N560" s="61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71"/>
      <c r="AU560" s="272"/>
    </row>
    <row r="561" spans="1:47" s="16" customFormat="1" ht="21.75" customHeight="1">
      <c r="A561" s="30"/>
      <c r="B561" s="38"/>
      <c r="C561" s="38"/>
      <c r="D561" s="39"/>
      <c r="E561" s="24"/>
      <c r="F561" s="66"/>
      <c r="G561" s="24"/>
      <c r="H561" s="24"/>
      <c r="I561" s="24"/>
      <c r="J561" s="24"/>
      <c r="K561" s="24"/>
      <c r="L561" s="24"/>
      <c r="M561" s="24"/>
      <c r="N561" s="61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71"/>
      <c r="AU561" s="272"/>
    </row>
    <row r="562" spans="1:47" s="4" customFormat="1" ht="21.75" customHeight="1">
      <c r="A562" s="30"/>
      <c r="B562" s="38"/>
      <c r="C562" s="38"/>
      <c r="D562" s="39"/>
      <c r="E562" s="24"/>
      <c r="F562" s="66"/>
      <c r="G562" s="24"/>
      <c r="H562" s="24"/>
      <c r="I562" s="24"/>
      <c r="J562" s="24"/>
      <c r="K562" s="24"/>
      <c r="L562" s="24"/>
      <c r="M562" s="24"/>
      <c r="N562" s="61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71"/>
      <c r="AU562" s="272"/>
    </row>
    <row r="563" spans="1:47" s="4" customFormat="1" ht="21.75" customHeight="1">
      <c r="A563" s="30"/>
      <c r="B563" s="38"/>
      <c r="C563" s="38"/>
      <c r="D563" s="39"/>
      <c r="E563" s="24"/>
      <c r="F563" s="24"/>
      <c r="G563" s="24"/>
      <c r="H563" s="24"/>
      <c r="I563" s="24"/>
      <c r="J563" s="24"/>
      <c r="K563" s="24"/>
      <c r="L563" s="24"/>
      <c r="M563" s="24"/>
      <c r="N563" s="61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71"/>
      <c r="AU563" s="272"/>
    </row>
    <row r="564" spans="1:47" s="4" customFormat="1" ht="21.75" customHeight="1">
      <c r="A564" s="30"/>
      <c r="B564" s="38"/>
      <c r="C564" s="38"/>
      <c r="D564" s="39"/>
      <c r="E564" s="24"/>
      <c r="F564" s="24"/>
      <c r="G564" s="24"/>
      <c r="H564" s="24"/>
      <c r="I564" s="24"/>
      <c r="J564" s="24"/>
      <c r="K564" s="24"/>
      <c r="L564" s="24"/>
      <c r="M564" s="24"/>
      <c r="N564" s="61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71"/>
      <c r="AU564" s="272"/>
    </row>
    <row r="565" spans="1:47" s="4" customFormat="1" ht="21.75" customHeight="1">
      <c r="A565" s="30"/>
      <c r="B565" s="38"/>
      <c r="C565" s="38"/>
      <c r="D565" s="39"/>
      <c r="E565" s="24"/>
      <c r="F565" s="24"/>
      <c r="G565" s="24"/>
      <c r="H565" s="24"/>
      <c r="I565" s="24"/>
      <c r="J565" s="24"/>
      <c r="K565" s="24"/>
      <c r="L565" s="24"/>
      <c r="M565" s="24"/>
      <c r="N565" s="61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71"/>
      <c r="AU565" s="272"/>
    </row>
    <row r="566" spans="1:47" s="4" customFormat="1" ht="21.75" customHeight="1">
      <c r="A566" s="30"/>
      <c r="B566" s="38"/>
      <c r="C566" s="38"/>
      <c r="D566" s="39"/>
      <c r="E566" s="24"/>
      <c r="F566" s="24"/>
      <c r="G566" s="105"/>
      <c r="H566" s="105"/>
      <c r="I566" s="24"/>
      <c r="J566" s="39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71"/>
      <c r="AU566" s="272"/>
    </row>
    <row r="567" spans="1:47" s="4" customFormat="1" ht="21.75" customHeight="1">
      <c r="A567" s="30"/>
      <c r="B567" s="38"/>
      <c r="C567" s="46"/>
      <c r="D567" s="39"/>
      <c r="E567" s="24"/>
      <c r="F567" s="24"/>
      <c r="G567" s="105"/>
      <c r="H567" s="105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71"/>
      <c r="AU567" s="272"/>
    </row>
    <row r="568" spans="1:47" s="4" customFormat="1" ht="21.75" customHeight="1">
      <c r="A568" s="30"/>
      <c r="B568" s="38"/>
      <c r="C568" s="38"/>
      <c r="D568" s="39"/>
      <c r="E568" s="24"/>
      <c r="F568" s="24"/>
      <c r="G568" s="105"/>
      <c r="H568" s="105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71"/>
      <c r="AU568" s="272"/>
    </row>
    <row r="569" spans="1:47" s="4" customFormat="1" ht="21.75" customHeight="1">
      <c r="A569" s="30"/>
      <c r="B569" s="38"/>
      <c r="C569" s="38"/>
      <c r="D569" s="39"/>
      <c r="E569" s="24"/>
      <c r="F569" s="24"/>
      <c r="G569" s="105"/>
      <c r="H569" s="105"/>
      <c r="I569" s="24"/>
      <c r="J569" s="39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71"/>
      <c r="AU569" s="272"/>
    </row>
    <row r="570" spans="1:47" s="4" customFormat="1" ht="21.75" customHeight="1">
      <c r="A570" s="30"/>
      <c r="B570" s="38"/>
      <c r="C570" s="38"/>
      <c r="D570" s="39"/>
      <c r="E570" s="24"/>
      <c r="F570" s="24"/>
      <c r="G570" s="105"/>
      <c r="H570" s="105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71"/>
      <c r="AU570" s="272"/>
    </row>
    <row r="571" spans="1:47" s="4" customFormat="1" ht="21.75" customHeight="1">
      <c r="A571" s="30"/>
      <c r="B571" s="38"/>
      <c r="C571" s="38"/>
      <c r="D571" s="39"/>
      <c r="E571" s="24"/>
      <c r="F571" s="24"/>
      <c r="G571" s="24"/>
      <c r="H571" s="44"/>
      <c r="I571" s="45"/>
      <c r="J571" s="39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71"/>
      <c r="AU571" s="272"/>
    </row>
    <row r="572" spans="1:47" s="4" customFormat="1" ht="21.75" customHeight="1">
      <c r="A572" s="30"/>
      <c r="B572" s="38"/>
      <c r="C572" s="38"/>
      <c r="D572" s="39"/>
      <c r="E572" s="24"/>
      <c r="F572" s="24"/>
      <c r="G572" s="105"/>
      <c r="H572" s="105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71"/>
      <c r="AU572" s="272"/>
    </row>
    <row r="573" spans="1:47" s="4" customFormat="1" ht="21.75" customHeight="1">
      <c r="A573" s="30"/>
      <c r="B573" s="38"/>
      <c r="C573" s="38"/>
      <c r="D573" s="39"/>
      <c r="E573" s="24"/>
      <c r="F573" s="24"/>
      <c r="G573" s="105"/>
      <c r="H573" s="105"/>
      <c r="I573" s="24"/>
      <c r="J573" s="39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71"/>
      <c r="AU573" s="272"/>
    </row>
    <row r="574" spans="1:47" s="4" customFormat="1" ht="21.75" customHeight="1">
      <c r="A574" s="30"/>
      <c r="B574" s="38"/>
      <c r="C574" s="38"/>
      <c r="D574" s="39"/>
      <c r="E574" s="24"/>
      <c r="F574" s="24"/>
      <c r="G574" s="90"/>
      <c r="H574" s="24"/>
      <c r="I574" s="24"/>
      <c r="J574" s="148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71"/>
      <c r="AU574" s="272"/>
    </row>
    <row r="575" spans="1:47" s="4" customFormat="1" ht="21.75" customHeight="1">
      <c r="A575" s="30"/>
      <c r="B575" s="67"/>
      <c r="C575" s="38"/>
      <c r="D575" s="39"/>
      <c r="E575" s="24"/>
      <c r="F575" s="66"/>
      <c r="G575" s="90"/>
      <c r="H575" s="24"/>
      <c r="I575" s="24"/>
      <c r="J575" s="148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71"/>
      <c r="AU575" s="272"/>
    </row>
    <row r="576" spans="1:47" s="4" customFormat="1" ht="21.75" customHeight="1">
      <c r="A576" s="30"/>
      <c r="B576" s="38"/>
      <c r="C576" s="46"/>
      <c r="D576" s="39"/>
      <c r="E576" s="24"/>
      <c r="F576" s="24"/>
      <c r="G576" s="105"/>
      <c r="H576" s="105"/>
      <c r="I576" s="24"/>
      <c r="J576" s="148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71"/>
      <c r="AU576" s="272"/>
    </row>
    <row r="577" spans="1:47" s="4" customFormat="1" ht="21.75" customHeight="1">
      <c r="A577" s="30"/>
      <c r="B577" s="38"/>
      <c r="C577" s="46"/>
      <c r="D577" s="39"/>
      <c r="E577" s="24"/>
      <c r="F577" s="24"/>
      <c r="G577" s="111"/>
      <c r="H577" s="111"/>
      <c r="I577" s="24"/>
      <c r="J577" s="148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71"/>
      <c r="AU577" s="272"/>
    </row>
    <row r="578" spans="1:47" s="4" customFormat="1" ht="21.75" customHeight="1">
      <c r="A578" s="30"/>
      <c r="B578" s="38"/>
      <c r="C578" s="38"/>
      <c r="D578" s="39"/>
      <c r="E578" s="24"/>
      <c r="F578" s="24"/>
      <c r="G578" s="105"/>
      <c r="H578" s="105"/>
      <c r="I578" s="24"/>
      <c r="J578" s="148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71"/>
      <c r="AU578" s="272"/>
    </row>
    <row r="579" spans="1:47" s="4" customFormat="1" ht="21.75" customHeight="1">
      <c r="A579" s="30"/>
      <c r="B579" s="38"/>
      <c r="C579" s="38"/>
      <c r="D579" s="39"/>
      <c r="E579" s="24"/>
      <c r="F579" s="24"/>
      <c r="G579" s="105"/>
      <c r="H579" s="105"/>
      <c r="I579" s="24"/>
      <c r="J579" s="148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71"/>
      <c r="AU579" s="272"/>
    </row>
    <row r="580" spans="1:47" s="4" customFormat="1" ht="21.75" customHeight="1">
      <c r="A580" s="30"/>
      <c r="B580" s="38"/>
      <c r="C580" s="38"/>
      <c r="D580" s="39"/>
      <c r="E580" s="24"/>
      <c r="F580" s="24"/>
      <c r="G580" s="105"/>
      <c r="H580" s="105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71"/>
      <c r="AU580" s="272"/>
    </row>
    <row r="581" spans="1:47" s="4" customFormat="1" ht="21.75" customHeight="1">
      <c r="A581" s="30"/>
      <c r="B581" s="38"/>
      <c r="C581" s="38"/>
      <c r="D581" s="39"/>
      <c r="E581" s="24"/>
      <c r="F581" s="66"/>
      <c r="G581" s="105"/>
      <c r="H581" s="105"/>
      <c r="I581" s="24"/>
      <c r="J581" s="24"/>
      <c r="K581" s="24"/>
      <c r="L581" s="24"/>
      <c r="M581" s="24"/>
      <c r="N581" s="61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71"/>
      <c r="AU581" s="272"/>
    </row>
    <row r="582" spans="1:47" s="4" customFormat="1" ht="21.75" customHeight="1" thickBot="1">
      <c r="A582" s="30"/>
      <c r="B582" s="38"/>
      <c r="C582" s="38"/>
      <c r="D582" s="39"/>
      <c r="E582" s="24"/>
      <c r="F582" s="24"/>
      <c r="G582" s="105"/>
      <c r="H582" s="105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81"/>
      <c r="AU582" s="275"/>
    </row>
    <row r="583" spans="1:47" s="4" customFormat="1" ht="21.75" customHeight="1">
      <c r="A583" s="30"/>
      <c r="B583" s="38"/>
      <c r="C583" s="38"/>
      <c r="D583" s="39"/>
      <c r="E583" s="24"/>
      <c r="F583" s="66"/>
      <c r="G583" s="105"/>
      <c r="H583" s="105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69"/>
      <c r="AU583" s="270"/>
    </row>
    <row r="584" spans="1:47" s="4" customFormat="1" ht="21.75" customHeight="1">
      <c r="A584" s="30"/>
      <c r="B584" s="38"/>
      <c r="C584" s="38"/>
      <c r="D584" s="39"/>
      <c r="E584" s="24"/>
      <c r="F584" s="66"/>
      <c r="G584" s="111"/>
      <c r="H584" s="111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71"/>
      <c r="AU584" s="272"/>
    </row>
    <row r="585" spans="1:47" s="4" customFormat="1" ht="21.75" customHeight="1">
      <c r="A585" s="30"/>
      <c r="B585" s="38"/>
      <c r="C585" s="38"/>
      <c r="D585" s="39"/>
      <c r="E585" s="24"/>
      <c r="F585" s="66"/>
      <c r="G585" s="111"/>
      <c r="H585" s="111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71"/>
      <c r="AU585" s="272"/>
    </row>
    <row r="586" spans="1:47" s="4" customFormat="1" ht="21.75" customHeight="1">
      <c r="A586" s="30"/>
      <c r="B586" s="38"/>
      <c r="C586" s="38"/>
      <c r="D586" s="39"/>
      <c r="E586" s="24"/>
      <c r="F586" s="24"/>
      <c r="G586" s="111"/>
      <c r="H586" s="111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71"/>
      <c r="AU586" s="272"/>
    </row>
    <row r="587" spans="1:47" s="4" customFormat="1" ht="21.75" customHeight="1">
      <c r="A587" s="30"/>
      <c r="B587" s="38"/>
      <c r="C587" s="38"/>
      <c r="D587" s="39"/>
      <c r="E587" s="24"/>
      <c r="F587" s="24"/>
      <c r="G587" s="105"/>
      <c r="H587" s="105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71"/>
      <c r="AU587" s="272"/>
    </row>
    <row r="588" spans="1:47" s="4" customFormat="1" ht="21.75" customHeight="1">
      <c r="A588" s="30"/>
      <c r="B588" s="38"/>
      <c r="C588" s="38"/>
      <c r="D588" s="39"/>
      <c r="E588" s="24"/>
      <c r="F588" s="24"/>
      <c r="G588" s="105"/>
      <c r="H588" s="105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71"/>
      <c r="AU588" s="272"/>
    </row>
    <row r="589" spans="1:47" s="4" customFormat="1" ht="21.75" customHeight="1">
      <c r="A589" s="30"/>
      <c r="B589" s="38"/>
      <c r="C589" s="38"/>
      <c r="D589" s="39"/>
      <c r="E589" s="24"/>
      <c r="F589" s="24"/>
      <c r="G589" s="24"/>
      <c r="H589" s="24"/>
      <c r="I589" s="24"/>
      <c r="J589" s="24"/>
      <c r="K589" s="24"/>
      <c r="L589" s="24"/>
      <c r="M589" s="24"/>
      <c r="N589" s="61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71"/>
      <c r="AU589" s="272"/>
    </row>
    <row r="590" spans="1:47" s="4" customFormat="1" ht="21.75" customHeight="1">
      <c r="A590" s="30"/>
      <c r="B590" s="67"/>
      <c r="C590" s="38"/>
      <c r="D590" s="39"/>
      <c r="E590" s="24"/>
      <c r="F590" s="24"/>
      <c r="G590" s="24"/>
      <c r="H590" s="24"/>
      <c r="I590" s="24"/>
      <c r="J590" s="24"/>
      <c r="K590" s="24"/>
      <c r="L590" s="24"/>
      <c r="M590" s="24"/>
      <c r="N590" s="61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71"/>
      <c r="AU590" s="272"/>
    </row>
    <row r="591" spans="1:47" s="4" customFormat="1" ht="21.75" customHeight="1">
      <c r="A591" s="30"/>
      <c r="B591" s="38"/>
      <c r="C591" s="38"/>
      <c r="D591" s="39"/>
      <c r="E591" s="24"/>
      <c r="F591" s="24"/>
      <c r="G591" s="105"/>
      <c r="H591" s="105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71"/>
      <c r="AU591" s="272"/>
    </row>
    <row r="592" spans="1:47" s="4" customFormat="1" ht="21.75" customHeight="1">
      <c r="A592" s="30"/>
      <c r="B592" s="38"/>
      <c r="C592" s="38"/>
      <c r="D592" s="39"/>
      <c r="E592" s="24"/>
      <c r="F592" s="24"/>
      <c r="G592" s="105"/>
      <c r="H592" s="105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71"/>
      <c r="AU592" s="272"/>
    </row>
    <row r="593" spans="1:47" s="4" customFormat="1" ht="21.75" customHeight="1">
      <c r="A593" s="30"/>
      <c r="B593" s="38"/>
      <c r="C593" s="38"/>
      <c r="D593" s="39"/>
      <c r="E593" s="24"/>
      <c r="F593" s="24"/>
      <c r="G593" s="24"/>
      <c r="H593" s="24"/>
      <c r="I593" s="24"/>
      <c r="J593" s="24"/>
      <c r="K593" s="24"/>
      <c r="L593" s="24"/>
      <c r="M593" s="24"/>
      <c r="N593" s="61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71"/>
      <c r="AU593" s="272"/>
    </row>
    <row r="594" spans="1:47" s="4" customFormat="1" ht="21.75" customHeight="1">
      <c r="A594" s="30"/>
      <c r="B594" s="38"/>
      <c r="C594" s="38"/>
      <c r="D594" s="39"/>
      <c r="E594" s="24"/>
      <c r="F594" s="24"/>
      <c r="G594" s="105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71"/>
      <c r="AU594" s="272"/>
    </row>
    <row r="595" spans="1:47" s="4" customFormat="1" ht="21.75" customHeight="1">
      <c r="A595" s="30"/>
      <c r="B595" s="38"/>
      <c r="C595" s="38"/>
      <c r="D595" s="39"/>
      <c r="E595" s="24"/>
      <c r="F595" s="24"/>
      <c r="G595" s="105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71"/>
      <c r="AU595" s="272"/>
    </row>
    <row r="596" spans="1:47" s="4" customFormat="1" ht="21.75" customHeight="1">
      <c r="A596" s="30"/>
      <c r="B596" s="38"/>
      <c r="C596" s="38"/>
      <c r="D596" s="39"/>
      <c r="E596" s="24"/>
      <c r="F596" s="24"/>
      <c r="G596" s="105"/>
      <c r="H596" s="105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73"/>
      <c r="AU596" s="272"/>
    </row>
    <row r="597" spans="1:47" s="4" customFormat="1" ht="21.75" customHeight="1">
      <c r="A597" s="30"/>
      <c r="B597" s="38"/>
      <c r="C597" s="38"/>
      <c r="D597" s="39"/>
      <c r="E597" s="24"/>
      <c r="F597" s="24"/>
      <c r="G597" s="105"/>
      <c r="H597" s="105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73"/>
      <c r="AU597" s="272"/>
    </row>
    <row r="598" spans="1:47" s="4" customFormat="1" ht="21.75" customHeight="1" thickBot="1">
      <c r="A598" s="30"/>
      <c r="B598" s="38"/>
      <c r="C598" s="38"/>
      <c r="D598" s="39"/>
      <c r="E598" s="24"/>
      <c r="F598" s="24"/>
      <c r="G598" s="24"/>
      <c r="H598" s="24"/>
      <c r="I598" s="24"/>
      <c r="J598" s="24"/>
      <c r="K598" s="24"/>
      <c r="L598" s="24"/>
      <c r="M598" s="24"/>
      <c r="N598" s="61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74"/>
      <c r="AU598" s="275"/>
    </row>
    <row r="599" spans="2:47" s="1" customFormat="1" ht="46.5" customHeight="1">
      <c r="B599" s="233"/>
      <c r="C599" s="234"/>
      <c r="D599" s="234"/>
      <c r="E599" s="234"/>
      <c r="F599" s="234"/>
      <c r="G599" s="234"/>
      <c r="H599" s="234"/>
      <c r="I599" s="234"/>
      <c r="J599" s="234"/>
      <c r="K599" s="211"/>
      <c r="L599" s="211"/>
      <c r="M599" s="211"/>
      <c r="N599" s="211"/>
      <c r="O599" s="211"/>
      <c r="P599" s="211"/>
      <c r="Q599" s="211"/>
      <c r="R599" s="211"/>
      <c r="S599" s="211"/>
      <c r="T599" s="211"/>
      <c r="U599" s="211"/>
      <c r="V599" s="211"/>
      <c r="W599" s="211"/>
      <c r="X599" s="211"/>
      <c r="Y599" s="211"/>
      <c r="Z599" s="211"/>
      <c r="AA599" s="211"/>
      <c r="AB599" s="211"/>
      <c r="AC599" s="211"/>
      <c r="AD599" s="211"/>
      <c r="AE599" s="211"/>
      <c r="AF599" s="211"/>
      <c r="AG599" s="211"/>
      <c r="AH599" s="211"/>
      <c r="AI599" s="211"/>
      <c r="AJ599" s="211"/>
      <c r="AK599" s="211"/>
      <c r="AL599" s="211"/>
      <c r="AM599" s="211"/>
      <c r="AN599" s="211"/>
      <c r="AO599" s="211"/>
      <c r="AP599" s="211"/>
      <c r="AQ599" s="211"/>
      <c r="AR599" s="211"/>
      <c r="AS599" s="211"/>
      <c r="AT599" s="279"/>
      <c r="AU599" s="280"/>
    </row>
    <row r="600" spans="2:47" s="1" customFormat="1" ht="46.5" customHeight="1" thickBot="1">
      <c r="B600" s="236"/>
      <c r="C600" s="237"/>
      <c r="D600" s="237"/>
      <c r="E600" s="237"/>
      <c r="F600" s="237"/>
      <c r="G600" s="237"/>
      <c r="H600" s="237"/>
      <c r="I600" s="237"/>
      <c r="J600" s="237"/>
      <c r="K600" s="212"/>
      <c r="L600" s="212"/>
      <c r="M600" s="212"/>
      <c r="N600" s="212"/>
      <c r="O600" s="212"/>
      <c r="P600" s="212"/>
      <c r="Q600" s="212"/>
      <c r="R600" s="212"/>
      <c r="S600" s="212"/>
      <c r="T600" s="212"/>
      <c r="U600" s="212"/>
      <c r="V600" s="212"/>
      <c r="W600" s="212"/>
      <c r="X600" s="212"/>
      <c r="Y600" s="212"/>
      <c r="Z600" s="212"/>
      <c r="AA600" s="212"/>
      <c r="AB600" s="212"/>
      <c r="AC600" s="212"/>
      <c r="AD600" s="212"/>
      <c r="AE600" s="212"/>
      <c r="AF600" s="212"/>
      <c r="AG600" s="212"/>
      <c r="AH600" s="212"/>
      <c r="AI600" s="212"/>
      <c r="AJ600" s="212"/>
      <c r="AK600" s="212"/>
      <c r="AL600" s="212"/>
      <c r="AM600" s="212"/>
      <c r="AN600" s="212"/>
      <c r="AO600" s="212"/>
      <c r="AP600" s="212"/>
      <c r="AQ600" s="212"/>
      <c r="AR600" s="212"/>
      <c r="AS600" s="212"/>
      <c r="AT600" s="276"/>
      <c r="AU600" s="277"/>
    </row>
    <row r="601" spans="1:48" ht="36" customHeight="1">
      <c r="A601" s="10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78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T601" s="49"/>
      <c r="AU601" s="49"/>
      <c r="AV601" s="11"/>
    </row>
    <row r="602" spans="2:47" ht="15"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79"/>
      <c r="P602" s="78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T602" s="49"/>
      <c r="AU602" s="49"/>
    </row>
    <row r="603" spans="2:47" ht="15"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79"/>
      <c r="P603" s="78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T603" s="49"/>
      <c r="AU603" s="49"/>
    </row>
    <row r="604" spans="1:47" ht="15.75">
      <c r="A604" s="156"/>
      <c r="B604" s="153"/>
      <c r="C604" s="51"/>
      <c r="D604" s="51"/>
      <c r="E604" s="51"/>
      <c r="F604" s="51"/>
      <c r="G604" s="52"/>
      <c r="H604" s="53"/>
      <c r="I604" s="53"/>
      <c r="J604" s="53"/>
      <c r="K604" s="53"/>
      <c r="L604" s="80"/>
      <c r="M604" s="80"/>
      <c r="N604" s="53"/>
      <c r="O604" s="53"/>
      <c r="P604" s="53"/>
      <c r="Q604" s="53"/>
      <c r="R604" s="53"/>
      <c r="S604" s="94"/>
      <c r="T604" s="94"/>
      <c r="U604" s="95"/>
      <c r="V604" s="53"/>
      <c r="W604" s="82"/>
      <c r="X604" s="82"/>
      <c r="Y604" s="83"/>
      <c r="Z604" s="84"/>
      <c r="AT604" s="52"/>
      <c r="AU604" s="52"/>
    </row>
    <row r="605" spans="2:47" ht="15">
      <c r="B605" s="49"/>
      <c r="C605" s="49"/>
      <c r="D605" s="49"/>
      <c r="E605" s="49"/>
      <c r="F605" s="49"/>
      <c r="G605" s="49"/>
      <c r="H605" s="49"/>
      <c r="I605" s="49"/>
      <c r="J605" s="79"/>
      <c r="K605" s="195"/>
      <c r="L605" s="195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27"/>
      <c r="AT605" s="49"/>
      <c r="AU605" s="49"/>
    </row>
    <row r="606" spans="2:47" ht="15">
      <c r="B606" s="49"/>
      <c r="C606" s="49"/>
      <c r="D606" s="49"/>
      <c r="E606" s="49"/>
      <c r="F606" s="49"/>
      <c r="G606" s="49"/>
      <c r="H606" s="49"/>
      <c r="I606" s="49"/>
      <c r="J606" s="79"/>
      <c r="K606" s="195"/>
      <c r="L606" s="195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27"/>
      <c r="AT606" s="49"/>
      <c r="AU606" s="49"/>
    </row>
    <row r="607" spans="2:47" ht="15">
      <c r="B607" s="49"/>
      <c r="C607" s="49"/>
      <c r="D607" s="49"/>
      <c r="E607" s="49"/>
      <c r="F607" s="49"/>
      <c r="G607" s="49"/>
      <c r="H607" s="49"/>
      <c r="I607" s="49"/>
      <c r="J607" s="79"/>
      <c r="K607" s="195"/>
      <c r="L607" s="195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27"/>
      <c r="AT607" s="49"/>
      <c r="AU607" s="49"/>
    </row>
    <row r="608" spans="2:47" ht="12.75"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85"/>
      <c r="U608" s="49"/>
      <c r="V608" s="49"/>
      <c r="W608" s="49"/>
      <c r="X608" s="49"/>
      <c r="Y608" s="49"/>
      <c r="Z608" s="49"/>
      <c r="AT608" s="49"/>
      <c r="AU608" s="49"/>
    </row>
    <row r="609" spans="2:47" ht="12.75"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79"/>
      <c r="R609" s="49"/>
      <c r="S609" s="49"/>
      <c r="T609" s="85"/>
      <c r="U609" s="49"/>
      <c r="V609" s="49"/>
      <c r="W609" s="49"/>
      <c r="X609" s="49"/>
      <c r="Y609" s="49"/>
      <c r="Z609" s="49"/>
      <c r="AT609" s="49"/>
      <c r="AU609" s="49"/>
    </row>
    <row r="610" spans="1:48" s="3" customFormat="1" ht="36" customHeight="1" thickBot="1">
      <c r="A610" s="12"/>
      <c r="B610" s="54"/>
      <c r="C610" s="55"/>
      <c r="D610" s="55"/>
      <c r="E610" s="55"/>
      <c r="F610" s="55"/>
      <c r="G610" s="55"/>
      <c r="H610" s="55"/>
      <c r="I610" s="55"/>
      <c r="J610" s="55"/>
      <c r="K610" s="99"/>
      <c r="L610" s="99"/>
      <c r="M610" s="229"/>
      <c r="N610" s="229"/>
      <c r="O610" s="229"/>
      <c r="P610" s="229"/>
      <c r="Q610" s="142"/>
      <c r="R610" s="142"/>
      <c r="S610" s="99"/>
      <c r="T610" s="99"/>
      <c r="U610" s="99"/>
      <c r="V610" s="99"/>
      <c r="W610" s="99"/>
      <c r="X610" s="99"/>
      <c r="Y610" s="99"/>
      <c r="Z610" s="99"/>
      <c r="AT610" s="98"/>
      <c r="AU610" s="98"/>
      <c r="AV610" s="13"/>
    </row>
    <row r="611" spans="2:47" s="4" customFormat="1" ht="21.75" customHeight="1">
      <c r="B611" s="233"/>
      <c r="C611" s="235"/>
      <c r="D611" s="251"/>
      <c r="E611" s="251"/>
      <c r="F611" s="251"/>
      <c r="G611" s="254"/>
      <c r="H611" s="254"/>
      <c r="I611" s="251"/>
      <c r="J611" s="254"/>
      <c r="K611" s="58"/>
      <c r="L611" s="58"/>
      <c r="M611" s="216"/>
      <c r="N611" s="217"/>
      <c r="O611" s="216"/>
      <c r="P611" s="217"/>
      <c r="Q611" s="149"/>
      <c r="R611" s="135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282"/>
      <c r="AU611" s="282"/>
    </row>
    <row r="612" spans="2:47" s="4" customFormat="1" ht="27.75" customHeight="1">
      <c r="B612" s="293"/>
      <c r="C612" s="294"/>
      <c r="D612" s="252"/>
      <c r="E612" s="252"/>
      <c r="F612" s="252"/>
      <c r="G612" s="242"/>
      <c r="H612" s="242"/>
      <c r="I612" s="252"/>
      <c r="J612" s="255"/>
      <c r="K612" s="241"/>
      <c r="L612" s="241"/>
      <c r="M612" s="218"/>
      <c r="N612" s="219"/>
      <c r="O612" s="218"/>
      <c r="P612" s="219"/>
      <c r="Q612" s="241"/>
      <c r="R612" s="219"/>
      <c r="S612" s="241"/>
      <c r="T612" s="241"/>
      <c r="U612" s="241"/>
      <c r="V612" s="241"/>
      <c r="W612" s="241"/>
      <c r="X612" s="241"/>
      <c r="Y612" s="241"/>
      <c r="Z612" s="241"/>
      <c r="AA612" s="241"/>
      <c r="AB612" s="241"/>
      <c r="AC612" s="241"/>
      <c r="AD612" s="241"/>
      <c r="AE612" s="241"/>
      <c r="AF612" s="241"/>
      <c r="AG612" s="241"/>
      <c r="AH612" s="241"/>
      <c r="AI612" s="241"/>
      <c r="AJ612" s="241"/>
      <c r="AK612" s="241"/>
      <c r="AL612" s="241"/>
      <c r="AM612" s="241"/>
      <c r="AN612" s="241"/>
      <c r="AO612" s="241"/>
      <c r="AP612" s="241"/>
      <c r="AQ612" s="241"/>
      <c r="AR612" s="241"/>
      <c r="AS612" s="241"/>
      <c r="AT612" s="283"/>
      <c r="AU612" s="304"/>
    </row>
    <row r="613" spans="2:47" s="4" customFormat="1" ht="27.75" customHeight="1" thickBot="1">
      <c r="B613" s="293"/>
      <c r="C613" s="294"/>
      <c r="D613" s="252"/>
      <c r="E613" s="252"/>
      <c r="F613" s="252"/>
      <c r="G613" s="242"/>
      <c r="H613" s="242"/>
      <c r="I613" s="252"/>
      <c r="J613" s="255"/>
      <c r="K613" s="255"/>
      <c r="L613" s="255"/>
      <c r="M613" s="220"/>
      <c r="N613" s="221"/>
      <c r="O613" s="220"/>
      <c r="P613" s="221"/>
      <c r="Q613" s="242"/>
      <c r="R613" s="221"/>
      <c r="S613" s="255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42"/>
      <c r="AG613" s="242"/>
      <c r="AH613" s="242"/>
      <c r="AI613" s="242"/>
      <c r="AJ613" s="242"/>
      <c r="AK613" s="242"/>
      <c r="AL613" s="242"/>
      <c r="AM613" s="242"/>
      <c r="AN613" s="242"/>
      <c r="AO613" s="242"/>
      <c r="AP613" s="242"/>
      <c r="AQ613" s="242"/>
      <c r="AR613" s="242"/>
      <c r="AS613" s="242"/>
      <c r="AT613" s="284"/>
      <c r="AU613" s="304"/>
    </row>
    <row r="614" spans="2:47" s="4" customFormat="1" ht="27.75" customHeight="1">
      <c r="B614" s="293"/>
      <c r="C614" s="294"/>
      <c r="D614" s="252"/>
      <c r="E614" s="252"/>
      <c r="F614" s="252"/>
      <c r="G614" s="242"/>
      <c r="H614" s="242"/>
      <c r="I614" s="252"/>
      <c r="J614" s="255"/>
      <c r="K614" s="255"/>
      <c r="L614" s="255"/>
      <c r="M614" s="220"/>
      <c r="N614" s="221"/>
      <c r="O614" s="220"/>
      <c r="P614" s="221"/>
      <c r="Q614" s="242"/>
      <c r="R614" s="221"/>
      <c r="S614" s="255"/>
      <c r="T614" s="242"/>
      <c r="U614" s="242"/>
      <c r="V614" s="242"/>
      <c r="W614" s="242"/>
      <c r="X614" s="242"/>
      <c r="Y614" s="242"/>
      <c r="Z614" s="242"/>
      <c r="AA614" s="242"/>
      <c r="AB614" s="242"/>
      <c r="AC614" s="242"/>
      <c r="AD614" s="242"/>
      <c r="AE614" s="242"/>
      <c r="AF614" s="242"/>
      <c r="AG614" s="242"/>
      <c r="AH614" s="242"/>
      <c r="AI614" s="242"/>
      <c r="AJ614" s="242"/>
      <c r="AK614" s="242"/>
      <c r="AL614" s="242"/>
      <c r="AM614" s="242"/>
      <c r="AN614" s="242"/>
      <c r="AO614" s="242"/>
      <c r="AP614" s="242"/>
      <c r="AQ614" s="242"/>
      <c r="AR614" s="242"/>
      <c r="AS614" s="242"/>
      <c r="AT614" s="269"/>
      <c r="AU614" s="270"/>
    </row>
    <row r="615" spans="2:47" s="4" customFormat="1" ht="27.75" customHeight="1">
      <c r="B615" s="293"/>
      <c r="C615" s="294"/>
      <c r="D615" s="252"/>
      <c r="E615" s="252"/>
      <c r="F615" s="252"/>
      <c r="G615" s="242"/>
      <c r="H615" s="242"/>
      <c r="I615" s="252"/>
      <c r="J615" s="255"/>
      <c r="K615" s="255"/>
      <c r="L615" s="255"/>
      <c r="M615" s="220"/>
      <c r="N615" s="221"/>
      <c r="O615" s="220"/>
      <c r="P615" s="221"/>
      <c r="Q615" s="242"/>
      <c r="R615" s="221"/>
      <c r="S615" s="255"/>
      <c r="T615" s="242"/>
      <c r="U615" s="242"/>
      <c r="V615" s="242"/>
      <c r="W615" s="242"/>
      <c r="X615" s="242"/>
      <c r="Y615" s="242"/>
      <c r="Z615" s="242"/>
      <c r="AA615" s="242"/>
      <c r="AB615" s="242"/>
      <c r="AC615" s="242"/>
      <c r="AD615" s="242"/>
      <c r="AE615" s="242"/>
      <c r="AF615" s="242"/>
      <c r="AG615" s="242"/>
      <c r="AH615" s="242"/>
      <c r="AI615" s="242"/>
      <c r="AJ615" s="242"/>
      <c r="AK615" s="242"/>
      <c r="AL615" s="242"/>
      <c r="AM615" s="242"/>
      <c r="AN615" s="242"/>
      <c r="AO615" s="242"/>
      <c r="AP615" s="242"/>
      <c r="AQ615" s="242"/>
      <c r="AR615" s="242"/>
      <c r="AS615" s="242"/>
      <c r="AT615" s="271"/>
      <c r="AU615" s="272"/>
    </row>
    <row r="616" spans="2:47" s="4" customFormat="1" ht="27.75" customHeight="1">
      <c r="B616" s="293"/>
      <c r="C616" s="294"/>
      <c r="D616" s="252"/>
      <c r="E616" s="252"/>
      <c r="F616" s="252"/>
      <c r="G616" s="242"/>
      <c r="H616" s="242"/>
      <c r="I616" s="252"/>
      <c r="J616" s="255"/>
      <c r="K616" s="255"/>
      <c r="L616" s="255"/>
      <c r="M616" s="220"/>
      <c r="N616" s="221"/>
      <c r="O616" s="220"/>
      <c r="P616" s="221"/>
      <c r="Q616" s="242"/>
      <c r="R616" s="221"/>
      <c r="S616" s="255"/>
      <c r="T616" s="242"/>
      <c r="U616" s="242"/>
      <c r="V616" s="242"/>
      <c r="W616" s="242"/>
      <c r="X616" s="242"/>
      <c r="Y616" s="242"/>
      <c r="Z616" s="242"/>
      <c r="AA616" s="242"/>
      <c r="AB616" s="242"/>
      <c r="AC616" s="242"/>
      <c r="AD616" s="242"/>
      <c r="AE616" s="242"/>
      <c r="AF616" s="242"/>
      <c r="AG616" s="242"/>
      <c r="AH616" s="242"/>
      <c r="AI616" s="242"/>
      <c r="AJ616" s="242"/>
      <c r="AK616" s="242"/>
      <c r="AL616" s="242"/>
      <c r="AM616" s="242"/>
      <c r="AN616" s="242"/>
      <c r="AO616" s="242"/>
      <c r="AP616" s="242"/>
      <c r="AQ616" s="242"/>
      <c r="AR616" s="242"/>
      <c r="AS616" s="242"/>
      <c r="AT616" s="271"/>
      <c r="AU616" s="272"/>
    </row>
    <row r="617" spans="2:47" s="4" customFormat="1" ht="27.75" customHeight="1">
      <c r="B617" s="293"/>
      <c r="C617" s="294"/>
      <c r="D617" s="252"/>
      <c r="E617" s="252"/>
      <c r="F617" s="252"/>
      <c r="G617" s="242"/>
      <c r="H617" s="242"/>
      <c r="I617" s="252"/>
      <c r="J617" s="255"/>
      <c r="K617" s="255"/>
      <c r="L617" s="255"/>
      <c r="M617" s="220"/>
      <c r="N617" s="221"/>
      <c r="O617" s="220"/>
      <c r="P617" s="221"/>
      <c r="Q617" s="242"/>
      <c r="R617" s="221"/>
      <c r="S617" s="255"/>
      <c r="T617" s="242"/>
      <c r="U617" s="242"/>
      <c r="V617" s="242"/>
      <c r="W617" s="242"/>
      <c r="X617" s="242"/>
      <c r="Y617" s="242"/>
      <c r="Z617" s="242"/>
      <c r="AA617" s="242"/>
      <c r="AB617" s="242"/>
      <c r="AC617" s="242"/>
      <c r="AD617" s="242"/>
      <c r="AE617" s="242"/>
      <c r="AF617" s="242"/>
      <c r="AG617" s="242"/>
      <c r="AH617" s="242"/>
      <c r="AI617" s="242"/>
      <c r="AJ617" s="242"/>
      <c r="AK617" s="242"/>
      <c r="AL617" s="242"/>
      <c r="AM617" s="242"/>
      <c r="AN617" s="242"/>
      <c r="AO617" s="242"/>
      <c r="AP617" s="242"/>
      <c r="AQ617" s="242"/>
      <c r="AR617" s="242"/>
      <c r="AS617" s="242"/>
      <c r="AT617" s="271"/>
      <c r="AU617" s="272"/>
    </row>
    <row r="618" spans="2:47" s="4" customFormat="1" ht="27.75" customHeight="1">
      <c r="B618" s="293"/>
      <c r="C618" s="294"/>
      <c r="D618" s="252"/>
      <c r="E618" s="252"/>
      <c r="F618" s="252"/>
      <c r="G618" s="242"/>
      <c r="H618" s="242"/>
      <c r="I618" s="252"/>
      <c r="J618" s="255"/>
      <c r="K618" s="255"/>
      <c r="L618" s="255"/>
      <c r="M618" s="220"/>
      <c r="N618" s="221"/>
      <c r="O618" s="220"/>
      <c r="P618" s="221"/>
      <c r="Q618" s="242"/>
      <c r="R618" s="221"/>
      <c r="S618" s="255"/>
      <c r="T618" s="242"/>
      <c r="U618" s="242"/>
      <c r="V618" s="242"/>
      <c r="W618" s="242"/>
      <c r="X618" s="242"/>
      <c r="Y618" s="242"/>
      <c r="Z618" s="242"/>
      <c r="AA618" s="242"/>
      <c r="AB618" s="242"/>
      <c r="AC618" s="242"/>
      <c r="AD618" s="242"/>
      <c r="AE618" s="242"/>
      <c r="AF618" s="242"/>
      <c r="AG618" s="242"/>
      <c r="AH618" s="242"/>
      <c r="AI618" s="242"/>
      <c r="AJ618" s="242"/>
      <c r="AK618" s="242"/>
      <c r="AL618" s="242"/>
      <c r="AM618" s="242"/>
      <c r="AN618" s="242"/>
      <c r="AO618" s="242"/>
      <c r="AP618" s="242"/>
      <c r="AQ618" s="242"/>
      <c r="AR618" s="242"/>
      <c r="AS618" s="242"/>
      <c r="AT618" s="271"/>
      <c r="AU618" s="272"/>
    </row>
    <row r="619" spans="2:47" s="5" customFormat="1" ht="27.75" customHeight="1">
      <c r="B619" s="295"/>
      <c r="C619" s="296"/>
      <c r="D619" s="253"/>
      <c r="E619" s="253"/>
      <c r="F619" s="253"/>
      <c r="G619" s="243"/>
      <c r="H619" s="243"/>
      <c r="I619" s="253"/>
      <c r="J619" s="256"/>
      <c r="K619" s="256"/>
      <c r="L619" s="256"/>
      <c r="M619" s="222"/>
      <c r="N619" s="223"/>
      <c r="O619" s="222"/>
      <c r="P619" s="223"/>
      <c r="Q619" s="243"/>
      <c r="R619" s="223"/>
      <c r="S619" s="256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  <c r="AJ619" s="243"/>
      <c r="AK619" s="243"/>
      <c r="AL619" s="243"/>
      <c r="AM619" s="243"/>
      <c r="AN619" s="243"/>
      <c r="AO619" s="243"/>
      <c r="AP619" s="243"/>
      <c r="AQ619" s="243"/>
      <c r="AR619" s="243"/>
      <c r="AS619" s="243"/>
      <c r="AT619" s="271"/>
      <c r="AU619" s="272"/>
    </row>
    <row r="620" spans="2:47" s="7" customFormat="1" ht="21.75" customHeight="1" thickBot="1">
      <c r="B620" s="56"/>
      <c r="C620" s="56"/>
      <c r="D620" s="57"/>
      <c r="E620" s="57"/>
      <c r="F620" s="57"/>
      <c r="G620" s="57"/>
      <c r="H620" s="57"/>
      <c r="I620" s="57"/>
      <c r="J620" s="57"/>
      <c r="K620" s="57"/>
      <c r="L620" s="57"/>
      <c r="M620" s="208"/>
      <c r="N620" s="210"/>
      <c r="O620" s="208"/>
      <c r="P620" s="210"/>
      <c r="Q620" s="150"/>
      <c r="R620" s="154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271"/>
      <c r="AU620" s="272"/>
    </row>
    <row r="621" spans="1:47" s="4" customFormat="1" ht="21.75" customHeight="1">
      <c r="A621" s="30"/>
      <c r="B621" s="291"/>
      <c r="C621" s="292"/>
      <c r="D621" s="42"/>
      <c r="E621" s="42"/>
      <c r="F621" s="42"/>
      <c r="G621" s="42"/>
      <c r="H621" s="42"/>
      <c r="I621" s="43"/>
      <c r="J621" s="58"/>
      <c r="K621" s="346"/>
      <c r="L621" s="346"/>
      <c r="M621" s="227"/>
      <c r="N621" s="227"/>
      <c r="O621" s="227"/>
      <c r="P621" s="227"/>
      <c r="Q621" s="227"/>
      <c r="R621" s="227"/>
      <c r="S621" s="289"/>
      <c r="T621" s="289"/>
      <c r="U621" s="289"/>
      <c r="V621" s="289"/>
      <c r="W621" s="289"/>
      <c r="X621" s="289"/>
      <c r="Y621" s="289"/>
      <c r="Z621" s="289"/>
      <c r="AA621" s="227"/>
      <c r="AB621" s="227"/>
      <c r="AC621" s="227"/>
      <c r="AD621" s="227"/>
      <c r="AE621" s="227"/>
      <c r="AF621" s="227"/>
      <c r="AG621" s="227"/>
      <c r="AH621" s="227"/>
      <c r="AI621" s="227"/>
      <c r="AJ621" s="227"/>
      <c r="AK621" s="227"/>
      <c r="AL621" s="227"/>
      <c r="AM621" s="227"/>
      <c r="AN621" s="227"/>
      <c r="AO621" s="227"/>
      <c r="AP621" s="227"/>
      <c r="AQ621" s="227"/>
      <c r="AR621" s="227"/>
      <c r="AS621" s="227"/>
      <c r="AT621" s="271"/>
      <c r="AU621" s="272"/>
    </row>
    <row r="622" spans="1:47" s="4" customFormat="1" ht="21.75" customHeight="1">
      <c r="A622" s="30"/>
      <c r="B622" s="38"/>
      <c r="C622" s="38"/>
      <c r="D622" s="39"/>
      <c r="E622" s="24"/>
      <c r="F622" s="24"/>
      <c r="G622" s="24"/>
      <c r="H622" s="24"/>
      <c r="I622" s="24"/>
      <c r="J622" s="39"/>
      <c r="K622" s="347"/>
      <c r="L622" s="347"/>
      <c r="M622" s="228"/>
      <c r="N622" s="228"/>
      <c r="O622" s="228"/>
      <c r="P622" s="228"/>
      <c r="Q622" s="228"/>
      <c r="R622" s="228"/>
      <c r="S622" s="290"/>
      <c r="T622" s="290"/>
      <c r="U622" s="290"/>
      <c r="V622" s="290"/>
      <c r="W622" s="290"/>
      <c r="X622" s="290"/>
      <c r="Y622" s="290"/>
      <c r="Z622" s="290"/>
      <c r="AA622" s="228"/>
      <c r="AB622" s="228"/>
      <c r="AC622" s="228"/>
      <c r="AD622" s="228"/>
      <c r="AE622" s="228"/>
      <c r="AF622" s="228"/>
      <c r="AG622" s="228"/>
      <c r="AH622" s="228"/>
      <c r="AI622" s="228"/>
      <c r="AJ622" s="228"/>
      <c r="AK622" s="228"/>
      <c r="AL622" s="228"/>
      <c r="AM622" s="228"/>
      <c r="AN622" s="228"/>
      <c r="AO622" s="228"/>
      <c r="AP622" s="228"/>
      <c r="AQ622" s="228"/>
      <c r="AR622" s="228"/>
      <c r="AS622" s="228"/>
      <c r="AT622" s="271"/>
      <c r="AU622" s="272"/>
    </row>
    <row r="623" spans="1:47" s="4" customFormat="1" ht="21.75" customHeight="1">
      <c r="A623" s="30"/>
      <c r="B623" s="38"/>
      <c r="C623" s="38"/>
      <c r="D623" s="39"/>
      <c r="E623" s="24"/>
      <c r="F623" s="24"/>
      <c r="G623" s="24"/>
      <c r="H623" s="24"/>
      <c r="I623" s="24"/>
      <c r="J623" s="24"/>
      <c r="K623" s="24"/>
      <c r="L623" s="24"/>
      <c r="M623" s="24"/>
      <c r="N623" s="61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71"/>
      <c r="AU623" s="272"/>
    </row>
    <row r="624" spans="1:47" s="4" customFormat="1" ht="21.75" customHeight="1">
      <c r="A624" s="30"/>
      <c r="B624" s="38"/>
      <c r="C624" s="38"/>
      <c r="D624" s="39"/>
      <c r="E624" s="24"/>
      <c r="F624" s="24"/>
      <c r="G624" s="105"/>
      <c r="H624" s="105"/>
      <c r="I624" s="24"/>
      <c r="J624" s="39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71"/>
      <c r="AU624" s="272"/>
    </row>
    <row r="625" spans="1:47" s="4" customFormat="1" ht="21.75" customHeight="1">
      <c r="A625" s="30"/>
      <c r="B625" s="38"/>
      <c r="C625" s="46"/>
      <c r="D625" s="39"/>
      <c r="E625" s="24"/>
      <c r="F625" s="24"/>
      <c r="G625" s="105"/>
      <c r="H625" s="24"/>
      <c r="I625" s="24"/>
      <c r="J625" s="39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71"/>
      <c r="AU625" s="272"/>
    </row>
    <row r="626" spans="1:47" s="4" customFormat="1" ht="21.75" customHeight="1">
      <c r="A626" s="30"/>
      <c r="B626" s="38"/>
      <c r="C626" s="46"/>
      <c r="D626" s="39"/>
      <c r="E626" s="24"/>
      <c r="F626" s="66"/>
      <c r="G626" s="105"/>
      <c r="H626" s="24"/>
      <c r="I626" s="24"/>
      <c r="J626" s="39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71"/>
      <c r="AU626" s="272"/>
    </row>
    <row r="627" spans="1:47" s="4" customFormat="1" ht="21.75" customHeight="1">
      <c r="A627" s="30"/>
      <c r="B627" s="38"/>
      <c r="C627" s="38"/>
      <c r="D627" s="39"/>
      <c r="E627" s="24"/>
      <c r="F627" s="24"/>
      <c r="G627" s="24"/>
      <c r="H627" s="24"/>
      <c r="I627" s="24"/>
      <c r="J627" s="39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71"/>
      <c r="AU627" s="272"/>
    </row>
    <row r="628" spans="1:47" s="4" customFormat="1" ht="21.75" customHeight="1">
      <c r="A628" s="30"/>
      <c r="B628" s="38"/>
      <c r="C628" s="38"/>
      <c r="D628" s="39"/>
      <c r="E628" s="24"/>
      <c r="F628" s="66"/>
      <c r="G628" s="105"/>
      <c r="H628" s="105"/>
      <c r="I628" s="24"/>
      <c r="J628" s="39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71"/>
      <c r="AU628" s="272"/>
    </row>
    <row r="629" spans="1:47" s="4" customFormat="1" ht="21.75" customHeight="1">
      <c r="A629" s="30"/>
      <c r="B629" s="38"/>
      <c r="C629" s="38"/>
      <c r="D629" s="39"/>
      <c r="E629" s="24"/>
      <c r="F629" s="24"/>
      <c r="G629" s="105"/>
      <c r="H629" s="105"/>
      <c r="I629" s="24"/>
      <c r="J629" s="39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71"/>
      <c r="AU629" s="272"/>
    </row>
    <row r="630" spans="1:47" s="4" customFormat="1" ht="21.75" customHeight="1">
      <c r="A630" s="30"/>
      <c r="B630" s="38"/>
      <c r="C630" s="38"/>
      <c r="D630" s="39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71"/>
      <c r="AU630" s="272"/>
    </row>
    <row r="631" spans="1:47" s="4" customFormat="1" ht="21.75" customHeight="1">
      <c r="A631" s="30"/>
      <c r="B631" s="38"/>
      <c r="C631" s="38"/>
      <c r="D631" s="39"/>
      <c r="E631" s="24"/>
      <c r="F631" s="66"/>
      <c r="G631" s="24"/>
      <c r="H631" s="24"/>
      <c r="I631" s="24"/>
      <c r="J631" s="39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71"/>
      <c r="AU631" s="272"/>
    </row>
    <row r="632" spans="1:47" s="4" customFormat="1" ht="21.75" customHeight="1">
      <c r="A632" s="30"/>
      <c r="B632" s="38"/>
      <c r="C632" s="38"/>
      <c r="D632" s="39"/>
      <c r="E632" s="24"/>
      <c r="F632" s="24"/>
      <c r="G632" s="24"/>
      <c r="H632" s="24"/>
      <c r="I632" s="24"/>
      <c r="J632" s="39"/>
      <c r="K632" s="24"/>
      <c r="L632" s="24"/>
      <c r="M632" s="24"/>
      <c r="N632" s="61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71"/>
      <c r="AU632" s="272"/>
    </row>
    <row r="633" spans="1:47" s="4" customFormat="1" ht="21.75" customHeight="1">
      <c r="A633" s="30"/>
      <c r="B633" s="38"/>
      <c r="C633" s="38"/>
      <c r="D633" s="39"/>
      <c r="E633" s="24"/>
      <c r="F633" s="24"/>
      <c r="G633" s="24"/>
      <c r="H633" s="24"/>
      <c r="I633" s="24"/>
      <c r="J633" s="39"/>
      <c r="K633" s="24"/>
      <c r="L633" s="24"/>
      <c r="M633" s="24"/>
      <c r="N633" s="61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71"/>
      <c r="AU633" s="272"/>
    </row>
    <row r="634" spans="1:47" s="4" customFormat="1" ht="21.75" customHeight="1">
      <c r="A634" s="30"/>
      <c r="B634" s="38"/>
      <c r="C634" s="38"/>
      <c r="D634" s="39"/>
      <c r="E634" s="24"/>
      <c r="F634" s="24"/>
      <c r="G634" s="105"/>
      <c r="H634" s="24"/>
      <c r="I634" s="24"/>
      <c r="J634" s="39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71"/>
      <c r="AU634" s="272"/>
    </row>
    <row r="635" spans="1:47" s="4" customFormat="1" ht="21.75" customHeight="1">
      <c r="A635" s="30"/>
      <c r="B635" s="38"/>
      <c r="C635" s="38"/>
      <c r="D635" s="39"/>
      <c r="E635" s="24"/>
      <c r="F635" s="24"/>
      <c r="G635" s="105"/>
      <c r="H635" s="105"/>
      <c r="I635" s="24"/>
      <c r="J635" s="39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71"/>
      <c r="AU635" s="272"/>
    </row>
    <row r="636" spans="1:47" s="4" customFormat="1" ht="21.75" customHeight="1">
      <c r="A636" s="30"/>
      <c r="B636" s="38"/>
      <c r="C636" s="38"/>
      <c r="D636" s="39"/>
      <c r="E636" s="24"/>
      <c r="F636" s="24"/>
      <c r="G636" s="105"/>
      <c r="H636" s="105"/>
      <c r="I636" s="24"/>
      <c r="J636" s="39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71"/>
      <c r="AU636" s="272"/>
    </row>
    <row r="637" spans="1:47" s="4" customFormat="1" ht="21.75" customHeight="1">
      <c r="A637" s="30"/>
      <c r="B637" s="38"/>
      <c r="C637" s="46"/>
      <c r="D637" s="39"/>
      <c r="E637" s="24"/>
      <c r="F637" s="24"/>
      <c r="G637" s="66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71"/>
      <c r="AU637" s="272"/>
    </row>
    <row r="638" spans="1:47" s="4" customFormat="1" ht="21.75" customHeight="1">
      <c r="A638" s="30"/>
      <c r="B638" s="38"/>
      <c r="C638" s="38"/>
      <c r="D638" s="39"/>
      <c r="E638" s="24"/>
      <c r="F638" s="24"/>
      <c r="G638" s="105"/>
      <c r="H638" s="105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71"/>
      <c r="AU638" s="272"/>
    </row>
    <row r="639" spans="1:47" s="16" customFormat="1" ht="21.75" customHeight="1">
      <c r="A639" s="30"/>
      <c r="B639" s="38"/>
      <c r="C639" s="46"/>
      <c r="D639" s="39"/>
      <c r="E639" s="24"/>
      <c r="F639" s="24"/>
      <c r="G639" s="105"/>
      <c r="H639" s="105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71"/>
      <c r="AU639" s="272"/>
    </row>
    <row r="640" spans="1:47" s="16" customFormat="1" ht="21.75" customHeight="1">
      <c r="A640" s="30"/>
      <c r="B640" s="38"/>
      <c r="C640" s="46"/>
      <c r="D640" s="39"/>
      <c r="E640" s="24"/>
      <c r="F640" s="39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71"/>
      <c r="AU640" s="272"/>
    </row>
    <row r="641" spans="1:47" s="16" customFormat="1" ht="21.75" customHeight="1">
      <c r="A641" s="30"/>
      <c r="B641" s="38"/>
      <c r="C641" s="38"/>
      <c r="D641" s="39"/>
      <c r="E641" s="24"/>
      <c r="F641" s="24"/>
      <c r="G641" s="105"/>
      <c r="H641" s="105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71"/>
      <c r="AU641" s="272"/>
    </row>
    <row r="642" spans="1:47" s="16" customFormat="1" ht="21.75" customHeight="1">
      <c r="A642" s="30"/>
      <c r="B642" s="38"/>
      <c r="C642" s="46"/>
      <c r="D642" s="39"/>
      <c r="E642" s="24"/>
      <c r="F642" s="24"/>
      <c r="G642" s="66"/>
      <c r="H642" s="24"/>
      <c r="I642" s="24"/>
      <c r="J642" s="39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71"/>
      <c r="AU642" s="272"/>
    </row>
    <row r="643" spans="1:47" s="4" customFormat="1" ht="21.75" customHeight="1">
      <c r="A643" s="30"/>
      <c r="B643" s="38"/>
      <c r="C643" s="38"/>
      <c r="D643" s="39"/>
      <c r="E643" s="24"/>
      <c r="F643" s="24"/>
      <c r="G643" s="24"/>
      <c r="H643" s="24"/>
      <c r="I643" s="24"/>
      <c r="J643" s="39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71"/>
      <c r="AU643" s="272"/>
    </row>
    <row r="644" spans="1:47" s="4" customFormat="1" ht="21.75" customHeight="1">
      <c r="A644" s="30"/>
      <c r="B644" s="38"/>
      <c r="C644" s="38"/>
      <c r="D644" s="39"/>
      <c r="E644" s="24"/>
      <c r="F644" s="66"/>
      <c r="G644" s="105"/>
      <c r="H644" s="105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71"/>
      <c r="AU644" s="272"/>
    </row>
    <row r="645" spans="1:47" s="4" customFormat="1" ht="21.75" customHeight="1">
      <c r="A645" s="30"/>
      <c r="B645" s="38"/>
      <c r="C645" s="38"/>
      <c r="D645" s="39"/>
      <c r="E645" s="24"/>
      <c r="F645" s="24"/>
      <c r="G645" s="105"/>
      <c r="H645" s="105"/>
      <c r="I645" s="24"/>
      <c r="J645" s="39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71"/>
      <c r="AU645" s="272"/>
    </row>
    <row r="646" spans="1:47" s="4" customFormat="1" ht="21.75" customHeight="1">
      <c r="A646" s="30"/>
      <c r="B646" s="38"/>
      <c r="C646" s="46"/>
      <c r="D646" s="39"/>
      <c r="E646" s="24"/>
      <c r="F646" s="66"/>
      <c r="G646" s="105"/>
      <c r="H646" s="105"/>
      <c r="I646" s="24"/>
      <c r="J646" s="39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71"/>
      <c r="AU646" s="272"/>
    </row>
    <row r="647" spans="1:47" s="4" customFormat="1" ht="21.75" customHeight="1">
      <c r="A647" s="30"/>
      <c r="B647" s="38"/>
      <c r="C647" s="38"/>
      <c r="D647" s="39"/>
      <c r="E647" s="24"/>
      <c r="F647" s="66"/>
      <c r="G647" s="105"/>
      <c r="H647" s="105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71"/>
      <c r="AU647" s="272"/>
    </row>
    <row r="648" spans="1:47" s="4" customFormat="1" ht="21.75" customHeight="1">
      <c r="A648" s="30"/>
      <c r="B648" s="38"/>
      <c r="C648" s="38"/>
      <c r="D648" s="39"/>
      <c r="E648" s="24"/>
      <c r="F648" s="66"/>
      <c r="G648" s="105"/>
      <c r="H648" s="105"/>
      <c r="I648" s="24"/>
      <c r="J648" s="39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71"/>
      <c r="AU648" s="272"/>
    </row>
    <row r="649" spans="1:47" s="4" customFormat="1" ht="21.75" customHeight="1">
      <c r="A649" s="30"/>
      <c r="B649" s="38"/>
      <c r="C649" s="38"/>
      <c r="D649" s="39"/>
      <c r="E649" s="24"/>
      <c r="F649" s="66"/>
      <c r="G649" s="105"/>
      <c r="H649" s="105"/>
      <c r="I649" s="24"/>
      <c r="J649" s="39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71"/>
      <c r="AU649" s="272"/>
    </row>
    <row r="650" spans="1:47" s="4" customFormat="1" ht="21.75" customHeight="1">
      <c r="A650" s="30"/>
      <c r="B650" s="38"/>
      <c r="C650" s="46"/>
      <c r="D650" s="39"/>
      <c r="E650" s="24"/>
      <c r="F650" s="24"/>
      <c r="G650" s="66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71"/>
      <c r="AU650" s="272"/>
    </row>
    <row r="651" spans="1:47" s="4" customFormat="1" ht="21.75" customHeight="1">
      <c r="A651" s="30"/>
      <c r="B651" s="38"/>
      <c r="C651" s="38"/>
      <c r="D651" s="39"/>
      <c r="E651" s="24"/>
      <c r="F651" s="24"/>
      <c r="G651" s="105"/>
      <c r="H651" s="105"/>
      <c r="I651" s="24"/>
      <c r="J651" s="39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71"/>
      <c r="AU651" s="272"/>
    </row>
    <row r="652" spans="1:47" s="4" customFormat="1" ht="21.75" customHeight="1">
      <c r="A652" s="30"/>
      <c r="B652" s="38"/>
      <c r="C652" s="46"/>
      <c r="D652" s="39"/>
      <c r="E652" s="24"/>
      <c r="F652" s="24"/>
      <c r="G652" s="105"/>
      <c r="H652" s="105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71"/>
      <c r="AU652" s="272"/>
    </row>
    <row r="653" spans="1:47" s="4" customFormat="1" ht="21.75" customHeight="1">
      <c r="A653" s="30"/>
      <c r="B653" s="67"/>
      <c r="C653" s="38"/>
      <c r="D653" s="39"/>
      <c r="E653" s="24"/>
      <c r="F653" s="24"/>
      <c r="G653" s="24"/>
      <c r="H653" s="44"/>
      <c r="I653" s="45"/>
      <c r="J653" s="39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71"/>
      <c r="AU653" s="272"/>
    </row>
    <row r="654" spans="1:47" s="4" customFormat="1" ht="21.75" customHeight="1">
      <c r="A654" s="30"/>
      <c r="B654" s="38"/>
      <c r="C654" s="46"/>
      <c r="D654" s="39"/>
      <c r="E654" s="24"/>
      <c r="F654" s="24"/>
      <c r="G654" s="105"/>
      <c r="H654" s="105"/>
      <c r="I654" s="24"/>
      <c r="J654" s="39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71"/>
      <c r="AU654" s="272"/>
    </row>
    <row r="655" spans="1:47" s="4" customFormat="1" ht="21.75" customHeight="1">
      <c r="A655" s="30"/>
      <c r="B655" s="38"/>
      <c r="C655" s="38"/>
      <c r="D655" s="39"/>
      <c r="E655" s="24"/>
      <c r="F655" s="24"/>
      <c r="G655" s="105"/>
      <c r="H655" s="105"/>
      <c r="I655" s="24"/>
      <c r="J655" s="39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71"/>
      <c r="AU655" s="272"/>
    </row>
    <row r="656" spans="1:47" s="4" customFormat="1" ht="21.75" customHeight="1">
      <c r="A656" s="30"/>
      <c r="B656" s="67"/>
      <c r="C656" s="38"/>
      <c r="D656" s="39"/>
      <c r="E656" s="24"/>
      <c r="F656" s="24"/>
      <c r="G656" s="24"/>
      <c r="H656" s="24"/>
      <c r="I656" s="24"/>
      <c r="J656" s="39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71"/>
      <c r="AU656" s="272"/>
    </row>
    <row r="657" spans="1:47" s="4" customFormat="1" ht="21.75" customHeight="1">
      <c r="A657" s="30"/>
      <c r="B657" s="38"/>
      <c r="C657" s="38"/>
      <c r="D657" s="39"/>
      <c r="E657" s="24"/>
      <c r="F657" s="24"/>
      <c r="G657" s="105"/>
      <c r="H657" s="105"/>
      <c r="I657" s="24"/>
      <c r="J657" s="39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71"/>
      <c r="AU657" s="272"/>
    </row>
    <row r="658" spans="1:47" s="4" customFormat="1" ht="21.75" customHeight="1" thickBot="1">
      <c r="A658" s="30"/>
      <c r="B658" s="38"/>
      <c r="C658" s="38"/>
      <c r="D658" s="39"/>
      <c r="E658" s="24"/>
      <c r="F658" s="24"/>
      <c r="G658" s="105"/>
      <c r="H658" s="105"/>
      <c r="I658" s="24"/>
      <c r="J658" s="39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81"/>
      <c r="AU658" s="275"/>
    </row>
    <row r="659" spans="1:47" s="4" customFormat="1" ht="21.75" customHeight="1">
      <c r="A659" s="30"/>
      <c r="B659" s="38"/>
      <c r="C659" s="38"/>
      <c r="D659" s="39"/>
      <c r="E659" s="24"/>
      <c r="F659" s="24"/>
      <c r="G659" s="105"/>
      <c r="H659" s="105"/>
      <c r="I659" s="24"/>
      <c r="J659" s="39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69"/>
      <c r="AU659" s="270"/>
    </row>
    <row r="660" spans="1:47" s="4" customFormat="1" ht="21.75" customHeight="1">
      <c r="A660" s="30"/>
      <c r="B660" s="38"/>
      <c r="C660" s="38"/>
      <c r="D660" s="39"/>
      <c r="E660" s="24"/>
      <c r="F660" s="39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71"/>
      <c r="AU660" s="272"/>
    </row>
    <row r="661" spans="1:47" s="4" customFormat="1" ht="21.75" customHeight="1">
      <c r="A661" s="30"/>
      <c r="B661" s="38"/>
      <c r="C661" s="38"/>
      <c r="D661" s="39"/>
      <c r="E661" s="24"/>
      <c r="F661" s="24"/>
      <c r="G661" s="24"/>
      <c r="H661" s="24"/>
      <c r="I661" s="24"/>
      <c r="J661" s="39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71"/>
      <c r="AU661" s="272"/>
    </row>
    <row r="662" spans="1:47" s="4" customFormat="1" ht="21.75" customHeight="1">
      <c r="A662" s="30"/>
      <c r="B662" s="38"/>
      <c r="C662" s="46"/>
      <c r="D662" s="39"/>
      <c r="E662" s="24"/>
      <c r="F662" s="66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71"/>
      <c r="AU662" s="272"/>
    </row>
    <row r="663" spans="1:47" s="4" customFormat="1" ht="21.75" customHeight="1">
      <c r="A663" s="30"/>
      <c r="B663" s="38"/>
      <c r="C663" s="38"/>
      <c r="D663" s="39"/>
      <c r="E663" s="24"/>
      <c r="F663" s="24"/>
      <c r="G663" s="24"/>
      <c r="H663" s="24"/>
      <c r="I663" s="24"/>
      <c r="J663" s="39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71"/>
      <c r="AU663" s="272"/>
    </row>
    <row r="664" spans="1:47" s="4" customFormat="1" ht="21.75" customHeight="1">
      <c r="A664" s="30"/>
      <c r="B664" s="38"/>
      <c r="C664" s="38"/>
      <c r="D664" s="39"/>
      <c r="E664" s="24"/>
      <c r="F664" s="24"/>
      <c r="G664" s="24"/>
      <c r="H664" s="24"/>
      <c r="I664" s="24"/>
      <c r="J664" s="39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71"/>
      <c r="AU664" s="272"/>
    </row>
    <row r="665" spans="1:47" s="4" customFormat="1" ht="21.75" customHeight="1">
      <c r="A665" s="30"/>
      <c r="B665" s="38"/>
      <c r="C665" s="38"/>
      <c r="D665" s="39"/>
      <c r="E665" s="24"/>
      <c r="F665" s="24"/>
      <c r="G665" s="24"/>
      <c r="H665" s="24"/>
      <c r="I665" s="24"/>
      <c r="J665" s="39"/>
      <c r="K665" s="24"/>
      <c r="L665" s="24"/>
      <c r="M665" s="24"/>
      <c r="N665" s="61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71"/>
      <c r="AU665" s="272"/>
    </row>
    <row r="666" spans="1:47" s="4" customFormat="1" ht="21.75" customHeight="1">
      <c r="A666" s="30"/>
      <c r="B666" s="38"/>
      <c r="C666" s="38"/>
      <c r="D666" s="39"/>
      <c r="E666" s="24"/>
      <c r="F666" s="66"/>
      <c r="G666" s="105"/>
      <c r="H666" s="105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71"/>
      <c r="AU666" s="272"/>
    </row>
    <row r="667" spans="1:47" s="4" customFormat="1" ht="21.75" customHeight="1">
      <c r="A667" s="30"/>
      <c r="B667" s="38"/>
      <c r="C667" s="46"/>
      <c r="D667" s="39"/>
      <c r="E667" s="24"/>
      <c r="F667" s="66"/>
      <c r="G667" s="105"/>
      <c r="H667" s="105"/>
      <c r="I667" s="24"/>
      <c r="J667" s="39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71"/>
      <c r="AU667" s="272"/>
    </row>
    <row r="668" spans="1:47" s="4" customFormat="1" ht="21.75" customHeight="1">
      <c r="A668" s="30"/>
      <c r="B668" s="38"/>
      <c r="C668" s="38"/>
      <c r="D668" s="39"/>
      <c r="E668" s="24"/>
      <c r="F668" s="66"/>
      <c r="G668" s="105"/>
      <c r="H668" s="105"/>
      <c r="I668" s="24"/>
      <c r="J668" s="39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71"/>
      <c r="AU668" s="272"/>
    </row>
    <row r="669" spans="1:47" s="4" customFormat="1" ht="21.75" customHeight="1">
      <c r="A669" s="30"/>
      <c r="B669" s="38"/>
      <c r="C669" s="38"/>
      <c r="D669" s="39"/>
      <c r="E669" s="24"/>
      <c r="F669" s="66"/>
      <c r="G669" s="105"/>
      <c r="H669" s="105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71"/>
      <c r="AU669" s="272"/>
    </row>
    <row r="670" spans="1:47" s="4" customFormat="1" ht="21.75" customHeight="1">
      <c r="A670" s="30"/>
      <c r="B670" s="38"/>
      <c r="C670" s="38"/>
      <c r="D670" s="39"/>
      <c r="E670" s="24"/>
      <c r="F670" s="66"/>
      <c r="G670" s="105"/>
      <c r="H670" s="105"/>
      <c r="I670" s="24"/>
      <c r="J670" s="39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71"/>
      <c r="AU670" s="272"/>
    </row>
    <row r="671" spans="1:47" s="4" customFormat="1" ht="21.75" customHeight="1">
      <c r="A671" s="30"/>
      <c r="B671" s="38"/>
      <c r="C671" s="38"/>
      <c r="D671" s="39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71"/>
      <c r="AU671" s="272"/>
    </row>
    <row r="672" spans="1:47" s="4" customFormat="1" ht="21.75" customHeight="1">
      <c r="A672" s="30"/>
      <c r="B672" s="38"/>
      <c r="C672" s="38"/>
      <c r="D672" s="39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73"/>
      <c r="AU672" s="272"/>
    </row>
    <row r="673" spans="1:47" s="4" customFormat="1" ht="21.75" customHeight="1">
      <c r="A673" s="30"/>
      <c r="B673" s="38"/>
      <c r="C673" s="38"/>
      <c r="D673" s="39"/>
      <c r="E673" s="24"/>
      <c r="F673" s="24"/>
      <c r="G673" s="24"/>
      <c r="H673" s="24"/>
      <c r="I673" s="24"/>
      <c r="J673" s="39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73"/>
      <c r="AU673" s="272"/>
    </row>
    <row r="674" spans="1:47" s="4" customFormat="1" ht="21.75" customHeight="1" thickBot="1">
      <c r="A674" s="30"/>
      <c r="B674" s="38"/>
      <c r="C674" s="38"/>
      <c r="D674" s="39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74"/>
      <c r="AU674" s="275"/>
    </row>
    <row r="675" spans="2:47" s="1" customFormat="1" ht="46.5" customHeight="1">
      <c r="B675" s="233"/>
      <c r="C675" s="234"/>
      <c r="D675" s="234"/>
      <c r="E675" s="234"/>
      <c r="F675" s="234"/>
      <c r="G675" s="234"/>
      <c r="H675" s="234"/>
      <c r="I675" s="234"/>
      <c r="J675" s="234"/>
      <c r="K675" s="211"/>
      <c r="L675" s="211"/>
      <c r="M675" s="211"/>
      <c r="N675" s="211"/>
      <c r="O675" s="211"/>
      <c r="P675" s="211"/>
      <c r="Q675" s="211"/>
      <c r="R675" s="211"/>
      <c r="S675" s="211"/>
      <c r="T675" s="211"/>
      <c r="U675" s="211"/>
      <c r="V675" s="211"/>
      <c r="W675" s="211"/>
      <c r="X675" s="211"/>
      <c r="Y675" s="211"/>
      <c r="Z675" s="211"/>
      <c r="AA675" s="211"/>
      <c r="AB675" s="211"/>
      <c r="AC675" s="211"/>
      <c r="AD675" s="211"/>
      <c r="AE675" s="211"/>
      <c r="AF675" s="211"/>
      <c r="AG675" s="211"/>
      <c r="AH675" s="211"/>
      <c r="AI675" s="211"/>
      <c r="AJ675" s="211"/>
      <c r="AK675" s="211"/>
      <c r="AL675" s="211"/>
      <c r="AM675" s="211"/>
      <c r="AN675" s="211"/>
      <c r="AO675" s="211"/>
      <c r="AP675" s="211"/>
      <c r="AQ675" s="211"/>
      <c r="AR675" s="211"/>
      <c r="AS675" s="211"/>
      <c r="AT675" s="279"/>
      <c r="AU675" s="280"/>
    </row>
    <row r="676" spans="2:47" s="1" customFormat="1" ht="46.5" customHeight="1" thickBot="1">
      <c r="B676" s="236"/>
      <c r="C676" s="237"/>
      <c r="D676" s="237"/>
      <c r="E676" s="237"/>
      <c r="F676" s="237"/>
      <c r="G676" s="237"/>
      <c r="H676" s="237"/>
      <c r="I676" s="237"/>
      <c r="J676" s="237"/>
      <c r="K676" s="212"/>
      <c r="L676" s="212"/>
      <c r="M676" s="212"/>
      <c r="N676" s="212"/>
      <c r="O676" s="212"/>
      <c r="P676" s="212"/>
      <c r="Q676" s="212"/>
      <c r="R676" s="212"/>
      <c r="S676" s="212"/>
      <c r="T676" s="212"/>
      <c r="U676" s="212"/>
      <c r="V676" s="212"/>
      <c r="W676" s="212"/>
      <c r="X676" s="212"/>
      <c r="Y676" s="212"/>
      <c r="Z676" s="212"/>
      <c r="AA676" s="212"/>
      <c r="AB676" s="212"/>
      <c r="AC676" s="212"/>
      <c r="AD676" s="212"/>
      <c r="AE676" s="212"/>
      <c r="AF676" s="212"/>
      <c r="AG676" s="212"/>
      <c r="AH676" s="212"/>
      <c r="AI676" s="212"/>
      <c r="AJ676" s="212"/>
      <c r="AK676" s="212"/>
      <c r="AL676" s="212"/>
      <c r="AM676" s="212"/>
      <c r="AN676" s="212"/>
      <c r="AO676" s="212"/>
      <c r="AP676" s="212"/>
      <c r="AQ676" s="212"/>
      <c r="AR676" s="212"/>
      <c r="AS676" s="212"/>
      <c r="AT676" s="276"/>
      <c r="AU676" s="277"/>
    </row>
    <row r="677" spans="1:48" ht="36" customHeight="1">
      <c r="A677" s="10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78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T677" s="49"/>
      <c r="AU677" s="49"/>
      <c r="AV677" s="11"/>
    </row>
    <row r="678" spans="2:47" ht="15"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79"/>
      <c r="P678" s="78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T678" s="49"/>
      <c r="AU678" s="49"/>
    </row>
    <row r="679" spans="2:47" ht="15"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79"/>
      <c r="P679" s="78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T679" s="49"/>
      <c r="AU679" s="49"/>
    </row>
    <row r="680" spans="2:47" ht="15.75">
      <c r="B680" s="153"/>
      <c r="C680" s="51"/>
      <c r="D680" s="51"/>
      <c r="E680" s="51"/>
      <c r="F680" s="51"/>
      <c r="G680" s="52"/>
      <c r="H680" s="53"/>
      <c r="I680" s="53"/>
      <c r="J680" s="53"/>
      <c r="K680" s="53"/>
      <c r="L680" s="80"/>
      <c r="M680" s="80"/>
      <c r="N680" s="53"/>
      <c r="O680" s="53"/>
      <c r="P680" s="53"/>
      <c r="Q680" s="53"/>
      <c r="R680" s="53"/>
      <c r="S680" s="94"/>
      <c r="T680" s="94"/>
      <c r="U680" s="95"/>
      <c r="V680" s="53"/>
      <c r="W680" s="82"/>
      <c r="X680" s="82"/>
      <c r="Y680" s="83"/>
      <c r="Z680" s="84"/>
      <c r="AT680" s="52"/>
      <c r="AU680" s="52"/>
    </row>
    <row r="681" spans="2:47" ht="15">
      <c r="B681" s="49"/>
      <c r="C681" s="49"/>
      <c r="D681" s="49"/>
      <c r="E681" s="49"/>
      <c r="F681" s="49"/>
      <c r="G681" s="49"/>
      <c r="H681" s="49"/>
      <c r="I681" s="49"/>
      <c r="J681" s="79"/>
      <c r="K681" s="195"/>
      <c r="L681" s="195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27"/>
      <c r="AT681" s="49"/>
      <c r="AU681" s="49"/>
    </row>
    <row r="682" spans="2:47" ht="15">
      <c r="B682" s="49"/>
      <c r="C682" s="49"/>
      <c r="D682" s="49"/>
      <c r="E682" s="49"/>
      <c r="F682" s="49"/>
      <c r="G682" s="49"/>
      <c r="H682" s="49"/>
      <c r="I682" s="49"/>
      <c r="J682" s="79"/>
      <c r="K682" s="195"/>
      <c r="L682" s="195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27"/>
      <c r="AT682" s="49"/>
      <c r="AU682" s="49"/>
    </row>
    <row r="683" spans="2:47" ht="15">
      <c r="B683" s="49"/>
      <c r="C683" s="49"/>
      <c r="D683" s="49"/>
      <c r="E683" s="49"/>
      <c r="F683" s="49"/>
      <c r="G683" s="49"/>
      <c r="H683" s="49"/>
      <c r="I683" s="49"/>
      <c r="J683" s="79"/>
      <c r="K683" s="195"/>
      <c r="L683" s="195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27"/>
      <c r="AT683" s="49"/>
      <c r="AU683" s="49"/>
    </row>
    <row r="684" spans="2:47" ht="12.75">
      <c r="B684" s="49"/>
      <c r="C684" s="49"/>
      <c r="D684" s="49"/>
      <c r="E684" s="49"/>
      <c r="F684" s="49"/>
      <c r="G684" s="49"/>
      <c r="H684" s="49"/>
      <c r="I684" s="4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137"/>
      <c r="U684" s="79"/>
      <c r="V684" s="79"/>
      <c r="W684" s="79"/>
      <c r="X684" s="79"/>
      <c r="Y684" s="79"/>
      <c r="Z684" s="79"/>
      <c r="AA684" s="27"/>
      <c r="AT684" s="49"/>
      <c r="AU684" s="49"/>
    </row>
    <row r="685" spans="2:47" ht="12.75"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85"/>
      <c r="U685" s="49"/>
      <c r="V685" s="49"/>
      <c r="W685" s="49"/>
      <c r="X685" s="49"/>
      <c r="Y685" s="49"/>
      <c r="Z685" s="49"/>
      <c r="AT685" s="49"/>
      <c r="AU685" s="49"/>
    </row>
    <row r="686" spans="2:47" ht="12.75"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85"/>
      <c r="U686" s="49"/>
      <c r="V686" s="49"/>
      <c r="W686" s="49"/>
      <c r="X686" s="49"/>
      <c r="Y686" s="49"/>
      <c r="Z686" s="49"/>
      <c r="AT686" s="49"/>
      <c r="AU686" s="49"/>
    </row>
    <row r="687" spans="1:48" s="3" customFormat="1" ht="36" customHeight="1" thickBot="1">
      <c r="A687" s="12"/>
      <c r="B687" s="54" t="s">
        <v>30</v>
      </c>
      <c r="C687" s="55"/>
      <c r="D687" s="55"/>
      <c r="E687" s="55"/>
      <c r="F687" s="55"/>
      <c r="G687" s="55"/>
      <c r="H687" s="55"/>
      <c r="I687" s="55"/>
      <c r="J687" s="55"/>
      <c r="K687" s="31"/>
      <c r="L687" s="257"/>
      <c r="M687" s="257"/>
      <c r="N687" s="257">
        <v>35</v>
      </c>
      <c r="O687" s="257"/>
      <c r="P687" s="257">
        <v>45</v>
      </c>
      <c r="Q687" s="257"/>
      <c r="T687" s="257">
        <v>16</v>
      </c>
      <c r="U687" s="257"/>
      <c r="V687" s="257">
        <v>17</v>
      </c>
      <c r="W687" s="257"/>
      <c r="X687" s="100"/>
      <c r="Y687" s="100"/>
      <c r="AH687" s="31"/>
      <c r="AL687" s="31"/>
      <c r="AM687" s="31"/>
      <c r="AV687" s="13"/>
    </row>
    <row r="688" spans="2:47" s="4" customFormat="1" ht="21.75" customHeight="1">
      <c r="B688" s="233" t="s">
        <v>0</v>
      </c>
      <c r="C688" s="235"/>
      <c r="D688" s="251" t="s">
        <v>3</v>
      </c>
      <c r="E688" s="251" t="s">
        <v>4</v>
      </c>
      <c r="F688" s="251" t="s">
        <v>5</v>
      </c>
      <c r="G688" s="254" t="s">
        <v>46</v>
      </c>
      <c r="H688" s="216">
        <v>304</v>
      </c>
      <c r="I688" s="217"/>
      <c r="J688" s="216">
        <v>622</v>
      </c>
      <c r="K688" s="217"/>
      <c r="L688" s="216"/>
      <c r="M688" s="217"/>
      <c r="N688" s="216">
        <v>622</v>
      </c>
      <c r="O688" s="217"/>
      <c r="P688" s="216">
        <v>622</v>
      </c>
      <c r="Q688" s="217"/>
      <c r="R688" s="216">
        <v>622</v>
      </c>
      <c r="S688" s="217"/>
      <c r="T688" s="216"/>
      <c r="U688" s="217"/>
      <c r="V688" s="216">
        <v>622</v>
      </c>
      <c r="W688" s="217"/>
      <c r="X688" s="216">
        <v>622</v>
      </c>
      <c r="Y688" s="217"/>
      <c r="Z688" s="216"/>
      <c r="AA688" s="217"/>
      <c r="AB688" s="216"/>
      <c r="AC688" s="217"/>
      <c r="AD688" s="216"/>
      <c r="AE688" s="217"/>
      <c r="AF688" s="216">
        <v>622</v>
      </c>
      <c r="AG688" s="217"/>
      <c r="AH688" s="216">
        <v>622</v>
      </c>
      <c r="AI688" s="217"/>
      <c r="AJ688" s="216">
        <v>622</v>
      </c>
      <c r="AK688" s="217"/>
      <c r="AL688" s="216">
        <v>622</v>
      </c>
      <c r="AM688" s="217"/>
      <c r="AN688" s="216">
        <v>622</v>
      </c>
      <c r="AO688" s="217"/>
      <c r="AP688" s="216">
        <v>622</v>
      </c>
      <c r="AQ688" s="217"/>
      <c r="AR688" s="216">
        <v>622</v>
      </c>
      <c r="AS688" s="217"/>
      <c r="AT688" s="282" t="s">
        <v>38</v>
      </c>
      <c r="AU688" s="282" t="s">
        <v>58</v>
      </c>
    </row>
    <row r="689" spans="2:47" s="4" customFormat="1" ht="27.75" customHeight="1">
      <c r="B689" s="293"/>
      <c r="C689" s="294"/>
      <c r="D689" s="252"/>
      <c r="E689" s="252"/>
      <c r="F689" s="252"/>
      <c r="G689" s="255"/>
      <c r="H689" s="218" t="s">
        <v>140</v>
      </c>
      <c r="I689" s="219"/>
      <c r="J689" s="218" t="s">
        <v>84</v>
      </c>
      <c r="K689" s="219"/>
      <c r="L689" s="218"/>
      <c r="M689" s="219"/>
      <c r="N689" s="218" t="s">
        <v>85</v>
      </c>
      <c r="O689" s="219"/>
      <c r="P689" s="218" t="s">
        <v>86</v>
      </c>
      <c r="Q689" s="219"/>
      <c r="R689" s="218" t="s">
        <v>107</v>
      </c>
      <c r="S689" s="219"/>
      <c r="T689" s="218"/>
      <c r="U689" s="219"/>
      <c r="V689" s="218" t="s">
        <v>105</v>
      </c>
      <c r="W689" s="219"/>
      <c r="X689" s="218" t="s">
        <v>104</v>
      </c>
      <c r="Y689" s="219"/>
      <c r="Z689" s="218"/>
      <c r="AA689" s="219"/>
      <c r="AB689" s="218"/>
      <c r="AC689" s="219"/>
      <c r="AD689" s="218"/>
      <c r="AE689" s="219"/>
      <c r="AF689" s="218" t="s">
        <v>115</v>
      </c>
      <c r="AG689" s="219"/>
      <c r="AH689" s="218" t="s">
        <v>102</v>
      </c>
      <c r="AI689" s="219"/>
      <c r="AJ689" s="218" t="s">
        <v>141</v>
      </c>
      <c r="AK689" s="219"/>
      <c r="AL689" s="218" t="s">
        <v>156</v>
      </c>
      <c r="AM689" s="219"/>
      <c r="AN689" s="218" t="s">
        <v>157</v>
      </c>
      <c r="AO689" s="219"/>
      <c r="AP689" s="218" t="s">
        <v>158</v>
      </c>
      <c r="AQ689" s="219"/>
      <c r="AR689" s="218" t="s">
        <v>106</v>
      </c>
      <c r="AS689" s="219"/>
      <c r="AT689" s="283"/>
      <c r="AU689" s="304"/>
    </row>
    <row r="690" spans="2:47" s="4" customFormat="1" ht="27.75" customHeight="1" thickBot="1">
      <c r="B690" s="293"/>
      <c r="C690" s="294"/>
      <c r="D690" s="252"/>
      <c r="E690" s="252"/>
      <c r="F690" s="252"/>
      <c r="G690" s="255"/>
      <c r="H690" s="220"/>
      <c r="I690" s="221"/>
      <c r="J690" s="220"/>
      <c r="K690" s="221"/>
      <c r="L690" s="220"/>
      <c r="M690" s="221"/>
      <c r="N690" s="220"/>
      <c r="O690" s="221"/>
      <c r="P690" s="220"/>
      <c r="Q690" s="221"/>
      <c r="R690" s="220"/>
      <c r="S690" s="221"/>
      <c r="T690" s="220"/>
      <c r="U690" s="221"/>
      <c r="V690" s="220"/>
      <c r="W690" s="221"/>
      <c r="X690" s="220"/>
      <c r="Y690" s="221"/>
      <c r="Z690" s="220"/>
      <c r="AA690" s="221"/>
      <c r="AB690" s="220"/>
      <c r="AC690" s="221"/>
      <c r="AD690" s="220"/>
      <c r="AE690" s="221"/>
      <c r="AF690" s="220"/>
      <c r="AG690" s="221"/>
      <c r="AH690" s="220"/>
      <c r="AI690" s="221"/>
      <c r="AJ690" s="220"/>
      <c r="AK690" s="221"/>
      <c r="AL690" s="220"/>
      <c r="AM690" s="221"/>
      <c r="AN690" s="220"/>
      <c r="AO690" s="221"/>
      <c r="AP690" s="220"/>
      <c r="AQ690" s="221"/>
      <c r="AR690" s="220"/>
      <c r="AS690" s="221"/>
      <c r="AT690" s="284"/>
      <c r="AU690" s="304"/>
    </row>
    <row r="691" spans="2:47" s="4" customFormat="1" ht="27.75" customHeight="1">
      <c r="B691" s="293"/>
      <c r="C691" s="294"/>
      <c r="D691" s="252"/>
      <c r="E691" s="252"/>
      <c r="F691" s="252"/>
      <c r="G691" s="255"/>
      <c r="H691" s="220"/>
      <c r="I691" s="221"/>
      <c r="J691" s="220"/>
      <c r="K691" s="221"/>
      <c r="L691" s="220"/>
      <c r="M691" s="221"/>
      <c r="N691" s="220"/>
      <c r="O691" s="221"/>
      <c r="P691" s="220"/>
      <c r="Q691" s="221"/>
      <c r="R691" s="220"/>
      <c r="S691" s="221"/>
      <c r="T691" s="220"/>
      <c r="U691" s="221"/>
      <c r="V691" s="220"/>
      <c r="W691" s="221"/>
      <c r="X691" s="220"/>
      <c r="Y691" s="221"/>
      <c r="Z691" s="220"/>
      <c r="AA691" s="221"/>
      <c r="AB691" s="220"/>
      <c r="AC691" s="221"/>
      <c r="AD691" s="220"/>
      <c r="AE691" s="221"/>
      <c r="AF691" s="220"/>
      <c r="AG691" s="221"/>
      <c r="AH691" s="220"/>
      <c r="AI691" s="221"/>
      <c r="AJ691" s="220"/>
      <c r="AK691" s="221"/>
      <c r="AL691" s="220"/>
      <c r="AM691" s="221"/>
      <c r="AN691" s="220"/>
      <c r="AO691" s="221"/>
      <c r="AP691" s="220"/>
      <c r="AQ691" s="221"/>
      <c r="AR691" s="220"/>
      <c r="AS691" s="221"/>
      <c r="AT691" s="269" t="s">
        <v>8</v>
      </c>
      <c r="AU691" s="270"/>
    </row>
    <row r="692" spans="2:47" s="4" customFormat="1" ht="27.75" customHeight="1">
      <c r="B692" s="293"/>
      <c r="C692" s="294"/>
      <c r="D692" s="252"/>
      <c r="E692" s="252"/>
      <c r="F692" s="252"/>
      <c r="G692" s="255"/>
      <c r="H692" s="220"/>
      <c r="I692" s="221"/>
      <c r="J692" s="220"/>
      <c r="K692" s="221"/>
      <c r="L692" s="220"/>
      <c r="M692" s="221"/>
      <c r="N692" s="220"/>
      <c r="O692" s="221"/>
      <c r="P692" s="220"/>
      <c r="Q692" s="221"/>
      <c r="R692" s="220"/>
      <c r="S692" s="221"/>
      <c r="T692" s="220"/>
      <c r="U692" s="221"/>
      <c r="V692" s="220"/>
      <c r="W692" s="221"/>
      <c r="X692" s="220"/>
      <c r="Y692" s="221"/>
      <c r="Z692" s="220"/>
      <c r="AA692" s="221"/>
      <c r="AB692" s="220"/>
      <c r="AC692" s="221"/>
      <c r="AD692" s="220"/>
      <c r="AE692" s="221"/>
      <c r="AF692" s="220"/>
      <c r="AG692" s="221"/>
      <c r="AH692" s="220"/>
      <c r="AI692" s="221"/>
      <c r="AJ692" s="220"/>
      <c r="AK692" s="221"/>
      <c r="AL692" s="220"/>
      <c r="AM692" s="221"/>
      <c r="AN692" s="220"/>
      <c r="AO692" s="221"/>
      <c r="AP692" s="220"/>
      <c r="AQ692" s="221"/>
      <c r="AR692" s="220"/>
      <c r="AS692" s="221"/>
      <c r="AT692" s="271"/>
      <c r="AU692" s="272"/>
    </row>
    <row r="693" spans="2:47" s="4" customFormat="1" ht="27.75" customHeight="1">
      <c r="B693" s="293"/>
      <c r="C693" s="294"/>
      <c r="D693" s="252"/>
      <c r="E693" s="252"/>
      <c r="F693" s="252"/>
      <c r="G693" s="255"/>
      <c r="H693" s="220"/>
      <c r="I693" s="221"/>
      <c r="J693" s="220"/>
      <c r="K693" s="221"/>
      <c r="L693" s="220"/>
      <c r="M693" s="221"/>
      <c r="N693" s="220"/>
      <c r="O693" s="221"/>
      <c r="P693" s="220"/>
      <c r="Q693" s="221"/>
      <c r="R693" s="220"/>
      <c r="S693" s="221"/>
      <c r="T693" s="220"/>
      <c r="U693" s="221"/>
      <c r="V693" s="220"/>
      <c r="W693" s="221"/>
      <c r="X693" s="220"/>
      <c r="Y693" s="221"/>
      <c r="Z693" s="220"/>
      <c r="AA693" s="221"/>
      <c r="AB693" s="220"/>
      <c r="AC693" s="221"/>
      <c r="AD693" s="220"/>
      <c r="AE693" s="221"/>
      <c r="AF693" s="220"/>
      <c r="AG693" s="221"/>
      <c r="AH693" s="220"/>
      <c r="AI693" s="221"/>
      <c r="AJ693" s="220"/>
      <c r="AK693" s="221"/>
      <c r="AL693" s="220"/>
      <c r="AM693" s="221"/>
      <c r="AN693" s="220"/>
      <c r="AO693" s="221"/>
      <c r="AP693" s="220"/>
      <c r="AQ693" s="221"/>
      <c r="AR693" s="220"/>
      <c r="AS693" s="221"/>
      <c r="AT693" s="271"/>
      <c r="AU693" s="272"/>
    </row>
    <row r="694" spans="2:47" s="4" customFormat="1" ht="27.75" customHeight="1">
      <c r="B694" s="293"/>
      <c r="C694" s="294"/>
      <c r="D694" s="252"/>
      <c r="E694" s="252"/>
      <c r="F694" s="252"/>
      <c r="G694" s="255"/>
      <c r="H694" s="220"/>
      <c r="I694" s="221"/>
      <c r="J694" s="220"/>
      <c r="K694" s="221"/>
      <c r="L694" s="220"/>
      <c r="M694" s="221"/>
      <c r="N694" s="220"/>
      <c r="O694" s="221"/>
      <c r="P694" s="220"/>
      <c r="Q694" s="221"/>
      <c r="R694" s="220"/>
      <c r="S694" s="221"/>
      <c r="T694" s="220"/>
      <c r="U694" s="221"/>
      <c r="V694" s="220"/>
      <c r="W694" s="221"/>
      <c r="X694" s="220"/>
      <c r="Y694" s="221"/>
      <c r="Z694" s="220"/>
      <c r="AA694" s="221"/>
      <c r="AB694" s="220"/>
      <c r="AC694" s="221"/>
      <c r="AD694" s="220"/>
      <c r="AE694" s="221"/>
      <c r="AF694" s="220"/>
      <c r="AG694" s="221"/>
      <c r="AH694" s="220"/>
      <c r="AI694" s="221"/>
      <c r="AJ694" s="220"/>
      <c r="AK694" s="221"/>
      <c r="AL694" s="220"/>
      <c r="AM694" s="221"/>
      <c r="AN694" s="220"/>
      <c r="AO694" s="221"/>
      <c r="AP694" s="220"/>
      <c r="AQ694" s="221"/>
      <c r="AR694" s="220"/>
      <c r="AS694" s="221"/>
      <c r="AT694" s="271"/>
      <c r="AU694" s="272"/>
    </row>
    <row r="695" spans="2:47" s="4" customFormat="1" ht="27.75" customHeight="1">
      <c r="B695" s="293"/>
      <c r="C695" s="294"/>
      <c r="D695" s="252"/>
      <c r="E695" s="252"/>
      <c r="F695" s="252"/>
      <c r="G695" s="255"/>
      <c r="H695" s="220"/>
      <c r="I695" s="221"/>
      <c r="J695" s="220"/>
      <c r="K695" s="221"/>
      <c r="L695" s="220"/>
      <c r="M695" s="221"/>
      <c r="N695" s="220"/>
      <c r="O695" s="221"/>
      <c r="P695" s="220"/>
      <c r="Q695" s="221"/>
      <c r="R695" s="220"/>
      <c r="S695" s="221"/>
      <c r="T695" s="220"/>
      <c r="U695" s="221"/>
      <c r="V695" s="220"/>
      <c r="W695" s="221"/>
      <c r="X695" s="220"/>
      <c r="Y695" s="221"/>
      <c r="Z695" s="220"/>
      <c r="AA695" s="221"/>
      <c r="AB695" s="220"/>
      <c r="AC695" s="221"/>
      <c r="AD695" s="220"/>
      <c r="AE695" s="221"/>
      <c r="AF695" s="220"/>
      <c r="AG695" s="221"/>
      <c r="AH695" s="220"/>
      <c r="AI695" s="221"/>
      <c r="AJ695" s="220"/>
      <c r="AK695" s="221"/>
      <c r="AL695" s="220"/>
      <c r="AM695" s="221"/>
      <c r="AN695" s="220"/>
      <c r="AO695" s="221"/>
      <c r="AP695" s="220"/>
      <c r="AQ695" s="221"/>
      <c r="AR695" s="220"/>
      <c r="AS695" s="221"/>
      <c r="AT695" s="271"/>
      <c r="AU695" s="272"/>
    </row>
    <row r="696" spans="2:47" s="5" customFormat="1" ht="27.75" customHeight="1">
      <c r="B696" s="295"/>
      <c r="C696" s="296"/>
      <c r="D696" s="253"/>
      <c r="E696" s="253"/>
      <c r="F696" s="253"/>
      <c r="G696" s="256"/>
      <c r="H696" s="222"/>
      <c r="I696" s="223"/>
      <c r="J696" s="222"/>
      <c r="K696" s="223"/>
      <c r="L696" s="222"/>
      <c r="M696" s="223"/>
      <c r="N696" s="222"/>
      <c r="O696" s="223"/>
      <c r="P696" s="222"/>
      <c r="Q696" s="223"/>
      <c r="R696" s="222"/>
      <c r="S696" s="223"/>
      <c r="T696" s="222"/>
      <c r="U696" s="223"/>
      <c r="V696" s="222"/>
      <c r="W696" s="223"/>
      <c r="X696" s="222"/>
      <c r="Y696" s="223"/>
      <c r="Z696" s="222"/>
      <c r="AA696" s="223"/>
      <c r="AB696" s="222"/>
      <c r="AC696" s="223"/>
      <c r="AD696" s="222"/>
      <c r="AE696" s="223"/>
      <c r="AF696" s="222"/>
      <c r="AG696" s="223"/>
      <c r="AH696" s="222"/>
      <c r="AI696" s="223"/>
      <c r="AJ696" s="222"/>
      <c r="AK696" s="223"/>
      <c r="AL696" s="222"/>
      <c r="AM696" s="223"/>
      <c r="AN696" s="222"/>
      <c r="AO696" s="223"/>
      <c r="AP696" s="222"/>
      <c r="AQ696" s="223"/>
      <c r="AR696" s="222"/>
      <c r="AS696" s="223"/>
      <c r="AT696" s="271"/>
      <c r="AU696" s="272"/>
    </row>
    <row r="697" spans="2:47" s="7" customFormat="1" ht="21.75" customHeight="1" thickBot="1">
      <c r="B697" s="56" t="s">
        <v>1</v>
      </c>
      <c r="C697" s="56" t="s">
        <v>2</v>
      </c>
      <c r="D697" s="57"/>
      <c r="E697" s="57" t="s">
        <v>14</v>
      </c>
      <c r="F697" s="57" t="s">
        <v>14</v>
      </c>
      <c r="G697" s="57" t="s">
        <v>21</v>
      </c>
      <c r="H697" s="208" t="s">
        <v>20</v>
      </c>
      <c r="I697" s="210"/>
      <c r="J697" s="208" t="s">
        <v>14</v>
      </c>
      <c r="K697" s="210"/>
      <c r="L697" s="208"/>
      <c r="M697" s="210"/>
      <c r="N697" s="208" t="s">
        <v>14</v>
      </c>
      <c r="O697" s="210"/>
      <c r="P697" s="208" t="s">
        <v>14</v>
      </c>
      <c r="Q697" s="210"/>
      <c r="R697" s="208" t="s">
        <v>14</v>
      </c>
      <c r="S697" s="210"/>
      <c r="T697" s="208"/>
      <c r="U697" s="210"/>
      <c r="V697" s="208" t="s">
        <v>14</v>
      </c>
      <c r="W697" s="210"/>
      <c r="X697" s="208" t="s">
        <v>103</v>
      </c>
      <c r="Y697" s="210"/>
      <c r="Z697" s="208"/>
      <c r="AA697" s="210"/>
      <c r="AB697" s="208"/>
      <c r="AC697" s="210"/>
      <c r="AD697" s="208"/>
      <c r="AE697" s="210"/>
      <c r="AF697" s="208" t="s">
        <v>103</v>
      </c>
      <c r="AG697" s="210"/>
      <c r="AH697" s="208" t="s">
        <v>103</v>
      </c>
      <c r="AI697" s="210"/>
      <c r="AJ697" s="208" t="s">
        <v>103</v>
      </c>
      <c r="AK697" s="210"/>
      <c r="AL697" s="208" t="s">
        <v>103</v>
      </c>
      <c r="AM697" s="210"/>
      <c r="AN697" s="208" t="s">
        <v>103</v>
      </c>
      <c r="AO697" s="210"/>
      <c r="AP697" s="208" t="s">
        <v>103</v>
      </c>
      <c r="AQ697" s="210"/>
      <c r="AR697" s="208" t="s">
        <v>103</v>
      </c>
      <c r="AS697" s="210"/>
      <c r="AT697" s="271"/>
      <c r="AU697" s="272"/>
    </row>
    <row r="698" spans="1:47" s="4" customFormat="1" ht="21.75" customHeight="1">
      <c r="A698" s="30">
        <v>1</v>
      </c>
      <c r="B698" s="37"/>
      <c r="C698" s="38"/>
      <c r="D698" s="39"/>
      <c r="E698" s="24"/>
      <c r="F698" s="66"/>
      <c r="G698" s="24"/>
      <c r="H698" s="356" t="s">
        <v>129</v>
      </c>
      <c r="I698" s="356" t="s">
        <v>130</v>
      </c>
      <c r="J698" s="356" t="s">
        <v>129</v>
      </c>
      <c r="K698" s="356" t="s">
        <v>130</v>
      </c>
      <c r="L698" s="356"/>
      <c r="M698" s="356"/>
      <c r="N698" s="356" t="s">
        <v>129</v>
      </c>
      <c r="O698" s="356" t="s">
        <v>130</v>
      </c>
      <c r="P698" s="356" t="s">
        <v>129</v>
      </c>
      <c r="Q698" s="356" t="s">
        <v>130</v>
      </c>
      <c r="R698" s="356" t="s">
        <v>129</v>
      </c>
      <c r="S698" s="356" t="s">
        <v>130</v>
      </c>
      <c r="T698" s="356"/>
      <c r="U698" s="356"/>
      <c r="V698" s="356" t="s">
        <v>129</v>
      </c>
      <c r="W698" s="356" t="s">
        <v>130</v>
      </c>
      <c r="X698" s="356" t="s">
        <v>129</v>
      </c>
      <c r="Y698" s="356" t="s">
        <v>130</v>
      </c>
      <c r="Z698" s="356"/>
      <c r="AA698" s="356"/>
      <c r="AB698" s="356"/>
      <c r="AC698" s="356"/>
      <c r="AD698" s="356"/>
      <c r="AE698" s="356"/>
      <c r="AF698" s="356" t="s">
        <v>129</v>
      </c>
      <c r="AG698" s="356" t="s">
        <v>130</v>
      </c>
      <c r="AH698" s="356" t="s">
        <v>129</v>
      </c>
      <c r="AI698" s="356" t="s">
        <v>130</v>
      </c>
      <c r="AJ698" s="356" t="s">
        <v>129</v>
      </c>
      <c r="AK698" s="356" t="s">
        <v>130</v>
      </c>
      <c r="AL698" s="356" t="s">
        <v>129</v>
      </c>
      <c r="AM698" s="356" t="s">
        <v>130</v>
      </c>
      <c r="AN698" s="356" t="s">
        <v>129</v>
      </c>
      <c r="AO698" s="356" t="s">
        <v>130</v>
      </c>
      <c r="AP698" s="356" t="s">
        <v>129</v>
      </c>
      <c r="AQ698" s="356" t="s">
        <v>130</v>
      </c>
      <c r="AR698" s="356" t="s">
        <v>129</v>
      </c>
      <c r="AS698" s="356" t="s">
        <v>130</v>
      </c>
      <c r="AT698" s="271"/>
      <c r="AU698" s="272"/>
    </row>
    <row r="699" spans="1:47" s="4" customFormat="1" ht="21.75" customHeight="1">
      <c r="A699" s="30">
        <v>2</v>
      </c>
      <c r="B699" s="230" t="s">
        <v>83</v>
      </c>
      <c r="C699" s="231"/>
      <c r="D699" s="231"/>
      <c r="E699" s="231"/>
      <c r="F699" s="231"/>
      <c r="G699" s="24"/>
      <c r="H699" s="357"/>
      <c r="I699" s="357"/>
      <c r="J699" s="357"/>
      <c r="K699" s="357"/>
      <c r="L699" s="357"/>
      <c r="M699" s="357"/>
      <c r="N699" s="357"/>
      <c r="O699" s="357"/>
      <c r="P699" s="357"/>
      <c r="Q699" s="357"/>
      <c r="R699" s="357"/>
      <c r="S699" s="357"/>
      <c r="T699" s="357"/>
      <c r="U699" s="357"/>
      <c r="V699" s="357"/>
      <c r="W699" s="357"/>
      <c r="X699" s="357"/>
      <c r="Y699" s="357"/>
      <c r="Z699" s="357"/>
      <c r="AA699" s="357"/>
      <c r="AB699" s="357"/>
      <c r="AC699" s="357"/>
      <c r="AD699" s="357"/>
      <c r="AE699" s="357"/>
      <c r="AF699" s="357"/>
      <c r="AG699" s="357"/>
      <c r="AH699" s="357"/>
      <c r="AI699" s="357"/>
      <c r="AJ699" s="357"/>
      <c r="AK699" s="357"/>
      <c r="AL699" s="357"/>
      <c r="AM699" s="357"/>
      <c r="AN699" s="357"/>
      <c r="AO699" s="357"/>
      <c r="AP699" s="357"/>
      <c r="AQ699" s="357"/>
      <c r="AR699" s="357"/>
      <c r="AS699" s="357"/>
      <c r="AT699" s="271"/>
      <c r="AU699" s="272"/>
    </row>
    <row r="700" spans="1:47" s="4" customFormat="1" ht="21.75" customHeight="1">
      <c r="A700" s="30">
        <v>3</v>
      </c>
      <c r="B700" s="67" t="s">
        <v>36</v>
      </c>
      <c r="C700" s="68"/>
      <c r="D700" s="39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61"/>
      <c r="AG700" s="24"/>
      <c r="AH700" s="39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71"/>
      <c r="AU700" s="272"/>
    </row>
    <row r="701" spans="1:47" s="4" customFormat="1" ht="21.75" customHeight="1">
      <c r="A701" s="30">
        <v>4</v>
      </c>
      <c r="B701" s="40">
        <v>12478.14</v>
      </c>
      <c r="C701" s="41">
        <v>12697.69</v>
      </c>
      <c r="D701" s="39" t="s">
        <v>17</v>
      </c>
      <c r="E701" s="24">
        <f>C701-B701</f>
        <v>219.5500000000011</v>
      </c>
      <c r="F701" s="66"/>
      <c r="G701" s="24"/>
      <c r="H701" s="24"/>
      <c r="I701" s="24"/>
      <c r="J701" s="24">
        <f>ROUND($E701*J$758,2)</f>
        <v>131.73</v>
      </c>
      <c r="K701" s="24">
        <f>ROUND($E701*K$758,2)</f>
        <v>87.82</v>
      </c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358">
        <v>4</v>
      </c>
      <c r="Y701" s="359"/>
      <c r="Z701" s="24"/>
      <c r="AA701" s="24"/>
      <c r="AB701" s="24"/>
      <c r="AC701" s="105"/>
      <c r="AD701" s="24"/>
      <c r="AE701" s="24"/>
      <c r="AF701" s="105"/>
      <c r="AG701" s="24"/>
      <c r="AH701" s="39"/>
      <c r="AI701" s="24"/>
      <c r="AJ701" s="24"/>
      <c r="AK701" s="24"/>
      <c r="AL701" s="24"/>
      <c r="AM701" s="24"/>
      <c r="AN701" s="24"/>
      <c r="AO701" s="24"/>
      <c r="AP701" s="24"/>
      <c r="AQ701" s="24"/>
      <c r="AR701" s="213">
        <v>1</v>
      </c>
      <c r="AS701" s="215"/>
      <c r="AT701" s="271"/>
      <c r="AU701" s="272"/>
    </row>
    <row r="702" spans="1:47" s="4" customFormat="1" ht="21.75" customHeight="1">
      <c r="A702" s="30">
        <v>5</v>
      </c>
      <c r="B702" s="115">
        <v>417002.21</v>
      </c>
      <c r="C702" s="116">
        <v>417091.16</v>
      </c>
      <c r="D702" s="39" t="s">
        <v>17</v>
      </c>
      <c r="E702" s="24">
        <f>C702-B702</f>
        <v>88.94999999995343</v>
      </c>
      <c r="F702" s="66">
        <f>ROUND((2.6986+5)/2,2)</f>
        <v>3.85</v>
      </c>
      <c r="G702" s="24">
        <f>ROUND($E702*(G$757/12),2)</f>
        <v>44.47</v>
      </c>
      <c r="H702" s="24">
        <f>ROUND(((($E702*$F702)+$G702)*(H$757/12)/27)*H$758,2)</f>
        <v>4.3</v>
      </c>
      <c r="I702" s="24">
        <f>ROUND(((($E702*$F702)+$G702)*(I$757/12)/27)*I$758,2)</f>
        <v>2.87</v>
      </c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>
        <f>ROUND($E702*V$758,2)</f>
        <v>53.37</v>
      </c>
      <c r="W702" s="24">
        <f>ROUND($E702*W$758,2)</f>
        <v>35.58</v>
      </c>
      <c r="X702" s="24"/>
      <c r="Y702" s="24"/>
      <c r="Z702" s="24"/>
      <c r="AA702" s="24"/>
      <c r="AB702" s="66"/>
      <c r="AC702" s="105"/>
      <c r="AD702" s="24"/>
      <c r="AE702" s="24"/>
      <c r="AF702" s="105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71"/>
      <c r="AU702" s="272"/>
    </row>
    <row r="703" spans="1:47" s="4" customFormat="1" ht="21.75" customHeight="1">
      <c r="A703" s="30">
        <v>6</v>
      </c>
      <c r="B703" s="37">
        <v>417406</v>
      </c>
      <c r="C703" s="38">
        <v>417552.07</v>
      </c>
      <c r="D703" s="39" t="s">
        <v>17</v>
      </c>
      <c r="E703" s="24">
        <f>C703-B703</f>
        <v>146.07000000000698</v>
      </c>
      <c r="F703" s="24">
        <f>(4.7+2.7)/2</f>
        <v>3.7</v>
      </c>
      <c r="G703" s="24">
        <f>ROUND($E703*(G$757/12),2)</f>
        <v>73.04</v>
      </c>
      <c r="H703" s="24">
        <f>ROUND(((($E703*$F703)+$G703)*(H$757/12)/27)*H$758,2)</f>
        <v>6.82</v>
      </c>
      <c r="I703" s="24">
        <f>ROUND(((($E703*$F703)+$G703)*(I$757/12)/27)*I$758,2)</f>
        <v>4.54</v>
      </c>
      <c r="J703" s="24"/>
      <c r="K703" s="24"/>
      <c r="L703" s="24"/>
      <c r="M703" s="24"/>
      <c r="N703" s="24">
        <f>ROUND($E703*N$758,2)</f>
        <v>87.64</v>
      </c>
      <c r="O703" s="24">
        <f>ROUND($E703*O$758,2)</f>
        <v>58.43</v>
      </c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66"/>
      <c r="AC703" s="105"/>
      <c r="AD703" s="24"/>
      <c r="AE703" s="24"/>
      <c r="AF703" s="213">
        <v>2</v>
      </c>
      <c r="AG703" s="215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71"/>
      <c r="AU703" s="272"/>
    </row>
    <row r="704" spans="1:47" s="4" customFormat="1" ht="21.75" customHeight="1">
      <c r="A704" s="30">
        <v>7</v>
      </c>
      <c r="B704" s="37">
        <v>418117.93</v>
      </c>
      <c r="C704" s="38">
        <v>418789.4</v>
      </c>
      <c r="D704" s="39" t="s">
        <v>17</v>
      </c>
      <c r="E704" s="24">
        <f>C704-B704</f>
        <v>671.4700000000303</v>
      </c>
      <c r="F704" s="66"/>
      <c r="G704" s="24"/>
      <c r="H704" s="24"/>
      <c r="I704" s="24"/>
      <c r="J704" s="24"/>
      <c r="K704" s="24"/>
      <c r="L704" s="24"/>
      <c r="M704" s="24"/>
      <c r="N704" s="24"/>
      <c r="O704" s="24"/>
      <c r="P704" s="24">
        <f>ROUND($E704*P$758,2)</f>
        <v>402.88</v>
      </c>
      <c r="Q704" s="24">
        <f>ROUND($E704*Q$758,2)</f>
        <v>268.59</v>
      </c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105"/>
      <c r="AD704" s="24"/>
      <c r="AE704" s="24"/>
      <c r="AF704" s="24"/>
      <c r="AG704" s="24"/>
      <c r="AH704" s="358">
        <v>8</v>
      </c>
      <c r="AI704" s="359"/>
      <c r="AJ704" s="213">
        <v>1</v>
      </c>
      <c r="AK704" s="215"/>
      <c r="AL704" s="24"/>
      <c r="AM704" s="24"/>
      <c r="AN704" s="24"/>
      <c r="AO704" s="24"/>
      <c r="AP704" s="24"/>
      <c r="AQ704" s="24"/>
      <c r="AR704" s="24"/>
      <c r="AS704" s="24"/>
      <c r="AT704" s="271"/>
      <c r="AU704" s="272"/>
    </row>
    <row r="705" spans="1:47" s="4" customFormat="1" ht="21.75" customHeight="1">
      <c r="A705" s="30">
        <v>8</v>
      </c>
      <c r="B705" s="38"/>
      <c r="C705" s="38"/>
      <c r="D705" s="39"/>
      <c r="E705" s="24"/>
      <c r="F705" s="66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90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71"/>
      <c r="AU705" s="272"/>
    </row>
    <row r="706" spans="1:47" s="4" customFormat="1" ht="21.75" customHeight="1">
      <c r="A706" s="30">
        <v>9</v>
      </c>
      <c r="B706" s="38">
        <v>417734.85</v>
      </c>
      <c r="C706" s="38">
        <v>418388.93</v>
      </c>
      <c r="D706" s="39" t="s">
        <v>16</v>
      </c>
      <c r="E706" s="24">
        <f>C706-B706</f>
        <v>654.0800000000163</v>
      </c>
      <c r="F706" s="66"/>
      <c r="G706" s="24"/>
      <c r="H706" s="24"/>
      <c r="I706" s="24"/>
      <c r="J706" s="24"/>
      <c r="K706" s="24"/>
      <c r="L706" s="24"/>
      <c r="M706" s="24"/>
      <c r="N706" s="24"/>
      <c r="O706" s="24"/>
      <c r="P706" s="24">
        <f aca="true" t="shared" si="0" ref="P706:Q708">ROUND($E706*P$758,2)</f>
        <v>392.45</v>
      </c>
      <c r="Q706" s="24">
        <f t="shared" si="0"/>
        <v>261.63</v>
      </c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105"/>
      <c r="AC706" s="105"/>
      <c r="AD706" s="24"/>
      <c r="AE706" s="24"/>
      <c r="AF706" s="105"/>
      <c r="AG706" s="24"/>
      <c r="AH706" s="358">
        <v>7</v>
      </c>
      <c r="AI706" s="359"/>
      <c r="AJ706" s="24"/>
      <c r="AK706" s="24"/>
      <c r="AL706" s="213">
        <v>1</v>
      </c>
      <c r="AM706" s="215"/>
      <c r="AN706" s="24"/>
      <c r="AO706" s="24"/>
      <c r="AP706" s="24"/>
      <c r="AQ706" s="24"/>
      <c r="AR706" s="24"/>
      <c r="AS706" s="24"/>
      <c r="AT706" s="271"/>
      <c r="AU706" s="272"/>
    </row>
    <row r="707" spans="1:47" s="4" customFormat="1" ht="21.75" customHeight="1">
      <c r="A707" s="30">
        <v>10</v>
      </c>
      <c r="B707" s="38">
        <v>419157.05</v>
      </c>
      <c r="C707" s="38">
        <v>419272.36</v>
      </c>
      <c r="D707" s="39" t="s">
        <v>16</v>
      </c>
      <c r="E707" s="24">
        <f>C707-B707</f>
        <v>115.30999999999767</v>
      </c>
      <c r="F707" s="66"/>
      <c r="G707" s="24"/>
      <c r="H707" s="24"/>
      <c r="I707" s="24"/>
      <c r="J707" s="24"/>
      <c r="K707" s="24"/>
      <c r="L707" s="24"/>
      <c r="M707" s="24"/>
      <c r="N707" s="24"/>
      <c r="O707" s="24"/>
      <c r="P707" s="24">
        <f t="shared" si="0"/>
        <v>69.19</v>
      </c>
      <c r="Q707" s="24">
        <f t="shared" si="0"/>
        <v>46.12</v>
      </c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105"/>
      <c r="AC707" s="105"/>
      <c r="AD707" s="24"/>
      <c r="AE707" s="24"/>
      <c r="AF707" s="105"/>
      <c r="AG707" s="24"/>
      <c r="AH707" s="24"/>
      <c r="AI707" s="24"/>
      <c r="AJ707" s="24"/>
      <c r="AK707" s="24"/>
      <c r="AL707" s="213">
        <v>2</v>
      </c>
      <c r="AM707" s="215"/>
      <c r="AN707" s="24"/>
      <c r="AO707" s="24"/>
      <c r="AP707" s="24"/>
      <c r="AQ707" s="24"/>
      <c r="AR707" s="24"/>
      <c r="AS707" s="24"/>
      <c r="AT707" s="271"/>
      <c r="AU707" s="272"/>
    </row>
    <row r="708" spans="1:47" s="4" customFormat="1" ht="21.75" customHeight="1">
      <c r="A708" s="30">
        <v>11</v>
      </c>
      <c r="B708" s="38">
        <v>419744.64</v>
      </c>
      <c r="C708" s="38">
        <v>419798.56</v>
      </c>
      <c r="D708" s="39" t="s">
        <v>16</v>
      </c>
      <c r="E708" s="24">
        <f>C708-B708</f>
        <v>53.9199999999837</v>
      </c>
      <c r="F708" s="66"/>
      <c r="G708" s="24"/>
      <c r="H708" s="24"/>
      <c r="I708" s="24"/>
      <c r="J708" s="24"/>
      <c r="K708" s="24"/>
      <c r="L708" s="24"/>
      <c r="M708" s="24"/>
      <c r="N708" s="24"/>
      <c r="O708" s="24"/>
      <c r="P708" s="24">
        <f t="shared" si="0"/>
        <v>32.35</v>
      </c>
      <c r="Q708" s="24">
        <f t="shared" si="0"/>
        <v>21.57</v>
      </c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105"/>
      <c r="AC708" s="105"/>
      <c r="AD708" s="24"/>
      <c r="AE708" s="24"/>
      <c r="AF708" s="24"/>
      <c r="AG708" s="24"/>
      <c r="AH708" s="24"/>
      <c r="AI708" s="24"/>
      <c r="AJ708" s="24"/>
      <c r="AK708" s="24"/>
      <c r="AL708" s="213">
        <v>1</v>
      </c>
      <c r="AM708" s="215"/>
      <c r="AN708" s="24"/>
      <c r="AO708" s="24"/>
      <c r="AP708" s="24"/>
      <c r="AQ708" s="24"/>
      <c r="AR708" s="213">
        <v>1</v>
      </c>
      <c r="AS708" s="215"/>
      <c r="AT708" s="271"/>
      <c r="AU708" s="272"/>
    </row>
    <row r="709" spans="1:47" s="4" customFormat="1" ht="21.75" customHeight="1">
      <c r="A709" s="30">
        <v>12</v>
      </c>
      <c r="B709" s="37"/>
      <c r="C709" s="38"/>
      <c r="D709" s="39"/>
      <c r="E709" s="24"/>
      <c r="F709" s="66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105"/>
      <c r="AD709" s="24"/>
      <c r="AE709" s="24"/>
      <c r="AF709" s="105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71"/>
      <c r="AU709" s="272"/>
    </row>
    <row r="710" spans="1:47" s="4" customFormat="1" ht="21.75" customHeight="1">
      <c r="A710" s="30">
        <v>13</v>
      </c>
      <c r="B710" s="67" t="s">
        <v>41</v>
      </c>
      <c r="C710" s="38"/>
      <c r="D710" s="39"/>
      <c r="E710" s="24"/>
      <c r="F710" s="92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61"/>
      <c r="AG710" s="66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71"/>
      <c r="AU710" s="272"/>
    </row>
    <row r="711" spans="1:47" s="4" customFormat="1" ht="21.75" customHeight="1">
      <c r="A711" s="30">
        <v>14</v>
      </c>
      <c r="B711" s="38">
        <v>27201</v>
      </c>
      <c r="C711" s="38">
        <v>27250</v>
      </c>
      <c r="D711" s="39" t="s">
        <v>17</v>
      </c>
      <c r="E711" s="24">
        <f>C711-B711</f>
        <v>49</v>
      </c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>
        <f>ROUND($E711*P$759,2)</f>
        <v>24.5</v>
      </c>
      <c r="Q711" s="24">
        <f>ROUND($E711*Q$759,2)</f>
        <v>24.5</v>
      </c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105"/>
      <c r="AC711" s="105"/>
      <c r="AD711" s="24"/>
      <c r="AE711" s="24"/>
      <c r="AF711" s="105"/>
      <c r="AG711" s="24"/>
      <c r="AH711" s="213">
        <v>1</v>
      </c>
      <c r="AI711" s="215"/>
      <c r="AJ711" s="24"/>
      <c r="AK711" s="24"/>
      <c r="AL711" s="213">
        <v>1</v>
      </c>
      <c r="AM711" s="215"/>
      <c r="AN711" s="24"/>
      <c r="AO711" s="24"/>
      <c r="AP711" s="24"/>
      <c r="AQ711" s="24"/>
      <c r="AR711" s="24"/>
      <c r="AS711" s="24"/>
      <c r="AT711" s="271"/>
      <c r="AU711" s="272"/>
    </row>
    <row r="712" spans="1:47" s="16" customFormat="1" ht="21.75" customHeight="1">
      <c r="A712" s="30">
        <v>15</v>
      </c>
      <c r="B712" s="37">
        <v>25272.4</v>
      </c>
      <c r="C712" s="38">
        <v>25672.79</v>
      </c>
      <c r="D712" s="39" t="s">
        <v>16</v>
      </c>
      <c r="E712" s="24">
        <f>C712-B712</f>
        <v>400.3899999999994</v>
      </c>
      <c r="F712" s="66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>
        <f>ROUND($E712*R$759,2)</f>
        <v>200.2</v>
      </c>
      <c r="S712" s="24">
        <f>ROUND($E712*S$759,2)</f>
        <v>200.2</v>
      </c>
      <c r="T712" s="24"/>
      <c r="U712" s="24"/>
      <c r="V712" s="24"/>
      <c r="W712" s="24"/>
      <c r="X712" s="24"/>
      <c r="Y712" s="24"/>
      <c r="Z712" s="24"/>
      <c r="AA712" s="24"/>
      <c r="AB712" s="24"/>
      <c r="AC712" s="105"/>
      <c r="AD712" s="24"/>
      <c r="AE712" s="24"/>
      <c r="AF712" s="105"/>
      <c r="AG712" s="24"/>
      <c r="AH712" s="24"/>
      <c r="AI712" s="24"/>
      <c r="AJ712" s="24"/>
      <c r="AK712" s="24"/>
      <c r="AL712" s="213">
        <v>1</v>
      </c>
      <c r="AM712" s="215"/>
      <c r="AN712" s="24"/>
      <c r="AO712" s="24"/>
      <c r="AP712" s="24"/>
      <c r="AQ712" s="24"/>
      <c r="AR712" s="24"/>
      <c r="AS712" s="24"/>
      <c r="AT712" s="271"/>
      <c r="AU712" s="272"/>
    </row>
    <row r="713" spans="1:47" s="16" customFormat="1" ht="21.75" customHeight="1">
      <c r="A713" s="30">
        <v>16</v>
      </c>
      <c r="B713" s="38">
        <v>27080.03</v>
      </c>
      <c r="C713" s="38">
        <v>27305.93</v>
      </c>
      <c r="D713" s="39" t="s">
        <v>16</v>
      </c>
      <c r="E713" s="24">
        <f>C713-B713</f>
        <v>225.90000000000146</v>
      </c>
      <c r="F713" s="66"/>
      <c r="G713" s="24"/>
      <c r="H713" s="24"/>
      <c r="I713" s="24"/>
      <c r="J713" s="24"/>
      <c r="K713" s="24"/>
      <c r="L713" s="24"/>
      <c r="M713" s="24"/>
      <c r="N713" s="24"/>
      <c r="O713" s="24"/>
      <c r="P713" s="24">
        <f>ROUND($E713*P$759,2)</f>
        <v>112.95</v>
      </c>
      <c r="Q713" s="24">
        <f>ROUND($E713*Q$759,2)</f>
        <v>112.95</v>
      </c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105"/>
      <c r="AC713" s="105"/>
      <c r="AD713" s="24"/>
      <c r="AE713" s="24"/>
      <c r="AF713" s="105"/>
      <c r="AG713" s="24"/>
      <c r="AH713" s="213">
        <v>4</v>
      </c>
      <c r="AI713" s="215"/>
      <c r="AJ713" s="24"/>
      <c r="AK713" s="24"/>
      <c r="AL713" s="213">
        <v>1</v>
      </c>
      <c r="AM713" s="215"/>
      <c r="AN713" s="213">
        <v>1</v>
      </c>
      <c r="AO713" s="215"/>
      <c r="AP713" s="24"/>
      <c r="AQ713" s="24"/>
      <c r="AR713" s="24"/>
      <c r="AS713" s="24"/>
      <c r="AT713" s="271"/>
      <c r="AU713" s="272"/>
    </row>
    <row r="714" spans="1:47" s="16" customFormat="1" ht="21.75" customHeight="1">
      <c r="A714" s="30">
        <v>17</v>
      </c>
      <c r="B714" s="38"/>
      <c r="C714" s="38"/>
      <c r="D714" s="39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71"/>
      <c r="AU714" s="272"/>
    </row>
    <row r="715" spans="1:47" s="16" customFormat="1" ht="21.75" customHeight="1">
      <c r="A715" s="30">
        <v>18</v>
      </c>
      <c r="B715" s="67" t="s">
        <v>50</v>
      </c>
      <c r="C715" s="38"/>
      <c r="D715" s="39"/>
      <c r="E715" s="24"/>
      <c r="F715" s="66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105"/>
      <c r="AD715" s="24"/>
      <c r="AE715" s="24"/>
      <c r="AF715" s="105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71"/>
      <c r="AU715" s="272"/>
    </row>
    <row r="716" spans="1:47" s="4" customFormat="1" ht="21.75" customHeight="1">
      <c r="A716" s="30">
        <v>19</v>
      </c>
      <c r="B716" s="38">
        <v>501434.17</v>
      </c>
      <c r="C716" s="38">
        <v>501505.98</v>
      </c>
      <c r="D716" s="39" t="s">
        <v>16</v>
      </c>
      <c r="E716" s="24">
        <f>C716-B716</f>
        <v>71.80999999999767</v>
      </c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>
        <f>IF($AF716=0,$E716,ROUND($E716*$AF716,2))</f>
        <v>71.80999999999767</v>
      </c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105"/>
      <c r="AC716" s="105"/>
      <c r="AD716" s="24"/>
      <c r="AE716" s="24"/>
      <c r="AF716" s="105"/>
      <c r="AG716" s="24"/>
      <c r="AH716" s="24"/>
      <c r="AI716" s="24">
        <v>2</v>
      </c>
      <c r="AJ716" s="24"/>
      <c r="AK716" s="24"/>
      <c r="AL716" s="24"/>
      <c r="AM716" s="24">
        <v>1</v>
      </c>
      <c r="AN716" s="24"/>
      <c r="AO716" s="24"/>
      <c r="AP716" s="24"/>
      <c r="AQ716" s="24"/>
      <c r="AR716" s="24"/>
      <c r="AS716" s="24"/>
      <c r="AT716" s="271"/>
      <c r="AU716" s="272"/>
    </row>
    <row r="717" spans="1:47" s="4" customFormat="1" ht="21.75" customHeight="1">
      <c r="A717" s="30">
        <v>20</v>
      </c>
      <c r="B717" s="37"/>
      <c r="C717" s="38"/>
      <c r="D717" s="39"/>
      <c r="E717" s="24"/>
      <c r="F717" s="66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105"/>
      <c r="AD717" s="24"/>
      <c r="AE717" s="24"/>
      <c r="AF717" s="105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71"/>
      <c r="AU717" s="272"/>
    </row>
    <row r="718" spans="1:47" s="4" customFormat="1" ht="21.75" customHeight="1">
      <c r="A718" s="30">
        <v>21</v>
      </c>
      <c r="B718" s="67" t="s">
        <v>42</v>
      </c>
      <c r="C718" s="38"/>
      <c r="D718" s="39"/>
      <c r="E718" s="24"/>
      <c r="F718" s="66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105"/>
      <c r="AD718" s="24"/>
      <c r="AE718" s="24"/>
      <c r="AF718" s="105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71"/>
      <c r="AU718" s="272"/>
    </row>
    <row r="719" spans="1:47" s="4" customFormat="1" ht="21.75" customHeight="1">
      <c r="A719" s="30">
        <v>22</v>
      </c>
      <c r="B719" s="38">
        <v>300350</v>
      </c>
      <c r="C719" s="38">
        <v>300435.94</v>
      </c>
      <c r="D719" s="39" t="s">
        <v>16</v>
      </c>
      <c r="E719" s="24">
        <f>C719-B719</f>
        <v>85.94000000000233</v>
      </c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>
        <f>IF($AF719=0,$E719,ROUND($E719*$AF719,2))</f>
        <v>85.94000000000233</v>
      </c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105"/>
      <c r="AC719" s="105"/>
      <c r="AD719" s="24"/>
      <c r="AE719" s="24"/>
      <c r="AF719" s="105"/>
      <c r="AG719" s="24"/>
      <c r="AH719" s="24">
        <v>1</v>
      </c>
      <c r="AI719" s="24"/>
      <c r="AJ719" s="24"/>
      <c r="AK719" s="24"/>
      <c r="AL719" s="24">
        <v>1</v>
      </c>
      <c r="AM719" s="24"/>
      <c r="AN719" s="24"/>
      <c r="AO719" s="24"/>
      <c r="AP719" s="24"/>
      <c r="AQ719" s="24"/>
      <c r="AR719" s="24"/>
      <c r="AS719" s="24"/>
      <c r="AT719" s="271"/>
      <c r="AU719" s="272"/>
    </row>
    <row r="720" spans="1:47" s="4" customFormat="1" ht="21.75" customHeight="1">
      <c r="A720" s="30">
        <v>23</v>
      </c>
      <c r="B720" s="38"/>
      <c r="C720" s="38"/>
      <c r="D720" s="39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105"/>
      <c r="AC720" s="105"/>
      <c r="AD720" s="24"/>
      <c r="AE720" s="24"/>
      <c r="AF720" s="105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71"/>
      <c r="AU720" s="272"/>
    </row>
    <row r="721" spans="1:47" s="4" customFormat="1" ht="21.75" customHeight="1">
      <c r="A721" s="30">
        <v>24</v>
      </c>
      <c r="B721" s="67" t="s">
        <v>51</v>
      </c>
      <c r="C721" s="38"/>
      <c r="D721" s="39"/>
      <c r="E721" s="24"/>
      <c r="F721" s="66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105"/>
      <c r="AD721" s="24"/>
      <c r="AE721" s="24"/>
      <c r="AF721" s="105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71"/>
      <c r="AU721" s="272"/>
    </row>
    <row r="722" spans="1:47" s="4" customFormat="1" ht="21.75" customHeight="1">
      <c r="A722" s="30">
        <v>25</v>
      </c>
      <c r="B722" s="38">
        <v>507900</v>
      </c>
      <c r="C722" s="38">
        <v>508010.32</v>
      </c>
      <c r="D722" s="39" t="s">
        <v>16</v>
      </c>
      <c r="E722" s="24">
        <f>C722-B722</f>
        <v>110.32000000000698</v>
      </c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>
        <f>IF($AF722=0,$E722,ROUND($E722*$AF722,2))</f>
        <v>110.32000000000698</v>
      </c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105"/>
      <c r="AC722" s="105"/>
      <c r="AD722" s="24"/>
      <c r="AE722" s="24"/>
      <c r="AF722" s="105"/>
      <c r="AG722" s="24"/>
      <c r="AH722" s="24"/>
      <c r="AI722" s="24">
        <v>2</v>
      </c>
      <c r="AJ722" s="24"/>
      <c r="AK722" s="24"/>
      <c r="AL722" s="24"/>
      <c r="AM722" s="24"/>
      <c r="AN722" s="24"/>
      <c r="AO722" s="24"/>
      <c r="AP722" s="24"/>
      <c r="AQ722" s="24">
        <v>1</v>
      </c>
      <c r="AR722" s="24"/>
      <c r="AS722" s="24"/>
      <c r="AT722" s="271"/>
      <c r="AU722" s="272"/>
    </row>
    <row r="723" spans="1:47" s="4" customFormat="1" ht="21.75" customHeight="1">
      <c r="A723" s="30">
        <v>26</v>
      </c>
      <c r="B723" s="38">
        <v>506349.88</v>
      </c>
      <c r="C723" s="38">
        <v>506364</v>
      </c>
      <c r="D723" s="39" t="s">
        <v>16</v>
      </c>
      <c r="E723" s="24">
        <f>ROUND(C723-B723,0)</f>
        <v>14</v>
      </c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105"/>
      <c r="AC723" s="105"/>
      <c r="AD723" s="24"/>
      <c r="AE723" s="24"/>
      <c r="AF723" s="105"/>
      <c r="AG723" s="24"/>
      <c r="AH723" s="24"/>
      <c r="AI723" s="24"/>
      <c r="AJ723" s="24"/>
      <c r="AK723" s="24"/>
      <c r="AL723" s="24"/>
      <c r="AM723" s="24">
        <v>1</v>
      </c>
      <c r="AN723" s="24"/>
      <c r="AO723" s="24"/>
      <c r="AP723" s="24"/>
      <c r="AQ723" s="24"/>
      <c r="AR723" s="24"/>
      <c r="AS723" s="24"/>
      <c r="AT723" s="271"/>
      <c r="AU723" s="272"/>
    </row>
    <row r="724" spans="1:47" s="4" customFormat="1" ht="21.75" customHeight="1">
      <c r="A724" s="30">
        <v>27</v>
      </c>
      <c r="B724" s="38">
        <v>506650</v>
      </c>
      <c r="C724" s="38">
        <v>506664.12</v>
      </c>
      <c r="D724" s="39" t="s">
        <v>16</v>
      </c>
      <c r="E724" s="24">
        <f>ROUND(C724-B724,0)</f>
        <v>14</v>
      </c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105"/>
      <c r="AC724" s="105"/>
      <c r="AD724" s="24"/>
      <c r="AE724" s="24"/>
      <c r="AF724" s="105"/>
      <c r="AG724" s="24"/>
      <c r="AH724" s="24"/>
      <c r="AI724" s="24"/>
      <c r="AJ724" s="24"/>
      <c r="AK724" s="24"/>
      <c r="AL724" s="24"/>
      <c r="AM724" s="24">
        <v>1</v>
      </c>
      <c r="AN724" s="24"/>
      <c r="AO724" s="24"/>
      <c r="AP724" s="24"/>
      <c r="AQ724" s="24"/>
      <c r="AR724" s="24"/>
      <c r="AS724" s="24"/>
      <c r="AT724" s="271"/>
      <c r="AU724" s="272"/>
    </row>
    <row r="725" spans="1:47" s="4" customFormat="1" ht="21.75" customHeight="1">
      <c r="A725" s="30">
        <v>28</v>
      </c>
      <c r="B725" s="67" t="s">
        <v>108</v>
      </c>
      <c r="C725" s="38"/>
      <c r="D725" s="39"/>
      <c r="E725" s="24"/>
      <c r="F725" s="66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105"/>
      <c r="AC725" s="105"/>
      <c r="AD725" s="24"/>
      <c r="AE725" s="24"/>
      <c r="AF725" s="105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71"/>
      <c r="AU725" s="272"/>
    </row>
    <row r="726" spans="1:47" s="4" customFormat="1" ht="21.75" customHeight="1">
      <c r="A726" s="30">
        <v>29</v>
      </c>
      <c r="B726" s="313" t="s">
        <v>109</v>
      </c>
      <c r="C726" s="314"/>
      <c r="D726" s="39"/>
      <c r="E726" s="24">
        <v>10</v>
      </c>
      <c r="F726" s="24"/>
      <c r="G726" s="24"/>
      <c r="H726" s="24"/>
      <c r="I726" s="24"/>
      <c r="J726" s="24"/>
      <c r="K726" s="24"/>
      <c r="L726" s="24"/>
      <c r="M726" s="24"/>
      <c r="N726" s="24">
        <f>-1*$E726*N$758</f>
        <v>-6</v>
      </c>
      <c r="O726" s="24">
        <f>-1*$E726*O$758</f>
        <v>-4</v>
      </c>
      <c r="P726" s="24"/>
      <c r="Q726" s="24"/>
      <c r="R726" s="24"/>
      <c r="S726" s="24"/>
      <c r="T726" s="24"/>
      <c r="U726" s="24"/>
      <c r="V726" s="24">
        <f>-1*$E726*V$758</f>
        <v>-6</v>
      </c>
      <c r="W726" s="24">
        <f>-1*$E726*W$758</f>
        <v>-4</v>
      </c>
      <c r="X726" s="24"/>
      <c r="Y726" s="24"/>
      <c r="Z726" s="24"/>
      <c r="AA726" s="24"/>
      <c r="AB726" s="105"/>
      <c r="AC726" s="105"/>
      <c r="AD726" s="24"/>
      <c r="AE726" s="24"/>
      <c r="AF726" s="105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71"/>
      <c r="AU726" s="272"/>
    </row>
    <row r="727" spans="1:47" s="4" customFormat="1" ht="21.75" customHeight="1">
      <c r="A727" s="30">
        <v>30</v>
      </c>
      <c r="B727" s="38"/>
      <c r="C727" s="38"/>
      <c r="D727" s="39"/>
      <c r="E727" s="24"/>
      <c r="F727" s="66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105"/>
      <c r="AD727" s="24"/>
      <c r="AE727" s="24"/>
      <c r="AF727" s="61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71"/>
      <c r="AU727" s="272"/>
    </row>
    <row r="728" spans="1:47" s="4" customFormat="1" ht="21.75" customHeight="1">
      <c r="A728" s="30">
        <v>31</v>
      </c>
      <c r="B728" s="313" t="s">
        <v>110</v>
      </c>
      <c r="C728" s="314"/>
      <c r="D728" s="39"/>
      <c r="E728" s="24">
        <v>20</v>
      </c>
      <c r="F728" s="24"/>
      <c r="G728" s="24"/>
      <c r="H728" s="24"/>
      <c r="I728" s="24"/>
      <c r="J728" s="24"/>
      <c r="K728" s="24"/>
      <c r="L728" s="24"/>
      <c r="M728" s="24"/>
      <c r="N728" s="24">
        <f>-1*$E728*N$758</f>
        <v>-12</v>
      </c>
      <c r="O728" s="24">
        <f>-1*$E728*O$758</f>
        <v>-8</v>
      </c>
      <c r="P728" s="24">
        <f>-(3+3)*$E728*P$758+-2*$E728*P$759</f>
        <v>-92</v>
      </c>
      <c r="Q728" s="24">
        <f>-(3+3)*$E728*Q$758+-2*$E728*Q$759+-1*$E728+-1*$E728</f>
        <v>-108</v>
      </c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105"/>
      <c r="AC728" s="105"/>
      <c r="AD728" s="24"/>
      <c r="AE728" s="24"/>
      <c r="AF728" s="105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71"/>
      <c r="AU728" s="272"/>
    </row>
    <row r="729" spans="1:47" s="4" customFormat="1" ht="21.75" customHeight="1">
      <c r="A729" s="30">
        <v>32</v>
      </c>
      <c r="B729" s="38"/>
      <c r="C729" s="38"/>
      <c r="D729" s="39"/>
      <c r="E729" s="24"/>
      <c r="F729" s="66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105"/>
      <c r="AC729" s="105"/>
      <c r="AD729" s="24"/>
      <c r="AE729" s="24"/>
      <c r="AF729" s="105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71"/>
      <c r="AU729" s="272"/>
    </row>
    <row r="730" spans="1:47" s="4" customFormat="1" ht="21.75" customHeight="1">
      <c r="A730" s="30">
        <v>33</v>
      </c>
      <c r="B730" s="313" t="s">
        <v>112</v>
      </c>
      <c r="C730" s="314"/>
      <c r="D730" s="39"/>
      <c r="E730" s="24">
        <v>8</v>
      </c>
      <c r="F730" s="66"/>
      <c r="G730" s="24"/>
      <c r="H730" s="24"/>
      <c r="I730" s="24"/>
      <c r="J730" s="24">
        <f>-3*$E730*J$758</f>
        <v>-14.399999999999999</v>
      </c>
      <c r="K730" s="24">
        <f>-3*$E730*K$758</f>
        <v>-9.600000000000001</v>
      </c>
      <c r="L730" s="24"/>
      <c r="M730" s="24"/>
      <c r="N730" s="24"/>
      <c r="O730" s="24"/>
      <c r="P730" s="24">
        <f>-2*$E730*P$758</f>
        <v>-9.6</v>
      </c>
      <c r="Q730" s="24">
        <f>-2*$E730*Q$758</f>
        <v>-6.4</v>
      </c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105"/>
      <c r="AC730" s="105"/>
      <c r="AD730" s="24"/>
      <c r="AE730" s="24"/>
      <c r="AF730" s="105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71"/>
      <c r="AU730" s="272"/>
    </row>
    <row r="731" spans="1:47" s="4" customFormat="1" ht="21.75" customHeight="1">
      <c r="A731" s="30">
        <v>34</v>
      </c>
      <c r="B731" s="38"/>
      <c r="C731" s="38"/>
      <c r="D731" s="39"/>
      <c r="E731" s="24"/>
      <c r="F731" s="66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105"/>
      <c r="AD731" s="24"/>
      <c r="AE731" s="24"/>
      <c r="AF731" s="105"/>
      <c r="AG731" s="90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71"/>
      <c r="AU731" s="272"/>
    </row>
    <row r="732" spans="1:47" s="4" customFormat="1" ht="21.75" customHeight="1">
      <c r="A732" s="30">
        <v>35</v>
      </c>
      <c r="B732" s="313" t="s">
        <v>111</v>
      </c>
      <c r="C732" s="314"/>
      <c r="D732" s="39"/>
      <c r="E732" s="24">
        <v>15</v>
      </c>
      <c r="F732" s="66"/>
      <c r="G732" s="24"/>
      <c r="H732" s="24"/>
      <c r="I732" s="24"/>
      <c r="J732" s="24">
        <f>-$X701*$E732*J$758</f>
        <v>-36</v>
      </c>
      <c r="K732" s="24">
        <f>-$X701*$E732*K$758</f>
        <v>-24</v>
      </c>
      <c r="L732" s="24"/>
      <c r="M732" s="24"/>
      <c r="N732" s="24">
        <f>-(25.72+10.42)*$N$758</f>
        <v>-21.684</v>
      </c>
      <c r="O732" s="24">
        <f>-(25.72+10.42)*$O$758</f>
        <v>-14.456000000000001</v>
      </c>
      <c r="P732" s="24">
        <f>-($AH704+$AJ704+$AH706)*$E732*P$758+-($AH711+$AH713)*$E732*P$759+-$AH719*$E732+-4.56*P$758</f>
        <v>-199.236</v>
      </c>
      <c r="Q732" s="24">
        <f>-($AH704+$AJ704+$AH706)*$E732*Q$758+-($AH711+$AH713)*$E732*Q$759+-$AI716*$E732+-4.56*P$758+-$AI722*$E732</f>
        <v>-196.236</v>
      </c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105"/>
      <c r="AD732" s="24"/>
      <c r="AE732" s="24"/>
      <c r="AF732" s="105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71"/>
      <c r="AU732" s="272"/>
    </row>
    <row r="733" spans="1:47" s="4" customFormat="1" ht="21.75" customHeight="1">
      <c r="A733" s="30">
        <v>36</v>
      </c>
      <c r="B733" s="37"/>
      <c r="C733" s="38"/>
      <c r="D733" s="39"/>
      <c r="E733" s="24"/>
      <c r="F733" s="66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105"/>
      <c r="AD733" s="24"/>
      <c r="AE733" s="24"/>
      <c r="AF733" s="105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71"/>
      <c r="AU733" s="272"/>
    </row>
    <row r="734" spans="1:47" s="4" customFormat="1" ht="21.75" customHeight="1">
      <c r="A734" s="30">
        <v>37</v>
      </c>
      <c r="B734" s="313" t="s">
        <v>113</v>
      </c>
      <c r="C734" s="314"/>
      <c r="D734" s="39"/>
      <c r="E734" s="24">
        <v>14</v>
      </c>
      <c r="F734" s="66"/>
      <c r="G734" s="24"/>
      <c r="H734" s="24"/>
      <c r="I734" s="24"/>
      <c r="J734" s="24"/>
      <c r="K734" s="24"/>
      <c r="L734" s="24"/>
      <c r="M734" s="24"/>
      <c r="N734" s="24"/>
      <c r="O734" s="24"/>
      <c r="P734" s="24">
        <f>-($AL706+$AL707+$AL708)*$E734*P$758+-($AL711+$AL713+$AN713)*$E734*P$759+-AL719*$E734</f>
        <v>-68.6</v>
      </c>
      <c r="Q734" s="24">
        <f>-($AL706+$AL707+$AL708)*$E734*Q$758+-($AL711+$AL713+$AN713)*$E734*Q$759+-$AM716*$E734+-$AQ722*$E734</f>
        <v>-71.4</v>
      </c>
      <c r="R734" s="24">
        <f>-$AL712*$E734*R$759</f>
        <v>-7</v>
      </c>
      <c r="S734" s="24">
        <f>-$AL712*$E734*S$759</f>
        <v>-7</v>
      </c>
      <c r="T734" s="24"/>
      <c r="U734" s="24"/>
      <c r="V734" s="24"/>
      <c r="W734" s="24"/>
      <c r="X734" s="24"/>
      <c r="Y734" s="24"/>
      <c r="Z734" s="24"/>
      <c r="AA734" s="24"/>
      <c r="AB734" s="24"/>
      <c r="AC734" s="105"/>
      <c r="AD734" s="24"/>
      <c r="AE734" s="24"/>
      <c r="AF734" s="105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71"/>
      <c r="AU734" s="272"/>
    </row>
    <row r="735" spans="1:47" s="4" customFormat="1" ht="21.75" customHeight="1" thickBot="1">
      <c r="A735" s="30">
        <v>38</v>
      </c>
      <c r="B735" s="38"/>
      <c r="C735" s="38"/>
      <c r="D735" s="39"/>
      <c r="E735" s="24"/>
      <c r="F735" s="66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71"/>
      <c r="AU735" s="272"/>
    </row>
    <row r="736" spans="1:47" s="4" customFormat="1" ht="21.75" customHeight="1">
      <c r="A736" s="30">
        <v>39</v>
      </c>
      <c r="B736" s="313" t="s">
        <v>114</v>
      </c>
      <c r="C736" s="314"/>
      <c r="D736" s="39"/>
      <c r="E736" s="24">
        <v>20</v>
      </c>
      <c r="F736" s="66"/>
      <c r="G736" s="24"/>
      <c r="H736" s="24"/>
      <c r="I736" s="24"/>
      <c r="J736" s="24">
        <f>-$AR701*$E736*J$758</f>
        <v>-12</v>
      </c>
      <c r="K736" s="24">
        <f>-$AR701*$E736*K$758</f>
        <v>-8</v>
      </c>
      <c r="L736" s="24"/>
      <c r="M736" s="24"/>
      <c r="N736" s="24"/>
      <c r="O736" s="24"/>
      <c r="P736" s="24">
        <f>-$AR708*$E736*P$758</f>
        <v>-12</v>
      </c>
      <c r="Q736" s="24">
        <f>-$AR708*$E736*Q$758</f>
        <v>-8</v>
      </c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90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69" t="s">
        <v>39</v>
      </c>
      <c r="AU736" s="270"/>
    </row>
    <row r="737" spans="1:47" s="4" customFormat="1" ht="21.75" customHeight="1">
      <c r="A737" s="30">
        <v>40</v>
      </c>
      <c r="B737" s="37"/>
      <c r="C737" s="38"/>
      <c r="D737" s="39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105"/>
      <c r="AD737" s="24"/>
      <c r="AE737" s="24"/>
      <c r="AF737" s="61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71"/>
      <c r="AU737" s="272"/>
    </row>
    <row r="738" spans="1:47" s="4" customFormat="1" ht="21.75" customHeight="1">
      <c r="A738" s="30">
        <v>45</v>
      </c>
      <c r="B738" s="38"/>
      <c r="C738" s="38"/>
      <c r="D738" s="39"/>
      <c r="E738" s="24"/>
      <c r="F738" s="66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105"/>
      <c r="AC738" s="105"/>
      <c r="AD738" s="24"/>
      <c r="AE738" s="24"/>
      <c r="AF738" s="105"/>
      <c r="AG738" s="66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71"/>
      <c r="AU738" s="272"/>
    </row>
    <row r="739" spans="1:47" s="4" customFormat="1" ht="21.75" customHeight="1">
      <c r="A739" s="30">
        <v>46</v>
      </c>
      <c r="B739" s="37"/>
      <c r="C739" s="38"/>
      <c r="D739" s="39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105"/>
      <c r="AC739" s="105"/>
      <c r="AD739" s="24"/>
      <c r="AE739" s="24"/>
      <c r="AF739" s="105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71"/>
      <c r="AU739" s="272"/>
    </row>
    <row r="740" spans="1:47" s="4" customFormat="1" ht="21.75" customHeight="1">
      <c r="A740" s="30">
        <v>47</v>
      </c>
      <c r="B740" s="37"/>
      <c r="C740" s="38"/>
      <c r="D740" s="39"/>
      <c r="E740" s="24"/>
      <c r="F740" s="66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66"/>
      <c r="AC740" s="105"/>
      <c r="AD740" s="24"/>
      <c r="AE740" s="24"/>
      <c r="AF740" s="105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71"/>
      <c r="AU740" s="272"/>
    </row>
    <row r="741" spans="1:47" s="4" customFormat="1" ht="21.75" customHeight="1">
      <c r="A741" s="30">
        <v>48</v>
      </c>
      <c r="B741" s="37"/>
      <c r="C741" s="38"/>
      <c r="D741" s="39"/>
      <c r="E741" s="24"/>
      <c r="F741" s="66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66"/>
      <c r="AC741" s="105"/>
      <c r="AD741" s="24"/>
      <c r="AE741" s="24"/>
      <c r="AF741" s="105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71"/>
      <c r="AU741" s="272"/>
    </row>
    <row r="742" spans="1:47" s="4" customFormat="1" ht="21.75" customHeight="1">
      <c r="A742" s="30">
        <v>49</v>
      </c>
      <c r="B742" s="38"/>
      <c r="C742" s="38"/>
      <c r="D742" s="39"/>
      <c r="E742" s="24"/>
      <c r="F742" s="7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74"/>
      <c r="AC742" s="105"/>
      <c r="AD742" s="24"/>
      <c r="AE742" s="24"/>
      <c r="AF742" s="105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71"/>
      <c r="AU742" s="272"/>
    </row>
    <row r="743" spans="1:47" s="4" customFormat="1" ht="21.75" customHeight="1">
      <c r="A743" s="30">
        <v>50</v>
      </c>
      <c r="B743" s="38"/>
      <c r="C743" s="38"/>
      <c r="D743" s="39"/>
      <c r="E743" s="24"/>
      <c r="F743" s="66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105"/>
      <c r="AD743" s="24"/>
      <c r="AE743" s="24"/>
      <c r="AF743" s="105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71"/>
      <c r="AU743" s="272"/>
    </row>
    <row r="744" spans="1:47" s="4" customFormat="1" ht="21.75" customHeight="1">
      <c r="A744" s="30">
        <v>51</v>
      </c>
      <c r="B744" s="38"/>
      <c r="C744" s="38"/>
      <c r="D744" s="39"/>
      <c r="E744" s="24"/>
      <c r="F744" s="66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66"/>
      <c r="AC744" s="105"/>
      <c r="AD744" s="24"/>
      <c r="AE744" s="24"/>
      <c r="AF744" s="105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71"/>
      <c r="AU744" s="272"/>
    </row>
    <row r="745" spans="1:47" s="4" customFormat="1" ht="21.75" customHeight="1">
      <c r="A745" s="30">
        <v>52</v>
      </c>
      <c r="B745" s="38"/>
      <c r="C745" s="38"/>
      <c r="D745" s="39"/>
      <c r="E745" s="24"/>
      <c r="F745" s="66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61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71"/>
      <c r="AU745" s="272"/>
    </row>
    <row r="746" spans="1:47" s="4" customFormat="1" ht="21.75" customHeight="1">
      <c r="A746" s="30">
        <v>53</v>
      </c>
      <c r="B746" s="37"/>
      <c r="C746" s="38"/>
      <c r="D746" s="39"/>
      <c r="E746" s="24"/>
      <c r="F746" s="66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105"/>
      <c r="AD746" s="24"/>
      <c r="AE746" s="24"/>
      <c r="AF746" s="105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71"/>
      <c r="AU746" s="272"/>
    </row>
    <row r="747" spans="1:47" s="4" customFormat="1" ht="21.75" customHeight="1">
      <c r="A747" s="30">
        <v>54</v>
      </c>
      <c r="B747" s="37"/>
      <c r="C747" s="38"/>
      <c r="D747" s="39"/>
      <c r="E747" s="24"/>
      <c r="F747" s="66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105"/>
      <c r="AD747" s="24"/>
      <c r="AE747" s="24"/>
      <c r="AF747" s="105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71"/>
      <c r="AU747" s="272"/>
    </row>
    <row r="748" spans="1:47" s="4" customFormat="1" ht="21.75" customHeight="1">
      <c r="A748" s="30">
        <v>55</v>
      </c>
      <c r="B748" s="37"/>
      <c r="C748" s="38"/>
      <c r="D748" s="39"/>
      <c r="E748" s="24"/>
      <c r="F748" s="66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105"/>
      <c r="AD748" s="24"/>
      <c r="AE748" s="24"/>
      <c r="AF748" s="105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71"/>
      <c r="AU748" s="272"/>
    </row>
    <row r="749" spans="1:47" s="4" customFormat="1" ht="21.75" customHeight="1">
      <c r="A749" s="30">
        <v>56</v>
      </c>
      <c r="B749" s="37"/>
      <c r="C749" s="38"/>
      <c r="D749" s="39"/>
      <c r="E749" s="24"/>
      <c r="F749" s="66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105"/>
      <c r="AD749" s="24"/>
      <c r="AE749" s="24"/>
      <c r="AF749" s="105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71"/>
      <c r="AU749" s="272"/>
    </row>
    <row r="750" spans="1:47" s="4" customFormat="1" ht="21.75" customHeight="1">
      <c r="A750" s="30">
        <v>57</v>
      </c>
      <c r="B750" s="37"/>
      <c r="C750" s="38"/>
      <c r="D750" s="39"/>
      <c r="E750" s="24"/>
      <c r="F750" s="66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105"/>
      <c r="AD750" s="24"/>
      <c r="AE750" s="24"/>
      <c r="AF750" s="105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71"/>
      <c r="AU750" s="272"/>
    </row>
    <row r="751" spans="1:47" s="4" customFormat="1" ht="21.75" customHeight="1" thickBot="1">
      <c r="A751" s="30">
        <v>58</v>
      </c>
      <c r="B751" s="37"/>
      <c r="C751" s="38"/>
      <c r="D751" s="39"/>
      <c r="E751" s="24"/>
      <c r="F751" s="66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105"/>
      <c r="AD751" s="24"/>
      <c r="AE751" s="24"/>
      <c r="AF751" s="105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81"/>
      <c r="AU751" s="275"/>
    </row>
    <row r="752" spans="2:47" s="1" customFormat="1" ht="46.5" customHeight="1">
      <c r="B752" s="233" t="s">
        <v>15</v>
      </c>
      <c r="C752" s="234"/>
      <c r="D752" s="234"/>
      <c r="E752" s="234"/>
      <c r="F752" s="234"/>
      <c r="G752" s="235"/>
      <c r="H752" s="211">
        <f>IF(SUM(H700:H751)=0," ",ROUNDUP(SUM(H700:H751),0))</f>
        <v>12</v>
      </c>
      <c r="I752" s="211">
        <f>IF(SUM(I700:I751)=0," ",ROUNDUP(SUM(I700:I751),0))</f>
        <v>8</v>
      </c>
      <c r="J752" s="211">
        <f>IF(SUM(J700:J751)=0," ",ROUNDUP(SUM(J700:J751),0))</f>
        <v>70</v>
      </c>
      <c r="K752" s="211">
        <f>IF(SUM(K700:K751)=0," ",ROUNDUP(SUM(K700:K751),0))</f>
        <v>47</v>
      </c>
      <c r="L752" s="211"/>
      <c r="M752" s="211"/>
      <c r="N752" s="211">
        <f aca="true" t="shared" si="1" ref="N752:S752">IF(SUM(N700:N751)=0," ",ROUNDUP(SUM(N700:N751),0))</f>
        <v>48</v>
      </c>
      <c r="O752" s="211">
        <f t="shared" si="1"/>
        <v>32</v>
      </c>
      <c r="P752" s="211">
        <f t="shared" si="1"/>
        <v>739</v>
      </c>
      <c r="Q752" s="211">
        <f t="shared" si="1"/>
        <v>528</v>
      </c>
      <c r="R752" s="211">
        <f t="shared" si="1"/>
        <v>194</v>
      </c>
      <c r="S752" s="211">
        <f t="shared" si="1"/>
        <v>194</v>
      </c>
      <c r="T752" s="211"/>
      <c r="U752" s="211"/>
      <c r="V752" s="211">
        <f>IF(SUM(V700:V751)=0," ",ROUNDUP(SUM(V700:V751),0))</f>
        <v>48</v>
      </c>
      <c r="W752" s="211">
        <f>IF(SUM(W700:W751)=0," ",ROUNDUP(SUM(W700:W751),0))</f>
        <v>32</v>
      </c>
      <c r="X752" s="211">
        <f>IF(SUM(X700:X751)=0," ",ROUND(SUM(X700:X751)*X$758,0))</f>
        <v>2</v>
      </c>
      <c r="Y752" s="211">
        <f>IF(SUM(X700:X751)=0," ",ROUND(SUM(X700:X751)*Y$758,0))</f>
        <v>2</v>
      </c>
      <c r="Z752" s="211"/>
      <c r="AA752" s="211"/>
      <c r="AB752" s="211"/>
      <c r="AC752" s="211"/>
      <c r="AD752" s="211" t="str">
        <f>IF(SUM(AD700:AD751)=0," ",ROUND(SUM(AD700:AD751)*AD$758,0))</f>
        <v> </v>
      </c>
      <c r="AE752" s="211" t="str">
        <f>IF(SUM(AD700:AD751)=0," ",ROUND(SUM(AD700:AD751)*AE$758,0))</f>
        <v> </v>
      </c>
      <c r="AF752" s="211">
        <f>IF(SUM(AF700:AF751)=0," ",ROUND(SUM(AF700:AF751)*AF$758,0))</f>
        <v>1</v>
      </c>
      <c r="AG752" s="211">
        <f>IF(SUM(AF700:AF751)=0," ",ROUND(SUM(AF700:AF751)*AG$758,0))</f>
        <v>1</v>
      </c>
      <c r="AH752" s="211">
        <f>IF(SUM(AH714:AH751)=0," ",ROUNDUP(SUM(AH714:AH751)+(SUM(AH700:AI710)*AH$758)+(SUM(AH711:AI713)*AH$759),0))</f>
        <v>13</v>
      </c>
      <c r="AI752" s="211">
        <f>IF(SUM(AI714:AI751)=0," ",ROUNDDOWN(SUM(AI714:AI751)+(SUM(AH700:AI710)*AI$758)+(SUM(AH711:AI713)*AI$759),0))</f>
        <v>12</v>
      </c>
      <c r="AJ752" s="211">
        <f>IF(SUM(AJ700:AJ751)=0," ",ROUNDDOWN(SUM(AJ700:AJ751)*AJ$759,0))</f>
        <v>0</v>
      </c>
      <c r="AK752" s="211">
        <f>IF(SUM(AJ700:AJ751)=0," ",ROUNDUP(SUM(AJ700:AJ751)*AK$759,0))</f>
        <v>1</v>
      </c>
      <c r="AL752" s="211">
        <f>IF(SUM(AL714:AL751)=0," ",ROUND(SUM(AL714:AL751)+(SUM(AL700:AM710)*AL$758)+(SUM(AL711:AM713)*AL$759),0))</f>
        <v>5</v>
      </c>
      <c r="AM752" s="211">
        <f>IF(SUM(AM714:AM751)=0," ",ROUND(SUM(AM714:AM751)+(SUM(AL700:AM710)*AM$758)+(SUM(AL711:AM713)*AM$759),0))</f>
        <v>6</v>
      </c>
      <c r="AN752" s="211">
        <f>IF(SUM(AN700:AN751)=0," ",ROUNDDOWN(SUM(AN700:AN751)*AN$759,0))</f>
        <v>0</v>
      </c>
      <c r="AO752" s="211">
        <f>IF(SUM(AN700:AN751)=0," ",ROUNDUP(SUM(AN700:AN751)*AO$759,0))</f>
        <v>1</v>
      </c>
      <c r="AP752" s="211" t="str">
        <f>IF(SUM(AP700:AP751)=0," ",ROUNDUP(SUM(AP700:AP751),0))</f>
        <v> </v>
      </c>
      <c r="AQ752" s="211">
        <f>IF(SUM(AQ700:AQ751)=0," ",ROUNDUP(SUM(AQ700:AQ751),0))</f>
        <v>1</v>
      </c>
      <c r="AR752" s="211">
        <f>IF(SUM(AR700:AR751)=0," ",ROUND(SUM(AR700:AR751)*AP$758,0))</f>
        <v>1</v>
      </c>
      <c r="AS752" s="211">
        <f>IF(SUM(AR700:AR751)=0," ",ROUND(SUM(AR700:AR751)*AQ$758,0))</f>
        <v>1</v>
      </c>
      <c r="AT752" s="279">
        <v>12</v>
      </c>
      <c r="AU752" s="280"/>
    </row>
    <row r="753" spans="2:47" s="1" customFormat="1" ht="46.5" customHeight="1" thickBot="1">
      <c r="B753" s="236"/>
      <c r="C753" s="237"/>
      <c r="D753" s="237"/>
      <c r="E753" s="237"/>
      <c r="F753" s="237"/>
      <c r="G753" s="238"/>
      <c r="H753" s="212"/>
      <c r="I753" s="212"/>
      <c r="J753" s="212"/>
      <c r="K753" s="212"/>
      <c r="L753" s="250"/>
      <c r="M753" s="250"/>
      <c r="N753" s="212"/>
      <c r="O753" s="212"/>
      <c r="P753" s="212"/>
      <c r="Q753" s="212"/>
      <c r="R753" s="212"/>
      <c r="S753" s="212"/>
      <c r="T753" s="250"/>
      <c r="U753" s="250"/>
      <c r="V753" s="212"/>
      <c r="W753" s="212"/>
      <c r="X753" s="212"/>
      <c r="Y753" s="212"/>
      <c r="Z753" s="212"/>
      <c r="AA753" s="212"/>
      <c r="AB753" s="212"/>
      <c r="AC753" s="212"/>
      <c r="AD753" s="212"/>
      <c r="AE753" s="212"/>
      <c r="AF753" s="212"/>
      <c r="AG753" s="212"/>
      <c r="AH753" s="250"/>
      <c r="AI753" s="250"/>
      <c r="AJ753" s="212"/>
      <c r="AK753" s="212"/>
      <c r="AL753" s="250"/>
      <c r="AM753" s="250"/>
      <c r="AN753" s="212"/>
      <c r="AO753" s="212"/>
      <c r="AP753" s="212"/>
      <c r="AQ753" s="212"/>
      <c r="AR753" s="212"/>
      <c r="AS753" s="212"/>
      <c r="AT753" s="276">
        <v>18</v>
      </c>
      <c r="AU753" s="277"/>
    </row>
    <row r="754" spans="1:48" ht="36" customHeight="1">
      <c r="A754" s="10"/>
      <c r="M754" s="28"/>
      <c r="T754"/>
      <c r="AV754" s="11"/>
    </row>
    <row r="755" spans="12:20" ht="15">
      <c r="L755" s="27"/>
      <c r="M755" s="28"/>
      <c r="T755"/>
    </row>
    <row r="756" spans="12:20" ht="15">
      <c r="L756" s="27"/>
      <c r="M756" s="28"/>
      <c r="T756"/>
    </row>
    <row r="757" spans="2:47" ht="15.75">
      <c r="B757" s="158" t="s">
        <v>7</v>
      </c>
      <c r="C757" s="131"/>
      <c r="D757" s="131"/>
      <c r="E757" s="131"/>
      <c r="F757" s="131"/>
      <c r="G757" s="169">
        <v>6</v>
      </c>
      <c r="H757" s="21">
        <v>6</v>
      </c>
      <c r="I757" s="21">
        <v>6</v>
      </c>
      <c r="J757" s="21"/>
      <c r="K757" s="21">
        <v>6</v>
      </c>
      <c r="L757" s="33">
        <v>6</v>
      </c>
      <c r="M757" s="32">
        <v>6</v>
      </c>
      <c r="N757" s="32"/>
      <c r="O757" s="34"/>
      <c r="P757" s="36"/>
      <c r="Q757" s="64"/>
      <c r="R757" s="34"/>
      <c r="S757" s="34"/>
      <c r="T757" s="34"/>
      <c r="U757" s="34"/>
      <c r="V757" s="64"/>
      <c r="W757" s="35"/>
      <c r="AD757" s="32"/>
      <c r="AH757" s="32"/>
      <c r="AI757" s="32"/>
      <c r="AT757" s="26"/>
      <c r="AU757" s="26"/>
    </row>
    <row r="758" spans="7:45" ht="15">
      <c r="G758" s="139" t="s">
        <v>62</v>
      </c>
      <c r="H758" s="122">
        <v>0.6</v>
      </c>
      <c r="I758" s="122">
        <v>0.4</v>
      </c>
      <c r="J758" s="122">
        <v>0.6</v>
      </c>
      <c r="K758" s="122">
        <v>0.4</v>
      </c>
      <c r="L758" s="122">
        <v>0.6</v>
      </c>
      <c r="M758" s="122">
        <v>0.4</v>
      </c>
      <c r="N758" s="122">
        <v>0.6</v>
      </c>
      <c r="O758" s="122">
        <v>0.4</v>
      </c>
      <c r="P758" s="122">
        <v>0.6</v>
      </c>
      <c r="Q758" s="122">
        <v>0.4</v>
      </c>
      <c r="R758" s="122">
        <v>0.6</v>
      </c>
      <c r="S758" s="122">
        <v>0.4</v>
      </c>
      <c r="T758" s="122">
        <v>0.6</v>
      </c>
      <c r="U758" s="122">
        <v>0.4</v>
      </c>
      <c r="V758" s="122">
        <v>0.6</v>
      </c>
      <c r="W758" s="122">
        <v>0.4</v>
      </c>
      <c r="X758" s="122">
        <v>0.6</v>
      </c>
      <c r="Y758" s="122">
        <v>0.4</v>
      </c>
      <c r="Z758" s="122">
        <v>0.6</v>
      </c>
      <c r="AA758" s="122">
        <v>0.4</v>
      </c>
      <c r="AB758" s="122">
        <v>0.6</v>
      </c>
      <c r="AC758" s="122">
        <v>0.4</v>
      </c>
      <c r="AD758" s="122">
        <v>0.6</v>
      </c>
      <c r="AE758" s="122">
        <v>0.4</v>
      </c>
      <c r="AF758" s="122">
        <v>0.6</v>
      </c>
      <c r="AG758" s="122">
        <v>0.4</v>
      </c>
      <c r="AH758" s="122">
        <v>0.6</v>
      </c>
      <c r="AI758" s="122">
        <v>0.4</v>
      </c>
      <c r="AJ758" s="122">
        <v>0.6</v>
      </c>
      <c r="AK758" s="122">
        <v>0.4</v>
      </c>
      <c r="AL758" s="122">
        <v>0.6</v>
      </c>
      <c r="AM758" s="122">
        <v>0.4</v>
      </c>
      <c r="AN758" s="122">
        <v>0.6</v>
      </c>
      <c r="AO758" s="122">
        <v>0.4</v>
      </c>
      <c r="AP758" s="122">
        <v>0.6</v>
      </c>
      <c r="AQ758" s="122">
        <v>0.4</v>
      </c>
      <c r="AR758" s="122">
        <v>0.6</v>
      </c>
      <c r="AS758" s="122">
        <v>0.4</v>
      </c>
    </row>
    <row r="759" spans="7:45" ht="15">
      <c r="G759" s="139" t="s">
        <v>63</v>
      </c>
      <c r="H759" s="122">
        <v>0.5</v>
      </c>
      <c r="I759" s="122">
        <v>0.5</v>
      </c>
      <c r="J759" s="122">
        <v>0.5</v>
      </c>
      <c r="K759" s="122">
        <v>0.5</v>
      </c>
      <c r="L759" s="122">
        <v>0.5</v>
      </c>
      <c r="M759" s="122">
        <v>0.5</v>
      </c>
      <c r="N759" s="122">
        <v>0.5</v>
      </c>
      <c r="O759" s="122">
        <v>0.5</v>
      </c>
      <c r="P759" s="122">
        <v>0.5</v>
      </c>
      <c r="Q759" s="122">
        <v>0.5</v>
      </c>
      <c r="R759" s="122">
        <v>0.5</v>
      </c>
      <c r="S759" s="122">
        <v>0.5</v>
      </c>
      <c r="T759" s="122">
        <v>0.5</v>
      </c>
      <c r="U759" s="122">
        <v>0.5</v>
      </c>
      <c r="V759" s="122">
        <v>0.5</v>
      </c>
      <c r="W759" s="122">
        <v>0.5</v>
      </c>
      <c r="X759" s="122">
        <v>0.5</v>
      </c>
      <c r="Y759" s="122">
        <v>0.5</v>
      </c>
      <c r="Z759" s="122">
        <v>0.5</v>
      </c>
      <c r="AA759" s="122">
        <v>0.5</v>
      </c>
      <c r="AB759" s="122">
        <v>0.5</v>
      </c>
      <c r="AC759" s="122">
        <v>0.5</v>
      </c>
      <c r="AD759" s="122">
        <v>0.5</v>
      </c>
      <c r="AE759" s="122">
        <v>0.5</v>
      </c>
      <c r="AF759" s="122">
        <v>0.5</v>
      </c>
      <c r="AG759" s="122">
        <v>0.5</v>
      </c>
      <c r="AH759" s="122">
        <v>0.5</v>
      </c>
      <c r="AI759" s="122">
        <v>0.5</v>
      </c>
      <c r="AJ759" s="122">
        <v>0.5</v>
      </c>
      <c r="AK759" s="122">
        <v>0.5</v>
      </c>
      <c r="AL759" s="122">
        <v>0.5</v>
      </c>
      <c r="AM759" s="122">
        <v>0.5</v>
      </c>
      <c r="AN759" s="122">
        <v>0.5</v>
      </c>
      <c r="AO759" s="122">
        <v>0.5</v>
      </c>
      <c r="AP759" s="122">
        <v>0.5</v>
      </c>
      <c r="AQ759" s="122">
        <v>0.5</v>
      </c>
      <c r="AR759" s="122">
        <v>0.5</v>
      </c>
      <c r="AS759" s="122">
        <v>0.5</v>
      </c>
    </row>
    <row r="760" ht="12.75">
      <c r="Q760">
        <v>4</v>
      </c>
    </row>
  </sheetData>
  <sheetProtection/>
  <mergeCells count="1344">
    <mergeCell ref="AT736:AU751"/>
    <mergeCell ref="AT691:AU735"/>
    <mergeCell ref="AN713:AO713"/>
    <mergeCell ref="AL713:AM713"/>
    <mergeCell ref="AS698:AS699"/>
    <mergeCell ref="AN689:AO696"/>
    <mergeCell ref="AL712:AM712"/>
    <mergeCell ref="AU688:AU690"/>
    <mergeCell ref="AP752:AP753"/>
    <mergeCell ref="AQ752:AQ753"/>
    <mergeCell ref="AN752:AN753"/>
    <mergeCell ref="AO752:AO753"/>
    <mergeCell ref="AM752:AM753"/>
    <mergeCell ref="AF703:AG703"/>
    <mergeCell ref="AH704:AI704"/>
    <mergeCell ref="AJ704:AK704"/>
    <mergeCell ref="AL707:AM707"/>
    <mergeCell ref="AI752:AI753"/>
    <mergeCell ref="AA2:AB2"/>
    <mergeCell ref="AC2:AD2"/>
    <mergeCell ref="AJ697:AK697"/>
    <mergeCell ref="AP697:AQ697"/>
    <mergeCell ref="AJ698:AJ699"/>
    <mergeCell ref="AK698:AK699"/>
    <mergeCell ref="AP698:AP699"/>
    <mergeCell ref="AQ698:AQ699"/>
    <mergeCell ref="AA3:AB3"/>
    <mergeCell ref="AC3:AD3"/>
    <mergeCell ref="O2:P2"/>
    <mergeCell ref="Q2:R2"/>
    <mergeCell ref="S2:T2"/>
    <mergeCell ref="U2:V2"/>
    <mergeCell ref="W2:X2"/>
    <mergeCell ref="Y2:Z2"/>
    <mergeCell ref="B3:C11"/>
    <mergeCell ref="D3:D11"/>
    <mergeCell ref="E3:E11"/>
    <mergeCell ref="F3:F11"/>
    <mergeCell ref="G3:G11"/>
    <mergeCell ref="H3:H11"/>
    <mergeCell ref="I3:I11"/>
    <mergeCell ref="J3:J11"/>
    <mergeCell ref="K3:K11"/>
    <mergeCell ref="L3:L11"/>
    <mergeCell ref="M3:M11"/>
    <mergeCell ref="N3:N11"/>
    <mergeCell ref="O3:P3"/>
    <mergeCell ref="Q3:R3"/>
    <mergeCell ref="S3:T3"/>
    <mergeCell ref="U3:V3"/>
    <mergeCell ref="W3:X3"/>
    <mergeCell ref="Y3:Z3"/>
    <mergeCell ref="AT3:AT5"/>
    <mergeCell ref="AU3:AU5"/>
    <mergeCell ref="O4:P11"/>
    <mergeCell ref="Q4:R11"/>
    <mergeCell ref="S4:T11"/>
    <mergeCell ref="U4:V11"/>
    <mergeCell ref="W4:X11"/>
    <mergeCell ref="Y4:Z11"/>
    <mergeCell ref="AA4:AB11"/>
    <mergeCell ref="AC4:AD11"/>
    <mergeCell ref="AC12:AD12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2:V12"/>
    <mergeCell ref="W12:X12"/>
    <mergeCell ref="Y12:Z12"/>
    <mergeCell ref="AA12:AB12"/>
    <mergeCell ref="AE13:AE14"/>
    <mergeCell ref="B14:I14"/>
    <mergeCell ref="U13:U14"/>
    <mergeCell ref="V13:V14"/>
    <mergeCell ref="W13:W14"/>
    <mergeCell ref="X13:X14"/>
    <mergeCell ref="O13:O14"/>
    <mergeCell ref="P13:P14"/>
    <mergeCell ref="Q13:Q14"/>
    <mergeCell ref="R13:R14"/>
    <mergeCell ref="E24:I24"/>
    <mergeCell ref="E34:I34"/>
    <mergeCell ref="E44:I44"/>
    <mergeCell ref="AT51:AU66"/>
    <mergeCell ref="J58:J61"/>
    <mergeCell ref="F65:I65"/>
    <mergeCell ref="AT6:AU50"/>
    <mergeCell ref="O12:P12"/>
    <mergeCell ref="Q12:R12"/>
    <mergeCell ref="S12:T12"/>
    <mergeCell ref="B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T67:AU67"/>
    <mergeCell ref="AT68:AU68"/>
    <mergeCell ref="B72:G72"/>
    <mergeCell ref="K74:N74"/>
    <mergeCell ref="O75:P75"/>
    <mergeCell ref="Q75:R75"/>
    <mergeCell ref="S75:T75"/>
    <mergeCell ref="U75:V75"/>
    <mergeCell ref="Y75:Z75"/>
    <mergeCell ref="AC75:AD75"/>
    <mergeCell ref="B76:C84"/>
    <mergeCell ref="D76:D84"/>
    <mergeCell ref="E76:E84"/>
    <mergeCell ref="F76:F84"/>
    <mergeCell ref="G76:G84"/>
    <mergeCell ref="H76:H84"/>
    <mergeCell ref="I76:I84"/>
    <mergeCell ref="J76:J84"/>
    <mergeCell ref="K76:K84"/>
    <mergeCell ref="L76:L84"/>
    <mergeCell ref="M76:M84"/>
    <mergeCell ref="N76:N84"/>
    <mergeCell ref="O76:P76"/>
    <mergeCell ref="Q76:R76"/>
    <mergeCell ref="S76:T76"/>
    <mergeCell ref="U76:V76"/>
    <mergeCell ref="W76:X76"/>
    <mergeCell ref="Y76:Z76"/>
    <mergeCell ref="AA76:AB76"/>
    <mergeCell ref="AC76:AD76"/>
    <mergeCell ref="AT76:AT78"/>
    <mergeCell ref="AU76:AU78"/>
    <mergeCell ref="O77:P84"/>
    <mergeCell ref="Q77:R84"/>
    <mergeCell ref="S77:T84"/>
    <mergeCell ref="U77:V84"/>
    <mergeCell ref="W77:X84"/>
    <mergeCell ref="Y77:Z84"/>
    <mergeCell ref="O85:P85"/>
    <mergeCell ref="Q85:R85"/>
    <mergeCell ref="S85:T85"/>
    <mergeCell ref="U85:V85"/>
    <mergeCell ref="W85:X85"/>
    <mergeCell ref="Y85:Z85"/>
    <mergeCell ref="AA77:AB84"/>
    <mergeCell ref="AC77:AD84"/>
    <mergeCell ref="AA85:AB85"/>
    <mergeCell ref="AC85:AD85"/>
    <mergeCell ref="AE77:AE84"/>
    <mergeCell ref="AT79:AU123"/>
    <mergeCell ref="AA86:AA87"/>
    <mergeCell ref="AB86:AB87"/>
    <mergeCell ref="AE86:AE87"/>
    <mergeCell ref="AC86:AC87"/>
    <mergeCell ref="AD86:AD87"/>
    <mergeCell ref="AA140:AA141"/>
    <mergeCell ref="AB140:AB141"/>
    <mergeCell ref="S86:S87"/>
    <mergeCell ref="T86:T87"/>
    <mergeCell ref="U86:U87"/>
    <mergeCell ref="V86:V87"/>
    <mergeCell ref="Y86:Y87"/>
    <mergeCell ref="Z86:Z87"/>
    <mergeCell ref="B87:I87"/>
    <mergeCell ref="F110:I110"/>
    <mergeCell ref="F116:I116"/>
    <mergeCell ref="W86:W87"/>
    <mergeCell ref="X86:X87"/>
    <mergeCell ref="O86:O87"/>
    <mergeCell ref="P86:P87"/>
    <mergeCell ref="Q86:Q87"/>
    <mergeCell ref="R86:R87"/>
    <mergeCell ref="AT124:AU139"/>
    <mergeCell ref="B140:N141"/>
    <mergeCell ref="O140:O141"/>
    <mergeCell ref="P140:P141"/>
    <mergeCell ref="Q140:Q141"/>
    <mergeCell ref="R140:R141"/>
    <mergeCell ref="S140:S141"/>
    <mergeCell ref="T140:T141"/>
    <mergeCell ref="AC140:AC141"/>
    <mergeCell ref="AD140:AD141"/>
    <mergeCell ref="AE140:AE141"/>
    <mergeCell ref="AT140:AU140"/>
    <mergeCell ref="AT141:AU141"/>
    <mergeCell ref="B145:G145"/>
    <mergeCell ref="W140:W141"/>
    <mergeCell ref="X140:X141"/>
    <mergeCell ref="Y140:Y141"/>
    <mergeCell ref="Z140:Z141"/>
    <mergeCell ref="U140:U141"/>
    <mergeCell ref="V140:V141"/>
    <mergeCell ref="K148:N148"/>
    <mergeCell ref="O150:P150"/>
    <mergeCell ref="Q150:R150"/>
    <mergeCell ref="S150:T150"/>
    <mergeCell ref="U150:V150"/>
    <mergeCell ref="Y150:Z150"/>
    <mergeCell ref="AC150:AD150"/>
    <mergeCell ref="B151:C159"/>
    <mergeCell ref="D151:D159"/>
    <mergeCell ref="E151:E159"/>
    <mergeCell ref="F151:F159"/>
    <mergeCell ref="G151:G159"/>
    <mergeCell ref="H151:H159"/>
    <mergeCell ref="I151:I159"/>
    <mergeCell ref="J151:J159"/>
    <mergeCell ref="K151:K159"/>
    <mergeCell ref="L151:L159"/>
    <mergeCell ref="M151:M159"/>
    <mergeCell ref="N151:N159"/>
    <mergeCell ref="O151:P151"/>
    <mergeCell ref="Q151:R151"/>
    <mergeCell ref="S151:T151"/>
    <mergeCell ref="U151:V151"/>
    <mergeCell ref="W151:X151"/>
    <mergeCell ref="Y151:Z151"/>
    <mergeCell ref="AA151:AB151"/>
    <mergeCell ref="AC151:AD151"/>
    <mergeCell ref="AT151:AT153"/>
    <mergeCell ref="AM152:AM159"/>
    <mergeCell ref="AN152:AN159"/>
    <mergeCell ref="AO152:AO159"/>
    <mergeCell ref="AP152:AP159"/>
    <mergeCell ref="AU151:AU153"/>
    <mergeCell ref="O152:P159"/>
    <mergeCell ref="Q152:R159"/>
    <mergeCell ref="S152:T159"/>
    <mergeCell ref="U152:V159"/>
    <mergeCell ref="W152:X159"/>
    <mergeCell ref="Y152:Z159"/>
    <mergeCell ref="AA152:AB159"/>
    <mergeCell ref="AC152:AD159"/>
    <mergeCell ref="AE152:AE159"/>
    <mergeCell ref="AT154:AU198"/>
    <mergeCell ref="O160:P160"/>
    <mergeCell ref="Q160:R160"/>
    <mergeCell ref="S160:T160"/>
    <mergeCell ref="U160:V160"/>
    <mergeCell ref="W160:X160"/>
    <mergeCell ref="Y160:Z160"/>
    <mergeCell ref="AA160:AB160"/>
    <mergeCell ref="AC160:AD160"/>
    <mergeCell ref="O161:O162"/>
    <mergeCell ref="P161:P162"/>
    <mergeCell ref="Q161:Q162"/>
    <mergeCell ref="R161:R162"/>
    <mergeCell ref="S161:S162"/>
    <mergeCell ref="T161:T162"/>
    <mergeCell ref="U161:U162"/>
    <mergeCell ref="AB161:AB162"/>
    <mergeCell ref="AC161:AC162"/>
    <mergeCell ref="AD161:AD162"/>
    <mergeCell ref="AE161:AE162"/>
    <mergeCell ref="V161:V162"/>
    <mergeCell ref="W161:W162"/>
    <mergeCell ref="X161:X162"/>
    <mergeCell ref="Y161:Y162"/>
    <mergeCell ref="Z161:Z162"/>
    <mergeCell ref="AA161:AA162"/>
    <mergeCell ref="AT199:AU214"/>
    <mergeCell ref="B215:N216"/>
    <mergeCell ref="O215:O216"/>
    <mergeCell ref="P215:P216"/>
    <mergeCell ref="Q215:Q216"/>
    <mergeCell ref="R215:R216"/>
    <mergeCell ref="S215:S216"/>
    <mergeCell ref="T215:T216"/>
    <mergeCell ref="U215:U216"/>
    <mergeCell ref="V215:V216"/>
    <mergeCell ref="W215:W216"/>
    <mergeCell ref="X215:X216"/>
    <mergeCell ref="Y215:Y216"/>
    <mergeCell ref="Z215:Z216"/>
    <mergeCell ref="AA215:AA216"/>
    <mergeCell ref="AB215:AB216"/>
    <mergeCell ref="AC215:AC216"/>
    <mergeCell ref="AD215:AD216"/>
    <mergeCell ref="AE215:AE216"/>
    <mergeCell ref="AT215:AU215"/>
    <mergeCell ref="AT216:AU216"/>
    <mergeCell ref="B220:G220"/>
    <mergeCell ref="AF215:AF216"/>
    <mergeCell ref="AG215:AG216"/>
    <mergeCell ref="AH215:AH216"/>
    <mergeCell ref="AI215:AI216"/>
    <mergeCell ref="K222:N222"/>
    <mergeCell ref="K223:N223"/>
    <mergeCell ref="O225:P225"/>
    <mergeCell ref="Q225:R225"/>
    <mergeCell ref="S225:T225"/>
    <mergeCell ref="U225:V225"/>
    <mergeCell ref="Y225:Z225"/>
    <mergeCell ref="AC225:AD225"/>
    <mergeCell ref="B226:C234"/>
    <mergeCell ref="D226:D234"/>
    <mergeCell ref="E226:E234"/>
    <mergeCell ref="F226:F234"/>
    <mergeCell ref="G226:G234"/>
    <mergeCell ref="H226:H234"/>
    <mergeCell ref="I226:I234"/>
    <mergeCell ref="J226:J234"/>
    <mergeCell ref="K226:K234"/>
    <mergeCell ref="L226:L234"/>
    <mergeCell ref="M226:M234"/>
    <mergeCell ref="N226:N234"/>
    <mergeCell ref="O226:P226"/>
    <mergeCell ref="Q226:R226"/>
    <mergeCell ref="O227:P234"/>
    <mergeCell ref="Q227:R234"/>
    <mergeCell ref="S226:T226"/>
    <mergeCell ref="U226:V226"/>
    <mergeCell ref="W226:X226"/>
    <mergeCell ref="Y226:Z226"/>
    <mergeCell ref="AA226:AB226"/>
    <mergeCell ref="AC226:AD226"/>
    <mergeCell ref="AT226:AT228"/>
    <mergeCell ref="AK227:AK234"/>
    <mergeCell ref="AL227:AL234"/>
    <mergeCell ref="AM227:AM234"/>
    <mergeCell ref="AN227:AN234"/>
    <mergeCell ref="AU226:AU228"/>
    <mergeCell ref="AS227:AS234"/>
    <mergeCell ref="S227:T234"/>
    <mergeCell ref="U227:V234"/>
    <mergeCell ref="W227:X234"/>
    <mergeCell ref="Y227:Z234"/>
    <mergeCell ref="AA227:AB234"/>
    <mergeCell ref="AC227:AD234"/>
    <mergeCell ref="AE227:AE234"/>
    <mergeCell ref="AT229:AU273"/>
    <mergeCell ref="O235:P235"/>
    <mergeCell ref="Q235:R235"/>
    <mergeCell ref="S235:T235"/>
    <mergeCell ref="U235:V235"/>
    <mergeCell ref="W235:X235"/>
    <mergeCell ref="Y235:Z235"/>
    <mergeCell ref="AA235:AB235"/>
    <mergeCell ref="AC235:AD235"/>
    <mergeCell ref="O236:O237"/>
    <mergeCell ref="Z236:Z237"/>
    <mergeCell ref="AA236:AA237"/>
    <mergeCell ref="P236:P237"/>
    <mergeCell ref="Q236:Q237"/>
    <mergeCell ref="R236:R237"/>
    <mergeCell ref="S236:S237"/>
    <mergeCell ref="T236:T237"/>
    <mergeCell ref="U236:U237"/>
    <mergeCell ref="AB236:AB237"/>
    <mergeCell ref="AC236:AC237"/>
    <mergeCell ref="AD236:AD237"/>
    <mergeCell ref="AE236:AE237"/>
    <mergeCell ref="B237:I237"/>
    <mergeCell ref="B250:I250"/>
    <mergeCell ref="V236:V237"/>
    <mergeCell ref="W236:W237"/>
    <mergeCell ref="X236:X237"/>
    <mergeCell ref="Y236:Y237"/>
    <mergeCell ref="B274:I274"/>
    <mergeCell ref="AT274:AU289"/>
    <mergeCell ref="B290:N291"/>
    <mergeCell ref="O290:O291"/>
    <mergeCell ref="P290:P291"/>
    <mergeCell ref="Q290:Q291"/>
    <mergeCell ref="R290:R291"/>
    <mergeCell ref="S290:S291"/>
    <mergeCell ref="T290:T291"/>
    <mergeCell ref="U290:U291"/>
    <mergeCell ref="V290:V291"/>
    <mergeCell ref="W290:W291"/>
    <mergeCell ref="X290:X291"/>
    <mergeCell ref="Y290:Y291"/>
    <mergeCell ref="Z290:Z291"/>
    <mergeCell ref="AA290:AA291"/>
    <mergeCell ref="AB290:AB291"/>
    <mergeCell ref="AC290:AC291"/>
    <mergeCell ref="AD290:AD291"/>
    <mergeCell ref="AE290:AE291"/>
    <mergeCell ref="AT290:AU290"/>
    <mergeCell ref="AT291:AU291"/>
    <mergeCell ref="AM290:AM291"/>
    <mergeCell ref="AN290:AN291"/>
    <mergeCell ref="AO290:AO291"/>
    <mergeCell ref="AP290:AP291"/>
    <mergeCell ref="B295:G295"/>
    <mergeCell ref="K297:N297"/>
    <mergeCell ref="O303:P303"/>
    <mergeCell ref="Q303:R303"/>
    <mergeCell ref="S303:T303"/>
    <mergeCell ref="U303:V303"/>
    <mergeCell ref="Y303:Z303"/>
    <mergeCell ref="AC303:AD303"/>
    <mergeCell ref="B304:C312"/>
    <mergeCell ref="D304:D312"/>
    <mergeCell ref="E304:E312"/>
    <mergeCell ref="F304:F312"/>
    <mergeCell ref="G304:G312"/>
    <mergeCell ref="H304:H312"/>
    <mergeCell ref="I304:I312"/>
    <mergeCell ref="J304:J312"/>
    <mergeCell ref="K304:K312"/>
    <mergeCell ref="L304:L312"/>
    <mergeCell ref="M304:M312"/>
    <mergeCell ref="N304:N312"/>
    <mergeCell ref="O304:P304"/>
    <mergeCell ref="Q304:R304"/>
    <mergeCell ref="S304:T304"/>
    <mergeCell ref="U304:V304"/>
    <mergeCell ref="W304:X304"/>
    <mergeCell ref="Y304:Z304"/>
    <mergeCell ref="AA304:AB304"/>
    <mergeCell ref="AC304:AD304"/>
    <mergeCell ref="AT304:AT306"/>
    <mergeCell ref="AU304:AU306"/>
    <mergeCell ref="O305:P312"/>
    <mergeCell ref="Q305:R312"/>
    <mergeCell ref="S305:T312"/>
    <mergeCell ref="U305:V312"/>
    <mergeCell ref="W305:X312"/>
    <mergeCell ref="Y305:Z312"/>
    <mergeCell ref="AA305:AB312"/>
    <mergeCell ref="AC305:AD312"/>
    <mergeCell ref="AE305:AE312"/>
    <mergeCell ref="AT307:AU351"/>
    <mergeCell ref="O313:P313"/>
    <mergeCell ref="Q313:R313"/>
    <mergeCell ref="S313:T313"/>
    <mergeCell ref="U313:V313"/>
    <mergeCell ref="W313:X313"/>
    <mergeCell ref="Y313:Z313"/>
    <mergeCell ref="AA313:AB313"/>
    <mergeCell ref="AC313:AD313"/>
    <mergeCell ref="Y314:Y315"/>
    <mergeCell ref="Z314:Z315"/>
    <mergeCell ref="O314:O315"/>
    <mergeCell ref="P314:P315"/>
    <mergeCell ref="Q314:Q315"/>
    <mergeCell ref="R314:R315"/>
    <mergeCell ref="S314:S315"/>
    <mergeCell ref="T314:T315"/>
    <mergeCell ref="AA314:AA315"/>
    <mergeCell ref="AB314:AB315"/>
    <mergeCell ref="AC314:AC315"/>
    <mergeCell ref="AD314:AD315"/>
    <mergeCell ref="AE314:AE315"/>
    <mergeCell ref="B315:I315"/>
    <mergeCell ref="U314:U315"/>
    <mergeCell ref="V314:V315"/>
    <mergeCell ref="W314:W315"/>
    <mergeCell ref="X314:X315"/>
    <mergeCell ref="B327:I327"/>
    <mergeCell ref="AT352:AU367"/>
    <mergeCell ref="B368:N369"/>
    <mergeCell ref="O368:O369"/>
    <mergeCell ref="P368:P369"/>
    <mergeCell ref="Q368:Q369"/>
    <mergeCell ref="R368:R369"/>
    <mergeCell ref="S368:S369"/>
    <mergeCell ref="T368:T369"/>
    <mergeCell ref="U368:U369"/>
    <mergeCell ref="V368:V369"/>
    <mergeCell ref="W368:W369"/>
    <mergeCell ref="X368:X369"/>
    <mergeCell ref="Y368:Y369"/>
    <mergeCell ref="Z368:Z369"/>
    <mergeCell ref="AA368:AA369"/>
    <mergeCell ref="AB368:AB369"/>
    <mergeCell ref="AC368:AC369"/>
    <mergeCell ref="AD368:AD369"/>
    <mergeCell ref="AE368:AE369"/>
    <mergeCell ref="AT368:AU368"/>
    <mergeCell ref="AT369:AU369"/>
    <mergeCell ref="AK368:AK369"/>
    <mergeCell ref="AL368:AL369"/>
    <mergeCell ref="AM368:AM369"/>
    <mergeCell ref="AN368:AN369"/>
    <mergeCell ref="B373:G373"/>
    <mergeCell ref="O380:P380"/>
    <mergeCell ref="Q380:R380"/>
    <mergeCell ref="S380:T380"/>
    <mergeCell ref="U380:V380"/>
    <mergeCell ref="Y380:Z380"/>
    <mergeCell ref="B381:C389"/>
    <mergeCell ref="D381:D389"/>
    <mergeCell ref="E381:E389"/>
    <mergeCell ref="F381:F389"/>
    <mergeCell ref="G381:G389"/>
    <mergeCell ref="H381:H389"/>
    <mergeCell ref="I381:I389"/>
    <mergeCell ref="J381:J389"/>
    <mergeCell ref="K381:K389"/>
    <mergeCell ref="L381:L389"/>
    <mergeCell ref="M381:M389"/>
    <mergeCell ref="N381:N389"/>
    <mergeCell ref="O381:P381"/>
    <mergeCell ref="Q381:R381"/>
    <mergeCell ref="S381:T381"/>
    <mergeCell ref="U381:V381"/>
    <mergeCell ref="W381:X381"/>
    <mergeCell ref="Y381:Z381"/>
    <mergeCell ref="AA381:AB381"/>
    <mergeCell ref="AT381:AT383"/>
    <mergeCell ref="AU381:AU383"/>
    <mergeCell ref="O382:P389"/>
    <mergeCell ref="Q382:R389"/>
    <mergeCell ref="S382:T389"/>
    <mergeCell ref="U382:V389"/>
    <mergeCell ref="W382:X389"/>
    <mergeCell ref="Y382:Z389"/>
    <mergeCell ref="AA382:AB389"/>
    <mergeCell ref="O390:P390"/>
    <mergeCell ref="Q390:R390"/>
    <mergeCell ref="S390:T390"/>
    <mergeCell ref="U390:V390"/>
    <mergeCell ref="W390:X390"/>
    <mergeCell ref="Y390:Z390"/>
    <mergeCell ref="AD382:AD389"/>
    <mergeCell ref="AE382:AE389"/>
    <mergeCell ref="AT384:AU428"/>
    <mergeCell ref="AB391:AB392"/>
    <mergeCell ref="AC391:AC392"/>
    <mergeCell ref="AA390:AB390"/>
    <mergeCell ref="AO382:AO389"/>
    <mergeCell ref="AP382:AP389"/>
    <mergeCell ref="AQ382:AQ389"/>
    <mergeCell ref="AR382:AR389"/>
    <mergeCell ref="R391:R392"/>
    <mergeCell ref="S391:S392"/>
    <mergeCell ref="T391:T392"/>
    <mergeCell ref="V391:V392"/>
    <mergeCell ref="W391:W392"/>
    <mergeCell ref="AC382:AC389"/>
    <mergeCell ref="B392:I392"/>
    <mergeCell ref="B393:C393"/>
    <mergeCell ref="F403:I403"/>
    <mergeCell ref="O391:O392"/>
    <mergeCell ref="P391:P392"/>
    <mergeCell ref="Q391:Q392"/>
    <mergeCell ref="F429:I429"/>
    <mergeCell ref="X391:X392"/>
    <mergeCell ref="Y391:Y392"/>
    <mergeCell ref="Z391:Z392"/>
    <mergeCell ref="AA391:AA392"/>
    <mergeCell ref="AT429:AU444"/>
    <mergeCell ref="F434:I434"/>
    <mergeCell ref="U391:U392"/>
    <mergeCell ref="AD391:AD392"/>
    <mergeCell ref="AE391:AE392"/>
    <mergeCell ref="Y445:Y446"/>
    <mergeCell ref="B445:N446"/>
    <mergeCell ref="O445:O446"/>
    <mergeCell ref="P445:P446"/>
    <mergeCell ref="Q445:Q446"/>
    <mergeCell ref="R445:R446"/>
    <mergeCell ref="S445:S446"/>
    <mergeCell ref="AA445:AA446"/>
    <mergeCell ref="AB445:AB446"/>
    <mergeCell ref="AC445:AC446"/>
    <mergeCell ref="AD445:AD446"/>
    <mergeCell ref="AE445:AE446"/>
    <mergeCell ref="T445:T446"/>
    <mergeCell ref="U445:U446"/>
    <mergeCell ref="V445:V446"/>
    <mergeCell ref="W445:W446"/>
    <mergeCell ref="X445:X446"/>
    <mergeCell ref="AT445:AU445"/>
    <mergeCell ref="AT446:AU446"/>
    <mergeCell ref="B450:G450"/>
    <mergeCell ref="O457:P457"/>
    <mergeCell ref="Q457:R457"/>
    <mergeCell ref="S457:T457"/>
    <mergeCell ref="U457:V457"/>
    <mergeCell ref="Y457:Z457"/>
    <mergeCell ref="AC457:AD457"/>
    <mergeCell ref="Z445:Z446"/>
    <mergeCell ref="N458:N466"/>
    <mergeCell ref="O458:P458"/>
    <mergeCell ref="Q458:R458"/>
    <mergeCell ref="S458:T458"/>
    <mergeCell ref="B458:C466"/>
    <mergeCell ref="D458:D466"/>
    <mergeCell ref="E458:E466"/>
    <mergeCell ref="F458:F466"/>
    <mergeCell ref="G458:G466"/>
    <mergeCell ref="H458:H466"/>
    <mergeCell ref="U458:V458"/>
    <mergeCell ref="W458:X458"/>
    <mergeCell ref="Y458:Z458"/>
    <mergeCell ref="AA458:AB458"/>
    <mergeCell ref="AC458:AD458"/>
    <mergeCell ref="I458:I466"/>
    <mergeCell ref="J458:J466"/>
    <mergeCell ref="K458:K466"/>
    <mergeCell ref="L458:L466"/>
    <mergeCell ref="M458:M466"/>
    <mergeCell ref="O468:O469"/>
    <mergeCell ref="AU458:AU460"/>
    <mergeCell ref="O459:P466"/>
    <mergeCell ref="Q459:R466"/>
    <mergeCell ref="S459:T466"/>
    <mergeCell ref="U459:V466"/>
    <mergeCell ref="W459:X466"/>
    <mergeCell ref="Y459:Z466"/>
    <mergeCell ref="AA459:AB466"/>
    <mergeCell ref="AC459:AD466"/>
    <mergeCell ref="O467:P467"/>
    <mergeCell ref="Q467:R467"/>
    <mergeCell ref="S467:T467"/>
    <mergeCell ref="U467:V467"/>
    <mergeCell ref="W467:X467"/>
    <mergeCell ref="Y467:Z467"/>
    <mergeCell ref="P468:P469"/>
    <mergeCell ref="Q468:Q469"/>
    <mergeCell ref="R468:R469"/>
    <mergeCell ref="S468:S469"/>
    <mergeCell ref="T468:T469"/>
    <mergeCell ref="U468:U469"/>
    <mergeCell ref="V468:V469"/>
    <mergeCell ref="W468:W469"/>
    <mergeCell ref="X468:X469"/>
    <mergeCell ref="Y468:Y469"/>
    <mergeCell ref="Z468:Z469"/>
    <mergeCell ref="AA468:AA469"/>
    <mergeCell ref="AT506:AU521"/>
    <mergeCell ref="AT461:AU505"/>
    <mergeCell ref="AB468:AB469"/>
    <mergeCell ref="AC468:AC469"/>
    <mergeCell ref="AD468:AD469"/>
    <mergeCell ref="AE468:AE469"/>
    <mergeCell ref="AA467:AB467"/>
    <mergeCell ref="AC467:AD467"/>
    <mergeCell ref="AE459:AE466"/>
    <mergeCell ref="AT458:AT460"/>
    <mergeCell ref="Y522:Y523"/>
    <mergeCell ref="B522:N523"/>
    <mergeCell ref="O522:O523"/>
    <mergeCell ref="P522:P523"/>
    <mergeCell ref="Q522:Q523"/>
    <mergeCell ref="R522:R523"/>
    <mergeCell ref="S522:S523"/>
    <mergeCell ref="AA522:AA523"/>
    <mergeCell ref="AB522:AB523"/>
    <mergeCell ref="AC522:AC523"/>
    <mergeCell ref="AD522:AD523"/>
    <mergeCell ref="AE522:AE523"/>
    <mergeCell ref="T522:T523"/>
    <mergeCell ref="U522:U523"/>
    <mergeCell ref="V522:V523"/>
    <mergeCell ref="W522:W523"/>
    <mergeCell ref="X522:X523"/>
    <mergeCell ref="I535:I543"/>
    <mergeCell ref="AT522:AU522"/>
    <mergeCell ref="AT523:AU523"/>
    <mergeCell ref="B527:G527"/>
    <mergeCell ref="K529:N529"/>
    <mergeCell ref="K530:N530"/>
    <mergeCell ref="M534:N534"/>
    <mergeCell ref="O534:P534"/>
    <mergeCell ref="Q534:R534"/>
    <mergeCell ref="Z522:Z523"/>
    <mergeCell ref="B535:C543"/>
    <mergeCell ref="D535:D543"/>
    <mergeCell ref="E535:E543"/>
    <mergeCell ref="F535:F543"/>
    <mergeCell ref="G535:G543"/>
    <mergeCell ref="H535:H543"/>
    <mergeCell ref="J535:J543"/>
    <mergeCell ref="M535:N535"/>
    <mergeCell ref="O535:P535"/>
    <mergeCell ref="Q535:R535"/>
    <mergeCell ref="K536:K543"/>
    <mergeCell ref="L536:L543"/>
    <mergeCell ref="M536:N543"/>
    <mergeCell ref="O536:P543"/>
    <mergeCell ref="Q536:R543"/>
    <mergeCell ref="S536:S543"/>
    <mergeCell ref="AA536:AA543"/>
    <mergeCell ref="AB536:AB543"/>
    <mergeCell ref="T536:T543"/>
    <mergeCell ref="U536:U543"/>
    <mergeCell ref="V536:V543"/>
    <mergeCell ref="W536:W543"/>
    <mergeCell ref="X536:X543"/>
    <mergeCell ref="Y536:Y543"/>
    <mergeCell ref="Z536:Z543"/>
    <mergeCell ref="AC536:AC543"/>
    <mergeCell ref="AD536:AD543"/>
    <mergeCell ref="AE536:AE543"/>
    <mergeCell ref="AT538:AU582"/>
    <mergeCell ref="AC545:AC546"/>
    <mergeCell ref="AD545:AD546"/>
    <mergeCell ref="AE545:AE546"/>
    <mergeCell ref="AU535:AU537"/>
    <mergeCell ref="AT535:AT537"/>
    <mergeCell ref="AN536:AN543"/>
    <mergeCell ref="M544:N544"/>
    <mergeCell ref="O544:P544"/>
    <mergeCell ref="Q544:R544"/>
    <mergeCell ref="B545:C545"/>
    <mergeCell ref="K545:K546"/>
    <mergeCell ref="L545:L546"/>
    <mergeCell ref="M545:M546"/>
    <mergeCell ref="N545:N546"/>
    <mergeCell ref="O545:O546"/>
    <mergeCell ref="P545:P546"/>
    <mergeCell ref="Q545:Q546"/>
    <mergeCell ref="R545:R546"/>
    <mergeCell ref="S545:S546"/>
    <mergeCell ref="T545:T546"/>
    <mergeCell ref="U545:U546"/>
    <mergeCell ref="V545:V546"/>
    <mergeCell ref="W545:W546"/>
    <mergeCell ref="X545:X546"/>
    <mergeCell ref="Y545:Y546"/>
    <mergeCell ref="Z545:Z546"/>
    <mergeCell ref="AA545:AA546"/>
    <mergeCell ref="AB545:AB546"/>
    <mergeCell ref="AT583:AU598"/>
    <mergeCell ref="B599:J600"/>
    <mergeCell ref="K599:K600"/>
    <mergeCell ref="L599:L600"/>
    <mergeCell ref="M599:M600"/>
    <mergeCell ref="N599:N600"/>
    <mergeCell ref="O599:O600"/>
    <mergeCell ref="P599:P600"/>
    <mergeCell ref="Q599:Q600"/>
    <mergeCell ref="AB599:AB600"/>
    <mergeCell ref="AC599:AC600"/>
    <mergeCell ref="R599:R600"/>
    <mergeCell ref="S599:S600"/>
    <mergeCell ref="T599:T600"/>
    <mergeCell ref="U599:U600"/>
    <mergeCell ref="V599:V600"/>
    <mergeCell ref="W599:W600"/>
    <mergeCell ref="AD599:AD600"/>
    <mergeCell ref="AE599:AE600"/>
    <mergeCell ref="AT599:AU599"/>
    <mergeCell ref="AT600:AU600"/>
    <mergeCell ref="M610:N610"/>
    <mergeCell ref="O610:P610"/>
    <mergeCell ref="X599:X600"/>
    <mergeCell ref="Y599:Y600"/>
    <mergeCell ref="Z599:Z600"/>
    <mergeCell ref="AA599:AA600"/>
    <mergeCell ref="B611:C619"/>
    <mergeCell ref="D611:D619"/>
    <mergeCell ref="E611:E619"/>
    <mergeCell ref="F611:F619"/>
    <mergeCell ref="G611:G619"/>
    <mergeCell ref="H611:H619"/>
    <mergeCell ref="I611:I619"/>
    <mergeCell ref="J611:J619"/>
    <mergeCell ref="M611:N611"/>
    <mergeCell ref="O611:P611"/>
    <mergeCell ref="AT611:AT613"/>
    <mergeCell ref="AU611:AU613"/>
    <mergeCell ref="K612:K619"/>
    <mergeCell ref="L612:L619"/>
    <mergeCell ref="M612:N619"/>
    <mergeCell ref="O612:P619"/>
    <mergeCell ref="Q612:Q619"/>
    <mergeCell ref="R612:R619"/>
    <mergeCell ref="S612:S619"/>
    <mergeCell ref="T612:T619"/>
    <mergeCell ref="U612:U619"/>
    <mergeCell ref="V612:V619"/>
    <mergeCell ref="W612:W619"/>
    <mergeCell ref="X612:X619"/>
    <mergeCell ref="Y612:Y619"/>
    <mergeCell ref="Z612:Z619"/>
    <mergeCell ref="AA612:AA619"/>
    <mergeCell ref="AB612:AB619"/>
    <mergeCell ref="AC612:AC619"/>
    <mergeCell ref="AD612:AD619"/>
    <mergeCell ref="AE612:AE619"/>
    <mergeCell ref="AT614:AU658"/>
    <mergeCell ref="M620:N620"/>
    <mergeCell ref="O620:P620"/>
    <mergeCell ref="P621:P622"/>
    <mergeCell ref="Q621:Q622"/>
    <mergeCell ref="R621:R622"/>
    <mergeCell ref="S621:S622"/>
    <mergeCell ref="B621:C621"/>
    <mergeCell ref="K621:K622"/>
    <mergeCell ref="L621:L622"/>
    <mergeCell ref="M621:M622"/>
    <mergeCell ref="N621:N622"/>
    <mergeCell ref="O621:O622"/>
    <mergeCell ref="AC621:AC622"/>
    <mergeCell ref="AD621:AD622"/>
    <mergeCell ref="AE621:AE622"/>
    <mergeCell ref="T621:T622"/>
    <mergeCell ref="U621:U622"/>
    <mergeCell ref="V621:V622"/>
    <mergeCell ref="W621:W622"/>
    <mergeCell ref="X621:X622"/>
    <mergeCell ref="Y621:Y622"/>
    <mergeCell ref="N675:N676"/>
    <mergeCell ref="O675:O676"/>
    <mergeCell ref="Z621:Z622"/>
    <mergeCell ref="AA621:AA622"/>
    <mergeCell ref="AB621:AB622"/>
    <mergeCell ref="S675:S676"/>
    <mergeCell ref="T675:T676"/>
    <mergeCell ref="U675:U676"/>
    <mergeCell ref="Y675:Y676"/>
    <mergeCell ref="Z675:Z676"/>
    <mergeCell ref="AT659:AU674"/>
    <mergeCell ref="B675:J676"/>
    <mergeCell ref="K675:K676"/>
    <mergeCell ref="L675:L676"/>
    <mergeCell ref="AC675:AC676"/>
    <mergeCell ref="AD675:AD676"/>
    <mergeCell ref="AE675:AE676"/>
    <mergeCell ref="M675:M676"/>
    <mergeCell ref="AB675:AB676"/>
    <mergeCell ref="AA675:AA676"/>
    <mergeCell ref="P675:P676"/>
    <mergeCell ref="Q675:Q676"/>
    <mergeCell ref="R675:R676"/>
    <mergeCell ref="AT675:AU675"/>
    <mergeCell ref="AT676:AU676"/>
    <mergeCell ref="V675:V676"/>
    <mergeCell ref="W675:W676"/>
    <mergeCell ref="X675:X676"/>
    <mergeCell ref="AF675:AF676"/>
    <mergeCell ref="AG675:AG676"/>
    <mergeCell ref="P687:Q687"/>
    <mergeCell ref="T687:U687"/>
    <mergeCell ref="B688:C696"/>
    <mergeCell ref="D688:D696"/>
    <mergeCell ref="E688:E696"/>
    <mergeCell ref="F688:F696"/>
    <mergeCell ref="G688:G696"/>
    <mergeCell ref="H689:I696"/>
    <mergeCell ref="J689:K696"/>
    <mergeCell ref="L689:M696"/>
    <mergeCell ref="V687:W687"/>
    <mergeCell ref="AB688:AC688"/>
    <mergeCell ref="R688:S688"/>
    <mergeCell ref="H688:I688"/>
    <mergeCell ref="J688:K688"/>
    <mergeCell ref="AF688:AG688"/>
    <mergeCell ref="L688:M688"/>
    <mergeCell ref="N688:O688"/>
    <mergeCell ref="L687:M687"/>
    <mergeCell ref="N687:O687"/>
    <mergeCell ref="P688:Q688"/>
    <mergeCell ref="X688:Y688"/>
    <mergeCell ref="Z688:AA688"/>
    <mergeCell ref="AH688:AI688"/>
    <mergeCell ref="AF689:AG696"/>
    <mergeCell ref="V689:W696"/>
    <mergeCell ref="AB689:AC696"/>
    <mergeCell ref="T688:U688"/>
    <mergeCell ref="V688:W688"/>
    <mergeCell ref="X689:Y696"/>
    <mergeCell ref="AL706:AM706"/>
    <mergeCell ref="AR689:AS696"/>
    <mergeCell ref="AL698:AL699"/>
    <mergeCell ref="AM698:AM699"/>
    <mergeCell ref="AP689:AQ696"/>
    <mergeCell ref="AL689:AM696"/>
    <mergeCell ref="Z689:AA696"/>
    <mergeCell ref="AD689:AE696"/>
    <mergeCell ref="AH689:AI696"/>
    <mergeCell ref="AD688:AE688"/>
    <mergeCell ref="AL688:AM688"/>
    <mergeCell ref="AT688:AT690"/>
    <mergeCell ref="AP688:AQ688"/>
    <mergeCell ref="AD697:AE697"/>
    <mergeCell ref="H698:H699"/>
    <mergeCell ref="I698:I699"/>
    <mergeCell ref="J698:J699"/>
    <mergeCell ref="M698:M699"/>
    <mergeCell ref="T698:T699"/>
    <mergeCell ref="U698:U699"/>
    <mergeCell ref="H697:I697"/>
    <mergeCell ref="J697:K697"/>
    <mergeCell ref="L697:M697"/>
    <mergeCell ref="P752:P753"/>
    <mergeCell ref="I752:I753"/>
    <mergeCell ref="J752:J753"/>
    <mergeCell ref="K752:K753"/>
    <mergeCell ref="K698:K699"/>
    <mergeCell ref="L698:L699"/>
    <mergeCell ref="N698:N699"/>
    <mergeCell ref="O698:O699"/>
    <mergeCell ref="T689:U696"/>
    <mergeCell ref="Q698:Q699"/>
    <mergeCell ref="P698:P699"/>
    <mergeCell ref="N689:O696"/>
    <mergeCell ref="P689:Q696"/>
    <mergeCell ref="Y698:Y699"/>
    <mergeCell ref="N697:O697"/>
    <mergeCell ref="P697:Q697"/>
    <mergeCell ref="R689:S696"/>
    <mergeCell ref="R697:S697"/>
    <mergeCell ref="Z698:Z699"/>
    <mergeCell ref="X698:X699"/>
    <mergeCell ref="R698:R699"/>
    <mergeCell ref="T697:U697"/>
    <mergeCell ref="V697:W697"/>
    <mergeCell ref="S698:S699"/>
    <mergeCell ref="V698:V699"/>
    <mergeCell ref="W698:W699"/>
    <mergeCell ref="Z697:AA697"/>
    <mergeCell ref="X697:Y697"/>
    <mergeCell ref="AT752:AU752"/>
    <mergeCell ref="AT753:AU753"/>
    <mergeCell ref="AR708:AS708"/>
    <mergeCell ref="B699:F699"/>
    <mergeCell ref="AB698:AB699"/>
    <mergeCell ref="AC698:AC699"/>
    <mergeCell ref="AF698:AF699"/>
    <mergeCell ref="AG698:AG699"/>
    <mergeCell ref="AI698:AI699"/>
    <mergeCell ref="H752:H753"/>
    <mergeCell ref="R752:R753"/>
    <mergeCell ref="S752:S753"/>
    <mergeCell ref="L752:L753"/>
    <mergeCell ref="Q752:Q753"/>
    <mergeCell ref="X752:X753"/>
    <mergeCell ref="AE698:AE699"/>
    <mergeCell ref="AB752:AB753"/>
    <mergeCell ref="V752:V753"/>
    <mergeCell ref="W752:W753"/>
    <mergeCell ref="X701:Y701"/>
    <mergeCell ref="AH698:AH699"/>
    <mergeCell ref="AH697:AI697"/>
    <mergeCell ref="AR697:AS697"/>
    <mergeCell ref="AN688:AO688"/>
    <mergeCell ref="AR688:AS688"/>
    <mergeCell ref="AN697:AO697"/>
    <mergeCell ref="AR698:AR699"/>
    <mergeCell ref="AJ688:AK688"/>
    <mergeCell ref="AJ689:AK696"/>
    <mergeCell ref="AL697:AM697"/>
    <mergeCell ref="AR752:AR753"/>
    <mergeCell ref="AS752:AS753"/>
    <mergeCell ref="T752:T753"/>
    <mergeCell ref="U752:U753"/>
    <mergeCell ref="AN698:AN699"/>
    <mergeCell ref="AO698:AO699"/>
    <mergeCell ref="AR701:AS701"/>
    <mergeCell ref="AE752:AE753"/>
    <mergeCell ref="AL708:AM708"/>
    <mergeCell ref="AD752:AD753"/>
    <mergeCell ref="B752:G753"/>
    <mergeCell ref="AH711:AI711"/>
    <mergeCell ref="AH713:AI713"/>
    <mergeCell ref="AL711:AM711"/>
    <mergeCell ref="AH752:AH753"/>
    <mergeCell ref="M752:M753"/>
    <mergeCell ref="N752:N753"/>
    <mergeCell ref="Z752:Z753"/>
    <mergeCell ref="AA752:AA753"/>
    <mergeCell ref="O752:O753"/>
    <mergeCell ref="AL752:AL753"/>
    <mergeCell ref="AF752:AF753"/>
    <mergeCell ref="AC752:AC753"/>
    <mergeCell ref="AG752:AG753"/>
    <mergeCell ref="Y752:Y753"/>
    <mergeCell ref="AJ752:AJ753"/>
    <mergeCell ref="AK752:AK753"/>
    <mergeCell ref="B730:C730"/>
    <mergeCell ref="B732:C732"/>
    <mergeCell ref="B734:C734"/>
    <mergeCell ref="B736:C736"/>
    <mergeCell ref="AH706:AI706"/>
    <mergeCell ref="B726:C726"/>
    <mergeCell ref="AF13:AF14"/>
    <mergeCell ref="AF67:AF68"/>
    <mergeCell ref="AE4:AF11"/>
    <mergeCell ref="AE3:AF3"/>
    <mergeCell ref="AE12:AF12"/>
    <mergeCell ref="B728:C728"/>
    <mergeCell ref="AB697:AC697"/>
    <mergeCell ref="AF697:AG697"/>
    <mergeCell ref="AA698:AA699"/>
    <mergeCell ref="AD698:AD699"/>
    <mergeCell ref="AG3:AH3"/>
    <mergeCell ref="AG4:AH11"/>
    <mergeCell ref="AG12:AH12"/>
    <mergeCell ref="AG13:AG14"/>
    <mergeCell ref="AH13:AH14"/>
    <mergeCell ref="AG67:AG68"/>
    <mergeCell ref="AH67:AH68"/>
    <mergeCell ref="AI3:AJ3"/>
    <mergeCell ref="AK3:AL3"/>
    <mergeCell ref="AI4:AJ11"/>
    <mergeCell ref="AK4:AL11"/>
    <mergeCell ref="AI12:AJ12"/>
    <mergeCell ref="AK12:AL12"/>
    <mergeCell ref="AI13:AI14"/>
    <mergeCell ref="AJ13:AJ14"/>
    <mergeCell ref="AK13:AK14"/>
    <mergeCell ref="AL13:AL14"/>
    <mergeCell ref="AI67:AI68"/>
    <mergeCell ref="AJ67:AJ68"/>
    <mergeCell ref="AK67:AK68"/>
    <mergeCell ref="AL67:AL68"/>
    <mergeCell ref="AM3:AN3"/>
    <mergeCell ref="AM4:AN11"/>
    <mergeCell ref="AM12:AN12"/>
    <mergeCell ref="AM13:AM14"/>
    <mergeCell ref="AN13:AN14"/>
    <mergeCell ref="AM67:AM68"/>
    <mergeCell ref="AN67:AN68"/>
    <mergeCell ref="AO3:AP3"/>
    <mergeCell ref="AQ3:AR3"/>
    <mergeCell ref="AO4:AP11"/>
    <mergeCell ref="AQ4:AR11"/>
    <mergeCell ref="AO12:AP12"/>
    <mergeCell ref="AQ12:AR12"/>
    <mergeCell ref="AO13:AO14"/>
    <mergeCell ref="AP13:AP14"/>
    <mergeCell ref="AQ13:AQ14"/>
    <mergeCell ref="AR13:AR14"/>
    <mergeCell ref="AO67:AO68"/>
    <mergeCell ref="AP67:AP68"/>
    <mergeCell ref="AQ67:AQ68"/>
    <mergeCell ref="AR67:AR68"/>
    <mergeCell ref="AF612:AF619"/>
    <mergeCell ref="AG612:AG619"/>
    <mergeCell ref="AH612:AH619"/>
    <mergeCell ref="AI612:AI619"/>
    <mergeCell ref="AJ612:AJ619"/>
    <mergeCell ref="AK612:AK619"/>
    <mergeCell ref="AL612:AL619"/>
    <mergeCell ref="AM612:AM619"/>
    <mergeCell ref="AN612:AN619"/>
    <mergeCell ref="AO612:AO619"/>
    <mergeCell ref="AP612:AP619"/>
    <mergeCell ref="AQ612:AQ619"/>
    <mergeCell ref="AR612:AR619"/>
    <mergeCell ref="AS612:AS619"/>
    <mergeCell ref="AF621:AF622"/>
    <mergeCell ref="AG621:AG622"/>
    <mergeCell ref="AH621:AH622"/>
    <mergeCell ref="AI621:AI622"/>
    <mergeCell ref="AJ621:AJ622"/>
    <mergeCell ref="AK621:AK622"/>
    <mergeCell ref="AL621:AL622"/>
    <mergeCell ref="AM621:AM622"/>
    <mergeCell ref="AN621:AN622"/>
    <mergeCell ref="AO621:AO622"/>
    <mergeCell ref="AP621:AP622"/>
    <mergeCell ref="AQ621:AQ622"/>
    <mergeCell ref="AR621:AR622"/>
    <mergeCell ref="AS621:AS622"/>
    <mergeCell ref="AH675:AH676"/>
    <mergeCell ref="AI675:AI676"/>
    <mergeCell ref="AJ675:AJ676"/>
    <mergeCell ref="AK675:AK676"/>
    <mergeCell ref="AL675:AL676"/>
    <mergeCell ref="AM675:AM676"/>
    <mergeCell ref="AN675:AN676"/>
    <mergeCell ref="AO675:AO676"/>
    <mergeCell ref="AP675:AP676"/>
    <mergeCell ref="AQ675:AQ676"/>
    <mergeCell ref="AR675:AR676"/>
    <mergeCell ref="AS675:AS676"/>
    <mergeCell ref="AF536:AF543"/>
    <mergeCell ref="AG536:AG543"/>
    <mergeCell ref="AH536:AH543"/>
    <mergeCell ref="AI536:AI543"/>
    <mergeCell ref="AJ536:AJ543"/>
    <mergeCell ref="AK536:AK543"/>
    <mergeCell ref="AL536:AL543"/>
    <mergeCell ref="AM536:AM543"/>
    <mergeCell ref="AO536:AO543"/>
    <mergeCell ref="AP536:AP543"/>
    <mergeCell ref="AQ536:AQ543"/>
    <mergeCell ref="AR536:AR543"/>
    <mergeCell ref="AS536:AS543"/>
    <mergeCell ref="AF545:AF546"/>
    <mergeCell ref="AG545:AG546"/>
    <mergeCell ref="AH545:AH546"/>
    <mergeCell ref="AI545:AI546"/>
    <mergeCell ref="AJ545:AJ546"/>
    <mergeCell ref="AK545:AK546"/>
    <mergeCell ref="AL545:AL546"/>
    <mergeCell ref="AM545:AM546"/>
    <mergeCell ref="AN545:AN546"/>
    <mergeCell ref="AO545:AO546"/>
    <mergeCell ref="AP545:AP546"/>
    <mergeCell ref="AQ545:AQ546"/>
    <mergeCell ref="AR545:AR546"/>
    <mergeCell ref="AS545:AS546"/>
    <mergeCell ref="AF599:AF600"/>
    <mergeCell ref="AG599:AG600"/>
    <mergeCell ref="AH599:AH600"/>
    <mergeCell ref="AI599:AI600"/>
    <mergeCell ref="AJ599:AJ600"/>
    <mergeCell ref="AK599:AK600"/>
    <mergeCell ref="AL599:AL600"/>
    <mergeCell ref="AM599:AM600"/>
    <mergeCell ref="AN599:AN600"/>
    <mergeCell ref="AO599:AO600"/>
    <mergeCell ref="AP599:AP600"/>
    <mergeCell ref="AQ599:AQ600"/>
    <mergeCell ref="AR599:AR600"/>
    <mergeCell ref="AS599:AS600"/>
    <mergeCell ref="AF459:AF466"/>
    <mergeCell ref="AG459:AG466"/>
    <mergeCell ref="AH459:AH466"/>
    <mergeCell ref="AI459:AI466"/>
    <mergeCell ref="AJ459:AJ466"/>
    <mergeCell ref="AK459:AK466"/>
    <mergeCell ref="AL459:AL466"/>
    <mergeCell ref="AM459:AM466"/>
    <mergeCell ref="AN459:AN466"/>
    <mergeCell ref="AO459:AO466"/>
    <mergeCell ref="AP459:AP466"/>
    <mergeCell ref="AQ459:AQ466"/>
    <mergeCell ref="AR459:AR466"/>
    <mergeCell ref="AS459:AS466"/>
    <mergeCell ref="AF468:AF469"/>
    <mergeCell ref="AG468:AG469"/>
    <mergeCell ref="AH468:AH469"/>
    <mergeCell ref="AI468:AI469"/>
    <mergeCell ref="AJ468:AJ469"/>
    <mergeCell ref="AK468:AK469"/>
    <mergeCell ref="AL468:AL469"/>
    <mergeCell ref="AM468:AM469"/>
    <mergeCell ref="AN468:AN469"/>
    <mergeCell ref="AO468:AO469"/>
    <mergeCell ref="AP468:AP469"/>
    <mergeCell ref="AQ468:AQ469"/>
    <mergeCell ref="AR468:AR469"/>
    <mergeCell ref="AS468:AS469"/>
    <mergeCell ref="AF522:AF523"/>
    <mergeCell ref="AG522:AG523"/>
    <mergeCell ref="AH522:AH523"/>
    <mergeCell ref="AI522:AI523"/>
    <mergeCell ref="AJ522:AJ523"/>
    <mergeCell ref="AK522:AK523"/>
    <mergeCell ref="AL522:AL523"/>
    <mergeCell ref="AM522:AM523"/>
    <mergeCell ref="AN522:AN523"/>
    <mergeCell ref="AO522:AO523"/>
    <mergeCell ref="AP522:AP523"/>
    <mergeCell ref="AQ522:AQ523"/>
    <mergeCell ref="AR522:AR523"/>
    <mergeCell ref="AS522:AS523"/>
    <mergeCell ref="AF382:AF389"/>
    <mergeCell ref="AG382:AG389"/>
    <mergeCell ref="AH382:AH389"/>
    <mergeCell ref="AI382:AI389"/>
    <mergeCell ref="AJ382:AJ389"/>
    <mergeCell ref="AK382:AK389"/>
    <mergeCell ref="AL382:AL389"/>
    <mergeCell ref="AM382:AM389"/>
    <mergeCell ref="AN382:AN389"/>
    <mergeCell ref="AS382:AS389"/>
    <mergeCell ref="AF391:AF392"/>
    <mergeCell ref="AG391:AG392"/>
    <mergeCell ref="AH391:AH392"/>
    <mergeCell ref="AI391:AI392"/>
    <mergeCell ref="AJ391:AJ392"/>
    <mergeCell ref="AK391:AK392"/>
    <mergeCell ref="AL391:AL392"/>
    <mergeCell ref="AM391:AM392"/>
    <mergeCell ref="AN391:AN392"/>
    <mergeCell ref="AO391:AO392"/>
    <mergeCell ref="AP391:AP392"/>
    <mergeCell ref="AQ391:AQ392"/>
    <mergeCell ref="AR391:AR392"/>
    <mergeCell ref="AS391:AS392"/>
    <mergeCell ref="AF445:AF446"/>
    <mergeCell ref="AG445:AG446"/>
    <mergeCell ref="AH445:AH446"/>
    <mergeCell ref="AI445:AI446"/>
    <mergeCell ref="AJ445:AJ446"/>
    <mergeCell ref="AK445:AK446"/>
    <mergeCell ref="AL445:AL446"/>
    <mergeCell ref="AM445:AM446"/>
    <mergeCell ref="AN445:AN446"/>
    <mergeCell ref="AO445:AO446"/>
    <mergeCell ref="AP445:AP446"/>
    <mergeCell ref="AQ445:AQ446"/>
    <mergeCell ref="AR445:AR446"/>
    <mergeCell ref="AS445:AS446"/>
    <mergeCell ref="AF305:AF312"/>
    <mergeCell ref="AG305:AG312"/>
    <mergeCell ref="AH305:AH312"/>
    <mergeCell ref="AI305:AI312"/>
    <mergeCell ref="AJ305:AJ312"/>
    <mergeCell ref="AK305:AK312"/>
    <mergeCell ref="AL305:AL312"/>
    <mergeCell ref="AM305:AM312"/>
    <mergeCell ref="AN305:AN312"/>
    <mergeCell ref="AO305:AO312"/>
    <mergeCell ref="AP305:AP312"/>
    <mergeCell ref="AQ305:AQ312"/>
    <mergeCell ref="AR305:AR312"/>
    <mergeCell ref="AS305:AS312"/>
    <mergeCell ref="AF314:AF315"/>
    <mergeCell ref="AG314:AG315"/>
    <mergeCell ref="AH314:AH315"/>
    <mergeCell ref="AI314:AI315"/>
    <mergeCell ref="AJ314:AJ315"/>
    <mergeCell ref="AK314:AK315"/>
    <mergeCell ref="AL314:AL315"/>
    <mergeCell ref="AM314:AM315"/>
    <mergeCell ref="AN314:AN315"/>
    <mergeCell ref="AO314:AO315"/>
    <mergeCell ref="AP314:AP315"/>
    <mergeCell ref="AQ314:AQ315"/>
    <mergeCell ref="AR314:AR315"/>
    <mergeCell ref="AS314:AS315"/>
    <mergeCell ref="AF368:AF369"/>
    <mergeCell ref="AG368:AG369"/>
    <mergeCell ref="AH368:AH369"/>
    <mergeCell ref="AI368:AI369"/>
    <mergeCell ref="AJ368:AJ369"/>
    <mergeCell ref="AO368:AO369"/>
    <mergeCell ref="AP368:AP369"/>
    <mergeCell ref="AQ368:AQ369"/>
    <mergeCell ref="AR368:AR369"/>
    <mergeCell ref="AS368:AS369"/>
    <mergeCell ref="AF227:AF234"/>
    <mergeCell ref="AG227:AG234"/>
    <mergeCell ref="AH227:AH234"/>
    <mergeCell ref="AI227:AI234"/>
    <mergeCell ref="AJ227:AJ234"/>
    <mergeCell ref="AO227:AO234"/>
    <mergeCell ref="AP227:AP234"/>
    <mergeCell ref="AQ227:AQ234"/>
    <mergeCell ref="AR227:AR234"/>
    <mergeCell ref="AF236:AF237"/>
    <mergeCell ref="AG236:AG237"/>
    <mergeCell ref="AH236:AH237"/>
    <mergeCell ref="AI236:AI237"/>
    <mergeCell ref="AJ236:AJ237"/>
    <mergeCell ref="AK236:AK237"/>
    <mergeCell ref="AL236:AL237"/>
    <mergeCell ref="AM236:AM237"/>
    <mergeCell ref="AN236:AN237"/>
    <mergeCell ref="AO236:AO237"/>
    <mergeCell ref="AP236:AP237"/>
    <mergeCell ref="AQ236:AQ237"/>
    <mergeCell ref="AR236:AR237"/>
    <mergeCell ref="AS236:AS237"/>
    <mergeCell ref="AF290:AF291"/>
    <mergeCell ref="AG290:AG291"/>
    <mergeCell ref="AH290:AH291"/>
    <mergeCell ref="AI290:AI291"/>
    <mergeCell ref="AJ290:AJ291"/>
    <mergeCell ref="AK290:AK291"/>
    <mergeCell ref="AL290:AL291"/>
    <mergeCell ref="AQ290:AQ291"/>
    <mergeCell ref="AR290:AR291"/>
    <mergeCell ref="AS290:AS291"/>
    <mergeCell ref="AF152:AF159"/>
    <mergeCell ref="AG152:AG159"/>
    <mergeCell ref="AH152:AH159"/>
    <mergeCell ref="AI152:AI159"/>
    <mergeCell ref="AJ152:AJ159"/>
    <mergeCell ref="AK152:AK159"/>
    <mergeCell ref="AL152:AL159"/>
    <mergeCell ref="AQ152:AQ159"/>
    <mergeCell ref="AR161:AR162"/>
    <mergeCell ref="AS161:AS162"/>
    <mergeCell ref="AR152:AR159"/>
    <mergeCell ref="AS152:AS159"/>
    <mergeCell ref="AF161:AF162"/>
    <mergeCell ref="AG161:AG162"/>
    <mergeCell ref="AH161:AH162"/>
    <mergeCell ref="AI161:AI162"/>
    <mergeCell ref="AJ161:AJ162"/>
    <mergeCell ref="AK161:AK162"/>
    <mergeCell ref="AL215:AL216"/>
    <mergeCell ref="AM215:AM216"/>
    <mergeCell ref="AN215:AN216"/>
    <mergeCell ref="AO215:AO216"/>
    <mergeCell ref="AN161:AN162"/>
    <mergeCell ref="AO161:AO162"/>
    <mergeCell ref="AL161:AL162"/>
    <mergeCell ref="AM161:AM162"/>
    <mergeCell ref="AR215:AR216"/>
    <mergeCell ref="AS215:AS216"/>
    <mergeCell ref="AF77:AF84"/>
    <mergeCell ref="AG77:AG84"/>
    <mergeCell ref="AH77:AH84"/>
    <mergeCell ref="AI77:AI84"/>
    <mergeCell ref="AJ77:AJ84"/>
    <mergeCell ref="AK77:AK84"/>
    <mergeCell ref="AJ215:AJ216"/>
    <mergeCell ref="AK215:AK216"/>
    <mergeCell ref="AM77:AM84"/>
    <mergeCell ref="AN77:AN84"/>
    <mergeCell ref="AO77:AO84"/>
    <mergeCell ref="AP77:AP84"/>
    <mergeCell ref="AQ77:AQ84"/>
    <mergeCell ref="AP215:AP216"/>
    <mergeCell ref="AQ215:AQ216"/>
    <mergeCell ref="AP161:AP162"/>
    <mergeCell ref="AQ161:AQ162"/>
    <mergeCell ref="AP140:AP141"/>
    <mergeCell ref="AR77:AR84"/>
    <mergeCell ref="AS77:AS84"/>
    <mergeCell ref="AF86:AF87"/>
    <mergeCell ref="AG86:AG87"/>
    <mergeCell ref="AH86:AH87"/>
    <mergeCell ref="AI86:AI87"/>
    <mergeCell ref="AJ86:AJ87"/>
    <mergeCell ref="AK86:AK87"/>
    <mergeCell ref="AL86:AL87"/>
    <mergeCell ref="AL77:AL84"/>
    <mergeCell ref="AL140:AL141"/>
    <mergeCell ref="AM140:AM141"/>
    <mergeCell ref="AN140:AN141"/>
    <mergeCell ref="AM86:AM87"/>
    <mergeCell ref="AN86:AN87"/>
    <mergeCell ref="AO86:AO87"/>
    <mergeCell ref="AO140:AO141"/>
    <mergeCell ref="AF140:AF141"/>
    <mergeCell ref="AG140:AG141"/>
    <mergeCell ref="AH140:AH141"/>
    <mergeCell ref="AI140:AI141"/>
    <mergeCell ref="AJ140:AJ141"/>
    <mergeCell ref="AK140:AK141"/>
    <mergeCell ref="AQ140:AQ141"/>
    <mergeCell ref="AR140:AR141"/>
    <mergeCell ref="AS140:AS141"/>
    <mergeCell ref="AS86:AS87"/>
    <mergeCell ref="AP86:AP87"/>
    <mergeCell ref="AQ86:AQ87"/>
    <mergeCell ref="AR86:AR87"/>
  </mergeCells>
  <printOptions horizontalCentered="1" verticalCentered="1"/>
  <pageMargins left="0.8" right="0" top="0" bottom="0" header="0" footer="0"/>
  <pageSetup fitToHeight="1" fitToWidth="1" horizontalDpi="600" verticalDpi="600" orientation="landscape" paperSize="3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56"/>
  <sheetViews>
    <sheetView view="pageBreakPreview" zoomScale="55" zoomScaleNormal="25" zoomScaleSheetLayoutView="55" workbookViewId="0" topLeftCell="C982">
      <selection activeCell="AE1003" sqref="AE1003"/>
    </sheetView>
  </sheetViews>
  <sheetFormatPr defaultColWidth="9.140625" defaultRowHeight="12.75"/>
  <cols>
    <col min="1" max="3" width="24.7109375" style="0" customWidth="1"/>
    <col min="4" max="19" width="13.8515625" style="0" customWidth="1"/>
    <col min="20" max="20" width="13.8515625" style="18" customWidth="1"/>
    <col min="21" max="35" width="13.8515625" style="0" customWidth="1"/>
    <col min="36" max="38" width="6.7109375" style="0" customWidth="1"/>
  </cols>
  <sheetData>
    <row r="1" spans="16:30" ht="12.75">
      <c r="P1" s="8"/>
      <c r="Q1" s="8"/>
      <c r="R1" s="8"/>
      <c r="S1" s="8"/>
      <c r="T1" s="17"/>
      <c r="U1" s="8"/>
      <c r="V1" s="8"/>
      <c r="Y1" s="8"/>
      <c r="Z1" s="8"/>
      <c r="AC1" s="8"/>
      <c r="AD1" s="8"/>
    </row>
    <row r="2" spans="1:34" s="3" customFormat="1" ht="36" customHeight="1" thickBot="1">
      <c r="A2" s="12"/>
      <c r="B2" s="20"/>
      <c r="C2" s="2"/>
      <c r="D2" s="100"/>
      <c r="E2" s="100"/>
      <c r="F2" s="100"/>
      <c r="G2" s="100"/>
      <c r="H2" s="100"/>
      <c r="I2" s="99"/>
      <c r="J2" s="100"/>
      <c r="K2" s="100"/>
      <c r="L2" s="100"/>
      <c r="M2" s="100"/>
      <c r="N2" s="99"/>
      <c r="O2" s="229"/>
      <c r="P2" s="229"/>
      <c r="Q2" s="229"/>
      <c r="R2" s="229"/>
      <c r="S2" s="229"/>
      <c r="T2" s="229"/>
      <c r="U2" s="229"/>
      <c r="V2" s="229"/>
      <c r="W2" s="351"/>
      <c r="X2" s="351"/>
      <c r="Y2" s="229"/>
      <c r="Z2" s="229"/>
      <c r="AA2" s="351"/>
      <c r="AB2" s="351"/>
      <c r="AC2" s="257"/>
      <c r="AD2" s="257"/>
      <c r="AH2" s="13"/>
    </row>
    <row r="3" spans="2:34" s="4" customFormat="1" ht="21.75" customHeight="1">
      <c r="B3" s="233"/>
      <c r="C3" s="235"/>
      <c r="D3" s="251"/>
      <c r="E3" s="251"/>
      <c r="F3" s="251"/>
      <c r="G3" s="254"/>
      <c r="H3" s="254"/>
      <c r="I3" s="251"/>
      <c r="J3" s="254"/>
      <c r="K3" s="254"/>
      <c r="L3" s="254"/>
      <c r="M3" s="254"/>
      <c r="N3" s="254"/>
      <c r="O3" s="216"/>
      <c r="P3" s="217"/>
      <c r="Q3" s="216"/>
      <c r="R3" s="217"/>
      <c r="S3" s="216"/>
      <c r="T3" s="217"/>
      <c r="U3" s="216"/>
      <c r="V3" s="217"/>
      <c r="W3" s="216"/>
      <c r="X3" s="217"/>
      <c r="Y3" s="216"/>
      <c r="Z3" s="217"/>
      <c r="AA3" s="216"/>
      <c r="AB3" s="217"/>
      <c r="AC3" s="216"/>
      <c r="AD3" s="217"/>
      <c r="AE3" s="58"/>
      <c r="AF3" s="282"/>
      <c r="AG3" s="282"/>
      <c r="AH3" s="27"/>
    </row>
    <row r="4" spans="2:34" s="4" customFormat="1" ht="27.75" customHeight="1">
      <c r="B4" s="293"/>
      <c r="C4" s="294"/>
      <c r="D4" s="252"/>
      <c r="E4" s="252"/>
      <c r="F4" s="252"/>
      <c r="G4" s="242"/>
      <c r="H4" s="242"/>
      <c r="I4" s="252"/>
      <c r="J4" s="255"/>
      <c r="K4" s="255"/>
      <c r="L4" s="242"/>
      <c r="M4" s="242"/>
      <c r="N4" s="242"/>
      <c r="O4" s="218"/>
      <c r="P4" s="219"/>
      <c r="Q4" s="218"/>
      <c r="R4" s="219"/>
      <c r="S4" s="218"/>
      <c r="T4" s="219"/>
      <c r="U4" s="218"/>
      <c r="V4" s="219"/>
      <c r="W4" s="218"/>
      <c r="X4" s="219"/>
      <c r="Y4" s="218"/>
      <c r="Z4" s="219"/>
      <c r="AA4" s="218"/>
      <c r="AB4" s="219"/>
      <c r="AC4" s="218"/>
      <c r="AD4" s="219"/>
      <c r="AE4" s="241"/>
      <c r="AF4" s="283"/>
      <c r="AG4" s="304"/>
      <c r="AH4" s="29"/>
    </row>
    <row r="5" spans="2:33" s="4" customFormat="1" ht="27.75" customHeight="1" thickBot="1">
      <c r="B5" s="293"/>
      <c r="C5" s="294"/>
      <c r="D5" s="252"/>
      <c r="E5" s="252"/>
      <c r="F5" s="252"/>
      <c r="G5" s="242"/>
      <c r="H5" s="242"/>
      <c r="I5" s="252"/>
      <c r="J5" s="255"/>
      <c r="K5" s="255"/>
      <c r="L5" s="242"/>
      <c r="M5" s="242"/>
      <c r="N5" s="242"/>
      <c r="O5" s="220"/>
      <c r="P5" s="221"/>
      <c r="Q5" s="220"/>
      <c r="R5" s="221"/>
      <c r="S5" s="220"/>
      <c r="T5" s="221"/>
      <c r="U5" s="220"/>
      <c r="V5" s="221"/>
      <c r="W5" s="220"/>
      <c r="X5" s="221"/>
      <c r="Y5" s="220"/>
      <c r="Z5" s="221"/>
      <c r="AA5" s="220"/>
      <c r="AB5" s="221"/>
      <c r="AC5" s="220"/>
      <c r="AD5" s="221"/>
      <c r="AE5" s="242"/>
      <c r="AF5" s="284"/>
      <c r="AG5" s="304"/>
    </row>
    <row r="6" spans="2:33" s="4" customFormat="1" ht="27.75" customHeight="1">
      <c r="B6" s="293"/>
      <c r="C6" s="294"/>
      <c r="D6" s="252"/>
      <c r="E6" s="252"/>
      <c r="F6" s="252"/>
      <c r="G6" s="242"/>
      <c r="H6" s="242"/>
      <c r="I6" s="252"/>
      <c r="J6" s="255"/>
      <c r="K6" s="255"/>
      <c r="L6" s="242"/>
      <c r="M6" s="242"/>
      <c r="N6" s="242"/>
      <c r="O6" s="220"/>
      <c r="P6" s="221"/>
      <c r="Q6" s="220"/>
      <c r="R6" s="221"/>
      <c r="S6" s="220"/>
      <c r="T6" s="221"/>
      <c r="U6" s="220"/>
      <c r="V6" s="221"/>
      <c r="W6" s="220"/>
      <c r="X6" s="221"/>
      <c r="Y6" s="220"/>
      <c r="Z6" s="221"/>
      <c r="AA6" s="220"/>
      <c r="AB6" s="221"/>
      <c r="AC6" s="220"/>
      <c r="AD6" s="221"/>
      <c r="AE6" s="242"/>
      <c r="AF6" s="269"/>
      <c r="AG6" s="270"/>
    </row>
    <row r="7" spans="2:33" s="4" customFormat="1" ht="27.75" customHeight="1">
      <c r="B7" s="293"/>
      <c r="C7" s="294"/>
      <c r="D7" s="252"/>
      <c r="E7" s="252"/>
      <c r="F7" s="252"/>
      <c r="G7" s="242"/>
      <c r="H7" s="242"/>
      <c r="I7" s="252"/>
      <c r="J7" s="255"/>
      <c r="K7" s="255"/>
      <c r="L7" s="242"/>
      <c r="M7" s="242"/>
      <c r="N7" s="242"/>
      <c r="O7" s="220"/>
      <c r="P7" s="221"/>
      <c r="Q7" s="220"/>
      <c r="R7" s="221"/>
      <c r="S7" s="220"/>
      <c r="T7" s="221"/>
      <c r="U7" s="220"/>
      <c r="V7" s="221"/>
      <c r="W7" s="220"/>
      <c r="X7" s="221"/>
      <c r="Y7" s="220"/>
      <c r="Z7" s="221"/>
      <c r="AA7" s="220"/>
      <c r="AB7" s="221"/>
      <c r="AC7" s="220"/>
      <c r="AD7" s="221"/>
      <c r="AE7" s="242"/>
      <c r="AF7" s="271"/>
      <c r="AG7" s="272"/>
    </row>
    <row r="8" spans="2:33" s="4" customFormat="1" ht="27.75" customHeight="1">
      <c r="B8" s="293"/>
      <c r="C8" s="294"/>
      <c r="D8" s="252"/>
      <c r="E8" s="252"/>
      <c r="F8" s="252"/>
      <c r="G8" s="242"/>
      <c r="H8" s="242"/>
      <c r="I8" s="252"/>
      <c r="J8" s="255"/>
      <c r="K8" s="255"/>
      <c r="L8" s="242"/>
      <c r="M8" s="242"/>
      <c r="N8" s="242"/>
      <c r="O8" s="220"/>
      <c r="P8" s="221"/>
      <c r="Q8" s="220"/>
      <c r="R8" s="221"/>
      <c r="S8" s="220"/>
      <c r="T8" s="221"/>
      <c r="U8" s="220"/>
      <c r="V8" s="221"/>
      <c r="W8" s="220"/>
      <c r="X8" s="221"/>
      <c r="Y8" s="220"/>
      <c r="Z8" s="221"/>
      <c r="AA8" s="220"/>
      <c r="AB8" s="221"/>
      <c r="AC8" s="220"/>
      <c r="AD8" s="221"/>
      <c r="AE8" s="242"/>
      <c r="AF8" s="271"/>
      <c r="AG8" s="272"/>
    </row>
    <row r="9" spans="2:33" s="4" customFormat="1" ht="27.75" customHeight="1">
      <c r="B9" s="293"/>
      <c r="C9" s="294"/>
      <c r="D9" s="252"/>
      <c r="E9" s="252"/>
      <c r="F9" s="252"/>
      <c r="G9" s="242"/>
      <c r="H9" s="242"/>
      <c r="I9" s="252"/>
      <c r="J9" s="255"/>
      <c r="K9" s="255"/>
      <c r="L9" s="242"/>
      <c r="M9" s="242"/>
      <c r="N9" s="242"/>
      <c r="O9" s="220"/>
      <c r="P9" s="221"/>
      <c r="Q9" s="220"/>
      <c r="R9" s="221"/>
      <c r="S9" s="220"/>
      <c r="T9" s="221"/>
      <c r="U9" s="220"/>
      <c r="V9" s="221"/>
      <c r="W9" s="220"/>
      <c r="X9" s="221"/>
      <c r="Y9" s="220"/>
      <c r="Z9" s="221"/>
      <c r="AA9" s="220"/>
      <c r="AB9" s="221"/>
      <c r="AC9" s="220"/>
      <c r="AD9" s="221"/>
      <c r="AE9" s="242"/>
      <c r="AF9" s="271"/>
      <c r="AG9" s="272"/>
    </row>
    <row r="10" spans="2:33" s="4" customFormat="1" ht="27.75" customHeight="1">
      <c r="B10" s="293"/>
      <c r="C10" s="294"/>
      <c r="D10" s="252"/>
      <c r="E10" s="252"/>
      <c r="F10" s="252"/>
      <c r="G10" s="242"/>
      <c r="H10" s="242"/>
      <c r="I10" s="252"/>
      <c r="J10" s="255"/>
      <c r="K10" s="255"/>
      <c r="L10" s="242"/>
      <c r="M10" s="242"/>
      <c r="N10" s="242"/>
      <c r="O10" s="220"/>
      <c r="P10" s="221"/>
      <c r="Q10" s="220"/>
      <c r="R10" s="221"/>
      <c r="S10" s="220"/>
      <c r="T10" s="221"/>
      <c r="U10" s="220"/>
      <c r="V10" s="221"/>
      <c r="W10" s="220"/>
      <c r="X10" s="221"/>
      <c r="Y10" s="220"/>
      <c r="Z10" s="221"/>
      <c r="AA10" s="220"/>
      <c r="AB10" s="221"/>
      <c r="AC10" s="220"/>
      <c r="AD10" s="221"/>
      <c r="AE10" s="242"/>
      <c r="AF10" s="271"/>
      <c r="AG10" s="272"/>
    </row>
    <row r="11" spans="2:33" s="5" customFormat="1" ht="27.75" customHeight="1">
      <c r="B11" s="295"/>
      <c r="C11" s="296"/>
      <c r="D11" s="253"/>
      <c r="E11" s="253"/>
      <c r="F11" s="253"/>
      <c r="G11" s="243"/>
      <c r="H11" s="243"/>
      <c r="I11" s="253"/>
      <c r="J11" s="256"/>
      <c r="K11" s="256"/>
      <c r="L11" s="243"/>
      <c r="M11" s="243"/>
      <c r="N11" s="243"/>
      <c r="O11" s="222"/>
      <c r="P11" s="223"/>
      <c r="Q11" s="222"/>
      <c r="R11" s="223"/>
      <c r="S11" s="222"/>
      <c r="T11" s="223"/>
      <c r="U11" s="222"/>
      <c r="V11" s="223"/>
      <c r="W11" s="222"/>
      <c r="X11" s="223"/>
      <c r="Y11" s="222"/>
      <c r="Z11" s="223"/>
      <c r="AA11" s="222"/>
      <c r="AB11" s="223"/>
      <c r="AC11" s="222"/>
      <c r="AD11" s="223"/>
      <c r="AE11" s="243"/>
      <c r="AF11" s="271"/>
      <c r="AG11" s="272"/>
    </row>
    <row r="12" spans="2:33" s="7" customFormat="1" ht="21.75" customHeight="1" thickBot="1">
      <c r="B12" s="56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208"/>
      <c r="P12" s="210"/>
      <c r="Q12" s="208"/>
      <c r="R12" s="210"/>
      <c r="S12" s="208"/>
      <c r="T12" s="210"/>
      <c r="U12" s="208"/>
      <c r="V12" s="210"/>
      <c r="W12" s="208"/>
      <c r="X12" s="210"/>
      <c r="Y12" s="208"/>
      <c r="Z12" s="210"/>
      <c r="AA12" s="208"/>
      <c r="AB12" s="210"/>
      <c r="AC12" s="208"/>
      <c r="AD12" s="210"/>
      <c r="AE12" s="57"/>
      <c r="AF12" s="271"/>
      <c r="AG12" s="272"/>
    </row>
    <row r="13" spans="1:33" s="4" customFormat="1" ht="21.75" customHeight="1">
      <c r="A13" s="30"/>
      <c r="B13" s="37"/>
      <c r="C13" s="38"/>
      <c r="D13" s="39"/>
      <c r="E13" s="24"/>
      <c r="F13" s="66"/>
      <c r="G13" s="105"/>
      <c r="H13" s="105"/>
      <c r="I13" s="24"/>
      <c r="J13" s="24"/>
      <c r="K13" s="24"/>
      <c r="L13" s="24"/>
      <c r="M13" s="24"/>
      <c r="N13" s="24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65"/>
      <c r="AD13" s="265"/>
      <c r="AE13" s="227"/>
      <c r="AF13" s="271"/>
      <c r="AG13" s="272"/>
    </row>
    <row r="14" spans="1:33" s="4" customFormat="1" ht="21.75" customHeight="1">
      <c r="A14" s="30"/>
      <c r="B14" s="230"/>
      <c r="C14" s="231"/>
      <c r="D14" s="231"/>
      <c r="E14" s="231"/>
      <c r="F14" s="231"/>
      <c r="G14" s="231"/>
      <c r="H14" s="231"/>
      <c r="I14" s="232"/>
      <c r="J14" s="24"/>
      <c r="K14" s="24"/>
      <c r="L14" s="39"/>
      <c r="M14" s="39"/>
      <c r="N14" s="24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66"/>
      <c r="AD14" s="266"/>
      <c r="AE14" s="228"/>
      <c r="AF14" s="271"/>
      <c r="AG14" s="272"/>
    </row>
    <row r="15" spans="1:33" s="4" customFormat="1" ht="21.75" customHeight="1">
      <c r="A15" s="30"/>
      <c r="B15" s="67"/>
      <c r="C15" s="68"/>
      <c r="D15" s="39"/>
      <c r="E15" s="24"/>
      <c r="F15" s="24"/>
      <c r="G15" s="24"/>
      <c r="H15" s="61"/>
      <c r="I15" s="24"/>
      <c r="J15" s="24"/>
      <c r="K15" s="24"/>
      <c r="L15" s="39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71"/>
      <c r="AG15" s="272"/>
    </row>
    <row r="16" spans="1:33" s="4" customFormat="1" ht="21.75" customHeight="1">
      <c r="A16" s="30"/>
      <c r="B16" s="40"/>
      <c r="C16" s="41"/>
      <c r="D16" s="39"/>
      <c r="E16" s="24"/>
      <c r="F16" s="66"/>
      <c r="G16" s="105"/>
      <c r="H16" s="61"/>
      <c r="I16" s="24"/>
      <c r="J16" s="24"/>
      <c r="K16" s="24"/>
      <c r="L16" s="39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71"/>
      <c r="AG16" s="272"/>
    </row>
    <row r="17" spans="1:33" s="4" customFormat="1" ht="21.75" customHeight="1">
      <c r="A17" s="30"/>
      <c r="B17" s="37"/>
      <c r="C17" s="38"/>
      <c r="D17" s="39"/>
      <c r="E17" s="24"/>
      <c r="F17" s="66"/>
      <c r="G17" s="105"/>
      <c r="H17" s="61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71"/>
      <c r="AG17" s="272"/>
    </row>
    <row r="18" spans="1:33" s="4" customFormat="1" ht="21.75" customHeight="1">
      <c r="A18" s="30"/>
      <c r="B18" s="37"/>
      <c r="C18" s="38"/>
      <c r="D18" s="39"/>
      <c r="E18" s="24"/>
      <c r="F18" s="66"/>
      <c r="G18" s="105"/>
      <c r="H18" s="61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71"/>
      <c r="AG18" s="272"/>
    </row>
    <row r="19" spans="1:33" s="4" customFormat="1" ht="21.75" customHeight="1">
      <c r="A19" s="30"/>
      <c r="B19" s="37"/>
      <c r="C19" s="38"/>
      <c r="D19" s="39"/>
      <c r="E19" s="24"/>
      <c r="F19" s="24"/>
      <c r="G19" s="39"/>
      <c r="H19" s="61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71"/>
      <c r="AG19" s="272"/>
    </row>
    <row r="20" spans="1:33" s="4" customFormat="1" ht="21.75" customHeight="1">
      <c r="A20" s="30"/>
      <c r="B20" s="37"/>
      <c r="C20" s="38"/>
      <c r="D20" s="39"/>
      <c r="E20" s="24"/>
      <c r="F20" s="66"/>
      <c r="G20" s="105"/>
      <c r="H20" s="61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71"/>
      <c r="AG20" s="272"/>
    </row>
    <row r="21" spans="1:33" s="4" customFormat="1" ht="21.75" customHeight="1">
      <c r="A21" s="30"/>
      <c r="B21" s="37"/>
      <c r="C21" s="38"/>
      <c r="D21" s="39"/>
      <c r="E21" s="24"/>
      <c r="F21" s="66"/>
      <c r="G21" s="105"/>
      <c r="H21" s="61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71"/>
      <c r="AG21" s="272"/>
    </row>
    <row r="22" spans="1:33" s="4" customFormat="1" ht="21.75" customHeight="1">
      <c r="A22" s="30"/>
      <c r="B22" s="37"/>
      <c r="C22" s="38"/>
      <c r="D22" s="39"/>
      <c r="E22" s="24"/>
      <c r="F22" s="66"/>
      <c r="G22" s="24"/>
      <c r="H22" s="61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71"/>
      <c r="AG22" s="272"/>
    </row>
    <row r="23" spans="1:33" s="4" customFormat="1" ht="21.75" customHeight="1">
      <c r="A23" s="30"/>
      <c r="B23" s="37"/>
      <c r="C23" s="38"/>
      <c r="D23" s="39"/>
      <c r="E23" s="24"/>
      <c r="F23" s="66"/>
      <c r="G23" s="105"/>
      <c r="H23" s="61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71"/>
      <c r="AG23" s="272"/>
    </row>
    <row r="24" spans="1:33" s="4" customFormat="1" ht="21.75" customHeight="1">
      <c r="A24" s="30"/>
      <c r="B24" s="37"/>
      <c r="C24" s="38"/>
      <c r="D24" s="39"/>
      <c r="E24" s="213"/>
      <c r="F24" s="214"/>
      <c r="G24" s="214"/>
      <c r="H24" s="214"/>
      <c r="I24" s="21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71"/>
      <c r="AG24" s="272"/>
    </row>
    <row r="25" spans="1:33" s="4" customFormat="1" ht="21.75" customHeight="1">
      <c r="A25" s="30"/>
      <c r="B25" s="37"/>
      <c r="C25" s="38"/>
      <c r="D25" s="39"/>
      <c r="E25" s="24"/>
      <c r="F25" s="66"/>
      <c r="G25" s="24"/>
      <c r="H25" s="61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71"/>
      <c r="AG25" s="272"/>
    </row>
    <row r="26" spans="1:33" s="4" customFormat="1" ht="21.75" customHeight="1">
      <c r="A26" s="30"/>
      <c r="B26" s="40"/>
      <c r="C26" s="41"/>
      <c r="D26" s="39"/>
      <c r="E26" s="24"/>
      <c r="F26" s="66"/>
      <c r="G26" s="105"/>
      <c r="H26" s="61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71"/>
      <c r="AG26" s="272"/>
    </row>
    <row r="27" spans="1:33" s="4" customFormat="1" ht="21.75" customHeight="1">
      <c r="A27" s="30"/>
      <c r="B27" s="37"/>
      <c r="C27" s="38"/>
      <c r="D27" s="39"/>
      <c r="E27" s="24"/>
      <c r="F27" s="66"/>
      <c r="G27" s="105"/>
      <c r="H27" s="61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71"/>
      <c r="AG27" s="272"/>
    </row>
    <row r="28" spans="1:33" s="4" customFormat="1" ht="21.75" customHeight="1">
      <c r="A28" s="30"/>
      <c r="B28" s="37"/>
      <c r="C28" s="38"/>
      <c r="D28" s="39"/>
      <c r="E28" s="24"/>
      <c r="F28" s="66"/>
      <c r="G28" s="105"/>
      <c r="H28" s="61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71"/>
      <c r="AG28" s="272"/>
    </row>
    <row r="29" spans="1:33" s="4" customFormat="1" ht="21.75" customHeight="1">
      <c r="A29" s="30"/>
      <c r="B29" s="37"/>
      <c r="C29" s="38"/>
      <c r="D29" s="39"/>
      <c r="E29" s="24"/>
      <c r="F29" s="66"/>
      <c r="G29" s="105"/>
      <c r="H29" s="61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71"/>
      <c r="AG29" s="272"/>
    </row>
    <row r="30" spans="1:33" s="4" customFormat="1" ht="21.75" customHeight="1">
      <c r="A30" s="30"/>
      <c r="B30" s="37"/>
      <c r="C30" s="38"/>
      <c r="D30" s="39"/>
      <c r="E30" s="107"/>
      <c r="F30" s="89"/>
      <c r="G30" s="24"/>
      <c r="H30" s="61"/>
      <c r="I30" s="90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71"/>
      <c r="AG30" s="272"/>
    </row>
    <row r="31" spans="1:33" s="4" customFormat="1" ht="21.75" customHeight="1">
      <c r="A31" s="30"/>
      <c r="B31" s="38"/>
      <c r="C31" s="38"/>
      <c r="D31" s="39"/>
      <c r="E31" s="24"/>
      <c r="F31" s="66"/>
      <c r="G31" s="24"/>
      <c r="H31" s="61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71"/>
      <c r="AG31" s="272"/>
    </row>
    <row r="32" spans="1:33" s="4" customFormat="1" ht="21.75" customHeight="1">
      <c r="A32" s="30"/>
      <c r="B32" s="37"/>
      <c r="C32" s="38"/>
      <c r="D32" s="39"/>
      <c r="E32" s="24"/>
      <c r="F32" s="66"/>
      <c r="G32" s="105"/>
      <c r="H32" s="61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71"/>
      <c r="AG32" s="272"/>
    </row>
    <row r="33" spans="1:33" s="4" customFormat="1" ht="21.75" customHeight="1">
      <c r="A33" s="30"/>
      <c r="B33" s="37"/>
      <c r="C33" s="38"/>
      <c r="D33" s="39"/>
      <c r="E33" s="24"/>
      <c r="F33" s="66"/>
      <c r="G33" s="105"/>
      <c r="H33" s="61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71"/>
      <c r="AG33" s="272"/>
    </row>
    <row r="34" spans="1:33" s="4" customFormat="1" ht="21.75" customHeight="1">
      <c r="A34" s="30"/>
      <c r="B34" s="37"/>
      <c r="C34" s="38"/>
      <c r="D34" s="39"/>
      <c r="E34" s="213"/>
      <c r="F34" s="214"/>
      <c r="G34" s="214"/>
      <c r="H34" s="214"/>
      <c r="I34" s="21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71"/>
      <c r="AG34" s="272"/>
    </row>
    <row r="35" spans="1:33" s="4" customFormat="1" ht="21.75" customHeight="1">
      <c r="A35" s="30"/>
      <c r="B35" s="37"/>
      <c r="C35" s="38"/>
      <c r="D35" s="39"/>
      <c r="E35" s="24"/>
      <c r="F35" s="66"/>
      <c r="G35" s="105"/>
      <c r="H35" s="61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71"/>
      <c r="AG35" s="272"/>
    </row>
    <row r="36" spans="1:33" s="4" customFormat="1" ht="21.75" customHeight="1">
      <c r="A36" s="30"/>
      <c r="B36" s="37"/>
      <c r="C36" s="38"/>
      <c r="D36" s="39"/>
      <c r="E36" s="24"/>
      <c r="F36" s="92"/>
      <c r="G36" s="24"/>
      <c r="H36" s="61"/>
      <c r="I36" s="66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71"/>
      <c r="AG36" s="272"/>
    </row>
    <row r="37" spans="1:33" s="4" customFormat="1" ht="21.75" customHeight="1">
      <c r="A37" s="30"/>
      <c r="B37" s="67"/>
      <c r="C37" s="38"/>
      <c r="D37" s="39"/>
      <c r="E37" s="24"/>
      <c r="F37" s="92"/>
      <c r="G37" s="39"/>
      <c r="H37" s="61"/>
      <c r="I37" s="66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71"/>
      <c r="AG37" s="272"/>
    </row>
    <row r="38" spans="1:33" s="4" customFormat="1" ht="21.75" customHeight="1">
      <c r="A38" s="30"/>
      <c r="B38" s="37"/>
      <c r="C38" s="38"/>
      <c r="D38" s="39"/>
      <c r="E38" s="24"/>
      <c r="F38" s="66"/>
      <c r="G38" s="105"/>
      <c r="H38" s="105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71"/>
      <c r="AG38" s="272"/>
    </row>
    <row r="39" spans="1:33" s="4" customFormat="1" ht="21.75" customHeight="1">
      <c r="A39" s="30"/>
      <c r="B39" s="37"/>
      <c r="C39" s="38"/>
      <c r="D39" s="39"/>
      <c r="E39" s="24"/>
      <c r="F39" s="66"/>
      <c r="G39" s="105"/>
      <c r="H39" s="105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71"/>
      <c r="AG39" s="272"/>
    </row>
    <row r="40" spans="1:33" s="4" customFormat="1" ht="21.75" customHeight="1">
      <c r="A40" s="30"/>
      <c r="B40" s="38"/>
      <c r="C40" s="38"/>
      <c r="D40" s="39"/>
      <c r="E40" s="24"/>
      <c r="F40" s="66"/>
      <c r="G40" s="105"/>
      <c r="H40" s="61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71"/>
      <c r="AG40" s="272"/>
    </row>
    <row r="41" spans="1:33" s="4" customFormat="1" ht="21.75" customHeight="1">
      <c r="A41" s="30"/>
      <c r="B41" s="37"/>
      <c r="C41" s="38"/>
      <c r="D41" s="39"/>
      <c r="E41" s="24"/>
      <c r="F41" s="66"/>
      <c r="G41" s="105"/>
      <c r="H41" s="105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71"/>
      <c r="AG41" s="272"/>
    </row>
    <row r="42" spans="1:33" s="4" customFormat="1" ht="21.75" customHeight="1">
      <c r="A42" s="30"/>
      <c r="B42" s="37"/>
      <c r="C42" s="38"/>
      <c r="D42" s="39"/>
      <c r="E42" s="24"/>
      <c r="F42" s="66"/>
      <c r="G42" s="105"/>
      <c r="H42" s="105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71"/>
      <c r="AG42" s="272"/>
    </row>
    <row r="43" spans="1:33" s="4" customFormat="1" ht="21.75" customHeight="1">
      <c r="A43" s="30"/>
      <c r="B43" s="37"/>
      <c r="C43" s="38"/>
      <c r="D43" s="39"/>
      <c r="E43" s="104"/>
      <c r="F43" s="107"/>
      <c r="G43" s="24"/>
      <c r="H43" s="61"/>
      <c r="I43" s="90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71"/>
      <c r="AG43" s="272"/>
    </row>
    <row r="44" spans="1:33" s="4" customFormat="1" ht="21.75" customHeight="1">
      <c r="A44" s="30"/>
      <c r="B44" s="37"/>
      <c r="C44" s="38"/>
      <c r="D44" s="39"/>
      <c r="E44" s="213"/>
      <c r="F44" s="214"/>
      <c r="G44" s="214"/>
      <c r="H44" s="214"/>
      <c r="I44" s="21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71"/>
      <c r="AG44" s="272"/>
    </row>
    <row r="45" spans="1:33" s="4" customFormat="1" ht="21.75" customHeight="1">
      <c r="A45" s="30"/>
      <c r="B45" s="37"/>
      <c r="C45" s="38"/>
      <c r="D45" s="39"/>
      <c r="E45" s="70"/>
      <c r="F45" s="24"/>
      <c r="G45" s="24"/>
      <c r="H45" s="61"/>
      <c r="I45" s="66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71"/>
      <c r="AG45" s="272"/>
    </row>
    <row r="46" spans="1:33" s="4" customFormat="1" ht="21.75" customHeight="1">
      <c r="A46" s="30"/>
      <c r="B46" s="37"/>
      <c r="C46" s="38"/>
      <c r="D46" s="39"/>
      <c r="E46" s="24"/>
      <c r="F46" s="66"/>
      <c r="G46" s="105"/>
      <c r="H46" s="105"/>
      <c r="I46" s="24"/>
      <c r="J46" s="24"/>
      <c r="K46" s="119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71"/>
      <c r="AG46" s="272"/>
    </row>
    <row r="47" spans="1:33" s="4" customFormat="1" ht="21.75" customHeight="1">
      <c r="A47" s="30"/>
      <c r="B47" s="115"/>
      <c r="C47" s="116"/>
      <c r="D47" s="39"/>
      <c r="E47" s="24"/>
      <c r="F47" s="66"/>
      <c r="G47" s="105"/>
      <c r="H47" s="105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07"/>
      <c r="AE47" s="24"/>
      <c r="AF47" s="271"/>
      <c r="AG47" s="272"/>
    </row>
    <row r="48" spans="1:33" s="4" customFormat="1" ht="21.75" customHeight="1">
      <c r="A48" s="30"/>
      <c r="B48" s="38"/>
      <c r="C48" s="103"/>
      <c r="D48" s="39"/>
      <c r="E48" s="24"/>
      <c r="F48" s="66"/>
      <c r="G48" s="105"/>
      <c r="H48" s="117"/>
      <c r="I48" s="24"/>
      <c r="J48" s="74"/>
      <c r="K48" s="74"/>
      <c r="L48" s="24"/>
      <c r="M48" s="24"/>
      <c r="N48" s="7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71"/>
      <c r="AG48" s="272"/>
    </row>
    <row r="49" spans="1:33" s="4" customFormat="1" ht="21.75" customHeight="1">
      <c r="A49" s="30"/>
      <c r="B49" s="38"/>
      <c r="C49" s="38"/>
      <c r="D49" s="39"/>
      <c r="E49" s="24"/>
      <c r="F49" s="66"/>
      <c r="G49" s="105"/>
      <c r="H49" s="61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71"/>
      <c r="AG49" s="272"/>
    </row>
    <row r="50" spans="1:33" s="4" customFormat="1" ht="21.75" customHeight="1" thickBot="1">
      <c r="A50" s="30"/>
      <c r="B50" s="37"/>
      <c r="C50" s="38"/>
      <c r="D50" s="39"/>
      <c r="E50" s="24"/>
      <c r="F50" s="66"/>
      <c r="G50" s="105"/>
      <c r="H50" s="105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81"/>
      <c r="AG50" s="275"/>
    </row>
    <row r="51" spans="1:33" s="4" customFormat="1" ht="21.75" customHeight="1">
      <c r="A51" s="30"/>
      <c r="B51" s="37"/>
      <c r="C51" s="38"/>
      <c r="D51" s="39"/>
      <c r="E51" s="24"/>
      <c r="F51" s="66"/>
      <c r="G51" s="105"/>
      <c r="H51" s="105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69"/>
      <c r="AG51" s="270"/>
    </row>
    <row r="52" spans="1:33" s="4" customFormat="1" ht="21.75" customHeight="1">
      <c r="A52" s="30"/>
      <c r="B52" s="38"/>
      <c r="C52" s="38"/>
      <c r="D52" s="39"/>
      <c r="E52" s="24"/>
      <c r="F52" s="66"/>
      <c r="G52" s="105"/>
      <c r="H52" s="105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71"/>
      <c r="AG52" s="272"/>
    </row>
    <row r="53" spans="1:33" s="4" customFormat="1" ht="21.75" customHeight="1">
      <c r="A53" s="30"/>
      <c r="B53" s="37"/>
      <c r="C53" s="38"/>
      <c r="D53" s="39"/>
      <c r="E53" s="24"/>
      <c r="F53" s="66"/>
      <c r="G53" s="105"/>
      <c r="H53" s="105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71"/>
      <c r="AG53" s="272"/>
    </row>
    <row r="54" spans="1:33" s="4" customFormat="1" ht="21.75" customHeight="1">
      <c r="A54" s="30"/>
      <c r="B54" s="37"/>
      <c r="C54" s="38"/>
      <c r="D54" s="39"/>
      <c r="E54" s="24"/>
      <c r="F54" s="66"/>
      <c r="G54" s="105"/>
      <c r="H54" s="105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71"/>
      <c r="AG54" s="272"/>
    </row>
    <row r="55" spans="1:33" s="4" customFormat="1" ht="21.75" customHeight="1">
      <c r="A55" s="30"/>
      <c r="B55" s="37"/>
      <c r="C55" s="38"/>
      <c r="D55" s="39"/>
      <c r="E55" s="24"/>
      <c r="F55" s="66"/>
      <c r="G55" s="105"/>
      <c r="H55" s="10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71"/>
      <c r="AG55" s="272"/>
    </row>
    <row r="56" spans="1:33" s="4" customFormat="1" ht="21.75" customHeight="1">
      <c r="A56" s="30"/>
      <c r="B56" s="37"/>
      <c r="C56" s="38"/>
      <c r="D56" s="39"/>
      <c r="E56" s="24"/>
      <c r="F56" s="66"/>
      <c r="G56" s="105"/>
      <c r="H56" s="105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71"/>
      <c r="AG56" s="272"/>
    </row>
    <row r="57" spans="1:33" s="4" customFormat="1" ht="21.75" customHeight="1">
      <c r="A57" s="30"/>
      <c r="B57" s="37"/>
      <c r="C57" s="38"/>
      <c r="D57" s="39"/>
      <c r="E57" s="24"/>
      <c r="F57" s="66"/>
      <c r="G57" s="105"/>
      <c r="H57" s="105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71"/>
      <c r="AG57" s="272"/>
    </row>
    <row r="58" spans="1:33" s="16" customFormat="1" ht="21.75" customHeight="1">
      <c r="A58" s="30"/>
      <c r="B58" s="37"/>
      <c r="C58" s="38"/>
      <c r="D58" s="39"/>
      <c r="E58" s="24"/>
      <c r="F58" s="66"/>
      <c r="G58" s="105"/>
      <c r="H58" s="105"/>
      <c r="I58" s="24"/>
      <c r="J58" s="367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110"/>
      <c r="V58" s="110"/>
      <c r="W58" s="24"/>
      <c r="X58" s="24"/>
      <c r="Y58" s="24"/>
      <c r="Z58" s="24"/>
      <c r="AA58" s="24"/>
      <c r="AB58" s="24"/>
      <c r="AC58" s="24"/>
      <c r="AD58" s="24"/>
      <c r="AE58" s="24"/>
      <c r="AF58" s="271"/>
      <c r="AG58" s="272"/>
    </row>
    <row r="59" spans="1:33" s="16" customFormat="1" ht="21.75" customHeight="1">
      <c r="A59" s="30"/>
      <c r="B59" s="37"/>
      <c r="C59" s="38"/>
      <c r="D59" s="39"/>
      <c r="E59" s="24"/>
      <c r="F59" s="66"/>
      <c r="G59" s="105"/>
      <c r="H59" s="105"/>
      <c r="I59" s="24"/>
      <c r="J59" s="368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110"/>
      <c r="V59" s="110"/>
      <c r="W59" s="24"/>
      <c r="X59" s="24"/>
      <c r="Y59" s="24"/>
      <c r="Z59" s="24"/>
      <c r="AA59" s="24"/>
      <c r="AB59" s="24"/>
      <c r="AC59" s="24"/>
      <c r="AD59" s="24"/>
      <c r="AE59" s="24"/>
      <c r="AF59" s="271"/>
      <c r="AG59" s="272"/>
    </row>
    <row r="60" spans="1:33" s="16" customFormat="1" ht="21.75" customHeight="1">
      <c r="A60" s="30"/>
      <c r="B60" s="37"/>
      <c r="C60" s="38"/>
      <c r="D60" s="39"/>
      <c r="E60" s="24"/>
      <c r="F60" s="66"/>
      <c r="G60" s="105"/>
      <c r="H60" s="105"/>
      <c r="I60" s="24"/>
      <c r="J60" s="368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110"/>
      <c r="V60" s="110"/>
      <c r="W60" s="24"/>
      <c r="X60" s="24"/>
      <c r="Y60" s="24"/>
      <c r="Z60" s="24"/>
      <c r="AA60" s="24"/>
      <c r="AB60" s="24"/>
      <c r="AC60" s="24"/>
      <c r="AD60" s="24"/>
      <c r="AE60" s="24"/>
      <c r="AF60" s="271"/>
      <c r="AG60" s="272"/>
    </row>
    <row r="61" spans="1:33" s="16" customFormat="1" ht="21.75" customHeight="1">
      <c r="A61" s="30"/>
      <c r="B61" s="37"/>
      <c r="C61" s="38"/>
      <c r="D61" s="39"/>
      <c r="E61" s="24"/>
      <c r="F61" s="66"/>
      <c r="G61" s="105"/>
      <c r="H61" s="105"/>
      <c r="I61" s="24"/>
      <c r="J61" s="369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110"/>
      <c r="V61" s="110"/>
      <c r="W61" s="24"/>
      <c r="X61" s="24"/>
      <c r="Y61" s="24"/>
      <c r="Z61" s="24"/>
      <c r="AA61" s="24"/>
      <c r="AB61" s="24"/>
      <c r="AC61" s="24"/>
      <c r="AD61" s="24"/>
      <c r="AE61" s="24"/>
      <c r="AF61" s="271"/>
      <c r="AG61" s="272"/>
    </row>
    <row r="62" spans="1:33" s="16" customFormat="1" ht="21.75" customHeight="1">
      <c r="A62" s="30"/>
      <c r="B62" s="37"/>
      <c r="C62" s="38"/>
      <c r="D62" s="39"/>
      <c r="E62" s="24"/>
      <c r="F62" s="66"/>
      <c r="G62" s="105"/>
      <c r="H62" s="105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110"/>
      <c r="V62" s="110"/>
      <c r="W62" s="24"/>
      <c r="X62" s="24"/>
      <c r="Y62" s="24"/>
      <c r="Z62" s="24"/>
      <c r="AA62" s="24"/>
      <c r="AB62" s="24"/>
      <c r="AC62" s="24"/>
      <c r="AD62" s="24"/>
      <c r="AE62" s="24"/>
      <c r="AF62" s="271"/>
      <c r="AG62" s="272"/>
    </row>
    <row r="63" spans="1:33" s="16" customFormat="1" ht="21.75" customHeight="1">
      <c r="A63" s="30"/>
      <c r="B63" s="37"/>
      <c r="C63" s="38"/>
      <c r="D63" s="39"/>
      <c r="E63" s="24"/>
      <c r="F63" s="66"/>
      <c r="G63" s="105"/>
      <c r="H63" s="105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71"/>
      <c r="AG63" s="272"/>
    </row>
    <row r="64" spans="1:33" s="16" customFormat="1" ht="21.75" customHeight="1">
      <c r="A64" s="30"/>
      <c r="B64" s="37"/>
      <c r="C64" s="38"/>
      <c r="D64" s="39"/>
      <c r="E64" s="24"/>
      <c r="F64" s="66"/>
      <c r="G64" s="105"/>
      <c r="H64" s="105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110"/>
      <c r="V64" s="110"/>
      <c r="W64" s="24"/>
      <c r="X64" s="24"/>
      <c r="Y64" s="24"/>
      <c r="Z64" s="24"/>
      <c r="AA64" s="24"/>
      <c r="AB64" s="24"/>
      <c r="AC64" s="24"/>
      <c r="AD64" s="24"/>
      <c r="AE64" s="24"/>
      <c r="AF64" s="273"/>
      <c r="AG64" s="272"/>
    </row>
    <row r="65" spans="1:33" s="16" customFormat="1" ht="21.75" customHeight="1">
      <c r="A65" s="30"/>
      <c r="B65" s="37"/>
      <c r="C65" s="38"/>
      <c r="D65" s="39"/>
      <c r="E65" s="24"/>
      <c r="F65" s="213"/>
      <c r="G65" s="214"/>
      <c r="H65" s="214"/>
      <c r="I65" s="215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110"/>
      <c r="V65" s="110"/>
      <c r="W65" s="24"/>
      <c r="X65" s="24"/>
      <c r="Y65" s="24"/>
      <c r="Z65" s="24"/>
      <c r="AA65" s="24"/>
      <c r="AB65" s="24"/>
      <c r="AC65" s="24"/>
      <c r="AD65" s="24"/>
      <c r="AE65" s="24"/>
      <c r="AF65" s="273"/>
      <c r="AG65" s="272"/>
    </row>
    <row r="66" spans="1:33" s="16" customFormat="1" ht="21.75" customHeight="1" thickBot="1">
      <c r="A66" s="30"/>
      <c r="B66" s="102"/>
      <c r="C66" s="103"/>
      <c r="D66" s="69"/>
      <c r="E66" s="24"/>
      <c r="F66" s="66"/>
      <c r="G66" s="105"/>
      <c r="H66" s="105"/>
      <c r="I66" s="2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24"/>
      <c r="X66" s="24"/>
      <c r="Y66" s="74"/>
      <c r="Z66" s="74"/>
      <c r="AA66" s="24"/>
      <c r="AB66" s="24"/>
      <c r="AC66" s="74"/>
      <c r="AD66" s="74"/>
      <c r="AE66" s="24"/>
      <c r="AF66" s="274"/>
      <c r="AG66" s="275"/>
    </row>
    <row r="67" spans="2:33" s="1" customFormat="1" ht="46.5" customHeight="1">
      <c r="B67" s="233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5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317"/>
      <c r="AG67" s="318"/>
    </row>
    <row r="68" spans="2:33" s="1" customFormat="1" ht="46.5" customHeight="1" thickBot="1">
      <c r="B68" s="236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8"/>
      <c r="O68" s="250"/>
      <c r="P68" s="250"/>
      <c r="Q68" s="250"/>
      <c r="R68" s="250"/>
      <c r="S68" s="250"/>
      <c r="T68" s="250"/>
      <c r="U68" s="212"/>
      <c r="V68" s="212"/>
      <c r="W68" s="212"/>
      <c r="X68" s="212"/>
      <c r="Y68" s="250"/>
      <c r="Z68" s="250"/>
      <c r="AA68" s="212"/>
      <c r="AB68" s="212"/>
      <c r="AC68" s="212"/>
      <c r="AD68" s="212"/>
      <c r="AE68" s="212"/>
      <c r="AF68" s="276"/>
      <c r="AG68" s="277"/>
    </row>
    <row r="69" spans="1:34" ht="36" customHeight="1">
      <c r="A69" s="10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Y69" s="49"/>
      <c r="Z69" s="49"/>
      <c r="AC69" s="49"/>
      <c r="AD69" s="49"/>
      <c r="AF69" s="49"/>
      <c r="AG69" s="49"/>
      <c r="AH69" s="11"/>
    </row>
    <row r="70" spans="2:33" ht="12.7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Y70" s="49"/>
      <c r="Z70" s="49"/>
      <c r="AC70" s="49"/>
      <c r="AD70" s="49"/>
      <c r="AF70" s="49"/>
      <c r="AG70" s="49"/>
    </row>
    <row r="71" spans="2:33" ht="12.7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Y71" s="49"/>
      <c r="Z71" s="49"/>
      <c r="AC71" s="49"/>
      <c r="AD71" s="49"/>
      <c r="AF71" s="49"/>
      <c r="AG71" s="49"/>
    </row>
    <row r="72" spans="2:33" ht="15.75">
      <c r="B72" s="224"/>
      <c r="C72" s="225"/>
      <c r="D72" s="225"/>
      <c r="E72" s="225"/>
      <c r="F72" s="225"/>
      <c r="G72" s="226"/>
      <c r="H72" s="53"/>
      <c r="I72" s="53"/>
      <c r="J72" s="53"/>
      <c r="K72" s="53"/>
      <c r="L72" s="53"/>
      <c r="M72" s="53"/>
      <c r="N72" s="53"/>
      <c r="O72" s="53"/>
      <c r="P72" s="53"/>
      <c r="Q72" s="101"/>
      <c r="R72" s="101"/>
      <c r="S72" s="94"/>
      <c r="T72" s="94"/>
      <c r="U72" s="101"/>
      <c r="V72" s="101"/>
      <c r="W72" s="101"/>
      <c r="X72" s="101"/>
      <c r="Y72" s="101"/>
      <c r="Z72" s="101"/>
      <c r="AA72" s="101"/>
      <c r="AB72" s="101"/>
      <c r="AC72" s="53"/>
      <c r="AD72" s="53"/>
      <c r="AF72" s="49"/>
      <c r="AG72" s="49"/>
    </row>
    <row r="73" spans="2:33" ht="15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96"/>
      <c r="P73" s="96"/>
      <c r="Q73" s="53"/>
      <c r="R73" s="53"/>
      <c r="S73" s="85"/>
      <c r="T73" s="49"/>
      <c r="U73" s="49"/>
      <c r="V73" s="49"/>
      <c r="Y73" s="49"/>
      <c r="Z73" s="49"/>
      <c r="AC73" s="49"/>
      <c r="AD73" s="49"/>
      <c r="AF73" s="49"/>
      <c r="AG73" s="49"/>
    </row>
    <row r="74" spans="2:33" ht="15">
      <c r="B74" s="49"/>
      <c r="C74" s="97"/>
      <c r="D74" s="49"/>
      <c r="E74" s="49"/>
      <c r="F74" s="49"/>
      <c r="G74" s="49"/>
      <c r="H74" s="49"/>
      <c r="I74" s="49"/>
      <c r="J74" s="49"/>
      <c r="K74" s="297"/>
      <c r="L74" s="298"/>
      <c r="M74" s="298"/>
      <c r="N74" s="298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F74" s="49"/>
      <c r="AG74" s="49"/>
    </row>
    <row r="75" spans="2:34" s="3" customFormat="1" ht="36" customHeight="1" thickBot="1">
      <c r="B75" s="54"/>
      <c r="C75" s="55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229"/>
      <c r="P75" s="229"/>
      <c r="Q75" s="229"/>
      <c r="R75" s="229"/>
      <c r="S75" s="229"/>
      <c r="T75" s="229"/>
      <c r="U75" s="259"/>
      <c r="V75" s="259"/>
      <c r="Y75" s="229"/>
      <c r="Z75" s="229"/>
      <c r="AC75" s="303"/>
      <c r="AD75" s="303"/>
      <c r="AF75" s="98"/>
      <c r="AG75" s="98"/>
      <c r="AH75" s="13"/>
    </row>
    <row r="76" spans="2:33" s="4" customFormat="1" ht="21.75" customHeight="1">
      <c r="B76" s="233"/>
      <c r="C76" s="299"/>
      <c r="D76" s="251"/>
      <c r="E76" s="251"/>
      <c r="F76" s="251"/>
      <c r="G76" s="254"/>
      <c r="H76" s="254"/>
      <c r="I76" s="251"/>
      <c r="J76" s="254"/>
      <c r="K76" s="254"/>
      <c r="L76" s="254"/>
      <c r="M76" s="254"/>
      <c r="N76" s="254"/>
      <c r="O76" s="216"/>
      <c r="P76" s="217"/>
      <c r="Q76" s="216"/>
      <c r="R76" s="217"/>
      <c r="S76" s="216"/>
      <c r="T76" s="217"/>
      <c r="U76" s="216"/>
      <c r="V76" s="217"/>
      <c r="W76" s="216"/>
      <c r="X76" s="217"/>
      <c r="Y76" s="216"/>
      <c r="Z76" s="217"/>
      <c r="AA76" s="216"/>
      <c r="AB76" s="217"/>
      <c r="AC76" s="216"/>
      <c r="AD76" s="217"/>
      <c r="AE76" s="58"/>
      <c r="AF76" s="282"/>
      <c r="AG76" s="282"/>
    </row>
    <row r="77" spans="2:33" s="4" customFormat="1" ht="27.75" customHeight="1">
      <c r="B77" s="293"/>
      <c r="C77" s="300"/>
      <c r="D77" s="255"/>
      <c r="E77" s="255"/>
      <c r="F77" s="255"/>
      <c r="G77" s="242"/>
      <c r="H77" s="242"/>
      <c r="I77" s="252"/>
      <c r="J77" s="255"/>
      <c r="K77" s="255"/>
      <c r="L77" s="242"/>
      <c r="M77" s="242"/>
      <c r="N77" s="242"/>
      <c r="O77" s="218"/>
      <c r="P77" s="219"/>
      <c r="Q77" s="218"/>
      <c r="R77" s="219"/>
      <c r="S77" s="218"/>
      <c r="T77" s="219"/>
      <c r="U77" s="218"/>
      <c r="V77" s="219"/>
      <c r="W77" s="218"/>
      <c r="X77" s="219"/>
      <c r="Y77" s="218"/>
      <c r="Z77" s="219"/>
      <c r="AA77" s="218"/>
      <c r="AB77" s="219"/>
      <c r="AC77" s="218"/>
      <c r="AD77" s="219"/>
      <c r="AE77" s="241"/>
      <c r="AF77" s="283"/>
      <c r="AG77" s="304"/>
    </row>
    <row r="78" spans="2:33" s="4" customFormat="1" ht="27.75" customHeight="1" thickBot="1">
      <c r="B78" s="293"/>
      <c r="C78" s="300"/>
      <c r="D78" s="255"/>
      <c r="E78" s="255"/>
      <c r="F78" s="255"/>
      <c r="G78" s="242"/>
      <c r="H78" s="242"/>
      <c r="I78" s="252"/>
      <c r="J78" s="255"/>
      <c r="K78" s="255"/>
      <c r="L78" s="242"/>
      <c r="M78" s="242"/>
      <c r="N78" s="242"/>
      <c r="O78" s="220"/>
      <c r="P78" s="221"/>
      <c r="Q78" s="220"/>
      <c r="R78" s="221"/>
      <c r="S78" s="220"/>
      <c r="T78" s="221"/>
      <c r="U78" s="220"/>
      <c r="V78" s="221"/>
      <c r="W78" s="220"/>
      <c r="X78" s="221"/>
      <c r="Y78" s="220"/>
      <c r="Z78" s="221"/>
      <c r="AA78" s="220"/>
      <c r="AB78" s="221"/>
      <c r="AC78" s="220"/>
      <c r="AD78" s="221"/>
      <c r="AE78" s="242"/>
      <c r="AF78" s="284"/>
      <c r="AG78" s="304"/>
    </row>
    <row r="79" spans="2:33" s="4" customFormat="1" ht="27.75" customHeight="1">
      <c r="B79" s="293"/>
      <c r="C79" s="300"/>
      <c r="D79" s="255"/>
      <c r="E79" s="255"/>
      <c r="F79" s="255"/>
      <c r="G79" s="242"/>
      <c r="H79" s="242"/>
      <c r="I79" s="252"/>
      <c r="J79" s="255"/>
      <c r="K79" s="255"/>
      <c r="L79" s="242"/>
      <c r="M79" s="242"/>
      <c r="N79" s="242"/>
      <c r="O79" s="220"/>
      <c r="P79" s="221"/>
      <c r="Q79" s="220"/>
      <c r="R79" s="221"/>
      <c r="S79" s="220"/>
      <c r="T79" s="221"/>
      <c r="U79" s="220"/>
      <c r="V79" s="221"/>
      <c r="W79" s="220"/>
      <c r="X79" s="221"/>
      <c r="Y79" s="220"/>
      <c r="Z79" s="221"/>
      <c r="AA79" s="220"/>
      <c r="AB79" s="221"/>
      <c r="AC79" s="220"/>
      <c r="AD79" s="221"/>
      <c r="AE79" s="242"/>
      <c r="AF79" s="269"/>
      <c r="AG79" s="270"/>
    </row>
    <row r="80" spans="2:33" s="4" customFormat="1" ht="27.75" customHeight="1">
      <c r="B80" s="293"/>
      <c r="C80" s="300"/>
      <c r="D80" s="255"/>
      <c r="E80" s="255"/>
      <c r="F80" s="255"/>
      <c r="G80" s="242"/>
      <c r="H80" s="242"/>
      <c r="I80" s="252"/>
      <c r="J80" s="255"/>
      <c r="K80" s="255"/>
      <c r="L80" s="242"/>
      <c r="M80" s="242"/>
      <c r="N80" s="242"/>
      <c r="O80" s="220"/>
      <c r="P80" s="221"/>
      <c r="Q80" s="220"/>
      <c r="R80" s="221"/>
      <c r="S80" s="220"/>
      <c r="T80" s="221"/>
      <c r="U80" s="220"/>
      <c r="V80" s="221"/>
      <c r="W80" s="220"/>
      <c r="X80" s="221"/>
      <c r="Y80" s="220"/>
      <c r="Z80" s="221"/>
      <c r="AA80" s="220"/>
      <c r="AB80" s="221"/>
      <c r="AC80" s="220"/>
      <c r="AD80" s="221"/>
      <c r="AE80" s="242"/>
      <c r="AF80" s="271"/>
      <c r="AG80" s="272"/>
    </row>
    <row r="81" spans="2:33" s="4" customFormat="1" ht="27.75" customHeight="1">
      <c r="B81" s="293"/>
      <c r="C81" s="300"/>
      <c r="D81" s="255"/>
      <c r="E81" s="255"/>
      <c r="F81" s="255"/>
      <c r="G81" s="242"/>
      <c r="H81" s="242"/>
      <c r="I81" s="252"/>
      <c r="J81" s="255"/>
      <c r="K81" s="255"/>
      <c r="L81" s="242"/>
      <c r="M81" s="242"/>
      <c r="N81" s="242"/>
      <c r="O81" s="220"/>
      <c r="P81" s="221"/>
      <c r="Q81" s="220"/>
      <c r="R81" s="221"/>
      <c r="S81" s="220"/>
      <c r="T81" s="221"/>
      <c r="U81" s="220"/>
      <c r="V81" s="221"/>
      <c r="W81" s="220"/>
      <c r="X81" s="221"/>
      <c r="Y81" s="220"/>
      <c r="Z81" s="221"/>
      <c r="AA81" s="220"/>
      <c r="AB81" s="221"/>
      <c r="AC81" s="220"/>
      <c r="AD81" s="221"/>
      <c r="AE81" s="242"/>
      <c r="AF81" s="271"/>
      <c r="AG81" s="272"/>
    </row>
    <row r="82" spans="2:33" s="4" customFormat="1" ht="27.75" customHeight="1">
      <c r="B82" s="293"/>
      <c r="C82" s="300"/>
      <c r="D82" s="255"/>
      <c r="E82" s="255"/>
      <c r="F82" s="255"/>
      <c r="G82" s="242"/>
      <c r="H82" s="242"/>
      <c r="I82" s="252"/>
      <c r="J82" s="255"/>
      <c r="K82" s="255"/>
      <c r="L82" s="242"/>
      <c r="M82" s="242"/>
      <c r="N82" s="242"/>
      <c r="O82" s="220"/>
      <c r="P82" s="221"/>
      <c r="Q82" s="220"/>
      <c r="R82" s="221"/>
      <c r="S82" s="220"/>
      <c r="T82" s="221"/>
      <c r="U82" s="220"/>
      <c r="V82" s="221"/>
      <c r="W82" s="220"/>
      <c r="X82" s="221"/>
      <c r="Y82" s="220"/>
      <c r="Z82" s="221"/>
      <c r="AA82" s="220"/>
      <c r="AB82" s="221"/>
      <c r="AC82" s="220"/>
      <c r="AD82" s="221"/>
      <c r="AE82" s="242"/>
      <c r="AF82" s="271"/>
      <c r="AG82" s="272"/>
    </row>
    <row r="83" spans="2:33" s="4" customFormat="1" ht="27.75" customHeight="1">
      <c r="B83" s="293"/>
      <c r="C83" s="300"/>
      <c r="D83" s="255"/>
      <c r="E83" s="255"/>
      <c r="F83" s="255"/>
      <c r="G83" s="242"/>
      <c r="H83" s="242"/>
      <c r="I83" s="252"/>
      <c r="J83" s="255"/>
      <c r="K83" s="255"/>
      <c r="L83" s="242"/>
      <c r="M83" s="242"/>
      <c r="N83" s="242"/>
      <c r="O83" s="220"/>
      <c r="P83" s="221"/>
      <c r="Q83" s="220"/>
      <c r="R83" s="221"/>
      <c r="S83" s="220"/>
      <c r="T83" s="221"/>
      <c r="U83" s="220"/>
      <c r="V83" s="221"/>
      <c r="W83" s="220"/>
      <c r="X83" s="221"/>
      <c r="Y83" s="220"/>
      <c r="Z83" s="221"/>
      <c r="AA83" s="220"/>
      <c r="AB83" s="221"/>
      <c r="AC83" s="220"/>
      <c r="AD83" s="221"/>
      <c r="AE83" s="242"/>
      <c r="AF83" s="271"/>
      <c r="AG83" s="272"/>
    </row>
    <row r="84" spans="2:33" s="5" customFormat="1" ht="27.75" customHeight="1">
      <c r="B84" s="301"/>
      <c r="C84" s="302"/>
      <c r="D84" s="256"/>
      <c r="E84" s="256"/>
      <c r="F84" s="256"/>
      <c r="G84" s="243"/>
      <c r="H84" s="243"/>
      <c r="I84" s="253"/>
      <c r="J84" s="256"/>
      <c r="K84" s="256"/>
      <c r="L84" s="243"/>
      <c r="M84" s="243"/>
      <c r="N84" s="243"/>
      <c r="O84" s="222"/>
      <c r="P84" s="223"/>
      <c r="Q84" s="222"/>
      <c r="R84" s="223"/>
      <c r="S84" s="222"/>
      <c r="T84" s="223"/>
      <c r="U84" s="222"/>
      <c r="V84" s="223"/>
      <c r="W84" s="222"/>
      <c r="X84" s="223"/>
      <c r="Y84" s="222"/>
      <c r="Z84" s="223"/>
      <c r="AA84" s="222"/>
      <c r="AB84" s="223"/>
      <c r="AC84" s="222"/>
      <c r="AD84" s="223"/>
      <c r="AE84" s="243"/>
      <c r="AF84" s="271"/>
      <c r="AG84" s="272"/>
    </row>
    <row r="85" spans="2:33" s="7" customFormat="1" ht="21.75" customHeight="1" thickBot="1">
      <c r="B85" s="56"/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208"/>
      <c r="P85" s="210"/>
      <c r="Q85" s="208"/>
      <c r="R85" s="210"/>
      <c r="S85" s="208"/>
      <c r="T85" s="210"/>
      <c r="U85" s="208"/>
      <c r="V85" s="210"/>
      <c r="W85" s="208"/>
      <c r="X85" s="210"/>
      <c r="Y85" s="208"/>
      <c r="Z85" s="210"/>
      <c r="AA85" s="208"/>
      <c r="AB85" s="210"/>
      <c r="AC85" s="208"/>
      <c r="AD85" s="210"/>
      <c r="AE85" s="57"/>
      <c r="AF85" s="271"/>
      <c r="AG85" s="272"/>
    </row>
    <row r="86" spans="1:33" s="4" customFormat="1" ht="21.75" customHeight="1">
      <c r="A86" s="30"/>
      <c r="B86" s="113"/>
      <c r="C86" s="65"/>
      <c r="D86" s="39"/>
      <c r="E86" s="24"/>
      <c r="F86" s="24"/>
      <c r="G86" s="24"/>
      <c r="H86" s="24"/>
      <c r="I86" s="24"/>
      <c r="J86" s="24"/>
      <c r="K86" s="24"/>
      <c r="L86" s="24"/>
      <c r="M86" s="24"/>
      <c r="N86" s="61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65"/>
      <c r="AD86" s="265"/>
      <c r="AE86" s="227"/>
      <c r="AF86" s="271"/>
      <c r="AG86" s="272"/>
    </row>
    <row r="87" spans="1:33" s="4" customFormat="1" ht="21.75" customHeight="1">
      <c r="A87" s="30"/>
      <c r="B87" s="230"/>
      <c r="C87" s="231"/>
      <c r="D87" s="231"/>
      <c r="E87" s="231"/>
      <c r="F87" s="231"/>
      <c r="G87" s="231"/>
      <c r="H87" s="231"/>
      <c r="I87" s="232"/>
      <c r="J87" s="24"/>
      <c r="K87" s="24"/>
      <c r="L87" s="24"/>
      <c r="M87" s="24"/>
      <c r="N87" s="61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66"/>
      <c r="AD87" s="266"/>
      <c r="AE87" s="228"/>
      <c r="AF87" s="271"/>
      <c r="AG87" s="272"/>
    </row>
    <row r="88" spans="1:33" s="4" customFormat="1" ht="21.75" customHeight="1">
      <c r="A88" s="30"/>
      <c r="B88" s="77"/>
      <c r="C88" s="38"/>
      <c r="D88" s="39"/>
      <c r="E88" s="24"/>
      <c r="F88" s="66"/>
      <c r="G88" s="105"/>
      <c r="H88" s="105"/>
      <c r="I88" s="24"/>
      <c r="J88" s="24"/>
      <c r="K88" s="24"/>
      <c r="L88" s="24"/>
      <c r="M88" s="24"/>
      <c r="N88" s="61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71"/>
      <c r="AG88" s="272"/>
    </row>
    <row r="89" spans="1:33" s="4" customFormat="1" ht="21.75" customHeight="1">
      <c r="A89" s="30"/>
      <c r="B89" s="37"/>
      <c r="C89" s="38"/>
      <c r="D89" s="39"/>
      <c r="E89" s="24"/>
      <c r="F89" s="66"/>
      <c r="G89" s="105"/>
      <c r="H89" s="105"/>
      <c r="I89" s="24"/>
      <c r="J89" s="24"/>
      <c r="K89" s="24"/>
      <c r="L89" s="24"/>
      <c r="M89" s="24"/>
      <c r="N89" s="61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71"/>
      <c r="AG89" s="272"/>
    </row>
    <row r="90" spans="1:33" s="4" customFormat="1" ht="21.75" customHeight="1">
      <c r="A90" s="30"/>
      <c r="B90" s="37"/>
      <c r="C90" s="38"/>
      <c r="D90" s="39"/>
      <c r="E90" s="24"/>
      <c r="F90" s="66"/>
      <c r="G90" s="105"/>
      <c r="H90" s="105"/>
      <c r="I90" s="24"/>
      <c r="J90" s="24"/>
      <c r="K90" s="24"/>
      <c r="L90" s="24"/>
      <c r="M90" s="24"/>
      <c r="N90" s="61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71"/>
      <c r="AG90" s="272"/>
    </row>
    <row r="91" spans="1:33" s="4" customFormat="1" ht="21.75" customHeight="1">
      <c r="A91" s="30"/>
      <c r="B91" s="37"/>
      <c r="C91" s="38"/>
      <c r="D91" s="39"/>
      <c r="E91" s="24"/>
      <c r="F91" s="66"/>
      <c r="G91" s="105"/>
      <c r="H91" s="105"/>
      <c r="I91" s="24"/>
      <c r="J91" s="24"/>
      <c r="K91" s="24"/>
      <c r="L91" s="24"/>
      <c r="M91" s="24"/>
      <c r="N91" s="61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71"/>
      <c r="AG91" s="272"/>
    </row>
    <row r="92" spans="1:33" s="4" customFormat="1" ht="21.75" customHeight="1">
      <c r="A92" s="30"/>
      <c r="B92" s="38"/>
      <c r="C92" s="38"/>
      <c r="D92" s="39"/>
      <c r="E92" s="24"/>
      <c r="F92" s="66"/>
      <c r="G92" s="105"/>
      <c r="H92" s="105"/>
      <c r="I92" s="24"/>
      <c r="J92" s="24"/>
      <c r="K92" s="24"/>
      <c r="L92" s="24"/>
      <c r="M92" s="24"/>
      <c r="N92" s="61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71"/>
      <c r="AG92" s="272"/>
    </row>
    <row r="93" spans="1:33" s="4" customFormat="1" ht="21.75" customHeight="1">
      <c r="A93" s="30"/>
      <c r="B93" s="37"/>
      <c r="C93" s="38"/>
      <c r="D93" s="39"/>
      <c r="E93" s="24"/>
      <c r="F93" s="66"/>
      <c r="G93" s="105"/>
      <c r="H93" s="105"/>
      <c r="I93" s="24"/>
      <c r="J93" s="24"/>
      <c r="K93" s="24"/>
      <c r="L93" s="24"/>
      <c r="M93" s="24"/>
      <c r="N93" s="61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71"/>
      <c r="AG93" s="272"/>
    </row>
    <row r="94" spans="1:33" s="4" customFormat="1" ht="21.75" customHeight="1">
      <c r="A94" s="30"/>
      <c r="B94" s="37"/>
      <c r="C94" s="38"/>
      <c r="D94" s="39"/>
      <c r="E94" s="24"/>
      <c r="F94" s="66"/>
      <c r="G94" s="105"/>
      <c r="H94" s="105"/>
      <c r="I94" s="24"/>
      <c r="J94" s="24"/>
      <c r="K94" s="24"/>
      <c r="L94" s="24"/>
      <c r="M94" s="24"/>
      <c r="N94" s="61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71"/>
      <c r="AG94" s="272"/>
    </row>
    <row r="95" spans="1:33" s="4" customFormat="1" ht="21.75" customHeight="1">
      <c r="A95" s="30"/>
      <c r="B95" s="38"/>
      <c r="C95" s="38"/>
      <c r="D95" s="39"/>
      <c r="E95" s="24"/>
      <c r="F95" s="66"/>
      <c r="G95" s="105"/>
      <c r="H95" s="105"/>
      <c r="I95" s="24"/>
      <c r="J95" s="24"/>
      <c r="K95" s="24"/>
      <c r="L95" s="24"/>
      <c r="M95" s="24"/>
      <c r="N95" s="61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71"/>
      <c r="AG95" s="272"/>
    </row>
    <row r="96" spans="1:33" s="16" customFormat="1" ht="21.75" customHeight="1">
      <c r="A96" s="30"/>
      <c r="B96" s="37"/>
      <c r="C96" s="38"/>
      <c r="D96" s="39"/>
      <c r="E96" s="24"/>
      <c r="F96" s="66"/>
      <c r="G96" s="105"/>
      <c r="H96" s="105"/>
      <c r="I96" s="24"/>
      <c r="J96" s="24"/>
      <c r="K96" s="24"/>
      <c r="L96" s="24"/>
      <c r="M96" s="24"/>
      <c r="N96" s="61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71"/>
      <c r="AG96" s="272"/>
    </row>
    <row r="97" spans="1:33" s="16" customFormat="1" ht="21.75" customHeight="1">
      <c r="A97" s="30"/>
      <c r="B97" s="37"/>
      <c r="C97" s="38"/>
      <c r="D97" s="39"/>
      <c r="E97" s="24"/>
      <c r="F97" s="66"/>
      <c r="G97" s="105"/>
      <c r="H97" s="105"/>
      <c r="I97" s="24"/>
      <c r="J97" s="24"/>
      <c r="K97" s="24"/>
      <c r="L97" s="39"/>
      <c r="M97" s="24"/>
      <c r="N97" s="61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71"/>
      <c r="AG97" s="272"/>
    </row>
    <row r="98" spans="1:33" s="16" customFormat="1" ht="21.75" customHeight="1">
      <c r="A98" s="30"/>
      <c r="B98" s="37"/>
      <c r="C98" s="38"/>
      <c r="D98" s="39"/>
      <c r="E98" s="24"/>
      <c r="F98" s="66"/>
      <c r="G98" s="105"/>
      <c r="H98" s="105"/>
      <c r="I98" s="24"/>
      <c r="J98" s="24"/>
      <c r="K98" s="24"/>
      <c r="L98" s="24"/>
      <c r="M98" s="24"/>
      <c r="N98" s="61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71"/>
      <c r="AG98" s="272"/>
    </row>
    <row r="99" spans="1:33" s="16" customFormat="1" ht="21.75" customHeight="1">
      <c r="A99" s="30"/>
      <c r="B99" s="37"/>
      <c r="C99" s="38"/>
      <c r="D99" s="39"/>
      <c r="E99" s="24"/>
      <c r="F99" s="66"/>
      <c r="G99" s="24"/>
      <c r="H99" s="24"/>
      <c r="I99" s="24"/>
      <c r="J99" s="24"/>
      <c r="K99" s="24"/>
      <c r="L99" s="24"/>
      <c r="M99" s="24"/>
      <c r="N99" s="61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71"/>
      <c r="AG99" s="272"/>
    </row>
    <row r="100" spans="1:33" s="16" customFormat="1" ht="21.75" customHeight="1">
      <c r="A100" s="30"/>
      <c r="B100" s="37"/>
      <c r="C100" s="38"/>
      <c r="D100" s="39"/>
      <c r="E100" s="24"/>
      <c r="F100" s="66"/>
      <c r="G100" s="105"/>
      <c r="H100" s="105"/>
      <c r="I100" s="24"/>
      <c r="J100" s="24"/>
      <c r="K100" s="24"/>
      <c r="L100" s="24"/>
      <c r="M100" s="24"/>
      <c r="N100" s="61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71"/>
      <c r="AG100" s="272"/>
    </row>
    <row r="101" spans="1:33" s="4" customFormat="1" ht="21.75" customHeight="1">
      <c r="A101" s="30"/>
      <c r="B101" s="37"/>
      <c r="C101" s="38"/>
      <c r="D101" s="39"/>
      <c r="E101" s="24"/>
      <c r="F101" s="66"/>
      <c r="G101" s="105"/>
      <c r="H101" s="105"/>
      <c r="I101" s="24"/>
      <c r="J101" s="24"/>
      <c r="K101" s="24"/>
      <c r="L101" s="24"/>
      <c r="M101" s="24"/>
      <c r="N101" s="61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71"/>
      <c r="AG101" s="272"/>
    </row>
    <row r="102" spans="1:33" s="4" customFormat="1" ht="21.75" customHeight="1">
      <c r="A102" s="30"/>
      <c r="B102" s="37"/>
      <c r="C102" s="38"/>
      <c r="D102" s="39"/>
      <c r="E102" s="24"/>
      <c r="F102" s="66"/>
      <c r="G102" s="90"/>
      <c r="H102" s="24"/>
      <c r="I102" s="24"/>
      <c r="J102" s="24"/>
      <c r="K102" s="24"/>
      <c r="L102" s="24"/>
      <c r="M102" s="24"/>
      <c r="N102" s="61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71"/>
      <c r="AG102" s="272"/>
    </row>
    <row r="103" spans="1:33" s="4" customFormat="1" ht="21.75" customHeight="1">
      <c r="A103" s="30"/>
      <c r="B103" s="37"/>
      <c r="C103" s="38"/>
      <c r="D103" s="39"/>
      <c r="E103" s="24"/>
      <c r="F103" s="66"/>
      <c r="G103" s="90"/>
      <c r="H103" s="24"/>
      <c r="I103" s="24"/>
      <c r="J103" s="24"/>
      <c r="K103" s="24"/>
      <c r="L103" s="24"/>
      <c r="M103" s="24"/>
      <c r="N103" s="61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71"/>
      <c r="AG103" s="272"/>
    </row>
    <row r="104" spans="1:33" s="4" customFormat="1" ht="21.75" customHeight="1">
      <c r="A104" s="30"/>
      <c r="B104" s="37"/>
      <c r="C104" s="38"/>
      <c r="D104" s="39"/>
      <c r="E104" s="24"/>
      <c r="F104" s="66"/>
      <c r="G104" s="90"/>
      <c r="H104" s="24"/>
      <c r="I104" s="24"/>
      <c r="J104" s="24"/>
      <c r="K104" s="24"/>
      <c r="L104" s="24"/>
      <c r="M104" s="24"/>
      <c r="N104" s="61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71"/>
      <c r="AG104" s="272"/>
    </row>
    <row r="105" spans="1:33" s="4" customFormat="1" ht="21.75" customHeight="1">
      <c r="A105" s="30"/>
      <c r="B105" s="37"/>
      <c r="C105" s="38"/>
      <c r="D105" s="39"/>
      <c r="E105" s="24"/>
      <c r="F105" s="66"/>
      <c r="G105" s="105"/>
      <c r="H105" s="105"/>
      <c r="I105" s="24"/>
      <c r="J105" s="24"/>
      <c r="K105" s="24"/>
      <c r="L105" s="24"/>
      <c r="M105" s="24"/>
      <c r="N105" s="61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71"/>
      <c r="AG105" s="272"/>
    </row>
    <row r="106" spans="1:33" s="4" customFormat="1" ht="21.75" customHeight="1">
      <c r="A106" s="30"/>
      <c r="B106" s="37"/>
      <c r="C106" s="38"/>
      <c r="D106" s="39"/>
      <c r="E106" s="24"/>
      <c r="F106" s="66"/>
      <c r="G106" s="105"/>
      <c r="H106" s="105"/>
      <c r="I106" s="24"/>
      <c r="J106" s="24"/>
      <c r="K106" s="24"/>
      <c r="L106" s="39"/>
      <c r="M106" s="24"/>
      <c r="N106" s="61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71"/>
      <c r="AG106" s="272"/>
    </row>
    <row r="107" spans="1:33" s="4" customFormat="1" ht="21.75" customHeight="1">
      <c r="A107" s="30"/>
      <c r="B107" s="37"/>
      <c r="C107" s="38"/>
      <c r="D107" s="39"/>
      <c r="E107" s="24"/>
      <c r="F107" s="66"/>
      <c r="G107" s="105"/>
      <c r="H107" s="105"/>
      <c r="I107" s="24"/>
      <c r="J107" s="24"/>
      <c r="K107" s="24"/>
      <c r="L107" s="24"/>
      <c r="M107" s="24"/>
      <c r="N107" s="61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71"/>
      <c r="AG107" s="272"/>
    </row>
    <row r="108" spans="1:33" s="4" customFormat="1" ht="21.75" customHeight="1">
      <c r="A108" s="30"/>
      <c r="B108" s="37"/>
      <c r="C108" s="38"/>
      <c r="D108" s="39"/>
      <c r="E108" s="24"/>
      <c r="F108" s="66"/>
      <c r="G108" s="105"/>
      <c r="H108" s="105"/>
      <c r="I108" s="24"/>
      <c r="J108" s="24"/>
      <c r="K108" s="24"/>
      <c r="L108" s="24"/>
      <c r="M108" s="24"/>
      <c r="N108" s="61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71"/>
      <c r="AG108" s="272"/>
    </row>
    <row r="109" spans="1:33" s="4" customFormat="1" ht="21.75" customHeight="1">
      <c r="A109" s="30"/>
      <c r="B109" s="37"/>
      <c r="C109" s="38"/>
      <c r="D109" s="39"/>
      <c r="E109" s="24"/>
      <c r="F109" s="66"/>
      <c r="G109" s="105"/>
      <c r="H109" s="105"/>
      <c r="I109" s="24"/>
      <c r="J109" s="24"/>
      <c r="K109" s="24"/>
      <c r="L109" s="24"/>
      <c r="M109" s="24"/>
      <c r="N109" s="61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71"/>
      <c r="AG109" s="272"/>
    </row>
    <row r="110" spans="1:33" s="4" customFormat="1" ht="21.75" customHeight="1">
      <c r="A110" s="30"/>
      <c r="B110" s="37"/>
      <c r="C110" s="38"/>
      <c r="D110" s="39"/>
      <c r="E110" s="24"/>
      <c r="F110" s="213"/>
      <c r="G110" s="214"/>
      <c r="H110" s="214"/>
      <c r="I110" s="215"/>
      <c r="J110" s="24"/>
      <c r="K110" s="24"/>
      <c r="L110" s="24"/>
      <c r="M110" s="24"/>
      <c r="N110" s="61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71"/>
      <c r="AG110" s="272"/>
    </row>
    <row r="111" spans="1:33" s="4" customFormat="1" ht="21.75" customHeight="1">
      <c r="A111" s="30"/>
      <c r="B111" s="38"/>
      <c r="C111" s="38"/>
      <c r="D111" s="39"/>
      <c r="E111" s="24"/>
      <c r="F111" s="66"/>
      <c r="G111" s="24"/>
      <c r="H111" s="24"/>
      <c r="I111" s="24"/>
      <c r="J111" s="24"/>
      <c r="K111" s="24"/>
      <c r="L111" s="24"/>
      <c r="M111" s="24"/>
      <c r="N111" s="61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71"/>
      <c r="AG111" s="272"/>
    </row>
    <row r="112" spans="1:33" s="4" customFormat="1" ht="21.75" customHeight="1">
      <c r="A112" s="30"/>
      <c r="B112" s="38"/>
      <c r="C112" s="38"/>
      <c r="D112" s="39"/>
      <c r="E112" s="24"/>
      <c r="F112" s="66"/>
      <c r="G112" s="105"/>
      <c r="H112" s="105"/>
      <c r="I112" s="24"/>
      <c r="J112" s="24"/>
      <c r="K112" s="24"/>
      <c r="L112" s="24"/>
      <c r="M112" s="24"/>
      <c r="N112" s="61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71"/>
      <c r="AG112" s="272"/>
    </row>
    <row r="113" spans="1:33" s="4" customFormat="1" ht="21.75" customHeight="1">
      <c r="A113" s="30"/>
      <c r="B113" s="38"/>
      <c r="C113" s="38"/>
      <c r="D113" s="39"/>
      <c r="E113" s="24"/>
      <c r="F113" s="24"/>
      <c r="G113" s="105"/>
      <c r="H113" s="105"/>
      <c r="I113" s="24"/>
      <c r="J113" s="24"/>
      <c r="K113" s="24"/>
      <c r="L113" s="24"/>
      <c r="M113" s="24"/>
      <c r="N113" s="61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71"/>
      <c r="AG113" s="272"/>
    </row>
    <row r="114" spans="1:33" s="4" customFormat="1" ht="21.75" customHeight="1">
      <c r="A114" s="30"/>
      <c r="B114" s="37"/>
      <c r="C114" s="38"/>
      <c r="D114" s="39"/>
      <c r="E114" s="24"/>
      <c r="F114" s="66"/>
      <c r="G114" s="105"/>
      <c r="H114" s="105"/>
      <c r="I114" s="24"/>
      <c r="J114" s="24"/>
      <c r="K114" s="24"/>
      <c r="L114" s="24"/>
      <c r="M114" s="24"/>
      <c r="N114" s="61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71"/>
      <c r="AG114" s="272"/>
    </row>
    <row r="115" spans="1:33" s="4" customFormat="1" ht="21.75" customHeight="1">
      <c r="A115" s="30"/>
      <c r="B115" s="37"/>
      <c r="C115" s="38"/>
      <c r="D115" s="39"/>
      <c r="E115" s="24"/>
      <c r="F115" s="66"/>
      <c r="G115" s="107"/>
      <c r="H115" s="24"/>
      <c r="I115" s="24"/>
      <c r="J115" s="24"/>
      <c r="K115" s="24"/>
      <c r="L115" s="24"/>
      <c r="M115" s="24"/>
      <c r="N115" s="61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71"/>
      <c r="AG115" s="272"/>
    </row>
    <row r="116" spans="1:33" s="4" customFormat="1" ht="21.75" customHeight="1">
      <c r="A116" s="30"/>
      <c r="B116" s="37"/>
      <c r="C116" s="38"/>
      <c r="D116" s="39"/>
      <c r="E116" s="24"/>
      <c r="F116" s="213"/>
      <c r="G116" s="214"/>
      <c r="H116" s="214"/>
      <c r="I116" s="215"/>
      <c r="J116" s="24"/>
      <c r="K116" s="24"/>
      <c r="L116" s="24"/>
      <c r="M116" s="24"/>
      <c r="N116" s="61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71"/>
      <c r="AG116" s="272"/>
    </row>
    <row r="117" spans="1:33" s="4" customFormat="1" ht="21.75" customHeight="1">
      <c r="A117" s="30"/>
      <c r="B117" s="38"/>
      <c r="C117" s="38"/>
      <c r="D117" s="39"/>
      <c r="E117" s="24"/>
      <c r="F117" s="24"/>
      <c r="G117" s="24"/>
      <c r="H117" s="24"/>
      <c r="I117" s="24"/>
      <c r="J117" s="24"/>
      <c r="K117" s="24"/>
      <c r="L117" s="24"/>
      <c r="M117" s="24"/>
      <c r="N117" s="61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71"/>
      <c r="AG117" s="272"/>
    </row>
    <row r="118" spans="1:33" s="4" customFormat="1" ht="21.75" customHeight="1">
      <c r="A118" s="30"/>
      <c r="B118" s="37"/>
      <c r="C118" s="38"/>
      <c r="D118" s="39"/>
      <c r="E118" s="24"/>
      <c r="F118" s="66"/>
      <c r="G118" s="105"/>
      <c r="H118" s="105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71"/>
      <c r="AG118" s="272"/>
    </row>
    <row r="119" spans="1:33" s="4" customFormat="1" ht="21.75" customHeight="1">
      <c r="A119" s="30"/>
      <c r="B119" s="38"/>
      <c r="C119" s="38"/>
      <c r="D119" s="39"/>
      <c r="E119" s="24"/>
      <c r="F119" s="66"/>
      <c r="G119" s="105"/>
      <c r="H119" s="105"/>
      <c r="I119" s="24"/>
      <c r="J119" s="24"/>
      <c r="K119" s="119"/>
      <c r="L119" s="24"/>
      <c r="M119" s="24"/>
      <c r="N119" s="61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71"/>
      <c r="AG119" s="272"/>
    </row>
    <row r="120" spans="1:33" s="4" customFormat="1" ht="21.75" customHeight="1">
      <c r="A120" s="30"/>
      <c r="B120" s="38"/>
      <c r="C120" s="38"/>
      <c r="D120" s="39"/>
      <c r="E120" s="24"/>
      <c r="F120" s="66"/>
      <c r="G120" s="105"/>
      <c r="H120" s="105"/>
      <c r="I120" s="24"/>
      <c r="J120" s="24"/>
      <c r="K120" s="24"/>
      <c r="L120" s="24"/>
      <c r="M120" s="24"/>
      <c r="N120" s="61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71"/>
      <c r="AG120" s="272"/>
    </row>
    <row r="121" spans="1:33" s="4" customFormat="1" ht="21.75" customHeight="1">
      <c r="A121" s="30"/>
      <c r="B121" s="38"/>
      <c r="C121" s="38"/>
      <c r="D121" s="39"/>
      <c r="E121" s="24"/>
      <c r="F121" s="66"/>
      <c r="G121" s="105"/>
      <c r="H121" s="105"/>
      <c r="I121" s="24"/>
      <c r="J121" s="24"/>
      <c r="K121" s="24"/>
      <c r="L121" s="24"/>
      <c r="M121" s="24"/>
      <c r="N121" s="61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71"/>
      <c r="AG121" s="272"/>
    </row>
    <row r="122" spans="1:33" s="4" customFormat="1" ht="21.75" customHeight="1">
      <c r="A122" s="30"/>
      <c r="B122" s="38"/>
      <c r="C122" s="46"/>
      <c r="D122" s="39"/>
      <c r="E122" s="24"/>
      <c r="F122" s="66"/>
      <c r="G122" s="105"/>
      <c r="H122" s="105"/>
      <c r="I122" s="24"/>
      <c r="J122" s="24"/>
      <c r="K122" s="24"/>
      <c r="L122" s="24"/>
      <c r="M122" s="24"/>
      <c r="N122" s="61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71"/>
      <c r="AG122" s="272"/>
    </row>
    <row r="123" spans="1:33" s="4" customFormat="1" ht="21.75" customHeight="1" thickBot="1">
      <c r="A123" s="30"/>
      <c r="B123" s="37"/>
      <c r="C123" s="38"/>
      <c r="D123" s="39"/>
      <c r="E123" s="24"/>
      <c r="F123" s="24"/>
      <c r="G123" s="24"/>
      <c r="H123" s="24"/>
      <c r="I123" s="24"/>
      <c r="J123" s="24"/>
      <c r="K123" s="24"/>
      <c r="L123" s="24"/>
      <c r="M123" s="24"/>
      <c r="N123" s="61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81"/>
      <c r="AG123" s="275"/>
    </row>
    <row r="124" spans="1:33" s="4" customFormat="1" ht="21.75" customHeight="1">
      <c r="A124" s="30"/>
      <c r="B124" s="38"/>
      <c r="C124" s="38"/>
      <c r="D124" s="39"/>
      <c r="E124" s="24"/>
      <c r="F124" s="66"/>
      <c r="G124" s="105"/>
      <c r="H124" s="105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69"/>
      <c r="AG124" s="270"/>
    </row>
    <row r="125" spans="1:33" s="4" customFormat="1" ht="21.75" customHeight="1">
      <c r="A125" s="30"/>
      <c r="B125" s="38"/>
      <c r="C125" s="38"/>
      <c r="D125" s="39"/>
      <c r="E125" s="24"/>
      <c r="F125" s="66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71"/>
      <c r="AG125" s="272"/>
    </row>
    <row r="126" spans="1:33" s="4" customFormat="1" ht="21.75" customHeight="1">
      <c r="A126" s="30"/>
      <c r="B126" s="38"/>
      <c r="C126" s="38"/>
      <c r="D126" s="39"/>
      <c r="E126" s="24"/>
      <c r="F126" s="66"/>
      <c r="G126" s="90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71"/>
      <c r="AG126" s="272"/>
    </row>
    <row r="127" spans="1:33" s="4" customFormat="1" ht="21.75" customHeight="1">
      <c r="A127" s="30"/>
      <c r="B127" s="38"/>
      <c r="C127" s="38"/>
      <c r="D127" s="39"/>
      <c r="E127" s="24"/>
      <c r="F127" s="66"/>
      <c r="G127" s="90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71"/>
      <c r="AG127" s="272"/>
    </row>
    <row r="128" spans="1:33" s="4" customFormat="1" ht="21.75" customHeight="1">
      <c r="A128" s="30"/>
      <c r="B128" s="38"/>
      <c r="C128" s="38"/>
      <c r="D128" s="39"/>
      <c r="E128" s="24"/>
      <c r="F128" s="66"/>
      <c r="G128" s="90"/>
      <c r="H128" s="24"/>
      <c r="I128" s="24"/>
      <c r="J128" s="24"/>
      <c r="K128" s="24"/>
      <c r="L128" s="24"/>
      <c r="M128" s="24"/>
      <c r="N128" s="61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71"/>
      <c r="AG128" s="272"/>
    </row>
    <row r="129" spans="1:33" s="4" customFormat="1" ht="21.75" customHeight="1">
      <c r="A129" s="30"/>
      <c r="B129" s="38"/>
      <c r="C129" s="38"/>
      <c r="D129" s="39"/>
      <c r="E129" s="24"/>
      <c r="F129" s="24"/>
      <c r="G129" s="66"/>
      <c r="H129" s="24"/>
      <c r="I129" s="24"/>
      <c r="J129" s="24"/>
      <c r="K129" s="24"/>
      <c r="L129" s="24"/>
      <c r="M129" s="24"/>
      <c r="N129" s="61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71"/>
      <c r="AG129" s="272"/>
    </row>
    <row r="130" spans="1:33" s="4" customFormat="1" ht="21.75" customHeight="1">
      <c r="A130" s="30"/>
      <c r="B130" s="38"/>
      <c r="C130" s="38"/>
      <c r="D130" s="39"/>
      <c r="E130" s="24"/>
      <c r="F130" s="66"/>
      <c r="G130" s="105"/>
      <c r="H130" s="105"/>
      <c r="I130" s="24"/>
      <c r="J130" s="24"/>
      <c r="K130" s="24"/>
      <c r="L130" s="24"/>
      <c r="M130" s="24"/>
      <c r="N130" s="61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71"/>
      <c r="AG130" s="272"/>
    </row>
    <row r="131" spans="1:33" s="4" customFormat="1" ht="21.75" customHeight="1">
      <c r="A131" s="30"/>
      <c r="B131" s="38"/>
      <c r="C131" s="38"/>
      <c r="D131" s="39"/>
      <c r="E131" s="24"/>
      <c r="F131" s="66"/>
      <c r="G131" s="105"/>
      <c r="H131" s="105"/>
      <c r="I131" s="24"/>
      <c r="J131" s="24"/>
      <c r="K131" s="24"/>
      <c r="L131" s="24"/>
      <c r="M131" s="24"/>
      <c r="N131" s="61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71"/>
      <c r="AG131" s="272"/>
    </row>
    <row r="132" spans="1:33" s="4" customFormat="1" ht="21.75" customHeight="1">
      <c r="A132" s="30"/>
      <c r="B132" s="38"/>
      <c r="C132" s="38"/>
      <c r="D132" s="39"/>
      <c r="E132" s="24"/>
      <c r="F132" s="66"/>
      <c r="G132" s="105"/>
      <c r="H132" s="105"/>
      <c r="I132" s="24"/>
      <c r="J132" s="24"/>
      <c r="K132" s="24"/>
      <c r="L132" s="24"/>
      <c r="M132" s="24"/>
      <c r="N132" s="61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71"/>
      <c r="AG132" s="272"/>
    </row>
    <row r="133" spans="1:33" s="4" customFormat="1" ht="21.75" customHeight="1">
      <c r="A133" s="30"/>
      <c r="B133" s="38"/>
      <c r="C133" s="38"/>
      <c r="D133" s="39"/>
      <c r="E133" s="24"/>
      <c r="F133" s="66"/>
      <c r="G133" s="105"/>
      <c r="H133" s="105"/>
      <c r="I133" s="24"/>
      <c r="J133" s="24"/>
      <c r="K133" s="24"/>
      <c r="L133" s="24"/>
      <c r="M133" s="24"/>
      <c r="N133" s="61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71"/>
      <c r="AG133" s="272"/>
    </row>
    <row r="134" spans="1:33" s="4" customFormat="1" ht="21.75" customHeight="1">
      <c r="A134" s="30"/>
      <c r="B134" s="38"/>
      <c r="C134" s="38"/>
      <c r="D134" s="39"/>
      <c r="E134" s="24"/>
      <c r="F134" s="66"/>
      <c r="G134" s="105"/>
      <c r="H134" s="105"/>
      <c r="I134" s="24"/>
      <c r="J134" s="24"/>
      <c r="K134" s="24"/>
      <c r="L134" s="24"/>
      <c r="M134" s="24"/>
      <c r="N134" s="61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71"/>
      <c r="AG134" s="272"/>
    </row>
    <row r="135" spans="1:33" s="4" customFormat="1" ht="21.75" customHeight="1">
      <c r="A135" s="30"/>
      <c r="B135" s="38"/>
      <c r="C135" s="38"/>
      <c r="D135" s="39"/>
      <c r="E135" s="24"/>
      <c r="F135" s="107"/>
      <c r="G135" s="90"/>
      <c r="H135" s="24"/>
      <c r="I135" s="24"/>
      <c r="J135" s="24"/>
      <c r="K135" s="24"/>
      <c r="L135" s="24"/>
      <c r="M135" s="24"/>
      <c r="N135" s="61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71"/>
      <c r="AG135" s="272"/>
    </row>
    <row r="136" spans="1:33" s="4" customFormat="1" ht="21.75" customHeight="1">
      <c r="A136" s="30"/>
      <c r="B136" s="38"/>
      <c r="C136" s="38"/>
      <c r="D136" s="39"/>
      <c r="E136" s="24"/>
      <c r="F136" s="66"/>
      <c r="G136" s="105"/>
      <c r="H136" s="105"/>
      <c r="I136" s="24"/>
      <c r="J136" s="24"/>
      <c r="K136" s="24"/>
      <c r="L136" s="24"/>
      <c r="M136" s="24"/>
      <c r="N136" s="61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71"/>
      <c r="AG136" s="272"/>
    </row>
    <row r="137" spans="1:33" s="4" customFormat="1" ht="21.75" customHeight="1">
      <c r="A137" s="30"/>
      <c r="B137" s="38"/>
      <c r="C137" s="38"/>
      <c r="D137" s="39"/>
      <c r="E137" s="24"/>
      <c r="F137" s="66"/>
      <c r="G137" s="105"/>
      <c r="H137" s="105"/>
      <c r="I137" s="24"/>
      <c r="J137" s="24"/>
      <c r="K137" s="24"/>
      <c r="L137" s="24"/>
      <c r="M137" s="24"/>
      <c r="N137" s="61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73"/>
      <c r="AG137" s="272"/>
    </row>
    <row r="138" spans="1:33" s="4" customFormat="1" ht="21.75" customHeight="1">
      <c r="A138" s="30"/>
      <c r="B138" s="38"/>
      <c r="C138" s="38"/>
      <c r="D138" s="39"/>
      <c r="E138" s="24"/>
      <c r="F138" s="66"/>
      <c r="G138" s="105"/>
      <c r="H138" s="105"/>
      <c r="I138" s="24"/>
      <c r="J138" s="24"/>
      <c r="K138" s="24"/>
      <c r="L138" s="24"/>
      <c r="M138" s="24"/>
      <c r="N138" s="61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73"/>
      <c r="AG138" s="272"/>
    </row>
    <row r="139" spans="1:33" s="4" customFormat="1" ht="21.75" customHeight="1" thickBot="1">
      <c r="A139" s="30"/>
      <c r="B139" s="38"/>
      <c r="C139" s="38"/>
      <c r="D139" s="39"/>
      <c r="E139" s="24"/>
      <c r="F139" s="108"/>
      <c r="G139" s="90"/>
      <c r="H139" s="24"/>
      <c r="I139" s="24"/>
      <c r="J139" s="24"/>
      <c r="K139" s="24"/>
      <c r="L139" s="24"/>
      <c r="M139" s="24"/>
      <c r="N139" s="61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74"/>
      <c r="AG139" s="275"/>
    </row>
    <row r="140" spans="2:33" s="1" customFormat="1" ht="46.5" customHeight="1">
      <c r="B140" s="233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5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79"/>
      <c r="AG140" s="280"/>
    </row>
    <row r="141" spans="2:33" s="1" customFormat="1" ht="46.5" customHeight="1" thickBot="1">
      <c r="B141" s="236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8"/>
      <c r="O141" s="250"/>
      <c r="P141" s="250"/>
      <c r="Q141" s="250"/>
      <c r="R141" s="250"/>
      <c r="S141" s="250"/>
      <c r="T141" s="250"/>
      <c r="U141" s="212"/>
      <c r="V141" s="212"/>
      <c r="W141" s="212"/>
      <c r="X141" s="212"/>
      <c r="Y141" s="250"/>
      <c r="Z141" s="250"/>
      <c r="AA141" s="212"/>
      <c r="AB141" s="212"/>
      <c r="AC141" s="212"/>
      <c r="AD141" s="212"/>
      <c r="AE141" s="212"/>
      <c r="AF141" s="276"/>
      <c r="AG141" s="277"/>
    </row>
    <row r="142" spans="1:34" ht="36" customHeight="1">
      <c r="A142" s="10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85"/>
      <c r="U142" s="49"/>
      <c r="V142" s="49"/>
      <c r="Y142" s="85"/>
      <c r="Z142" s="49"/>
      <c r="AC142" s="49"/>
      <c r="AD142" s="49"/>
      <c r="AF142" s="49"/>
      <c r="AG142" s="49"/>
      <c r="AH142" s="11"/>
    </row>
    <row r="143" spans="2:33" ht="12.75"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85"/>
      <c r="U143" s="49"/>
      <c r="V143" s="49"/>
      <c r="Y143" s="85"/>
      <c r="Z143" s="49"/>
      <c r="AC143" s="49"/>
      <c r="AD143" s="49"/>
      <c r="AF143" s="49"/>
      <c r="AG143" s="49"/>
    </row>
    <row r="144" spans="2:33" ht="12.75"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85"/>
      <c r="U144" s="49"/>
      <c r="V144" s="49"/>
      <c r="Y144" s="85"/>
      <c r="Z144" s="49"/>
      <c r="AC144" s="49"/>
      <c r="AD144" s="49"/>
      <c r="AF144" s="49"/>
      <c r="AG144" s="49"/>
    </row>
    <row r="145" spans="2:33" ht="15.75">
      <c r="B145" s="224"/>
      <c r="C145" s="225"/>
      <c r="D145" s="225"/>
      <c r="E145" s="225"/>
      <c r="F145" s="225"/>
      <c r="G145" s="226"/>
      <c r="H145" s="53"/>
      <c r="I145" s="53"/>
      <c r="J145" s="53"/>
      <c r="K145" s="53"/>
      <c r="L145" s="53"/>
      <c r="M145" s="53"/>
      <c r="N145" s="53"/>
      <c r="O145" s="53"/>
      <c r="P145" s="53"/>
      <c r="Q145" s="101"/>
      <c r="R145" s="101"/>
      <c r="S145" s="94"/>
      <c r="T145" s="94"/>
      <c r="U145" s="95"/>
      <c r="V145" s="95"/>
      <c r="W145" s="53"/>
      <c r="X145" s="53"/>
      <c r="Y145" s="53"/>
      <c r="Z145" s="53"/>
      <c r="AA145" s="95"/>
      <c r="AB145" s="95"/>
      <c r="AC145" s="53"/>
      <c r="AD145" s="53"/>
      <c r="AF145" s="49"/>
      <c r="AG145" s="49"/>
    </row>
    <row r="146" spans="2:33" ht="15"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96"/>
      <c r="P146" s="96"/>
      <c r="Q146" s="53"/>
      <c r="R146" s="53"/>
      <c r="S146" s="85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F146" s="49"/>
      <c r="AG146" s="49"/>
    </row>
    <row r="147" spans="2:33" ht="15"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96"/>
      <c r="P147" s="49"/>
      <c r="Q147" s="49"/>
      <c r="R147" s="49"/>
      <c r="S147" s="85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F147" s="49"/>
      <c r="AG147" s="49"/>
    </row>
    <row r="148" spans="2:33" ht="15">
      <c r="B148" s="49"/>
      <c r="C148" s="49"/>
      <c r="D148" s="49"/>
      <c r="E148" s="49"/>
      <c r="F148" s="49"/>
      <c r="G148" s="49"/>
      <c r="H148" s="49"/>
      <c r="I148" s="49"/>
      <c r="J148" s="49"/>
      <c r="K148" s="297"/>
      <c r="L148" s="298"/>
      <c r="M148" s="298"/>
      <c r="N148" s="298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F148" s="49"/>
      <c r="AG148" s="49"/>
    </row>
    <row r="149" spans="2:33" ht="12.75"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85"/>
      <c r="T149" s="49"/>
      <c r="U149" s="49"/>
      <c r="V149" s="49"/>
      <c r="Y149" s="49"/>
      <c r="Z149" s="49"/>
      <c r="AC149" s="49"/>
      <c r="AD149" s="49"/>
      <c r="AF149" s="49"/>
      <c r="AG149" s="49"/>
    </row>
    <row r="150" spans="2:34" s="3" customFormat="1" ht="36" customHeight="1" thickBot="1">
      <c r="B150" s="54"/>
      <c r="C150" s="55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229"/>
      <c r="P150" s="229"/>
      <c r="Q150" s="229"/>
      <c r="R150" s="229"/>
      <c r="S150" s="229"/>
      <c r="T150" s="229"/>
      <c r="U150" s="229"/>
      <c r="V150" s="229"/>
      <c r="Y150" s="229"/>
      <c r="Z150" s="229"/>
      <c r="AC150" s="257"/>
      <c r="AD150" s="257"/>
      <c r="AF150" s="98"/>
      <c r="AG150" s="98"/>
      <c r="AH150" s="13"/>
    </row>
    <row r="151" spans="2:33" s="4" customFormat="1" ht="21.75" customHeight="1">
      <c r="B151" s="233"/>
      <c r="C151" s="299"/>
      <c r="D151" s="251"/>
      <c r="E151" s="251"/>
      <c r="F151" s="251"/>
      <c r="G151" s="254"/>
      <c r="H151" s="254"/>
      <c r="I151" s="251"/>
      <c r="J151" s="254"/>
      <c r="K151" s="254"/>
      <c r="L151" s="254"/>
      <c r="M151" s="254"/>
      <c r="N151" s="254"/>
      <c r="O151" s="216"/>
      <c r="P151" s="217"/>
      <c r="Q151" s="216"/>
      <c r="R151" s="217"/>
      <c r="S151" s="216"/>
      <c r="T151" s="217"/>
      <c r="U151" s="216"/>
      <c r="V151" s="217"/>
      <c r="W151" s="216"/>
      <c r="X151" s="217"/>
      <c r="Y151" s="216"/>
      <c r="Z151" s="217"/>
      <c r="AA151" s="216"/>
      <c r="AB151" s="217"/>
      <c r="AC151" s="216"/>
      <c r="AD151" s="217"/>
      <c r="AE151" s="58"/>
      <c r="AF151" s="282"/>
      <c r="AG151" s="282"/>
    </row>
    <row r="152" spans="2:33" s="4" customFormat="1" ht="27.75" customHeight="1">
      <c r="B152" s="293"/>
      <c r="C152" s="300"/>
      <c r="D152" s="255"/>
      <c r="E152" s="255"/>
      <c r="F152" s="255"/>
      <c r="G152" s="242"/>
      <c r="H152" s="242"/>
      <c r="I152" s="252"/>
      <c r="J152" s="255"/>
      <c r="K152" s="255"/>
      <c r="L152" s="242"/>
      <c r="M152" s="242"/>
      <c r="N152" s="242"/>
      <c r="O152" s="218"/>
      <c r="P152" s="219"/>
      <c r="Q152" s="218"/>
      <c r="R152" s="219"/>
      <c r="S152" s="218"/>
      <c r="T152" s="219"/>
      <c r="U152" s="218"/>
      <c r="V152" s="219"/>
      <c r="W152" s="218"/>
      <c r="X152" s="219"/>
      <c r="Y152" s="218"/>
      <c r="Z152" s="219"/>
      <c r="AA152" s="218"/>
      <c r="AB152" s="219"/>
      <c r="AC152" s="218"/>
      <c r="AD152" s="219"/>
      <c r="AE152" s="241"/>
      <c r="AF152" s="283"/>
      <c r="AG152" s="304"/>
    </row>
    <row r="153" spans="2:33" s="4" customFormat="1" ht="27.75" customHeight="1" thickBot="1">
      <c r="B153" s="293"/>
      <c r="C153" s="300"/>
      <c r="D153" s="255"/>
      <c r="E153" s="255"/>
      <c r="F153" s="255"/>
      <c r="G153" s="242"/>
      <c r="H153" s="242"/>
      <c r="I153" s="252"/>
      <c r="J153" s="255"/>
      <c r="K153" s="255"/>
      <c r="L153" s="242"/>
      <c r="M153" s="242"/>
      <c r="N153" s="242"/>
      <c r="O153" s="220"/>
      <c r="P153" s="221"/>
      <c r="Q153" s="220"/>
      <c r="R153" s="221"/>
      <c r="S153" s="220"/>
      <c r="T153" s="221"/>
      <c r="U153" s="220"/>
      <c r="V153" s="221"/>
      <c r="W153" s="220"/>
      <c r="X153" s="221"/>
      <c r="Y153" s="220"/>
      <c r="Z153" s="221"/>
      <c r="AA153" s="220"/>
      <c r="AB153" s="221"/>
      <c r="AC153" s="220"/>
      <c r="AD153" s="221"/>
      <c r="AE153" s="242"/>
      <c r="AF153" s="284"/>
      <c r="AG153" s="304"/>
    </row>
    <row r="154" spans="2:33" s="4" customFormat="1" ht="27.75" customHeight="1">
      <c r="B154" s="293"/>
      <c r="C154" s="300"/>
      <c r="D154" s="255"/>
      <c r="E154" s="255"/>
      <c r="F154" s="255"/>
      <c r="G154" s="242"/>
      <c r="H154" s="242"/>
      <c r="I154" s="252"/>
      <c r="J154" s="255"/>
      <c r="K154" s="255"/>
      <c r="L154" s="242"/>
      <c r="M154" s="242"/>
      <c r="N154" s="242"/>
      <c r="O154" s="220"/>
      <c r="P154" s="221"/>
      <c r="Q154" s="220"/>
      <c r="R154" s="221"/>
      <c r="S154" s="220"/>
      <c r="T154" s="221"/>
      <c r="U154" s="220"/>
      <c r="V154" s="221"/>
      <c r="W154" s="220"/>
      <c r="X154" s="221"/>
      <c r="Y154" s="220"/>
      <c r="Z154" s="221"/>
      <c r="AA154" s="220"/>
      <c r="AB154" s="221"/>
      <c r="AC154" s="220"/>
      <c r="AD154" s="221"/>
      <c r="AE154" s="242"/>
      <c r="AF154" s="269"/>
      <c r="AG154" s="270"/>
    </row>
    <row r="155" spans="2:33" s="4" customFormat="1" ht="27.75" customHeight="1">
      <c r="B155" s="293"/>
      <c r="C155" s="300"/>
      <c r="D155" s="255"/>
      <c r="E155" s="255"/>
      <c r="F155" s="255"/>
      <c r="G155" s="242"/>
      <c r="H155" s="242"/>
      <c r="I155" s="252"/>
      <c r="J155" s="255"/>
      <c r="K155" s="255"/>
      <c r="L155" s="242"/>
      <c r="M155" s="242"/>
      <c r="N155" s="242"/>
      <c r="O155" s="220"/>
      <c r="P155" s="221"/>
      <c r="Q155" s="220"/>
      <c r="R155" s="221"/>
      <c r="S155" s="220"/>
      <c r="T155" s="221"/>
      <c r="U155" s="220"/>
      <c r="V155" s="221"/>
      <c r="W155" s="220"/>
      <c r="X155" s="221"/>
      <c r="Y155" s="220"/>
      <c r="Z155" s="221"/>
      <c r="AA155" s="220"/>
      <c r="AB155" s="221"/>
      <c r="AC155" s="220"/>
      <c r="AD155" s="221"/>
      <c r="AE155" s="242"/>
      <c r="AF155" s="271"/>
      <c r="AG155" s="272"/>
    </row>
    <row r="156" spans="2:33" s="4" customFormat="1" ht="27.75" customHeight="1">
      <c r="B156" s="293"/>
      <c r="C156" s="300"/>
      <c r="D156" s="255"/>
      <c r="E156" s="255"/>
      <c r="F156" s="255"/>
      <c r="G156" s="242"/>
      <c r="H156" s="242"/>
      <c r="I156" s="252"/>
      <c r="J156" s="255"/>
      <c r="K156" s="255"/>
      <c r="L156" s="242"/>
      <c r="M156" s="242"/>
      <c r="N156" s="242"/>
      <c r="O156" s="220"/>
      <c r="P156" s="221"/>
      <c r="Q156" s="220"/>
      <c r="R156" s="221"/>
      <c r="S156" s="220"/>
      <c r="T156" s="221"/>
      <c r="U156" s="220"/>
      <c r="V156" s="221"/>
      <c r="W156" s="220"/>
      <c r="X156" s="221"/>
      <c r="Y156" s="220"/>
      <c r="Z156" s="221"/>
      <c r="AA156" s="220"/>
      <c r="AB156" s="221"/>
      <c r="AC156" s="220"/>
      <c r="AD156" s="221"/>
      <c r="AE156" s="242"/>
      <c r="AF156" s="271"/>
      <c r="AG156" s="272"/>
    </row>
    <row r="157" spans="2:33" s="4" customFormat="1" ht="27.75" customHeight="1">
      <c r="B157" s="293"/>
      <c r="C157" s="300"/>
      <c r="D157" s="255"/>
      <c r="E157" s="255"/>
      <c r="F157" s="255"/>
      <c r="G157" s="242"/>
      <c r="H157" s="242"/>
      <c r="I157" s="252"/>
      <c r="J157" s="255"/>
      <c r="K157" s="255"/>
      <c r="L157" s="242"/>
      <c r="M157" s="242"/>
      <c r="N157" s="242"/>
      <c r="O157" s="220"/>
      <c r="P157" s="221"/>
      <c r="Q157" s="220"/>
      <c r="R157" s="221"/>
      <c r="S157" s="220"/>
      <c r="T157" s="221"/>
      <c r="U157" s="220"/>
      <c r="V157" s="221"/>
      <c r="W157" s="220"/>
      <c r="X157" s="221"/>
      <c r="Y157" s="220"/>
      <c r="Z157" s="221"/>
      <c r="AA157" s="220"/>
      <c r="AB157" s="221"/>
      <c r="AC157" s="220"/>
      <c r="AD157" s="221"/>
      <c r="AE157" s="242"/>
      <c r="AF157" s="271"/>
      <c r="AG157" s="272"/>
    </row>
    <row r="158" spans="2:33" s="4" customFormat="1" ht="27.75" customHeight="1">
      <c r="B158" s="293"/>
      <c r="C158" s="300"/>
      <c r="D158" s="255"/>
      <c r="E158" s="255"/>
      <c r="F158" s="255"/>
      <c r="G158" s="242"/>
      <c r="H158" s="242"/>
      <c r="I158" s="252"/>
      <c r="J158" s="255"/>
      <c r="K158" s="255"/>
      <c r="L158" s="242"/>
      <c r="M158" s="242"/>
      <c r="N158" s="242"/>
      <c r="O158" s="220"/>
      <c r="P158" s="221"/>
      <c r="Q158" s="220"/>
      <c r="R158" s="221"/>
      <c r="S158" s="220"/>
      <c r="T158" s="221"/>
      <c r="U158" s="220"/>
      <c r="V158" s="221"/>
      <c r="W158" s="220"/>
      <c r="X158" s="221"/>
      <c r="Y158" s="220"/>
      <c r="Z158" s="221"/>
      <c r="AA158" s="220"/>
      <c r="AB158" s="221"/>
      <c r="AC158" s="220"/>
      <c r="AD158" s="221"/>
      <c r="AE158" s="242"/>
      <c r="AF158" s="271"/>
      <c r="AG158" s="272"/>
    </row>
    <row r="159" spans="2:33" s="5" customFormat="1" ht="27.75" customHeight="1">
      <c r="B159" s="301"/>
      <c r="C159" s="302"/>
      <c r="D159" s="256"/>
      <c r="E159" s="256"/>
      <c r="F159" s="256"/>
      <c r="G159" s="243"/>
      <c r="H159" s="243"/>
      <c r="I159" s="253"/>
      <c r="J159" s="256"/>
      <c r="K159" s="256"/>
      <c r="L159" s="243"/>
      <c r="M159" s="243"/>
      <c r="N159" s="243"/>
      <c r="O159" s="222"/>
      <c r="P159" s="223"/>
      <c r="Q159" s="222"/>
      <c r="R159" s="223"/>
      <c r="S159" s="222"/>
      <c r="T159" s="223"/>
      <c r="U159" s="222"/>
      <c r="V159" s="223"/>
      <c r="W159" s="222"/>
      <c r="X159" s="223"/>
      <c r="Y159" s="222"/>
      <c r="Z159" s="223"/>
      <c r="AA159" s="222"/>
      <c r="AB159" s="223"/>
      <c r="AC159" s="222"/>
      <c r="AD159" s="223"/>
      <c r="AE159" s="243"/>
      <c r="AF159" s="271"/>
      <c r="AG159" s="272"/>
    </row>
    <row r="160" spans="2:33" s="7" customFormat="1" ht="21.75" customHeight="1" thickBot="1">
      <c r="B160" s="56"/>
      <c r="C160" s="56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208"/>
      <c r="P160" s="210"/>
      <c r="Q160" s="208"/>
      <c r="R160" s="210"/>
      <c r="S160" s="208"/>
      <c r="T160" s="210"/>
      <c r="U160" s="208"/>
      <c r="V160" s="210"/>
      <c r="W160" s="208"/>
      <c r="X160" s="210"/>
      <c r="Y160" s="208"/>
      <c r="Z160" s="210"/>
      <c r="AA160" s="208"/>
      <c r="AB160" s="210"/>
      <c r="AC160" s="208"/>
      <c r="AD160" s="210"/>
      <c r="AE160" s="57"/>
      <c r="AF160" s="271"/>
      <c r="AG160" s="272"/>
    </row>
    <row r="161" spans="1:33" s="4" customFormat="1" ht="21.75" customHeight="1">
      <c r="A161" s="30"/>
      <c r="B161" s="77"/>
      <c r="C161" s="113"/>
      <c r="D161" s="39"/>
      <c r="E161" s="24"/>
      <c r="F161" s="24"/>
      <c r="G161" s="24"/>
      <c r="H161" s="24"/>
      <c r="I161" s="24"/>
      <c r="J161" s="24"/>
      <c r="K161" s="24"/>
      <c r="L161" s="24"/>
      <c r="M161" s="24"/>
      <c r="N161" s="61"/>
      <c r="O161" s="227"/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  <c r="AA161" s="227"/>
      <c r="AB161" s="227"/>
      <c r="AC161" s="265"/>
      <c r="AD161" s="265"/>
      <c r="AE161" s="227"/>
      <c r="AF161" s="271"/>
      <c r="AG161" s="272"/>
    </row>
    <row r="162" spans="1:33" s="4" customFormat="1" ht="21.75" customHeight="1">
      <c r="A162" s="30"/>
      <c r="B162" s="230"/>
      <c r="C162" s="231"/>
      <c r="D162" s="231"/>
      <c r="E162" s="231"/>
      <c r="F162" s="231"/>
      <c r="G162" s="231"/>
      <c r="H162" s="231"/>
      <c r="I162" s="232"/>
      <c r="J162" s="24"/>
      <c r="K162" s="24"/>
      <c r="L162" s="24"/>
      <c r="M162" s="24"/>
      <c r="N162" s="61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66"/>
      <c r="AD162" s="266"/>
      <c r="AE162" s="228"/>
      <c r="AF162" s="271"/>
      <c r="AG162" s="272"/>
    </row>
    <row r="163" spans="1:33" s="4" customFormat="1" ht="21.75" customHeight="1">
      <c r="A163" s="30"/>
      <c r="B163" s="77"/>
      <c r="C163" s="38"/>
      <c r="D163" s="39"/>
      <c r="E163" s="24"/>
      <c r="F163" s="66"/>
      <c r="G163" s="24"/>
      <c r="H163" s="24"/>
      <c r="I163" s="24"/>
      <c r="J163" s="24"/>
      <c r="K163" s="24"/>
      <c r="L163" s="24"/>
      <c r="M163" s="24"/>
      <c r="N163" s="61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71"/>
      <c r="AG163" s="272"/>
    </row>
    <row r="164" spans="1:33" s="4" customFormat="1" ht="21.75" customHeight="1">
      <c r="A164" s="30"/>
      <c r="B164" s="38"/>
      <c r="C164" s="38"/>
      <c r="D164" s="39"/>
      <c r="E164" s="24"/>
      <c r="F164" s="66"/>
      <c r="G164" s="105"/>
      <c r="H164" s="105"/>
      <c r="I164" s="24"/>
      <c r="J164" s="24"/>
      <c r="K164" s="24"/>
      <c r="L164" s="24"/>
      <c r="M164" s="24"/>
      <c r="N164" s="61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71"/>
      <c r="AG164" s="272"/>
    </row>
    <row r="165" spans="1:33" s="4" customFormat="1" ht="21.75" customHeight="1">
      <c r="A165" s="30"/>
      <c r="B165" s="38"/>
      <c r="C165" s="38"/>
      <c r="D165" s="39"/>
      <c r="E165" s="24"/>
      <c r="F165" s="66"/>
      <c r="G165" s="105"/>
      <c r="H165" s="105"/>
      <c r="I165" s="24"/>
      <c r="J165" s="24"/>
      <c r="K165" s="24"/>
      <c r="L165" s="24"/>
      <c r="M165" s="24"/>
      <c r="N165" s="61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71"/>
      <c r="AG165" s="272"/>
    </row>
    <row r="166" spans="1:33" s="4" customFormat="1" ht="21.75" customHeight="1">
      <c r="A166" s="30"/>
      <c r="B166" s="38"/>
      <c r="C166" s="38"/>
      <c r="D166" s="39"/>
      <c r="E166" s="24"/>
      <c r="F166" s="66"/>
      <c r="G166" s="105"/>
      <c r="H166" s="105"/>
      <c r="I166" s="24"/>
      <c r="J166" s="24"/>
      <c r="K166" s="24"/>
      <c r="L166" s="24"/>
      <c r="M166" s="24"/>
      <c r="N166" s="61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71"/>
      <c r="AG166" s="272"/>
    </row>
    <row r="167" spans="1:33" s="4" customFormat="1" ht="21.75" customHeight="1">
      <c r="A167" s="30"/>
      <c r="B167" s="38"/>
      <c r="C167" s="38"/>
      <c r="D167" s="39"/>
      <c r="E167" s="24"/>
      <c r="F167" s="66"/>
      <c r="G167" s="24"/>
      <c r="H167" s="24"/>
      <c r="I167" s="24"/>
      <c r="J167" s="24"/>
      <c r="K167" s="24"/>
      <c r="L167" s="24"/>
      <c r="M167" s="24"/>
      <c r="N167" s="61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71"/>
      <c r="AG167" s="272"/>
    </row>
    <row r="168" spans="1:33" s="4" customFormat="1" ht="21.75" customHeight="1">
      <c r="A168" s="30"/>
      <c r="B168" s="38"/>
      <c r="C168" s="46"/>
      <c r="D168" s="39"/>
      <c r="E168" s="24"/>
      <c r="F168" s="66"/>
      <c r="G168" s="24"/>
      <c r="H168" s="24"/>
      <c r="I168" s="24"/>
      <c r="J168" s="24"/>
      <c r="K168" s="24"/>
      <c r="L168" s="24"/>
      <c r="M168" s="24"/>
      <c r="N168" s="61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71"/>
      <c r="AG168" s="272"/>
    </row>
    <row r="169" spans="1:33" s="4" customFormat="1" ht="21.75" customHeight="1">
      <c r="A169" s="30"/>
      <c r="B169" s="38"/>
      <c r="C169" s="38"/>
      <c r="D169" s="39"/>
      <c r="E169" s="24"/>
      <c r="F169" s="24"/>
      <c r="G169" s="24"/>
      <c r="H169" s="24"/>
      <c r="I169" s="24"/>
      <c r="J169" s="24"/>
      <c r="K169" s="24"/>
      <c r="L169" s="24"/>
      <c r="M169" s="24"/>
      <c r="N169" s="61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71"/>
      <c r="AG169" s="272"/>
    </row>
    <row r="170" spans="1:33" s="4" customFormat="1" ht="21.75" customHeight="1">
      <c r="A170" s="30"/>
      <c r="B170" s="38"/>
      <c r="C170" s="46"/>
      <c r="D170" s="39"/>
      <c r="E170" s="24"/>
      <c r="F170" s="24"/>
      <c r="G170" s="24"/>
      <c r="H170" s="24"/>
      <c r="I170" s="24"/>
      <c r="J170" s="24"/>
      <c r="K170" s="24"/>
      <c r="L170" s="24"/>
      <c r="M170" s="24"/>
      <c r="N170" s="61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71"/>
      <c r="AG170" s="272"/>
    </row>
    <row r="171" spans="1:33" s="16" customFormat="1" ht="21.75" customHeight="1">
      <c r="A171" s="30"/>
      <c r="B171" s="230"/>
      <c r="C171" s="231"/>
      <c r="D171" s="231"/>
      <c r="E171" s="231"/>
      <c r="F171" s="231"/>
      <c r="G171" s="231"/>
      <c r="H171" s="231"/>
      <c r="I171" s="232"/>
      <c r="J171" s="24"/>
      <c r="K171" s="24"/>
      <c r="L171" s="24"/>
      <c r="M171" s="24"/>
      <c r="N171" s="61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71"/>
      <c r="AG171" s="272"/>
    </row>
    <row r="172" spans="1:33" s="16" customFormat="1" ht="21.75" customHeight="1">
      <c r="A172" s="30"/>
      <c r="B172" s="77"/>
      <c r="C172" s="38"/>
      <c r="D172" s="39"/>
      <c r="E172" s="24"/>
      <c r="F172" s="66"/>
      <c r="G172" s="24"/>
      <c r="H172" s="24"/>
      <c r="I172" s="24"/>
      <c r="J172" s="24"/>
      <c r="K172" s="24"/>
      <c r="L172" s="24"/>
      <c r="M172" s="24"/>
      <c r="N172" s="61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71"/>
      <c r="AG172" s="272"/>
    </row>
    <row r="173" spans="1:33" s="16" customFormat="1" ht="21.75" customHeight="1">
      <c r="A173" s="30"/>
      <c r="B173" s="38"/>
      <c r="C173" s="46"/>
      <c r="D173" s="39"/>
      <c r="E173" s="24"/>
      <c r="F173" s="213"/>
      <c r="G173" s="214"/>
      <c r="H173" s="214"/>
      <c r="I173" s="215"/>
      <c r="J173" s="24"/>
      <c r="K173" s="24"/>
      <c r="L173" s="24"/>
      <c r="M173" s="24"/>
      <c r="N173" s="61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71"/>
      <c r="AG173" s="272"/>
    </row>
    <row r="174" spans="1:33" s="16" customFormat="1" ht="21.75" customHeight="1">
      <c r="A174" s="30"/>
      <c r="B174" s="38"/>
      <c r="C174" s="38"/>
      <c r="D174" s="39"/>
      <c r="E174" s="213"/>
      <c r="F174" s="214"/>
      <c r="G174" s="214"/>
      <c r="H174" s="214"/>
      <c r="I174" s="215"/>
      <c r="J174" s="24"/>
      <c r="K174" s="24"/>
      <c r="L174" s="24"/>
      <c r="M174" s="24"/>
      <c r="N174" s="61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71"/>
      <c r="AG174" s="272"/>
    </row>
    <row r="175" spans="1:33" s="4" customFormat="1" ht="21.75" customHeight="1">
      <c r="A175" s="30"/>
      <c r="B175" s="38"/>
      <c r="C175" s="38"/>
      <c r="D175" s="39"/>
      <c r="E175" s="24"/>
      <c r="F175" s="24"/>
      <c r="G175" s="24"/>
      <c r="H175" s="24"/>
      <c r="I175" s="24"/>
      <c r="J175" s="24"/>
      <c r="K175" s="24"/>
      <c r="L175" s="24"/>
      <c r="M175" s="24"/>
      <c r="N175" s="61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71"/>
      <c r="AG175" s="272"/>
    </row>
    <row r="176" spans="1:33" s="4" customFormat="1" ht="21.75" customHeight="1">
      <c r="A176" s="30"/>
      <c r="B176" s="230"/>
      <c r="C176" s="231"/>
      <c r="D176" s="231"/>
      <c r="E176" s="231"/>
      <c r="F176" s="231"/>
      <c r="G176" s="231"/>
      <c r="H176" s="231"/>
      <c r="I176" s="232"/>
      <c r="J176" s="24"/>
      <c r="K176" s="24"/>
      <c r="L176" s="24"/>
      <c r="M176" s="24"/>
      <c r="N176" s="61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71"/>
      <c r="AG176" s="272"/>
    </row>
    <row r="177" spans="1:33" s="4" customFormat="1" ht="21.75" customHeight="1">
      <c r="A177" s="30"/>
      <c r="B177" s="67"/>
      <c r="C177" s="38"/>
      <c r="D177" s="39"/>
      <c r="E177" s="24"/>
      <c r="F177" s="24"/>
      <c r="G177" s="66"/>
      <c r="H177" s="24"/>
      <c r="I177" s="24"/>
      <c r="J177" s="24"/>
      <c r="K177" s="24"/>
      <c r="L177" s="24"/>
      <c r="M177" s="24"/>
      <c r="N177" s="61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71"/>
      <c r="AG177" s="272"/>
    </row>
    <row r="178" spans="1:33" s="4" customFormat="1" ht="21.75" customHeight="1">
      <c r="A178" s="30"/>
      <c r="B178" s="38"/>
      <c r="C178" s="38"/>
      <c r="D178" s="39"/>
      <c r="E178" s="24"/>
      <c r="F178" s="24"/>
      <c r="G178" s="24"/>
      <c r="H178" s="24"/>
      <c r="I178" s="24"/>
      <c r="J178" s="24"/>
      <c r="K178" s="24"/>
      <c r="L178" s="24"/>
      <c r="M178" s="24"/>
      <c r="N178" s="61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71"/>
      <c r="AG178" s="272"/>
    </row>
    <row r="179" spans="1:33" s="4" customFormat="1" ht="21.75" customHeight="1">
      <c r="A179" s="30"/>
      <c r="B179" s="38"/>
      <c r="C179" s="46"/>
      <c r="D179" s="39"/>
      <c r="E179" s="24"/>
      <c r="F179" s="24"/>
      <c r="G179" s="105"/>
      <c r="H179" s="105"/>
      <c r="I179" s="24"/>
      <c r="J179" s="24"/>
      <c r="K179" s="24"/>
      <c r="L179" s="24"/>
      <c r="M179" s="24"/>
      <c r="N179" s="61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71"/>
      <c r="AG179" s="272"/>
    </row>
    <row r="180" spans="1:33" s="4" customFormat="1" ht="21.75" customHeight="1">
      <c r="A180" s="30"/>
      <c r="B180" s="38"/>
      <c r="C180" s="46"/>
      <c r="D180" s="39"/>
      <c r="E180" s="24"/>
      <c r="F180" s="24"/>
      <c r="G180" s="105"/>
      <c r="H180" s="105"/>
      <c r="I180" s="24"/>
      <c r="J180" s="24"/>
      <c r="K180" s="24"/>
      <c r="L180" s="24"/>
      <c r="M180" s="24"/>
      <c r="N180" s="61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71"/>
      <c r="AG180" s="272"/>
    </row>
    <row r="181" spans="1:33" s="4" customFormat="1" ht="21.75" customHeight="1">
      <c r="A181" s="30"/>
      <c r="B181" s="38"/>
      <c r="C181" s="38"/>
      <c r="D181" s="39"/>
      <c r="E181" s="24"/>
      <c r="F181" s="24"/>
      <c r="G181" s="105"/>
      <c r="H181" s="24"/>
      <c r="I181" s="24"/>
      <c r="J181" s="24"/>
      <c r="K181" s="24"/>
      <c r="L181" s="24"/>
      <c r="M181" s="24"/>
      <c r="N181" s="61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71"/>
      <c r="AG181" s="272"/>
    </row>
    <row r="182" spans="1:33" s="4" customFormat="1" ht="21.75" customHeight="1">
      <c r="A182" s="30"/>
      <c r="B182" s="38"/>
      <c r="C182" s="38"/>
      <c r="D182" s="39"/>
      <c r="E182" s="24"/>
      <c r="F182" s="24"/>
      <c r="G182" s="90"/>
      <c r="H182" s="24"/>
      <c r="I182" s="24"/>
      <c r="J182" s="24"/>
      <c r="K182" s="24"/>
      <c r="L182" s="24"/>
      <c r="M182" s="24"/>
      <c r="N182" s="61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71"/>
      <c r="AG182" s="272"/>
    </row>
    <row r="183" spans="1:33" s="4" customFormat="1" ht="21.75" customHeight="1">
      <c r="A183" s="30"/>
      <c r="B183" s="38"/>
      <c r="C183" s="38"/>
      <c r="D183" s="39"/>
      <c r="E183" s="24"/>
      <c r="F183" s="24"/>
      <c r="G183" s="105"/>
      <c r="H183" s="24"/>
      <c r="I183" s="24"/>
      <c r="J183" s="24"/>
      <c r="K183" s="24"/>
      <c r="L183" s="24"/>
      <c r="M183" s="24"/>
      <c r="N183" s="61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71"/>
      <c r="AG183" s="272"/>
    </row>
    <row r="184" spans="1:33" s="4" customFormat="1" ht="21.75" customHeight="1">
      <c r="A184" s="30"/>
      <c r="B184" s="38"/>
      <c r="C184" s="38"/>
      <c r="D184" s="39"/>
      <c r="E184" s="24"/>
      <c r="F184" s="24"/>
      <c r="G184" s="105"/>
      <c r="H184" s="24"/>
      <c r="I184" s="24"/>
      <c r="J184" s="24"/>
      <c r="K184" s="24"/>
      <c r="L184" s="24"/>
      <c r="M184" s="24"/>
      <c r="N184" s="61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71"/>
      <c r="AG184" s="272"/>
    </row>
    <row r="185" spans="1:33" s="4" customFormat="1" ht="21.75" customHeight="1">
      <c r="A185" s="30"/>
      <c r="B185" s="38"/>
      <c r="C185" s="38"/>
      <c r="D185" s="39"/>
      <c r="E185" s="24"/>
      <c r="F185" s="66"/>
      <c r="G185" s="66"/>
      <c r="H185" s="24"/>
      <c r="I185" s="24"/>
      <c r="J185" s="24"/>
      <c r="K185" s="24"/>
      <c r="L185" s="24"/>
      <c r="M185" s="24"/>
      <c r="N185" s="61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71"/>
      <c r="AG185" s="272"/>
    </row>
    <row r="186" spans="1:33" s="4" customFormat="1" ht="21.75" customHeight="1">
      <c r="A186" s="30"/>
      <c r="B186" s="38"/>
      <c r="C186" s="38"/>
      <c r="D186" s="39"/>
      <c r="E186" s="24"/>
      <c r="F186" s="66"/>
      <c r="G186" s="105"/>
      <c r="H186" s="24"/>
      <c r="I186" s="24"/>
      <c r="J186" s="24"/>
      <c r="K186" s="24"/>
      <c r="L186" s="24"/>
      <c r="M186" s="24"/>
      <c r="N186" s="61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71"/>
      <c r="AG186" s="272"/>
    </row>
    <row r="187" spans="1:33" s="4" customFormat="1" ht="21.75" customHeight="1">
      <c r="A187" s="30"/>
      <c r="B187" s="38"/>
      <c r="C187" s="38"/>
      <c r="D187" s="39"/>
      <c r="E187" s="24"/>
      <c r="F187" s="24"/>
      <c r="G187" s="105"/>
      <c r="H187" s="105"/>
      <c r="I187" s="24"/>
      <c r="J187" s="24"/>
      <c r="K187" s="24"/>
      <c r="L187" s="24"/>
      <c r="M187" s="24"/>
      <c r="N187" s="61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71"/>
      <c r="AG187" s="272"/>
    </row>
    <row r="188" spans="1:33" s="4" customFormat="1" ht="21.75" customHeight="1">
      <c r="A188" s="30"/>
      <c r="B188" s="38"/>
      <c r="C188" s="38"/>
      <c r="D188" s="39"/>
      <c r="E188" s="24"/>
      <c r="F188" s="66"/>
      <c r="G188" s="105"/>
      <c r="H188" s="24"/>
      <c r="I188" s="24"/>
      <c r="J188" s="24"/>
      <c r="K188" s="24"/>
      <c r="L188" s="24"/>
      <c r="M188" s="24"/>
      <c r="N188" s="61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71"/>
      <c r="AG188" s="272"/>
    </row>
    <row r="189" spans="1:33" s="4" customFormat="1" ht="21.75" customHeight="1">
      <c r="A189" s="30"/>
      <c r="B189" s="38"/>
      <c r="C189" s="38"/>
      <c r="D189" s="39"/>
      <c r="E189" s="24"/>
      <c r="F189" s="66"/>
      <c r="G189" s="105"/>
      <c r="H189" s="24"/>
      <c r="I189" s="24"/>
      <c r="J189" s="24"/>
      <c r="K189" s="24"/>
      <c r="L189" s="24"/>
      <c r="M189" s="24"/>
      <c r="N189" s="61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71"/>
      <c r="AG189" s="272"/>
    </row>
    <row r="190" spans="1:33" s="4" customFormat="1" ht="21.75" customHeight="1">
      <c r="A190" s="30"/>
      <c r="B190" s="38"/>
      <c r="C190" s="38"/>
      <c r="D190" s="39"/>
      <c r="E190" s="24"/>
      <c r="F190" s="66"/>
      <c r="G190" s="105"/>
      <c r="H190" s="105"/>
      <c r="I190" s="24"/>
      <c r="J190" s="24"/>
      <c r="K190" s="24"/>
      <c r="L190" s="24"/>
      <c r="M190" s="24"/>
      <c r="N190" s="61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71"/>
      <c r="AG190" s="272"/>
    </row>
    <row r="191" spans="1:33" s="4" customFormat="1" ht="21.75" customHeight="1">
      <c r="A191" s="30"/>
      <c r="B191" s="38"/>
      <c r="C191" s="38"/>
      <c r="D191" s="39"/>
      <c r="E191" s="24"/>
      <c r="F191" s="66"/>
      <c r="G191" s="105"/>
      <c r="H191" s="105"/>
      <c r="I191" s="24"/>
      <c r="J191" s="24"/>
      <c r="K191" s="24"/>
      <c r="L191" s="24"/>
      <c r="M191" s="24"/>
      <c r="N191" s="61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71"/>
      <c r="AG191" s="272"/>
    </row>
    <row r="192" spans="1:33" s="4" customFormat="1" ht="21.75" customHeight="1">
      <c r="A192" s="30"/>
      <c r="B192" s="114"/>
      <c r="C192" s="38"/>
      <c r="D192" s="39"/>
      <c r="E192" s="24"/>
      <c r="F192" s="24"/>
      <c r="G192" s="66"/>
      <c r="H192" s="24"/>
      <c r="I192" s="24"/>
      <c r="J192" s="24"/>
      <c r="K192" s="24"/>
      <c r="L192" s="24"/>
      <c r="M192" s="24"/>
      <c r="N192" s="61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71"/>
      <c r="AG192" s="272"/>
    </row>
    <row r="193" spans="1:33" s="4" customFormat="1" ht="21.75" customHeight="1">
      <c r="A193" s="30"/>
      <c r="B193" s="67"/>
      <c r="C193" s="46"/>
      <c r="D193" s="39"/>
      <c r="E193" s="24"/>
      <c r="F193" s="24"/>
      <c r="G193" s="66"/>
      <c r="H193" s="24"/>
      <c r="I193" s="24"/>
      <c r="J193" s="24"/>
      <c r="K193" s="24"/>
      <c r="L193" s="24"/>
      <c r="M193" s="24"/>
      <c r="N193" s="61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71"/>
      <c r="AG193" s="272"/>
    </row>
    <row r="194" spans="1:33" s="4" customFormat="1" ht="21.75" customHeight="1">
      <c r="A194" s="30"/>
      <c r="B194" s="38"/>
      <c r="C194" s="46"/>
      <c r="D194" s="39"/>
      <c r="E194" s="24"/>
      <c r="F194" s="24"/>
      <c r="G194" s="105"/>
      <c r="H194" s="24"/>
      <c r="I194" s="24"/>
      <c r="J194" s="24"/>
      <c r="K194" s="24"/>
      <c r="L194" s="24"/>
      <c r="M194" s="24"/>
      <c r="N194" s="61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71"/>
      <c r="AG194" s="272"/>
    </row>
    <row r="195" spans="1:33" s="4" customFormat="1" ht="21.75" customHeight="1">
      <c r="A195" s="30"/>
      <c r="B195" s="38"/>
      <c r="C195" s="46"/>
      <c r="D195" s="39"/>
      <c r="E195" s="24"/>
      <c r="F195" s="24"/>
      <c r="G195" s="105"/>
      <c r="H195" s="105"/>
      <c r="I195" s="24"/>
      <c r="J195" s="24"/>
      <c r="K195" s="24"/>
      <c r="L195" s="24"/>
      <c r="M195" s="24"/>
      <c r="N195" s="61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71"/>
      <c r="AG195" s="272"/>
    </row>
    <row r="196" spans="1:33" s="4" customFormat="1" ht="21.75" customHeight="1">
      <c r="A196" s="30"/>
      <c r="B196" s="38"/>
      <c r="C196" s="46"/>
      <c r="D196" s="39"/>
      <c r="E196" s="24"/>
      <c r="F196" s="24"/>
      <c r="G196" s="105"/>
      <c r="H196" s="105"/>
      <c r="I196" s="24"/>
      <c r="J196" s="24"/>
      <c r="K196" s="24"/>
      <c r="L196" s="24"/>
      <c r="M196" s="24"/>
      <c r="N196" s="61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71"/>
      <c r="AG196" s="272"/>
    </row>
    <row r="197" spans="1:33" s="4" customFormat="1" ht="21.75" customHeight="1">
      <c r="A197" s="30"/>
      <c r="B197" s="38"/>
      <c r="C197" s="38"/>
      <c r="D197" s="39"/>
      <c r="E197" s="24"/>
      <c r="F197" s="24"/>
      <c r="G197" s="105"/>
      <c r="H197" s="105"/>
      <c r="I197" s="24"/>
      <c r="J197" s="24"/>
      <c r="K197" s="24"/>
      <c r="L197" s="24"/>
      <c r="M197" s="24"/>
      <c r="N197" s="61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71"/>
      <c r="AG197" s="272"/>
    </row>
    <row r="198" spans="1:33" s="4" customFormat="1" ht="21.75" customHeight="1" thickBot="1">
      <c r="A198" s="30"/>
      <c r="B198" s="38"/>
      <c r="C198" s="38"/>
      <c r="D198" s="39"/>
      <c r="E198" s="24"/>
      <c r="F198" s="24"/>
      <c r="G198" s="90"/>
      <c r="H198" s="90"/>
      <c r="I198" s="24"/>
      <c r="J198" s="24"/>
      <c r="K198" s="24"/>
      <c r="L198" s="24"/>
      <c r="M198" s="24"/>
      <c r="N198" s="61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81"/>
      <c r="AG198" s="275"/>
    </row>
    <row r="199" spans="1:33" s="4" customFormat="1" ht="21.75" customHeight="1">
      <c r="A199" s="30"/>
      <c r="B199" s="38"/>
      <c r="C199" s="38"/>
      <c r="D199" s="39"/>
      <c r="E199" s="24"/>
      <c r="F199" s="24"/>
      <c r="G199" s="105"/>
      <c r="H199" s="105"/>
      <c r="I199" s="24"/>
      <c r="J199" s="24"/>
      <c r="K199" s="24"/>
      <c r="L199" s="24"/>
      <c r="M199" s="24"/>
      <c r="N199" s="61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69"/>
      <c r="AG199" s="270"/>
    </row>
    <row r="200" spans="1:33" s="4" customFormat="1" ht="21.75" customHeight="1">
      <c r="A200" s="30"/>
      <c r="B200" s="38"/>
      <c r="C200" s="38"/>
      <c r="D200" s="39"/>
      <c r="E200" s="24"/>
      <c r="F200" s="24"/>
      <c r="G200" s="105"/>
      <c r="H200" s="105"/>
      <c r="I200" s="24"/>
      <c r="J200" s="24"/>
      <c r="K200" s="24"/>
      <c r="L200" s="24"/>
      <c r="M200" s="24"/>
      <c r="N200" s="61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71"/>
      <c r="AG200" s="272"/>
    </row>
    <row r="201" spans="1:33" s="4" customFormat="1" ht="21.75" customHeight="1">
      <c r="A201" s="30"/>
      <c r="B201" s="38"/>
      <c r="C201" s="38"/>
      <c r="D201" s="39"/>
      <c r="E201" s="24"/>
      <c r="F201" s="24"/>
      <c r="G201" s="105"/>
      <c r="H201" s="105"/>
      <c r="I201" s="24"/>
      <c r="J201" s="24"/>
      <c r="K201" s="24"/>
      <c r="L201" s="24"/>
      <c r="M201" s="24"/>
      <c r="N201" s="61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71"/>
      <c r="AG201" s="272"/>
    </row>
    <row r="202" spans="1:33" s="4" customFormat="1" ht="21.75" customHeight="1">
      <c r="A202" s="30"/>
      <c r="B202" s="38"/>
      <c r="C202" s="38"/>
      <c r="D202" s="39"/>
      <c r="E202" s="24"/>
      <c r="F202" s="24"/>
      <c r="G202" s="105"/>
      <c r="H202" s="105"/>
      <c r="I202" s="24"/>
      <c r="J202" s="24"/>
      <c r="K202" s="24"/>
      <c r="L202" s="24"/>
      <c r="M202" s="24"/>
      <c r="N202" s="61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71"/>
      <c r="AG202" s="272"/>
    </row>
    <row r="203" spans="1:33" s="4" customFormat="1" ht="21.75" customHeight="1">
      <c r="A203" s="30"/>
      <c r="B203" s="38"/>
      <c r="C203" s="38"/>
      <c r="D203" s="39"/>
      <c r="E203" s="24"/>
      <c r="F203" s="24"/>
      <c r="G203" s="105"/>
      <c r="H203" s="105"/>
      <c r="I203" s="24"/>
      <c r="J203" s="24"/>
      <c r="K203" s="24"/>
      <c r="L203" s="24"/>
      <c r="M203" s="24"/>
      <c r="N203" s="61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71"/>
      <c r="AG203" s="272"/>
    </row>
    <row r="204" spans="1:33" s="4" customFormat="1" ht="21.75" customHeight="1">
      <c r="A204" s="30"/>
      <c r="B204" s="38"/>
      <c r="C204" s="46"/>
      <c r="D204" s="39"/>
      <c r="E204" s="24"/>
      <c r="F204" s="24"/>
      <c r="G204" s="105"/>
      <c r="H204" s="105"/>
      <c r="I204" s="24"/>
      <c r="J204" s="24"/>
      <c r="K204" s="24"/>
      <c r="L204" s="24"/>
      <c r="M204" s="24"/>
      <c r="N204" s="61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71"/>
      <c r="AG204" s="272"/>
    </row>
    <row r="205" spans="1:33" s="4" customFormat="1" ht="21.75" customHeight="1">
      <c r="A205" s="30"/>
      <c r="B205" s="38"/>
      <c r="C205" s="46"/>
      <c r="D205" s="39"/>
      <c r="E205" s="24"/>
      <c r="F205" s="66"/>
      <c r="G205" s="105"/>
      <c r="H205" s="105"/>
      <c r="I205" s="24"/>
      <c r="J205" s="24"/>
      <c r="K205" s="24"/>
      <c r="L205" s="24"/>
      <c r="M205" s="24"/>
      <c r="N205" s="61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71"/>
      <c r="AG205" s="272"/>
    </row>
    <row r="206" spans="1:33" s="4" customFormat="1" ht="21.75" customHeight="1">
      <c r="A206" s="30"/>
      <c r="B206" s="38"/>
      <c r="C206" s="46"/>
      <c r="D206" s="39"/>
      <c r="E206" s="24"/>
      <c r="F206" s="24"/>
      <c r="G206" s="105"/>
      <c r="H206" s="105"/>
      <c r="I206" s="24"/>
      <c r="J206" s="24"/>
      <c r="K206" s="24"/>
      <c r="L206" s="24"/>
      <c r="M206" s="24"/>
      <c r="N206" s="61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71"/>
      <c r="AG206" s="272"/>
    </row>
    <row r="207" spans="1:33" s="4" customFormat="1" ht="21.75" customHeight="1">
      <c r="A207" s="30"/>
      <c r="B207" s="38"/>
      <c r="C207" s="38"/>
      <c r="D207" s="39"/>
      <c r="E207" s="24"/>
      <c r="F207" s="24"/>
      <c r="G207" s="105"/>
      <c r="H207" s="105"/>
      <c r="I207" s="24"/>
      <c r="J207" s="24"/>
      <c r="K207" s="24"/>
      <c r="L207" s="24"/>
      <c r="M207" s="24"/>
      <c r="N207" s="61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71"/>
      <c r="AG207" s="272"/>
    </row>
    <row r="208" spans="1:33" s="4" customFormat="1" ht="21.75" customHeight="1">
      <c r="A208" s="30"/>
      <c r="B208" s="38"/>
      <c r="C208" s="38"/>
      <c r="D208" s="39"/>
      <c r="E208" s="24"/>
      <c r="F208" s="24"/>
      <c r="G208" s="105"/>
      <c r="H208" s="105"/>
      <c r="I208" s="24"/>
      <c r="J208" s="24"/>
      <c r="K208" s="24"/>
      <c r="L208" s="24"/>
      <c r="M208" s="24"/>
      <c r="N208" s="61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71"/>
      <c r="AG208" s="272"/>
    </row>
    <row r="209" spans="1:33" s="4" customFormat="1" ht="21.75" customHeight="1">
      <c r="A209" s="30"/>
      <c r="B209" s="38"/>
      <c r="C209" s="38"/>
      <c r="D209" s="39"/>
      <c r="E209" s="24"/>
      <c r="F209" s="24"/>
      <c r="G209" s="105"/>
      <c r="H209" s="105"/>
      <c r="I209" s="24"/>
      <c r="J209" s="24"/>
      <c r="K209" s="24"/>
      <c r="L209" s="24"/>
      <c r="M209" s="24"/>
      <c r="N209" s="61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71"/>
      <c r="AG209" s="272"/>
    </row>
    <row r="210" spans="1:33" s="4" customFormat="1" ht="21.75" customHeight="1">
      <c r="A210" s="30"/>
      <c r="B210" s="38"/>
      <c r="C210" s="38"/>
      <c r="D210" s="39"/>
      <c r="E210" s="24"/>
      <c r="F210" s="24"/>
      <c r="G210" s="105"/>
      <c r="H210" s="105"/>
      <c r="I210" s="24"/>
      <c r="J210" s="24"/>
      <c r="K210" s="24"/>
      <c r="L210" s="24"/>
      <c r="M210" s="24"/>
      <c r="N210" s="61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71"/>
      <c r="AG210" s="272"/>
    </row>
    <row r="211" spans="1:33" s="4" customFormat="1" ht="21.75" customHeight="1">
      <c r="A211" s="30"/>
      <c r="B211" s="38"/>
      <c r="C211" s="38"/>
      <c r="D211" s="39"/>
      <c r="E211" s="24"/>
      <c r="F211" s="66"/>
      <c r="G211" s="105"/>
      <c r="H211" s="105"/>
      <c r="I211" s="24"/>
      <c r="J211" s="24"/>
      <c r="K211" s="24"/>
      <c r="L211" s="24"/>
      <c r="M211" s="24"/>
      <c r="N211" s="61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71"/>
      <c r="AG211" s="272"/>
    </row>
    <row r="212" spans="1:33" s="4" customFormat="1" ht="21.75" customHeight="1">
      <c r="A212" s="30"/>
      <c r="B212" s="38"/>
      <c r="C212" s="38"/>
      <c r="D212" s="39"/>
      <c r="E212" s="24"/>
      <c r="F212" s="24"/>
      <c r="G212" s="105"/>
      <c r="H212" s="105"/>
      <c r="I212" s="24"/>
      <c r="J212" s="24"/>
      <c r="K212" s="24"/>
      <c r="L212" s="24"/>
      <c r="M212" s="24"/>
      <c r="N212" s="61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73"/>
      <c r="AG212" s="272"/>
    </row>
    <row r="213" spans="1:33" s="4" customFormat="1" ht="21.75" customHeight="1">
      <c r="A213" s="30"/>
      <c r="B213" s="38"/>
      <c r="C213" s="38"/>
      <c r="D213" s="39"/>
      <c r="E213" s="24"/>
      <c r="F213" s="24"/>
      <c r="G213" s="105"/>
      <c r="H213" s="105"/>
      <c r="I213" s="24"/>
      <c r="J213" s="24"/>
      <c r="K213" s="24"/>
      <c r="L213" s="24"/>
      <c r="M213" s="24"/>
      <c r="N213" s="61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73"/>
      <c r="AG213" s="272"/>
    </row>
    <row r="214" spans="1:33" s="4" customFormat="1" ht="21.75" customHeight="1" thickBot="1">
      <c r="A214" s="30"/>
      <c r="B214" s="77"/>
      <c r="C214" s="91"/>
      <c r="D214" s="39"/>
      <c r="E214" s="24"/>
      <c r="F214" s="107"/>
      <c r="G214" s="90"/>
      <c r="H214" s="24"/>
      <c r="I214" s="24"/>
      <c r="J214" s="24"/>
      <c r="K214" s="24"/>
      <c r="L214" s="24"/>
      <c r="M214" s="24"/>
      <c r="N214" s="61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74"/>
      <c r="AG214" s="275"/>
    </row>
    <row r="215" spans="2:33" s="1" customFormat="1" ht="46.5" customHeight="1">
      <c r="B215" s="233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5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79"/>
      <c r="AG215" s="280"/>
    </row>
    <row r="216" spans="2:33" s="1" customFormat="1" ht="46.5" customHeight="1" thickBot="1">
      <c r="B216" s="236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8"/>
      <c r="O216" s="250"/>
      <c r="P216" s="250"/>
      <c r="Q216" s="250"/>
      <c r="R216" s="250"/>
      <c r="S216" s="250"/>
      <c r="T216" s="250"/>
      <c r="U216" s="212"/>
      <c r="V216" s="212"/>
      <c r="W216" s="212"/>
      <c r="X216" s="212"/>
      <c r="Y216" s="250"/>
      <c r="Z216" s="250"/>
      <c r="AA216" s="212"/>
      <c r="AB216" s="212"/>
      <c r="AC216" s="212"/>
      <c r="AD216" s="212"/>
      <c r="AE216" s="212"/>
      <c r="AF216" s="276"/>
      <c r="AG216" s="277"/>
    </row>
    <row r="217" spans="1:34" ht="36" customHeight="1">
      <c r="A217" s="10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85"/>
      <c r="U217" s="49"/>
      <c r="V217" s="49"/>
      <c r="Y217" s="85"/>
      <c r="Z217" s="49"/>
      <c r="AC217" s="49"/>
      <c r="AD217" s="49"/>
      <c r="AF217" s="49"/>
      <c r="AG217" s="49"/>
      <c r="AH217" s="11"/>
    </row>
    <row r="218" spans="2:33" ht="12.75"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85"/>
      <c r="U218" s="49"/>
      <c r="V218" s="49"/>
      <c r="Y218" s="85"/>
      <c r="Z218" s="49"/>
      <c r="AC218" s="49"/>
      <c r="AD218" s="49"/>
      <c r="AF218" s="49"/>
      <c r="AG218" s="49"/>
    </row>
    <row r="219" spans="2:33" ht="12.75"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85"/>
      <c r="U219" s="85"/>
      <c r="V219" s="85"/>
      <c r="Y219" s="85"/>
      <c r="Z219" s="49"/>
      <c r="AA219" s="85"/>
      <c r="AB219" s="49"/>
      <c r="AC219" s="49"/>
      <c r="AD219" s="49"/>
      <c r="AF219" s="49"/>
      <c r="AG219" s="49"/>
    </row>
    <row r="220" spans="2:33" ht="15.75">
      <c r="B220" s="224"/>
      <c r="C220" s="225"/>
      <c r="D220" s="225"/>
      <c r="E220" s="225"/>
      <c r="F220" s="225"/>
      <c r="G220" s="226"/>
      <c r="H220" s="53"/>
      <c r="I220" s="53"/>
      <c r="J220" s="53"/>
      <c r="K220" s="53"/>
      <c r="L220" s="53"/>
      <c r="M220" s="53"/>
      <c r="N220" s="53"/>
      <c r="O220" s="53"/>
      <c r="P220" s="53"/>
      <c r="Q220" s="101"/>
      <c r="R220" s="53"/>
      <c r="S220" s="94"/>
      <c r="T220" s="93"/>
      <c r="U220" s="101"/>
      <c r="V220" s="101"/>
      <c r="W220" s="101"/>
      <c r="X220" s="101"/>
      <c r="Y220" s="53"/>
      <c r="Z220" s="53"/>
      <c r="AA220" s="53"/>
      <c r="AB220" s="53"/>
      <c r="AC220" s="53"/>
      <c r="AD220" s="53"/>
      <c r="AF220" s="49"/>
      <c r="AG220" s="49"/>
    </row>
    <row r="221" spans="2:33" ht="15"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96"/>
      <c r="P221" s="96"/>
      <c r="Q221" s="53"/>
      <c r="R221" s="53"/>
      <c r="S221" s="85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F221" s="49"/>
      <c r="AG221" s="49"/>
    </row>
    <row r="222" spans="2:33" ht="15">
      <c r="B222" s="49"/>
      <c r="C222" s="49"/>
      <c r="D222" s="49"/>
      <c r="E222" s="49"/>
      <c r="F222" s="49"/>
      <c r="G222" s="49"/>
      <c r="H222" s="49"/>
      <c r="I222" s="49"/>
      <c r="J222" s="49"/>
      <c r="K222" s="297"/>
      <c r="L222" s="298"/>
      <c r="M222" s="298"/>
      <c r="N222" s="298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F222" s="49"/>
      <c r="AG222" s="49"/>
    </row>
    <row r="223" spans="2:33" ht="15">
      <c r="B223" s="49"/>
      <c r="C223" s="49"/>
      <c r="D223" s="49"/>
      <c r="E223" s="49"/>
      <c r="F223" s="49"/>
      <c r="G223" s="49"/>
      <c r="H223" s="49"/>
      <c r="I223" s="49"/>
      <c r="J223" s="49"/>
      <c r="K223" s="297"/>
      <c r="L223" s="298"/>
      <c r="M223" s="298"/>
      <c r="N223" s="298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F223" s="49"/>
      <c r="AG223" s="49"/>
    </row>
    <row r="224" spans="2:33" ht="12.75"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85"/>
      <c r="T224" s="49"/>
      <c r="U224" s="49"/>
      <c r="V224" s="49"/>
      <c r="Y224" s="49"/>
      <c r="Z224" s="49"/>
      <c r="AC224" s="49"/>
      <c r="AD224" s="49"/>
      <c r="AF224" s="49"/>
      <c r="AG224" s="49"/>
    </row>
    <row r="225" spans="2:34" s="3" customFormat="1" ht="36" customHeight="1" thickBot="1">
      <c r="B225" s="54"/>
      <c r="C225" s="55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229"/>
      <c r="P225" s="229"/>
      <c r="Q225" s="229"/>
      <c r="R225" s="229"/>
      <c r="S225" s="229"/>
      <c r="T225" s="229"/>
      <c r="U225" s="229"/>
      <c r="V225" s="229"/>
      <c r="Y225" s="229"/>
      <c r="Z225" s="229"/>
      <c r="AC225" s="257"/>
      <c r="AD225" s="257"/>
      <c r="AF225" s="98"/>
      <c r="AG225" s="98"/>
      <c r="AH225" s="13"/>
    </row>
    <row r="226" spans="2:33" s="4" customFormat="1" ht="21.75" customHeight="1">
      <c r="B226" s="233"/>
      <c r="C226" s="299"/>
      <c r="D226" s="251"/>
      <c r="E226" s="251"/>
      <c r="F226" s="251"/>
      <c r="G226" s="254"/>
      <c r="H226" s="254"/>
      <c r="I226" s="251"/>
      <c r="J226" s="254"/>
      <c r="K226" s="254"/>
      <c r="L226" s="254"/>
      <c r="M226" s="254"/>
      <c r="N226" s="254"/>
      <c r="O226" s="216"/>
      <c r="P226" s="217"/>
      <c r="Q226" s="216"/>
      <c r="R226" s="217"/>
      <c r="S226" s="216"/>
      <c r="T226" s="217"/>
      <c r="U226" s="216"/>
      <c r="V226" s="217"/>
      <c r="W226" s="216"/>
      <c r="X226" s="217"/>
      <c r="Y226" s="216"/>
      <c r="Z226" s="217"/>
      <c r="AA226" s="216"/>
      <c r="AB226" s="217"/>
      <c r="AC226" s="216"/>
      <c r="AD226" s="217"/>
      <c r="AE226" s="58"/>
      <c r="AF226" s="282"/>
      <c r="AG226" s="282"/>
    </row>
    <row r="227" spans="2:33" s="4" customFormat="1" ht="27.75" customHeight="1">
      <c r="B227" s="293"/>
      <c r="C227" s="300"/>
      <c r="D227" s="255"/>
      <c r="E227" s="255"/>
      <c r="F227" s="255"/>
      <c r="G227" s="242"/>
      <c r="H227" s="242"/>
      <c r="I227" s="252"/>
      <c r="J227" s="255"/>
      <c r="K227" s="255"/>
      <c r="L227" s="242"/>
      <c r="M227" s="242"/>
      <c r="N227" s="242"/>
      <c r="O227" s="218"/>
      <c r="P227" s="219"/>
      <c r="Q227" s="218"/>
      <c r="R227" s="219"/>
      <c r="S227" s="218"/>
      <c r="T227" s="219"/>
      <c r="U227" s="218"/>
      <c r="V227" s="219"/>
      <c r="W227" s="218"/>
      <c r="X227" s="219"/>
      <c r="Y227" s="218"/>
      <c r="Z227" s="219"/>
      <c r="AA227" s="218"/>
      <c r="AB227" s="219"/>
      <c r="AC227" s="218"/>
      <c r="AD227" s="219"/>
      <c r="AE227" s="241"/>
      <c r="AF227" s="283"/>
      <c r="AG227" s="304"/>
    </row>
    <row r="228" spans="2:33" s="4" customFormat="1" ht="27.75" customHeight="1" thickBot="1">
      <c r="B228" s="293"/>
      <c r="C228" s="300"/>
      <c r="D228" s="255"/>
      <c r="E228" s="255"/>
      <c r="F228" s="255"/>
      <c r="G228" s="242"/>
      <c r="H228" s="242"/>
      <c r="I228" s="252"/>
      <c r="J228" s="255"/>
      <c r="K228" s="255"/>
      <c r="L228" s="242"/>
      <c r="M228" s="242"/>
      <c r="N228" s="242"/>
      <c r="O228" s="220"/>
      <c r="P228" s="221"/>
      <c r="Q228" s="220"/>
      <c r="R228" s="221"/>
      <c r="S228" s="220"/>
      <c r="T228" s="221"/>
      <c r="U228" s="220"/>
      <c r="V228" s="221"/>
      <c r="W228" s="220"/>
      <c r="X228" s="221"/>
      <c r="Y228" s="220"/>
      <c r="Z228" s="221"/>
      <c r="AA228" s="220"/>
      <c r="AB228" s="221"/>
      <c r="AC228" s="220"/>
      <c r="AD228" s="221"/>
      <c r="AE228" s="242"/>
      <c r="AF228" s="284"/>
      <c r="AG228" s="304"/>
    </row>
    <row r="229" spans="2:33" s="4" customFormat="1" ht="27.75" customHeight="1">
      <c r="B229" s="293"/>
      <c r="C229" s="300"/>
      <c r="D229" s="255"/>
      <c r="E229" s="255"/>
      <c r="F229" s="255"/>
      <c r="G229" s="242"/>
      <c r="H229" s="242"/>
      <c r="I229" s="252"/>
      <c r="J229" s="255"/>
      <c r="K229" s="255"/>
      <c r="L229" s="242"/>
      <c r="M229" s="242"/>
      <c r="N229" s="242"/>
      <c r="O229" s="220"/>
      <c r="P229" s="221"/>
      <c r="Q229" s="220"/>
      <c r="R229" s="221"/>
      <c r="S229" s="220"/>
      <c r="T229" s="221"/>
      <c r="U229" s="220"/>
      <c r="V229" s="221"/>
      <c r="W229" s="220"/>
      <c r="X229" s="221"/>
      <c r="Y229" s="220"/>
      <c r="Z229" s="221"/>
      <c r="AA229" s="220"/>
      <c r="AB229" s="221"/>
      <c r="AC229" s="220"/>
      <c r="AD229" s="221"/>
      <c r="AE229" s="242"/>
      <c r="AF229" s="269"/>
      <c r="AG229" s="270"/>
    </row>
    <row r="230" spans="2:33" s="4" customFormat="1" ht="27.75" customHeight="1">
      <c r="B230" s="293"/>
      <c r="C230" s="300"/>
      <c r="D230" s="255"/>
      <c r="E230" s="255"/>
      <c r="F230" s="255"/>
      <c r="G230" s="242"/>
      <c r="H230" s="242"/>
      <c r="I230" s="252"/>
      <c r="J230" s="255"/>
      <c r="K230" s="255"/>
      <c r="L230" s="242"/>
      <c r="M230" s="242"/>
      <c r="N230" s="242"/>
      <c r="O230" s="220"/>
      <c r="P230" s="221"/>
      <c r="Q230" s="220"/>
      <c r="R230" s="221"/>
      <c r="S230" s="220"/>
      <c r="T230" s="221"/>
      <c r="U230" s="220"/>
      <c r="V230" s="221"/>
      <c r="W230" s="220"/>
      <c r="X230" s="221"/>
      <c r="Y230" s="220"/>
      <c r="Z230" s="221"/>
      <c r="AA230" s="220"/>
      <c r="AB230" s="221"/>
      <c r="AC230" s="220"/>
      <c r="AD230" s="221"/>
      <c r="AE230" s="242"/>
      <c r="AF230" s="271"/>
      <c r="AG230" s="272"/>
    </row>
    <row r="231" spans="2:33" s="4" customFormat="1" ht="27.75" customHeight="1">
      <c r="B231" s="293"/>
      <c r="C231" s="300"/>
      <c r="D231" s="255"/>
      <c r="E231" s="255"/>
      <c r="F231" s="255"/>
      <c r="G231" s="242"/>
      <c r="H231" s="242"/>
      <c r="I231" s="252"/>
      <c r="J231" s="255"/>
      <c r="K231" s="255"/>
      <c r="L231" s="242"/>
      <c r="M231" s="242"/>
      <c r="N231" s="242"/>
      <c r="O231" s="220"/>
      <c r="P231" s="221"/>
      <c r="Q231" s="220"/>
      <c r="R231" s="221"/>
      <c r="S231" s="220"/>
      <c r="T231" s="221"/>
      <c r="U231" s="220"/>
      <c r="V231" s="221"/>
      <c r="W231" s="220"/>
      <c r="X231" s="221"/>
      <c r="Y231" s="220"/>
      <c r="Z231" s="221"/>
      <c r="AA231" s="220"/>
      <c r="AB231" s="221"/>
      <c r="AC231" s="220"/>
      <c r="AD231" s="221"/>
      <c r="AE231" s="242"/>
      <c r="AF231" s="271"/>
      <c r="AG231" s="272"/>
    </row>
    <row r="232" spans="2:33" s="4" customFormat="1" ht="27.75" customHeight="1">
      <c r="B232" s="293"/>
      <c r="C232" s="300"/>
      <c r="D232" s="255"/>
      <c r="E232" s="255"/>
      <c r="F232" s="255"/>
      <c r="G232" s="242"/>
      <c r="H232" s="242"/>
      <c r="I232" s="252"/>
      <c r="J232" s="255"/>
      <c r="K232" s="255"/>
      <c r="L232" s="242"/>
      <c r="M232" s="242"/>
      <c r="N232" s="242"/>
      <c r="O232" s="220"/>
      <c r="P232" s="221"/>
      <c r="Q232" s="220"/>
      <c r="R232" s="221"/>
      <c r="S232" s="220"/>
      <c r="T232" s="221"/>
      <c r="U232" s="220"/>
      <c r="V232" s="221"/>
      <c r="W232" s="220"/>
      <c r="X232" s="221"/>
      <c r="Y232" s="220"/>
      <c r="Z232" s="221"/>
      <c r="AA232" s="220"/>
      <c r="AB232" s="221"/>
      <c r="AC232" s="220"/>
      <c r="AD232" s="221"/>
      <c r="AE232" s="242"/>
      <c r="AF232" s="271"/>
      <c r="AG232" s="272"/>
    </row>
    <row r="233" spans="2:33" s="4" customFormat="1" ht="27.75" customHeight="1">
      <c r="B233" s="293"/>
      <c r="C233" s="300"/>
      <c r="D233" s="255"/>
      <c r="E233" s="255"/>
      <c r="F233" s="255"/>
      <c r="G233" s="242"/>
      <c r="H233" s="242"/>
      <c r="I233" s="252"/>
      <c r="J233" s="255"/>
      <c r="K233" s="255"/>
      <c r="L233" s="242"/>
      <c r="M233" s="242"/>
      <c r="N233" s="242"/>
      <c r="O233" s="220"/>
      <c r="P233" s="221"/>
      <c r="Q233" s="220"/>
      <c r="R233" s="221"/>
      <c r="S233" s="220"/>
      <c r="T233" s="221"/>
      <c r="U233" s="220"/>
      <c r="V233" s="221"/>
      <c r="W233" s="220"/>
      <c r="X233" s="221"/>
      <c r="Y233" s="220"/>
      <c r="Z233" s="221"/>
      <c r="AA233" s="220"/>
      <c r="AB233" s="221"/>
      <c r="AC233" s="220"/>
      <c r="AD233" s="221"/>
      <c r="AE233" s="242"/>
      <c r="AF233" s="271"/>
      <c r="AG233" s="272"/>
    </row>
    <row r="234" spans="2:33" s="5" customFormat="1" ht="27.75" customHeight="1">
      <c r="B234" s="301"/>
      <c r="C234" s="302"/>
      <c r="D234" s="256"/>
      <c r="E234" s="256"/>
      <c r="F234" s="256"/>
      <c r="G234" s="243"/>
      <c r="H234" s="243"/>
      <c r="I234" s="253"/>
      <c r="J234" s="256"/>
      <c r="K234" s="256"/>
      <c r="L234" s="243"/>
      <c r="M234" s="243"/>
      <c r="N234" s="243"/>
      <c r="O234" s="222"/>
      <c r="P234" s="223"/>
      <c r="Q234" s="222"/>
      <c r="R234" s="223"/>
      <c r="S234" s="222"/>
      <c r="T234" s="223"/>
      <c r="U234" s="222"/>
      <c r="V234" s="223"/>
      <c r="W234" s="222"/>
      <c r="X234" s="223"/>
      <c r="Y234" s="222"/>
      <c r="Z234" s="223"/>
      <c r="AA234" s="222"/>
      <c r="AB234" s="223"/>
      <c r="AC234" s="222"/>
      <c r="AD234" s="223"/>
      <c r="AE234" s="243"/>
      <c r="AF234" s="271"/>
      <c r="AG234" s="272"/>
    </row>
    <row r="235" spans="2:33" s="7" customFormat="1" ht="21.75" customHeight="1" thickBot="1">
      <c r="B235" s="56"/>
      <c r="C235" s="56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208"/>
      <c r="P235" s="210"/>
      <c r="Q235" s="208"/>
      <c r="R235" s="210"/>
      <c r="S235" s="208"/>
      <c r="T235" s="210"/>
      <c r="U235" s="208"/>
      <c r="V235" s="210"/>
      <c r="W235" s="208"/>
      <c r="X235" s="210"/>
      <c r="Y235" s="208"/>
      <c r="Z235" s="210"/>
      <c r="AA235" s="208"/>
      <c r="AB235" s="210"/>
      <c r="AC235" s="208"/>
      <c r="AD235" s="210"/>
      <c r="AE235" s="57"/>
      <c r="AF235" s="271"/>
      <c r="AG235" s="272"/>
    </row>
    <row r="236" spans="1:33" s="4" customFormat="1" ht="21.75" customHeight="1">
      <c r="A236" s="30"/>
      <c r="B236" s="77"/>
      <c r="C236" s="113"/>
      <c r="D236" s="39"/>
      <c r="E236" s="24"/>
      <c r="F236" s="24"/>
      <c r="G236" s="24"/>
      <c r="H236" s="24"/>
      <c r="I236" s="24"/>
      <c r="J236" s="24"/>
      <c r="K236" s="24"/>
      <c r="L236" s="24"/>
      <c r="M236" s="24"/>
      <c r="N236" s="61"/>
      <c r="O236" s="227"/>
      <c r="P236" s="227"/>
      <c r="Q236" s="227"/>
      <c r="R236" s="227"/>
      <c r="S236" s="227"/>
      <c r="T236" s="227"/>
      <c r="U236" s="227"/>
      <c r="V236" s="227"/>
      <c r="W236" s="227"/>
      <c r="X236" s="227"/>
      <c r="Y236" s="227"/>
      <c r="Z236" s="227"/>
      <c r="AA236" s="227"/>
      <c r="AB236" s="227"/>
      <c r="AC236" s="265"/>
      <c r="AD236" s="265"/>
      <c r="AE236" s="227"/>
      <c r="AF236" s="271"/>
      <c r="AG236" s="272"/>
    </row>
    <row r="237" spans="1:33" s="4" customFormat="1" ht="21.75" customHeight="1">
      <c r="A237" s="30"/>
      <c r="B237" s="230"/>
      <c r="C237" s="231"/>
      <c r="D237" s="231"/>
      <c r="E237" s="231"/>
      <c r="F237" s="231"/>
      <c r="G237" s="231"/>
      <c r="H237" s="231"/>
      <c r="I237" s="232"/>
      <c r="J237" s="24"/>
      <c r="K237" s="24"/>
      <c r="L237" s="24"/>
      <c r="M237" s="24"/>
      <c r="N237" s="61"/>
      <c r="O237" s="228"/>
      <c r="P237" s="228"/>
      <c r="Q237" s="228"/>
      <c r="R237" s="228"/>
      <c r="S237" s="228"/>
      <c r="T237" s="228"/>
      <c r="U237" s="228"/>
      <c r="V237" s="228"/>
      <c r="W237" s="228"/>
      <c r="X237" s="228"/>
      <c r="Y237" s="228"/>
      <c r="Z237" s="228"/>
      <c r="AA237" s="228"/>
      <c r="AB237" s="228"/>
      <c r="AC237" s="266"/>
      <c r="AD237" s="266"/>
      <c r="AE237" s="228"/>
      <c r="AF237" s="271"/>
      <c r="AG237" s="272"/>
    </row>
    <row r="238" spans="1:33" s="4" customFormat="1" ht="21.75" customHeight="1">
      <c r="A238" s="30"/>
      <c r="B238" s="77"/>
      <c r="C238" s="38"/>
      <c r="D238" s="39"/>
      <c r="E238" s="24"/>
      <c r="F238" s="107"/>
      <c r="G238" s="90"/>
      <c r="H238" s="24"/>
      <c r="I238" s="24"/>
      <c r="J238" s="24"/>
      <c r="K238" s="24"/>
      <c r="L238" s="24"/>
      <c r="M238" s="24"/>
      <c r="N238" s="61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71"/>
      <c r="AG238" s="272"/>
    </row>
    <row r="239" spans="1:33" s="4" customFormat="1" ht="21.75" customHeight="1">
      <c r="A239" s="30"/>
      <c r="B239" s="38"/>
      <c r="C239" s="38"/>
      <c r="D239" s="39"/>
      <c r="E239" s="24"/>
      <c r="F239" s="24"/>
      <c r="G239" s="105"/>
      <c r="H239" s="105"/>
      <c r="I239" s="24"/>
      <c r="J239" s="24"/>
      <c r="K239" s="24"/>
      <c r="L239" s="24"/>
      <c r="M239" s="24"/>
      <c r="N239" s="61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71"/>
      <c r="AG239" s="272"/>
    </row>
    <row r="240" spans="1:33" s="4" customFormat="1" ht="21.75" customHeight="1">
      <c r="A240" s="30"/>
      <c r="B240" s="38"/>
      <c r="C240" s="38"/>
      <c r="D240" s="39"/>
      <c r="E240" s="24"/>
      <c r="F240" s="24"/>
      <c r="G240" s="105"/>
      <c r="H240" s="105"/>
      <c r="I240" s="24"/>
      <c r="J240" s="24"/>
      <c r="K240" s="24"/>
      <c r="L240" s="24"/>
      <c r="M240" s="24"/>
      <c r="N240" s="61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71"/>
      <c r="AG240" s="272"/>
    </row>
    <row r="241" spans="1:33" s="4" customFormat="1" ht="21.75" customHeight="1">
      <c r="A241" s="30"/>
      <c r="B241" s="38"/>
      <c r="C241" s="38"/>
      <c r="D241" s="39"/>
      <c r="E241" s="24"/>
      <c r="F241" s="66"/>
      <c r="G241" s="105"/>
      <c r="H241" s="105"/>
      <c r="I241" s="24"/>
      <c r="J241" s="24"/>
      <c r="K241" s="24"/>
      <c r="L241" s="24"/>
      <c r="M241" s="24"/>
      <c r="N241" s="61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71"/>
      <c r="AG241" s="272"/>
    </row>
    <row r="242" spans="1:33" s="4" customFormat="1" ht="21.75" customHeight="1">
      <c r="A242" s="30"/>
      <c r="B242" s="38"/>
      <c r="C242" s="38"/>
      <c r="D242" s="39"/>
      <c r="E242" s="24"/>
      <c r="F242" s="66"/>
      <c r="G242" s="105"/>
      <c r="H242" s="105"/>
      <c r="I242" s="24"/>
      <c r="J242" s="24"/>
      <c r="K242" s="24"/>
      <c r="L242" s="24"/>
      <c r="M242" s="24"/>
      <c r="N242" s="61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71"/>
      <c r="AG242" s="272"/>
    </row>
    <row r="243" spans="1:33" s="4" customFormat="1" ht="21.75" customHeight="1">
      <c r="A243" s="30"/>
      <c r="B243" s="38"/>
      <c r="C243" s="38"/>
      <c r="D243" s="39"/>
      <c r="E243" s="24"/>
      <c r="F243" s="24"/>
      <c r="G243" s="105"/>
      <c r="H243" s="105"/>
      <c r="I243" s="24"/>
      <c r="J243" s="24"/>
      <c r="K243" s="24"/>
      <c r="L243" s="24"/>
      <c r="M243" s="24"/>
      <c r="N243" s="61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71"/>
      <c r="AG243" s="272"/>
    </row>
    <row r="244" spans="1:33" s="4" customFormat="1" ht="21.75" customHeight="1">
      <c r="A244" s="30"/>
      <c r="B244" s="38"/>
      <c r="C244" s="38"/>
      <c r="D244" s="39"/>
      <c r="E244" s="24"/>
      <c r="F244" s="24"/>
      <c r="G244" s="24"/>
      <c r="H244" s="24"/>
      <c r="I244" s="24"/>
      <c r="J244" s="24"/>
      <c r="K244" s="24"/>
      <c r="L244" s="24"/>
      <c r="M244" s="24"/>
      <c r="N244" s="61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71"/>
      <c r="AG244" s="272"/>
    </row>
    <row r="245" spans="1:33" s="4" customFormat="1" ht="21.75" customHeight="1">
      <c r="A245" s="30"/>
      <c r="B245" s="38"/>
      <c r="C245" s="38"/>
      <c r="D245" s="39"/>
      <c r="E245" s="24"/>
      <c r="F245" s="24"/>
      <c r="G245" s="105"/>
      <c r="H245" s="105"/>
      <c r="I245" s="24"/>
      <c r="J245" s="24"/>
      <c r="K245" s="24"/>
      <c r="L245" s="24"/>
      <c r="M245" s="24"/>
      <c r="N245" s="61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71"/>
      <c r="AG245" s="272"/>
    </row>
    <row r="246" spans="1:33" s="4" customFormat="1" ht="21.75" customHeight="1">
      <c r="A246" s="30"/>
      <c r="B246" s="38"/>
      <c r="C246" s="38"/>
      <c r="D246" s="39"/>
      <c r="E246" s="24"/>
      <c r="F246" s="24"/>
      <c r="G246" s="105"/>
      <c r="H246" s="105"/>
      <c r="I246" s="24"/>
      <c r="J246" s="24"/>
      <c r="K246" s="24"/>
      <c r="L246" s="24"/>
      <c r="M246" s="24"/>
      <c r="N246" s="61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71"/>
      <c r="AG246" s="272"/>
    </row>
    <row r="247" spans="1:33" s="4" customFormat="1" ht="21.75" customHeight="1">
      <c r="A247" s="30"/>
      <c r="B247" s="38"/>
      <c r="C247" s="38"/>
      <c r="D247" s="39"/>
      <c r="E247" s="24"/>
      <c r="F247" s="66"/>
      <c r="G247" s="105"/>
      <c r="H247" s="105"/>
      <c r="I247" s="24"/>
      <c r="J247" s="24"/>
      <c r="K247" s="24"/>
      <c r="L247" s="24"/>
      <c r="M247" s="24"/>
      <c r="N247" s="61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71"/>
      <c r="AG247" s="272"/>
    </row>
    <row r="248" spans="1:33" s="4" customFormat="1" ht="21.75" customHeight="1">
      <c r="A248" s="30"/>
      <c r="B248" s="38"/>
      <c r="C248" s="46"/>
      <c r="D248" s="39"/>
      <c r="E248" s="24"/>
      <c r="F248" s="66"/>
      <c r="G248" s="105"/>
      <c r="H248" s="105"/>
      <c r="I248" s="24"/>
      <c r="J248" s="24"/>
      <c r="K248" s="24"/>
      <c r="L248" s="24"/>
      <c r="M248" s="24"/>
      <c r="N248" s="61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71"/>
      <c r="AG248" s="272"/>
    </row>
    <row r="249" spans="1:33" s="4" customFormat="1" ht="21.75" customHeight="1">
      <c r="A249" s="30"/>
      <c r="B249" s="38"/>
      <c r="C249" s="38"/>
      <c r="D249" s="39"/>
      <c r="E249" s="24"/>
      <c r="F249" s="107"/>
      <c r="G249" s="90"/>
      <c r="H249" s="24"/>
      <c r="I249" s="24"/>
      <c r="J249" s="24"/>
      <c r="K249" s="24"/>
      <c r="L249" s="24"/>
      <c r="M249" s="24"/>
      <c r="N249" s="61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71"/>
      <c r="AG249" s="272"/>
    </row>
    <row r="250" spans="1:33" s="4" customFormat="1" ht="21.75" customHeight="1">
      <c r="A250" s="30"/>
      <c r="B250" s="230"/>
      <c r="C250" s="231"/>
      <c r="D250" s="231"/>
      <c r="E250" s="231"/>
      <c r="F250" s="231"/>
      <c r="G250" s="231"/>
      <c r="H250" s="231"/>
      <c r="I250" s="232"/>
      <c r="J250" s="24"/>
      <c r="K250" s="24"/>
      <c r="L250" s="24"/>
      <c r="M250" s="24"/>
      <c r="N250" s="61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71"/>
      <c r="AG250" s="272"/>
    </row>
    <row r="251" spans="1:33" s="4" customFormat="1" ht="21.75" customHeight="1">
      <c r="A251" s="30"/>
      <c r="B251" s="67"/>
      <c r="C251" s="38"/>
      <c r="D251" s="39"/>
      <c r="E251" s="24"/>
      <c r="F251" s="107"/>
      <c r="G251" s="90"/>
      <c r="H251" s="24"/>
      <c r="I251" s="24"/>
      <c r="J251" s="24"/>
      <c r="K251" s="24"/>
      <c r="L251" s="24"/>
      <c r="M251" s="24"/>
      <c r="N251" s="61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71"/>
      <c r="AG251" s="272"/>
    </row>
    <row r="252" spans="1:33" s="4" customFormat="1" ht="21.75" customHeight="1">
      <c r="A252" s="30"/>
      <c r="B252" s="38"/>
      <c r="C252" s="38"/>
      <c r="D252" s="39"/>
      <c r="E252" s="24"/>
      <c r="F252" s="66"/>
      <c r="G252" s="105"/>
      <c r="H252" s="105"/>
      <c r="I252" s="24"/>
      <c r="J252" s="24"/>
      <c r="K252" s="24"/>
      <c r="L252" s="24"/>
      <c r="M252" s="24"/>
      <c r="N252" s="61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71"/>
      <c r="AG252" s="272"/>
    </row>
    <row r="253" spans="1:33" s="4" customFormat="1" ht="21.75" customHeight="1">
      <c r="A253" s="30"/>
      <c r="B253" s="38"/>
      <c r="C253" s="38"/>
      <c r="D253" s="39"/>
      <c r="E253" s="24"/>
      <c r="F253" s="66"/>
      <c r="G253" s="105"/>
      <c r="H253" s="24"/>
      <c r="I253" s="24"/>
      <c r="J253" s="24"/>
      <c r="K253" s="24"/>
      <c r="L253" s="24"/>
      <c r="M253" s="24"/>
      <c r="N253" s="61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71"/>
      <c r="AG253" s="272"/>
    </row>
    <row r="254" spans="1:33" s="4" customFormat="1" ht="21.75" customHeight="1">
      <c r="A254" s="30"/>
      <c r="B254" s="38"/>
      <c r="C254" s="38"/>
      <c r="D254" s="39"/>
      <c r="E254" s="24"/>
      <c r="F254" s="24"/>
      <c r="G254" s="105"/>
      <c r="H254" s="24"/>
      <c r="I254" s="24"/>
      <c r="J254" s="24"/>
      <c r="K254" s="24"/>
      <c r="L254" s="24"/>
      <c r="M254" s="24"/>
      <c r="N254" s="61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71"/>
      <c r="AG254" s="272"/>
    </row>
    <row r="255" spans="1:33" s="4" customFormat="1" ht="21.75" customHeight="1">
      <c r="A255" s="30"/>
      <c r="B255" s="38"/>
      <c r="C255" s="38"/>
      <c r="D255" s="39"/>
      <c r="E255" s="24"/>
      <c r="F255" s="24"/>
      <c r="G255" s="105"/>
      <c r="H255" s="24"/>
      <c r="I255" s="24"/>
      <c r="J255" s="24"/>
      <c r="K255" s="24"/>
      <c r="L255" s="24"/>
      <c r="M255" s="24"/>
      <c r="N255" s="61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71"/>
      <c r="AG255" s="272"/>
    </row>
    <row r="256" spans="1:33" s="16" customFormat="1" ht="21.75" customHeight="1">
      <c r="A256" s="30"/>
      <c r="B256" s="38"/>
      <c r="C256" s="38"/>
      <c r="D256" s="39"/>
      <c r="E256" s="24"/>
      <c r="F256" s="24"/>
      <c r="G256" s="105"/>
      <c r="H256" s="24"/>
      <c r="I256" s="24"/>
      <c r="J256" s="24"/>
      <c r="K256" s="24"/>
      <c r="L256" s="24"/>
      <c r="M256" s="24"/>
      <c r="N256" s="61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71"/>
      <c r="AG256" s="272"/>
    </row>
    <row r="257" spans="1:33" s="16" customFormat="1" ht="21.75" customHeight="1">
      <c r="A257" s="30"/>
      <c r="B257" s="38"/>
      <c r="C257" s="38"/>
      <c r="D257" s="39"/>
      <c r="E257" s="24"/>
      <c r="F257" s="24"/>
      <c r="G257" s="90"/>
      <c r="H257" s="24"/>
      <c r="I257" s="24"/>
      <c r="J257" s="24"/>
      <c r="K257" s="24"/>
      <c r="L257" s="24"/>
      <c r="M257" s="24"/>
      <c r="N257" s="61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71"/>
      <c r="AG257" s="272"/>
    </row>
    <row r="258" spans="1:33" s="16" customFormat="1" ht="21.75" customHeight="1">
      <c r="A258" s="30"/>
      <c r="B258" s="67"/>
      <c r="C258" s="38"/>
      <c r="D258" s="39"/>
      <c r="E258" s="24"/>
      <c r="F258" s="107"/>
      <c r="G258" s="90"/>
      <c r="H258" s="24"/>
      <c r="I258" s="24"/>
      <c r="J258" s="24"/>
      <c r="K258" s="24"/>
      <c r="L258" s="24"/>
      <c r="M258" s="24"/>
      <c r="N258" s="61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71"/>
      <c r="AG258" s="272"/>
    </row>
    <row r="259" spans="1:33" s="16" customFormat="1" ht="21.75" customHeight="1">
      <c r="A259" s="30"/>
      <c r="B259" s="38"/>
      <c r="C259" s="38"/>
      <c r="D259" s="39"/>
      <c r="E259" s="24"/>
      <c r="F259" s="24"/>
      <c r="G259" s="105"/>
      <c r="H259" s="105"/>
      <c r="I259" s="24"/>
      <c r="J259" s="24"/>
      <c r="K259" s="24"/>
      <c r="L259" s="24"/>
      <c r="M259" s="24"/>
      <c r="N259" s="61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71"/>
      <c r="AG259" s="272"/>
    </row>
    <row r="260" spans="1:33" s="4" customFormat="1" ht="21.75" customHeight="1">
      <c r="A260" s="30"/>
      <c r="B260" s="38"/>
      <c r="C260" s="38"/>
      <c r="D260" s="39"/>
      <c r="E260" s="24"/>
      <c r="F260" s="24"/>
      <c r="G260" s="105"/>
      <c r="H260" s="105"/>
      <c r="I260" s="24"/>
      <c r="J260" s="24"/>
      <c r="K260" s="24"/>
      <c r="L260" s="24"/>
      <c r="M260" s="24"/>
      <c r="N260" s="61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71"/>
      <c r="AG260" s="272"/>
    </row>
    <row r="261" spans="1:33" s="4" customFormat="1" ht="21.75" customHeight="1">
      <c r="A261" s="30"/>
      <c r="B261" s="38"/>
      <c r="C261" s="38"/>
      <c r="D261" s="39"/>
      <c r="E261" s="24"/>
      <c r="F261" s="24"/>
      <c r="G261" s="105"/>
      <c r="H261" s="105"/>
      <c r="I261" s="24"/>
      <c r="J261" s="24"/>
      <c r="K261" s="24"/>
      <c r="L261" s="24"/>
      <c r="M261" s="24"/>
      <c r="N261" s="61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71"/>
      <c r="AG261" s="272"/>
    </row>
    <row r="262" spans="1:33" s="4" customFormat="1" ht="21.75" customHeight="1">
      <c r="A262" s="30"/>
      <c r="B262" s="38"/>
      <c r="C262" s="38"/>
      <c r="D262" s="39"/>
      <c r="E262" s="24"/>
      <c r="F262" s="66"/>
      <c r="G262" s="105"/>
      <c r="H262" s="105"/>
      <c r="I262" s="24"/>
      <c r="J262" s="24"/>
      <c r="K262" s="24"/>
      <c r="L262" s="24"/>
      <c r="M262" s="24"/>
      <c r="N262" s="61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71"/>
      <c r="AG262" s="272"/>
    </row>
    <row r="263" spans="1:33" s="4" customFormat="1" ht="21.75" customHeight="1">
      <c r="A263" s="30"/>
      <c r="B263" s="38"/>
      <c r="C263" s="38"/>
      <c r="D263" s="39"/>
      <c r="E263" s="24"/>
      <c r="F263" s="24"/>
      <c r="G263" s="105"/>
      <c r="H263" s="105"/>
      <c r="I263" s="24"/>
      <c r="J263" s="24"/>
      <c r="K263" s="24"/>
      <c r="L263" s="24"/>
      <c r="M263" s="24"/>
      <c r="N263" s="61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71"/>
      <c r="AG263" s="272"/>
    </row>
    <row r="264" spans="1:33" s="4" customFormat="1" ht="21.75" customHeight="1">
      <c r="A264" s="30"/>
      <c r="B264" s="38"/>
      <c r="C264" s="38"/>
      <c r="D264" s="39"/>
      <c r="E264" s="24"/>
      <c r="F264" s="24"/>
      <c r="G264" s="105"/>
      <c r="H264" s="105"/>
      <c r="I264" s="24"/>
      <c r="J264" s="24"/>
      <c r="K264" s="24"/>
      <c r="L264" s="24"/>
      <c r="M264" s="24"/>
      <c r="N264" s="61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71"/>
      <c r="AG264" s="272"/>
    </row>
    <row r="265" spans="1:33" s="4" customFormat="1" ht="21.75" customHeight="1">
      <c r="A265" s="30"/>
      <c r="B265" s="38"/>
      <c r="C265" s="38"/>
      <c r="D265" s="39"/>
      <c r="E265" s="24"/>
      <c r="F265" s="24"/>
      <c r="G265" s="105"/>
      <c r="H265" s="105"/>
      <c r="I265" s="24"/>
      <c r="J265" s="24"/>
      <c r="K265" s="24"/>
      <c r="L265" s="24"/>
      <c r="M265" s="24"/>
      <c r="N265" s="61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71"/>
      <c r="AG265" s="272"/>
    </row>
    <row r="266" spans="1:33" s="4" customFormat="1" ht="21.75" customHeight="1">
      <c r="A266" s="30"/>
      <c r="B266" s="38"/>
      <c r="C266" s="38"/>
      <c r="D266" s="39"/>
      <c r="E266" s="24"/>
      <c r="F266" s="66"/>
      <c r="G266" s="105"/>
      <c r="H266" s="105"/>
      <c r="I266" s="24"/>
      <c r="J266" s="24"/>
      <c r="K266" s="24"/>
      <c r="L266" s="24"/>
      <c r="M266" s="24"/>
      <c r="N266" s="61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71"/>
      <c r="AG266" s="272"/>
    </row>
    <row r="267" spans="1:33" s="4" customFormat="1" ht="21.75" customHeight="1">
      <c r="A267" s="30"/>
      <c r="B267" s="38"/>
      <c r="C267" s="38"/>
      <c r="D267" s="39"/>
      <c r="E267" s="24"/>
      <c r="F267" s="24"/>
      <c r="G267" s="105"/>
      <c r="H267" s="105"/>
      <c r="I267" s="24"/>
      <c r="J267" s="24"/>
      <c r="K267" s="24"/>
      <c r="L267" s="24"/>
      <c r="M267" s="24"/>
      <c r="N267" s="61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71"/>
      <c r="AG267" s="272"/>
    </row>
    <row r="268" spans="1:33" s="4" customFormat="1" ht="21.75" customHeight="1">
      <c r="A268" s="30"/>
      <c r="B268" s="38"/>
      <c r="C268" s="38"/>
      <c r="D268" s="39"/>
      <c r="E268" s="24"/>
      <c r="F268" s="24"/>
      <c r="G268" s="105"/>
      <c r="H268" s="24"/>
      <c r="I268" s="24"/>
      <c r="J268" s="24"/>
      <c r="K268" s="24"/>
      <c r="L268" s="24"/>
      <c r="M268" s="24"/>
      <c r="N268" s="61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71"/>
      <c r="AG268" s="272"/>
    </row>
    <row r="269" spans="1:33" s="4" customFormat="1" ht="21.75" customHeight="1">
      <c r="A269" s="30"/>
      <c r="B269" s="38"/>
      <c r="C269" s="38"/>
      <c r="D269" s="39"/>
      <c r="E269" s="24"/>
      <c r="F269" s="24"/>
      <c r="G269" s="105"/>
      <c r="H269" s="24"/>
      <c r="I269" s="24"/>
      <c r="J269" s="24"/>
      <c r="K269" s="24"/>
      <c r="L269" s="24"/>
      <c r="M269" s="24"/>
      <c r="N269" s="61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71"/>
      <c r="AG269" s="272"/>
    </row>
    <row r="270" spans="1:33" s="4" customFormat="1" ht="21.75" customHeight="1">
      <c r="A270" s="30"/>
      <c r="B270" s="38"/>
      <c r="C270" s="38"/>
      <c r="D270" s="39"/>
      <c r="E270" s="24"/>
      <c r="F270" s="24"/>
      <c r="G270" s="105"/>
      <c r="H270" s="105"/>
      <c r="I270" s="24"/>
      <c r="J270" s="24"/>
      <c r="K270" s="24"/>
      <c r="L270" s="24"/>
      <c r="M270" s="24"/>
      <c r="N270" s="61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71"/>
      <c r="AG270" s="272"/>
    </row>
    <row r="271" spans="1:33" s="4" customFormat="1" ht="21.75" customHeight="1">
      <c r="A271" s="30"/>
      <c r="B271" s="38"/>
      <c r="C271" s="38"/>
      <c r="D271" s="39"/>
      <c r="E271" s="24"/>
      <c r="F271" s="24"/>
      <c r="G271" s="105"/>
      <c r="H271" s="105"/>
      <c r="I271" s="24"/>
      <c r="J271" s="24"/>
      <c r="K271" s="24"/>
      <c r="L271" s="24"/>
      <c r="M271" s="24"/>
      <c r="N271" s="61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71"/>
      <c r="AG271" s="272"/>
    </row>
    <row r="272" spans="1:33" s="4" customFormat="1" ht="21.75" customHeight="1">
      <c r="A272" s="30"/>
      <c r="B272" s="38"/>
      <c r="C272" s="38"/>
      <c r="D272" s="39"/>
      <c r="E272" s="24"/>
      <c r="F272" s="24"/>
      <c r="G272" s="105"/>
      <c r="H272" s="105"/>
      <c r="I272" s="24"/>
      <c r="J272" s="24"/>
      <c r="K272" s="24"/>
      <c r="L272" s="24"/>
      <c r="M272" s="24"/>
      <c r="N272" s="61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71"/>
      <c r="AG272" s="272"/>
    </row>
    <row r="273" spans="1:33" s="4" customFormat="1" ht="21.75" customHeight="1" thickBot="1">
      <c r="A273" s="30"/>
      <c r="B273" s="38"/>
      <c r="C273" s="38"/>
      <c r="D273" s="39"/>
      <c r="E273" s="24"/>
      <c r="F273" s="107"/>
      <c r="G273" s="90"/>
      <c r="H273" s="24"/>
      <c r="I273" s="24"/>
      <c r="J273" s="24"/>
      <c r="K273" s="24"/>
      <c r="L273" s="24"/>
      <c r="M273" s="24"/>
      <c r="N273" s="61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81"/>
      <c r="AG273" s="275"/>
    </row>
    <row r="274" spans="1:33" s="4" customFormat="1" ht="21.75" customHeight="1">
      <c r="A274" s="30"/>
      <c r="B274" s="230"/>
      <c r="C274" s="231"/>
      <c r="D274" s="231"/>
      <c r="E274" s="231"/>
      <c r="F274" s="231"/>
      <c r="G274" s="231"/>
      <c r="H274" s="231"/>
      <c r="I274" s="232"/>
      <c r="J274" s="24"/>
      <c r="K274" s="24"/>
      <c r="L274" s="24"/>
      <c r="M274" s="24"/>
      <c r="N274" s="61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69"/>
      <c r="AG274" s="270"/>
    </row>
    <row r="275" spans="1:33" s="4" customFormat="1" ht="21.75" customHeight="1">
      <c r="A275" s="30"/>
      <c r="B275" s="67"/>
      <c r="C275" s="38"/>
      <c r="D275" s="39"/>
      <c r="E275" s="24"/>
      <c r="F275" s="107"/>
      <c r="G275" s="90"/>
      <c r="H275" s="24"/>
      <c r="I275" s="24"/>
      <c r="J275" s="24"/>
      <c r="K275" s="24"/>
      <c r="L275" s="24"/>
      <c r="M275" s="24"/>
      <c r="N275" s="61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71"/>
      <c r="AG275" s="272"/>
    </row>
    <row r="276" spans="1:33" s="4" customFormat="1" ht="21.75" customHeight="1">
      <c r="A276" s="30"/>
      <c r="B276" s="38"/>
      <c r="C276" s="38"/>
      <c r="D276" s="39"/>
      <c r="E276" s="24"/>
      <c r="F276" s="66"/>
      <c r="G276" s="105"/>
      <c r="H276" s="24"/>
      <c r="I276" s="24"/>
      <c r="J276" s="24"/>
      <c r="K276" s="24"/>
      <c r="L276" s="24"/>
      <c r="M276" s="24"/>
      <c r="N276" s="61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71"/>
      <c r="AG276" s="272"/>
    </row>
    <row r="277" spans="1:33" s="4" customFormat="1" ht="21.75" customHeight="1">
      <c r="A277" s="30"/>
      <c r="B277" s="38"/>
      <c r="C277" s="38"/>
      <c r="D277" s="39"/>
      <c r="E277" s="24"/>
      <c r="F277" s="66"/>
      <c r="G277" s="105"/>
      <c r="H277" s="24"/>
      <c r="I277" s="24"/>
      <c r="J277" s="24"/>
      <c r="K277" s="24"/>
      <c r="L277" s="24"/>
      <c r="M277" s="24"/>
      <c r="N277" s="61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71"/>
      <c r="AG277" s="272"/>
    </row>
    <row r="278" spans="1:33" s="4" customFormat="1" ht="21.75" customHeight="1">
      <c r="A278" s="30"/>
      <c r="B278" s="38"/>
      <c r="C278" s="38"/>
      <c r="D278" s="39"/>
      <c r="E278" s="24"/>
      <c r="F278" s="24"/>
      <c r="G278" s="105"/>
      <c r="H278" s="24"/>
      <c r="I278" s="24"/>
      <c r="J278" s="24"/>
      <c r="K278" s="24"/>
      <c r="L278" s="24"/>
      <c r="M278" s="24"/>
      <c r="N278" s="61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71"/>
      <c r="AG278" s="272"/>
    </row>
    <row r="279" spans="1:33" s="4" customFormat="1" ht="21.75" customHeight="1">
      <c r="A279" s="30"/>
      <c r="B279" s="38"/>
      <c r="C279" s="38"/>
      <c r="D279" s="39"/>
      <c r="E279" s="24"/>
      <c r="F279" s="24"/>
      <c r="G279" s="105"/>
      <c r="H279" s="24"/>
      <c r="I279" s="24"/>
      <c r="J279" s="24"/>
      <c r="K279" s="24"/>
      <c r="L279" s="24"/>
      <c r="M279" s="24"/>
      <c r="N279" s="61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71"/>
      <c r="AG279" s="272"/>
    </row>
    <row r="280" spans="1:33" s="4" customFormat="1" ht="21.75" customHeight="1">
      <c r="A280" s="30"/>
      <c r="B280" s="38"/>
      <c r="C280" s="38"/>
      <c r="D280" s="39"/>
      <c r="E280" s="24"/>
      <c r="F280" s="24"/>
      <c r="G280" s="105"/>
      <c r="H280" s="24"/>
      <c r="I280" s="24"/>
      <c r="J280" s="24"/>
      <c r="K280" s="24"/>
      <c r="L280" s="24"/>
      <c r="M280" s="24"/>
      <c r="N280" s="61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71"/>
      <c r="AG280" s="272"/>
    </row>
    <row r="281" spans="1:33" s="4" customFormat="1" ht="21.75" customHeight="1">
      <c r="A281" s="30"/>
      <c r="B281" s="38"/>
      <c r="C281" s="38"/>
      <c r="D281" s="39"/>
      <c r="E281" s="24"/>
      <c r="F281" s="24"/>
      <c r="G281" s="66"/>
      <c r="H281" s="24"/>
      <c r="I281" s="24"/>
      <c r="J281" s="24"/>
      <c r="K281" s="24"/>
      <c r="L281" s="24"/>
      <c r="M281" s="24"/>
      <c r="N281" s="61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71"/>
      <c r="AG281" s="272"/>
    </row>
    <row r="282" spans="1:33" s="4" customFormat="1" ht="21.75" customHeight="1">
      <c r="A282" s="30"/>
      <c r="B282" s="67"/>
      <c r="C282" s="38"/>
      <c r="D282" s="39"/>
      <c r="E282" s="24"/>
      <c r="F282" s="24"/>
      <c r="G282" s="66"/>
      <c r="H282" s="24"/>
      <c r="I282" s="24"/>
      <c r="J282" s="24"/>
      <c r="K282" s="24"/>
      <c r="L282" s="24"/>
      <c r="M282" s="24"/>
      <c r="N282" s="61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71"/>
      <c r="AG282" s="272"/>
    </row>
    <row r="283" spans="1:33" s="4" customFormat="1" ht="21.75" customHeight="1">
      <c r="A283" s="30"/>
      <c r="B283" s="38"/>
      <c r="C283" s="38"/>
      <c r="D283" s="39"/>
      <c r="E283" s="24"/>
      <c r="F283" s="24"/>
      <c r="G283" s="105"/>
      <c r="H283" s="105"/>
      <c r="I283" s="24"/>
      <c r="J283" s="24"/>
      <c r="K283" s="24"/>
      <c r="L283" s="24"/>
      <c r="M283" s="24"/>
      <c r="N283" s="61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71"/>
      <c r="AG283" s="272"/>
    </row>
    <row r="284" spans="1:33" s="4" customFormat="1" ht="21.75" customHeight="1">
      <c r="A284" s="30"/>
      <c r="B284" s="38"/>
      <c r="C284" s="46"/>
      <c r="D284" s="39"/>
      <c r="E284" s="24"/>
      <c r="F284" s="24"/>
      <c r="G284" s="105"/>
      <c r="H284" s="24"/>
      <c r="I284" s="24"/>
      <c r="J284" s="24"/>
      <c r="K284" s="24"/>
      <c r="L284" s="24"/>
      <c r="M284" s="24"/>
      <c r="N284" s="61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71"/>
      <c r="AG284" s="272"/>
    </row>
    <row r="285" spans="1:33" s="4" customFormat="1" ht="21.75" customHeight="1">
      <c r="A285" s="30"/>
      <c r="B285" s="38"/>
      <c r="C285" s="46"/>
      <c r="D285" s="39"/>
      <c r="E285" s="24"/>
      <c r="F285" s="66"/>
      <c r="G285" s="105"/>
      <c r="H285" s="24"/>
      <c r="I285" s="24"/>
      <c r="J285" s="24"/>
      <c r="K285" s="24"/>
      <c r="L285" s="24"/>
      <c r="M285" s="24"/>
      <c r="N285" s="61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71"/>
      <c r="AG285" s="272"/>
    </row>
    <row r="286" spans="1:33" s="4" customFormat="1" ht="21.75" customHeight="1">
      <c r="A286" s="30"/>
      <c r="B286" s="38"/>
      <c r="C286" s="46"/>
      <c r="D286" s="39"/>
      <c r="E286" s="24"/>
      <c r="F286" s="107"/>
      <c r="G286" s="90"/>
      <c r="H286" s="24"/>
      <c r="I286" s="24"/>
      <c r="J286" s="24"/>
      <c r="K286" s="24"/>
      <c r="L286" s="24"/>
      <c r="M286" s="24"/>
      <c r="N286" s="61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71"/>
      <c r="AG286" s="272"/>
    </row>
    <row r="287" spans="1:33" s="4" customFormat="1" ht="21.75" customHeight="1">
      <c r="A287" s="30"/>
      <c r="B287" s="38"/>
      <c r="C287" s="46"/>
      <c r="D287" s="39"/>
      <c r="E287" s="24"/>
      <c r="F287" s="107"/>
      <c r="G287" s="90"/>
      <c r="H287" s="24"/>
      <c r="I287" s="24"/>
      <c r="J287" s="24"/>
      <c r="K287" s="24"/>
      <c r="L287" s="24"/>
      <c r="M287" s="24"/>
      <c r="N287" s="61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73"/>
      <c r="AG287" s="272"/>
    </row>
    <row r="288" spans="1:33" s="4" customFormat="1" ht="21.75" customHeight="1">
      <c r="A288" s="30"/>
      <c r="B288" s="38"/>
      <c r="C288" s="46"/>
      <c r="D288" s="39"/>
      <c r="E288" s="24"/>
      <c r="F288" s="107"/>
      <c r="G288" s="90"/>
      <c r="H288" s="24"/>
      <c r="I288" s="24"/>
      <c r="J288" s="24"/>
      <c r="K288" s="24"/>
      <c r="L288" s="24"/>
      <c r="M288" s="24"/>
      <c r="N288" s="61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73"/>
      <c r="AG288" s="272"/>
    </row>
    <row r="289" spans="1:33" s="4" customFormat="1" ht="21.75" customHeight="1" thickBot="1">
      <c r="A289" s="30"/>
      <c r="B289" s="38"/>
      <c r="C289" s="38"/>
      <c r="D289" s="39"/>
      <c r="E289" s="24"/>
      <c r="F289" s="108"/>
      <c r="G289" s="90"/>
      <c r="H289" s="24"/>
      <c r="I289" s="24"/>
      <c r="J289" s="24"/>
      <c r="K289" s="24"/>
      <c r="L289" s="24"/>
      <c r="M289" s="24"/>
      <c r="N289" s="61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74"/>
      <c r="AG289" s="275"/>
    </row>
    <row r="290" spans="2:33" s="1" customFormat="1" ht="46.5" customHeight="1">
      <c r="B290" s="233"/>
      <c r="C290" s="234"/>
      <c r="D290" s="234"/>
      <c r="E290" s="234"/>
      <c r="F290" s="234"/>
      <c r="G290" s="234"/>
      <c r="H290" s="234"/>
      <c r="I290" s="234"/>
      <c r="J290" s="234"/>
      <c r="K290" s="234"/>
      <c r="L290" s="234"/>
      <c r="M290" s="234"/>
      <c r="N290" s="235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/>
      <c r="AF290" s="279"/>
      <c r="AG290" s="280"/>
    </row>
    <row r="291" spans="2:33" s="1" customFormat="1" ht="46.5" customHeight="1" thickBot="1">
      <c r="B291" s="236"/>
      <c r="C291" s="237"/>
      <c r="D291" s="237"/>
      <c r="E291" s="237"/>
      <c r="F291" s="237"/>
      <c r="G291" s="237"/>
      <c r="H291" s="237"/>
      <c r="I291" s="237"/>
      <c r="J291" s="237"/>
      <c r="K291" s="237"/>
      <c r="L291" s="237"/>
      <c r="M291" s="237"/>
      <c r="N291" s="238"/>
      <c r="O291" s="250"/>
      <c r="P291" s="250"/>
      <c r="Q291" s="250"/>
      <c r="R291" s="250"/>
      <c r="S291" s="250"/>
      <c r="T291" s="250"/>
      <c r="U291" s="212"/>
      <c r="V291" s="212"/>
      <c r="W291" s="212"/>
      <c r="X291" s="212"/>
      <c r="Y291" s="250"/>
      <c r="Z291" s="250"/>
      <c r="AA291" s="212"/>
      <c r="AB291" s="212"/>
      <c r="AC291" s="212"/>
      <c r="AD291" s="212"/>
      <c r="AE291" s="212"/>
      <c r="AF291" s="276"/>
      <c r="AG291" s="277"/>
    </row>
    <row r="292" spans="1:34" ht="36" customHeight="1">
      <c r="A292" s="10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85"/>
      <c r="U292" s="49"/>
      <c r="V292" s="49"/>
      <c r="Y292" s="85"/>
      <c r="Z292" s="49"/>
      <c r="AC292" s="49"/>
      <c r="AD292" s="49"/>
      <c r="AF292" s="49"/>
      <c r="AG292" s="49"/>
      <c r="AH292" s="11"/>
    </row>
    <row r="293" spans="2:33" ht="12.75"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85"/>
      <c r="U293" s="49"/>
      <c r="V293" s="49"/>
      <c r="Y293" s="85"/>
      <c r="Z293" s="49"/>
      <c r="AC293" s="49"/>
      <c r="AD293" s="49"/>
      <c r="AF293" s="49"/>
      <c r="AG293" s="49"/>
    </row>
    <row r="294" spans="2:33" ht="12.75"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85"/>
      <c r="U294" s="85"/>
      <c r="V294" s="85"/>
      <c r="Y294" s="85"/>
      <c r="Z294" s="49"/>
      <c r="AA294" s="18"/>
      <c r="AB294" s="18"/>
      <c r="AC294" s="49"/>
      <c r="AD294" s="49"/>
      <c r="AF294" s="49"/>
      <c r="AG294" s="49"/>
    </row>
    <row r="295" spans="2:33" ht="15.75">
      <c r="B295" s="224"/>
      <c r="C295" s="225"/>
      <c r="D295" s="225"/>
      <c r="E295" s="225"/>
      <c r="F295" s="225"/>
      <c r="G295" s="226"/>
      <c r="H295" s="53"/>
      <c r="I295" s="53"/>
      <c r="J295" s="53"/>
      <c r="K295" s="53"/>
      <c r="L295" s="53"/>
      <c r="M295" s="53"/>
      <c r="N295" s="53"/>
      <c r="O295" s="53"/>
      <c r="P295" s="53"/>
      <c r="Q295" s="101"/>
      <c r="R295" s="53"/>
      <c r="S295" s="94"/>
      <c r="T295" s="93"/>
      <c r="U295" s="101"/>
      <c r="V295" s="101"/>
      <c r="W295" s="101"/>
      <c r="X295" s="101"/>
      <c r="Y295" s="53"/>
      <c r="Z295" s="53"/>
      <c r="AA295" s="53"/>
      <c r="AB295" s="53"/>
      <c r="AC295" s="53"/>
      <c r="AD295" s="53"/>
      <c r="AF295" s="49"/>
      <c r="AG295" s="49"/>
    </row>
    <row r="296" spans="2:33" ht="15"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96"/>
      <c r="P296" s="96"/>
      <c r="Q296" s="53"/>
      <c r="R296" s="53"/>
      <c r="S296" s="85"/>
      <c r="T296" s="49"/>
      <c r="U296" s="49"/>
      <c r="V296" s="49"/>
      <c r="Y296" s="49"/>
      <c r="Z296" s="49"/>
      <c r="AC296" s="49"/>
      <c r="AD296" s="49"/>
      <c r="AF296" s="49"/>
      <c r="AG296" s="49"/>
    </row>
    <row r="297" spans="2:33" ht="15">
      <c r="B297" s="49"/>
      <c r="C297" s="49"/>
      <c r="D297" s="49"/>
      <c r="E297" s="49"/>
      <c r="F297" s="49"/>
      <c r="G297" s="49"/>
      <c r="H297" s="49"/>
      <c r="I297" s="49"/>
      <c r="J297" s="49"/>
      <c r="K297" s="297"/>
      <c r="L297" s="298"/>
      <c r="M297" s="298"/>
      <c r="N297" s="298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F297" s="49"/>
      <c r="AG297" s="49"/>
    </row>
    <row r="298" spans="2:33" ht="12.75"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85"/>
      <c r="U298" s="49"/>
      <c r="V298" s="49"/>
      <c r="Y298" s="49"/>
      <c r="Z298" s="49"/>
      <c r="AC298" s="49"/>
      <c r="AD298" s="49"/>
      <c r="AF298" s="49"/>
      <c r="AG298" s="49"/>
    </row>
    <row r="299" spans="2:33" ht="12.75"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85"/>
      <c r="U299" s="49"/>
      <c r="V299" s="49"/>
      <c r="Y299" s="49"/>
      <c r="Z299" s="49"/>
      <c r="AC299" s="49"/>
      <c r="AD299" s="49"/>
      <c r="AF299" s="49"/>
      <c r="AG299" s="49"/>
    </row>
    <row r="300" spans="2:33" ht="12.75"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85"/>
      <c r="U300" s="49"/>
      <c r="V300" s="49"/>
      <c r="Y300" s="49"/>
      <c r="Z300" s="49"/>
      <c r="AC300" s="49"/>
      <c r="AD300" s="49"/>
      <c r="AF300" s="49"/>
      <c r="AG300" s="49"/>
    </row>
    <row r="301" spans="2:33" ht="12.75"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85"/>
      <c r="U301" s="49"/>
      <c r="V301" s="49"/>
      <c r="Y301" s="49"/>
      <c r="Z301" s="49"/>
      <c r="AC301" s="49"/>
      <c r="AD301" s="49"/>
      <c r="AF301" s="49"/>
      <c r="AG301" s="49"/>
    </row>
    <row r="302" spans="2:33" ht="12.75"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85"/>
      <c r="U302" s="49"/>
      <c r="V302" s="49"/>
      <c r="Y302" s="49"/>
      <c r="Z302" s="49"/>
      <c r="AC302" s="49"/>
      <c r="AD302" s="49"/>
      <c r="AF302" s="49"/>
      <c r="AG302" s="49"/>
    </row>
    <row r="303" spans="1:34" ht="36" customHeight="1" thickBot="1">
      <c r="A303" s="3"/>
      <c r="B303" s="54"/>
      <c r="C303" s="55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229"/>
      <c r="P303" s="229"/>
      <c r="Q303" s="229"/>
      <c r="R303" s="229"/>
      <c r="S303" s="229"/>
      <c r="T303" s="229"/>
      <c r="U303" s="229"/>
      <c r="V303" s="229"/>
      <c r="Y303" s="229"/>
      <c r="Z303" s="229"/>
      <c r="AC303" s="257"/>
      <c r="AD303" s="257"/>
      <c r="AF303" s="98"/>
      <c r="AG303" s="98"/>
      <c r="AH303" s="13"/>
    </row>
    <row r="304" spans="1:34" ht="21.75" customHeight="1">
      <c r="A304" s="4"/>
      <c r="B304" s="233"/>
      <c r="C304" s="299"/>
      <c r="D304" s="251"/>
      <c r="E304" s="251"/>
      <c r="F304" s="251"/>
      <c r="G304" s="254"/>
      <c r="H304" s="254"/>
      <c r="I304" s="251"/>
      <c r="J304" s="254"/>
      <c r="K304" s="254"/>
      <c r="L304" s="254"/>
      <c r="M304" s="254"/>
      <c r="N304" s="254"/>
      <c r="O304" s="216"/>
      <c r="P304" s="217"/>
      <c r="Q304" s="216"/>
      <c r="R304" s="217"/>
      <c r="S304" s="216"/>
      <c r="T304" s="217"/>
      <c r="U304" s="216"/>
      <c r="V304" s="217"/>
      <c r="W304" s="216"/>
      <c r="X304" s="217"/>
      <c r="Y304" s="216"/>
      <c r="Z304" s="217"/>
      <c r="AA304" s="216"/>
      <c r="AB304" s="217"/>
      <c r="AC304" s="216"/>
      <c r="AD304" s="217"/>
      <c r="AE304" s="58"/>
      <c r="AF304" s="282"/>
      <c r="AG304" s="282"/>
      <c r="AH304" s="4"/>
    </row>
    <row r="305" spans="1:34" ht="27.75" customHeight="1">
      <c r="A305" s="4"/>
      <c r="B305" s="293"/>
      <c r="C305" s="300"/>
      <c r="D305" s="255"/>
      <c r="E305" s="255"/>
      <c r="F305" s="255"/>
      <c r="G305" s="242"/>
      <c r="H305" s="242"/>
      <c r="I305" s="252"/>
      <c r="J305" s="255"/>
      <c r="K305" s="255"/>
      <c r="L305" s="242"/>
      <c r="M305" s="242"/>
      <c r="N305" s="242"/>
      <c r="O305" s="218"/>
      <c r="P305" s="219"/>
      <c r="Q305" s="218"/>
      <c r="R305" s="219"/>
      <c r="S305" s="218"/>
      <c r="T305" s="219"/>
      <c r="U305" s="218"/>
      <c r="V305" s="219"/>
      <c r="W305" s="218"/>
      <c r="X305" s="219"/>
      <c r="Y305" s="218"/>
      <c r="Z305" s="219"/>
      <c r="AA305" s="218"/>
      <c r="AB305" s="219"/>
      <c r="AC305" s="218"/>
      <c r="AD305" s="219"/>
      <c r="AE305" s="241"/>
      <c r="AF305" s="283"/>
      <c r="AG305" s="304"/>
      <c r="AH305" s="4"/>
    </row>
    <row r="306" spans="1:34" ht="27.75" customHeight="1" thickBot="1">
      <c r="A306" s="4"/>
      <c r="B306" s="293"/>
      <c r="C306" s="300"/>
      <c r="D306" s="255"/>
      <c r="E306" s="255"/>
      <c r="F306" s="255"/>
      <c r="G306" s="242"/>
      <c r="H306" s="242"/>
      <c r="I306" s="252"/>
      <c r="J306" s="255"/>
      <c r="K306" s="255"/>
      <c r="L306" s="242"/>
      <c r="M306" s="242"/>
      <c r="N306" s="242"/>
      <c r="O306" s="220"/>
      <c r="P306" s="221"/>
      <c r="Q306" s="220"/>
      <c r="R306" s="221"/>
      <c r="S306" s="220"/>
      <c r="T306" s="221"/>
      <c r="U306" s="220"/>
      <c r="V306" s="221"/>
      <c r="W306" s="220"/>
      <c r="X306" s="221"/>
      <c r="Y306" s="220"/>
      <c r="Z306" s="221"/>
      <c r="AA306" s="220"/>
      <c r="AB306" s="221"/>
      <c r="AC306" s="220"/>
      <c r="AD306" s="221"/>
      <c r="AE306" s="242"/>
      <c r="AF306" s="284"/>
      <c r="AG306" s="304"/>
      <c r="AH306" s="4"/>
    </row>
    <row r="307" spans="1:34" ht="27.75" customHeight="1">
      <c r="A307" s="4"/>
      <c r="B307" s="293"/>
      <c r="C307" s="300"/>
      <c r="D307" s="255"/>
      <c r="E307" s="255"/>
      <c r="F307" s="255"/>
      <c r="G307" s="242"/>
      <c r="H307" s="242"/>
      <c r="I307" s="252"/>
      <c r="J307" s="255"/>
      <c r="K307" s="255"/>
      <c r="L307" s="242"/>
      <c r="M307" s="242"/>
      <c r="N307" s="242"/>
      <c r="O307" s="220"/>
      <c r="P307" s="221"/>
      <c r="Q307" s="220"/>
      <c r="R307" s="221"/>
      <c r="S307" s="220"/>
      <c r="T307" s="221"/>
      <c r="U307" s="220"/>
      <c r="V307" s="221"/>
      <c r="W307" s="220"/>
      <c r="X307" s="221"/>
      <c r="Y307" s="220"/>
      <c r="Z307" s="221"/>
      <c r="AA307" s="220"/>
      <c r="AB307" s="221"/>
      <c r="AC307" s="220"/>
      <c r="AD307" s="221"/>
      <c r="AE307" s="242"/>
      <c r="AF307" s="269"/>
      <c r="AG307" s="270"/>
      <c r="AH307" s="4"/>
    </row>
    <row r="308" spans="1:34" ht="27.75" customHeight="1">
      <c r="A308" s="4"/>
      <c r="B308" s="293"/>
      <c r="C308" s="300"/>
      <c r="D308" s="255"/>
      <c r="E308" s="255"/>
      <c r="F308" s="255"/>
      <c r="G308" s="242"/>
      <c r="H308" s="242"/>
      <c r="I308" s="252"/>
      <c r="J308" s="255"/>
      <c r="K308" s="255"/>
      <c r="L308" s="242"/>
      <c r="M308" s="242"/>
      <c r="N308" s="242"/>
      <c r="O308" s="220"/>
      <c r="P308" s="221"/>
      <c r="Q308" s="220"/>
      <c r="R308" s="221"/>
      <c r="S308" s="220"/>
      <c r="T308" s="221"/>
      <c r="U308" s="220"/>
      <c r="V308" s="221"/>
      <c r="W308" s="220"/>
      <c r="X308" s="221"/>
      <c r="Y308" s="220"/>
      <c r="Z308" s="221"/>
      <c r="AA308" s="220"/>
      <c r="AB308" s="221"/>
      <c r="AC308" s="220"/>
      <c r="AD308" s="221"/>
      <c r="AE308" s="242"/>
      <c r="AF308" s="271"/>
      <c r="AG308" s="272"/>
      <c r="AH308" s="4"/>
    </row>
    <row r="309" spans="1:34" ht="27.75" customHeight="1">
      <c r="A309" s="4"/>
      <c r="B309" s="293"/>
      <c r="C309" s="300"/>
      <c r="D309" s="255"/>
      <c r="E309" s="255"/>
      <c r="F309" s="255"/>
      <c r="G309" s="242"/>
      <c r="H309" s="242"/>
      <c r="I309" s="252"/>
      <c r="J309" s="255"/>
      <c r="K309" s="255"/>
      <c r="L309" s="242"/>
      <c r="M309" s="242"/>
      <c r="N309" s="242"/>
      <c r="O309" s="220"/>
      <c r="P309" s="221"/>
      <c r="Q309" s="220"/>
      <c r="R309" s="221"/>
      <c r="S309" s="220"/>
      <c r="T309" s="221"/>
      <c r="U309" s="220"/>
      <c r="V309" s="221"/>
      <c r="W309" s="220"/>
      <c r="X309" s="221"/>
      <c r="Y309" s="220"/>
      <c r="Z309" s="221"/>
      <c r="AA309" s="220"/>
      <c r="AB309" s="221"/>
      <c r="AC309" s="220"/>
      <c r="AD309" s="221"/>
      <c r="AE309" s="242"/>
      <c r="AF309" s="271"/>
      <c r="AG309" s="272"/>
      <c r="AH309" s="4"/>
    </row>
    <row r="310" spans="1:34" ht="27.75" customHeight="1">
      <c r="A310" s="4"/>
      <c r="B310" s="293"/>
      <c r="C310" s="300"/>
      <c r="D310" s="255"/>
      <c r="E310" s="255"/>
      <c r="F310" s="255"/>
      <c r="G310" s="242"/>
      <c r="H310" s="242"/>
      <c r="I310" s="252"/>
      <c r="J310" s="255"/>
      <c r="K310" s="255"/>
      <c r="L310" s="242"/>
      <c r="M310" s="242"/>
      <c r="N310" s="242"/>
      <c r="O310" s="220"/>
      <c r="P310" s="221"/>
      <c r="Q310" s="220"/>
      <c r="R310" s="221"/>
      <c r="S310" s="220"/>
      <c r="T310" s="221"/>
      <c r="U310" s="220"/>
      <c r="V310" s="221"/>
      <c r="W310" s="220"/>
      <c r="X310" s="221"/>
      <c r="Y310" s="220"/>
      <c r="Z310" s="221"/>
      <c r="AA310" s="220"/>
      <c r="AB310" s="221"/>
      <c r="AC310" s="220"/>
      <c r="AD310" s="221"/>
      <c r="AE310" s="242"/>
      <c r="AF310" s="271"/>
      <c r="AG310" s="272"/>
      <c r="AH310" s="4"/>
    </row>
    <row r="311" spans="1:34" ht="27.75" customHeight="1">
      <c r="A311" s="4"/>
      <c r="B311" s="293"/>
      <c r="C311" s="300"/>
      <c r="D311" s="255"/>
      <c r="E311" s="255"/>
      <c r="F311" s="255"/>
      <c r="G311" s="242"/>
      <c r="H311" s="242"/>
      <c r="I311" s="252"/>
      <c r="J311" s="255"/>
      <c r="K311" s="255"/>
      <c r="L311" s="242"/>
      <c r="M311" s="242"/>
      <c r="N311" s="242"/>
      <c r="O311" s="220"/>
      <c r="P311" s="221"/>
      <c r="Q311" s="220"/>
      <c r="R311" s="221"/>
      <c r="S311" s="220"/>
      <c r="T311" s="221"/>
      <c r="U311" s="220"/>
      <c r="V311" s="221"/>
      <c r="W311" s="220"/>
      <c r="X311" s="221"/>
      <c r="Y311" s="220"/>
      <c r="Z311" s="221"/>
      <c r="AA311" s="220"/>
      <c r="AB311" s="221"/>
      <c r="AC311" s="220"/>
      <c r="AD311" s="221"/>
      <c r="AE311" s="242"/>
      <c r="AF311" s="271"/>
      <c r="AG311" s="272"/>
      <c r="AH311" s="4"/>
    </row>
    <row r="312" spans="1:34" ht="27.75" customHeight="1">
      <c r="A312" s="5"/>
      <c r="B312" s="301"/>
      <c r="C312" s="302"/>
      <c r="D312" s="256"/>
      <c r="E312" s="256"/>
      <c r="F312" s="256"/>
      <c r="G312" s="243"/>
      <c r="H312" s="243"/>
      <c r="I312" s="253"/>
      <c r="J312" s="256"/>
      <c r="K312" s="256"/>
      <c r="L312" s="243"/>
      <c r="M312" s="243"/>
      <c r="N312" s="243"/>
      <c r="O312" s="222"/>
      <c r="P312" s="223"/>
      <c r="Q312" s="222"/>
      <c r="R312" s="223"/>
      <c r="S312" s="222"/>
      <c r="T312" s="223"/>
      <c r="U312" s="222"/>
      <c r="V312" s="223"/>
      <c r="W312" s="222"/>
      <c r="X312" s="223"/>
      <c r="Y312" s="222"/>
      <c r="Z312" s="223"/>
      <c r="AA312" s="222"/>
      <c r="AB312" s="223"/>
      <c r="AC312" s="222"/>
      <c r="AD312" s="223"/>
      <c r="AE312" s="243"/>
      <c r="AF312" s="271"/>
      <c r="AG312" s="272"/>
      <c r="AH312" s="5"/>
    </row>
    <row r="313" spans="1:34" ht="21.75" customHeight="1" thickBot="1">
      <c r="A313" s="7"/>
      <c r="B313" s="56"/>
      <c r="C313" s="56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208"/>
      <c r="P313" s="210"/>
      <c r="Q313" s="208"/>
      <c r="R313" s="210"/>
      <c r="S313" s="208"/>
      <c r="T313" s="210"/>
      <c r="U313" s="208"/>
      <c r="V313" s="210"/>
      <c r="W313" s="208"/>
      <c r="X313" s="210"/>
      <c r="Y313" s="208"/>
      <c r="Z313" s="210"/>
      <c r="AA313" s="208"/>
      <c r="AB313" s="210"/>
      <c r="AC313" s="208"/>
      <c r="AD313" s="210"/>
      <c r="AE313" s="57"/>
      <c r="AF313" s="271"/>
      <c r="AG313" s="272"/>
      <c r="AH313" s="7"/>
    </row>
    <row r="314" spans="1:34" ht="21.75" customHeight="1">
      <c r="A314" s="30"/>
      <c r="B314" s="77"/>
      <c r="C314" s="113"/>
      <c r="D314" s="39"/>
      <c r="E314" s="24"/>
      <c r="F314" s="24"/>
      <c r="G314" s="24"/>
      <c r="H314" s="24"/>
      <c r="I314" s="24"/>
      <c r="J314" s="24"/>
      <c r="K314" s="24"/>
      <c r="L314" s="24"/>
      <c r="M314" s="24"/>
      <c r="N314" s="61"/>
      <c r="O314" s="227"/>
      <c r="P314" s="227"/>
      <c r="Q314" s="227"/>
      <c r="R314" s="227"/>
      <c r="S314" s="227"/>
      <c r="T314" s="227"/>
      <c r="U314" s="227"/>
      <c r="V314" s="227"/>
      <c r="W314" s="227"/>
      <c r="X314" s="227"/>
      <c r="Y314" s="227"/>
      <c r="Z314" s="227"/>
      <c r="AA314" s="227"/>
      <c r="AB314" s="227"/>
      <c r="AC314" s="265"/>
      <c r="AD314" s="265"/>
      <c r="AE314" s="227"/>
      <c r="AF314" s="271"/>
      <c r="AG314" s="272"/>
      <c r="AH314" s="4"/>
    </row>
    <row r="315" spans="1:34" ht="21.75" customHeight="1">
      <c r="A315" s="30"/>
      <c r="B315" s="230"/>
      <c r="C315" s="231"/>
      <c r="D315" s="231"/>
      <c r="E315" s="231"/>
      <c r="F315" s="231"/>
      <c r="G315" s="231"/>
      <c r="H315" s="231"/>
      <c r="I315" s="232"/>
      <c r="J315" s="24"/>
      <c r="K315" s="24"/>
      <c r="L315" s="24"/>
      <c r="M315" s="24"/>
      <c r="N315" s="61"/>
      <c r="O315" s="228"/>
      <c r="P315" s="228"/>
      <c r="Q315" s="228"/>
      <c r="R315" s="228"/>
      <c r="S315" s="228"/>
      <c r="T315" s="228"/>
      <c r="U315" s="228"/>
      <c r="V315" s="228"/>
      <c r="W315" s="228"/>
      <c r="X315" s="228"/>
      <c r="Y315" s="228"/>
      <c r="Z315" s="228"/>
      <c r="AA315" s="228"/>
      <c r="AB315" s="228"/>
      <c r="AC315" s="266"/>
      <c r="AD315" s="266"/>
      <c r="AE315" s="228"/>
      <c r="AF315" s="271"/>
      <c r="AG315" s="272"/>
      <c r="AH315" s="4"/>
    </row>
    <row r="316" spans="1:34" ht="21.75" customHeight="1">
      <c r="A316" s="30"/>
      <c r="B316" s="77"/>
      <c r="C316" s="38"/>
      <c r="D316" s="39"/>
      <c r="E316" s="24"/>
      <c r="F316" s="24"/>
      <c r="G316" s="24"/>
      <c r="H316" s="24"/>
      <c r="I316" s="24"/>
      <c r="J316" s="24"/>
      <c r="K316" s="24"/>
      <c r="L316" s="24"/>
      <c r="M316" s="24"/>
      <c r="N316" s="61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71"/>
      <c r="AG316" s="272"/>
      <c r="AH316" s="4"/>
    </row>
    <row r="317" spans="1:34" ht="21.75" customHeight="1">
      <c r="A317" s="30"/>
      <c r="B317" s="38"/>
      <c r="C317" s="38"/>
      <c r="D317" s="39"/>
      <c r="E317" s="24"/>
      <c r="F317" s="66"/>
      <c r="G317" s="105"/>
      <c r="H317" s="105"/>
      <c r="I317" s="24"/>
      <c r="J317" s="24"/>
      <c r="K317" s="24"/>
      <c r="L317" s="24"/>
      <c r="M317" s="24"/>
      <c r="N317" s="61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71"/>
      <c r="AG317" s="272"/>
      <c r="AH317" s="4"/>
    </row>
    <row r="318" spans="1:34" ht="21.75" customHeight="1">
      <c r="A318" s="30"/>
      <c r="B318" s="38"/>
      <c r="C318" s="38"/>
      <c r="D318" s="39"/>
      <c r="E318" s="24"/>
      <c r="F318" s="66"/>
      <c r="G318" s="105"/>
      <c r="H318" s="105"/>
      <c r="I318" s="24"/>
      <c r="J318" s="24"/>
      <c r="K318" s="24"/>
      <c r="L318" s="24"/>
      <c r="M318" s="24"/>
      <c r="N318" s="61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71"/>
      <c r="AG318" s="272"/>
      <c r="AH318" s="4"/>
    </row>
    <row r="319" spans="1:34" ht="21.75" customHeight="1">
      <c r="A319" s="30"/>
      <c r="B319" s="38"/>
      <c r="C319" s="38"/>
      <c r="D319" s="39"/>
      <c r="E319" s="24"/>
      <c r="F319" s="24"/>
      <c r="G319" s="105"/>
      <c r="H319" s="105"/>
      <c r="I319" s="24"/>
      <c r="J319" s="24"/>
      <c r="K319" s="24"/>
      <c r="L319" s="24"/>
      <c r="M319" s="24"/>
      <c r="N319" s="61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71"/>
      <c r="AG319" s="272"/>
      <c r="AH319" s="4"/>
    </row>
    <row r="320" spans="1:34" ht="21.75" customHeight="1">
      <c r="A320" s="30"/>
      <c r="B320" s="38"/>
      <c r="C320" s="38"/>
      <c r="D320" s="39"/>
      <c r="E320" s="24"/>
      <c r="F320" s="24"/>
      <c r="G320" s="105"/>
      <c r="H320" s="105"/>
      <c r="I320" s="24"/>
      <c r="J320" s="24"/>
      <c r="K320" s="24"/>
      <c r="L320" s="24"/>
      <c r="M320" s="24"/>
      <c r="N320" s="61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71"/>
      <c r="AG320" s="272"/>
      <c r="AH320" s="4"/>
    </row>
    <row r="321" spans="1:34" ht="21.75" customHeight="1">
      <c r="A321" s="30"/>
      <c r="B321" s="38"/>
      <c r="C321" s="38"/>
      <c r="D321" s="39"/>
      <c r="E321" s="24"/>
      <c r="F321" s="66"/>
      <c r="G321" s="105"/>
      <c r="H321" s="105"/>
      <c r="I321" s="24"/>
      <c r="J321" s="24"/>
      <c r="K321" s="24"/>
      <c r="L321" s="24"/>
      <c r="M321" s="24"/>
      <c r="N321" s="61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71"/>
      <c r="AG321" s="272"/>
      <c r="AH321" s="4"/>
    </row>
    <row r="322" spans="1:34" ht="21.75" customHeight="1">
      <c r="A322" s="30"/>
      <c r="B322" s="38"/>
      <c r="C322" s="38"/>
      <c r="D322" s="39"/>
      <c r="E322" s="24"/>
      <c r="F322" s="24"/>
      <c r="G322" s="24"/>
      <c r="H322" s="24"/>
      <c r="I322" s="24"/>
      <c r="J322" s="24"/>
      <c r="K322" s="24"/>
      <c r="L322" s="24"/>
      <c r="M322" s="24"/>
      <c r="N322" s="61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71"/>
      <c r="AG322" s="272"/>
      <c r="AH322" s="4"/>
    </row>
    <row r="323" spans="1:34" ht="21.75" customHeight="1">
      <c r="A323" s="30"/>
      <c r="B323" s="38"/>
      <c r="C323" s="38"/>
      <c r="D323" s="39"/>
      <c r="E323" s="24"/>
      <c r="F323" s="24"/>
      <c r="G323" s="105"/>
      <c r="H323" s="105"/>
      <c r="I323" s="24"/>
      <c r="J323" s="24"/>
      <c r="K323" s="24"/>
      <c r="L323" s="24"/>
      <c r="M323" s="24"/>
      <c r="N323" s="61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71"/>
      <c r="AG323" s="272"/>
      <c r="AH323" s="4"/>
    </row>
    <row r="324" spans="1:34" ht="21.75" customHeight="1">
      <c r="A324" s="30"/>
      <c r="B324" s="38"/>
      <c r="C324" s="38"/>
      <c r="D324" s="39"/>
      <c r="E324" s="24"/>
      <c r="F324" s="24"/>
      <c r="G324" s="24"/>
      <c r="H324" s="24"/>
      <c r="I324" s="24"/>
      <c r="J324" s="24"/>
      <c r="K324" s="24"/>
      <c r="L324" s="24"/>
      <c r="M324" s="24"/>
      <c r="N324" s="61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71"/>
      <c r="AG324" s="272"/>
      <c r="AH324" s="4"/>
    </row>
    <row r="325" spans="1:34" ht="21.75" customHeight="1">
      <c r="A325" s="30"/>
      <c r="B325" s="38"/>
      <c r="C325" s="38"/>
      <c r="D325" s="39"/>
      <c r="E325" s="24"/>
      <c r="F325" s="66"/>
      <c r="G325" s="24"/>
      <c r="H325" s="24"/>
      <c r="I325" s="24"/>
      <c r="J325" s="24"/>
      <c r="K325" s="24"/>
      <c r="L325" s="24"/>
      <c r="M325" s="24"/>
      <c r="N325" s="61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71"/>
      <c r="AG325" s="272"/>
      <c r="AH325" s="4"/>
    </row>
    <row r="326" spans="1:34" ht="21.75" customHeight="1">
      <c r="A326" s="30"/>
      <c r="B326" s="38"/>
      <c r="C326" s="38"/>
      <c r="D326" s="39"/>
      <c r="E326" s="24"/>
      <c r="F326" s="24"/>
      <c r="G326" s="24"/>
      <c r="H326" s="24"/>
      <c r="I326" s="24"/>
      <c r="J326" s="24"/>
      <c r="K326" s="24"/>
      <c r="L326" s="24"/>
      <c r="M326" s="24"/>
      <c r="N326" s="61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71"/>
      <c r="AG326" s="272"/>
      <c r="AH326" s="4"/>
    </row>
    <row r="327" spans="1:34" ht="21.75" customHeight="1">
      <c r="A327" s="30"/>
      <c r="B327" s="230"/>
      <c r="C327" s="231"/>
      <c r="D327" s="231"/>
      <c r="E327" s="231"/>
      <c r="F327" s="231"/>
      <c r="G327" s="231"/>
      <c r="H327" s="231"/>
      <c r="I327" s="232"/>
      <c r="J327" s="24"/>
      <c r="K327" s="24"/>
      <c r="L327" s="24"/>
      <c r="M327" s="24"/>
      <c r="N327" s="61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71"/>
      <c r="AG327" s="272"/>
      <c r="AH327" s="4"/>
    </row>
    <row r="328" spans="1:34" ht="21.75" customHeight="1">
      <c r="A328" s="30"/>
      <c r="B328" s="67"/>
      <c r="C328" s="38"/>
      <c r="D328" s="39"/>
      <c r="E328" s="24"/>
      <c r="F328" s="107"/>
      <c r="G328" s="90"/>
      <c r="H328" s="24"/>
      <c r="I328" s="24"/>
      <c r="J328" s="24"/>
      <c r="K328" s="24"/>
      <c r="L328" s="24"/>
      <c r="M328" s="24"/>
      <c r="N328" s="61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71"/>
      <c r="AG328" s="272"/>
      <c r="AH328" s="4"/>
    </row>
    <row r="329" spans="1:34" ht="21.75" customHeight="1">
      <c r="A329" s="30"/>
      <c r="B329" s="38"/>
      <c r="C329" s="38"/>
      <c r="D329" s="39"/>
      <c r="E329" s="24"/>
      <c r="F329" s="66"/>
      <c r="G329" s="105"/>
      <c r="H329" s="24"/>
      <c r="I329" s="24"/>
      <c r="J329" s="24"/>
      <c r="K329" s="24"/>
      <c r="L329" s="24"/>
      <c r="M329" s="24"/>
      <c r="N329" s="61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71"/>
      <c r="AG329" s="272"/>
      <c r="AH329" s="4"/>
    </row>
    <row r="330" spans="1:34" ht="21.75" customHeight="1">
      <c r="A330" s="30"/>
      <c r="B330" s="38"/>
      <c r="C330" s="38"/>
      <c r="D330" s="39"/>
      <c r="E330" s="24"/>
      <c r="F330" s="24"/>
      <c r="G330" s="105"/>
      <c r="H330" s="24"/>
      <c r="I330" s="24"/>
      <c r="J330" s="39"/>
      <c r="K330" s="24"/>
      <c r="L330" s="24"/>
      <c r="M330" s="24"/>
      <c r="N330" s="61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71"/>
      <c r="AG330" s="272"/>
      <c r="AH330" s="4"/>
    </row>
    <row r="331" spans="1:34" ht="21.75" customHeight="1">
      <c r="A331" s="30"/>
      <c r="B331" s="38"/>
      <c r="C331" s="38"/>
      <c r="D331" s="39"/>
      <c r="E331" s="24"/>
      <c r="F331" s="24"/>
      <c r="G331" s="105"/>
      <c r="H331" s="24"/>
      <c r="I331" s="24"/>
      <c r="J331" s="24"/>
      <c r="K331" s="24"/>
      <c r="L331" s="24"/>
      <c r="M331" s="24"/>
      <c r="N331" s="61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71"/>
      <c r="AG331" s="272"/>
      <c r="AH331" s="4"/>
    </row>
    <row r="332" spans="1:34" ht="21.75" customHeight="1">
      <c r="A332" s="30"/>
      <c r="B332" s="38"/>
      <c r="C332" s="38"/>
      <c r="D332" s="39"/>
      <c r="E332" s="24"/>
      <c r="F332" s="24"/>
      <c r="G332" s="24"/>
      <c r="H332" s="24"/>
      <c r="I332" s="24"/>
      <c r="J332" s="39"/>
      <c r="K332" s="24"/>
      <c r="L332" s="24"/>
      <c r="M332" s="24"/>
      <c r="N332" s="61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71"/>
      <c r="AG332" s="272"/>
      <c r="AH332" s="4"/>
    </row>
    <row r="333" spans="1:34" ht="21.75" customHeight="1">
      <c r="A333" s="30"/>
      <c r="B333" s="38"/>
      <c r="C333" s="38"/>
      <c r="D333" s="39"/>
      <c r="E333" s="24"/>
      <c r="F333" s="66"/>
      <c r="G333" s="24"/>
      <c r="H333" s="24"/>
      <c r="I333" s="24"/>
      <c r="J333" s="24"/>
      <c r="K333" s="24"/>
      <c r="L333" s="24"/>
      <c r="M333" s="24"/>
      <c r="N333" s="61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71"/>
      <c r="AG333" s="272"/>
      <c r="AH333" s="4"/>
    </row>
    <row r="334" spans="1:34" ht="21.75" customHeight="1">
      <c r="A334" s="30"/>
      <c r="B334" s="38"/>
      <c r="C334" s="46"/>
      <c r="D334" s="39"/>
      <c r="E334" s="24"/>
      <c r="F334" s="24"/>
      <c r="G334" s="24"/>
      <c r="H334" s="24"/>
      <c r="I334" s="24"/>
      <c r="J334" s="24"/>
      <c r="K334" s="24"/>
      <c r="L334" s="24"/>
      <c r="M334" s="24"/>
      <c r="N334" s="61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71"/>
      <c r="AG334" s="272"/>
      <c r="AH334" s="4"/>
    </row>
    <row r="335" spans="1:34" ht="21.75" customHeight="1">
      <c r="A335" s="30"/>
      <c r="B335" s="38"/>
      <c r="C335" s="38"/>
      <c r="D335" s="39"/>
      <c r="E335" s="24"/>
      <c r="F335" s="24"/>
      <c r="G335" s="24"/>
      <c r="H335" s="24"/>
      <c r="I335" s="24"/>
      <c r="J335" s="24"/>
      <c r="K335" s="24"/>
      <c r="L335" s="24"/>
      <c r="M335" s="24"/>
      <c r="N335" s="61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71"/>
      <c r="AG335" s="272"/>
      <c r="AH335" s="4"/>
    </row>
    <row r="336" spans="1:34" ht="21.75" customHeight="1">
      <c r="A336" s="30"/>
      <c r="B336" s="38"/>
      <c r="C336" s="46"/>
      <c r="D336" s="39"/>
      <c r="E336" s="24"/>
      <c r="F336" s="24"/>
      <c r="G336" s="105"/>
      <c r="H336" s="24"/>
      <c r="I336" s="24"/>
      <c r="J336" s="24"/>
      <c r="K336" s="24"/>
      <c r="L336" s="24"/>
      <c r="M336" s="24"/>
      <c r="N336" s="61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71"/>
      <c r="AG336" s="272"/>
      <c r="AH336" s="4"/>
    </row>
    <row r="337" spans="1:34" ht="21.75" customHeight="1">
      <c r="A337" s="30"/>
      <c r="B337" s="38"/>
      <c r="C337" s="38"/>
      <c r="D337" s="39"/>
      <c r="E337" s="24"/>
      <c r="F337" s="24"/>
      <c r="G337" s="105"/>
      <c r="H337" s="24"/>
      <c r="I337" s="24"/>
      <c r="J337" s="24"/>
      <c r="K337" s="24"/>
      <c r="L337" s="24"/>
      <c r="M337" s="24"/>
      <c r="N337" s="61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71"/>
      <c r="AG337" s="272"/>
      <c r="AH337" s="4"/>
    </row>
    <row r="338" spans="1:34" ht="21.75" customHeight="1">
      <c r="A338" s="30"/>
      <c r="B338" s="38"/>
      <c r="C338" s="38"/>
      <c r="D338" s="39"/>
      <c r="E338" s="24"/>
      <c r="F338" s="24"/>
      <c r="G338" s="105"/>
      <c r="H338" s="24"/>
      <c r="I338" s="24"/>
      <c r="J338" s="24"/>
      <c r="K338" s="24"/>
      <c r="L338" s="24"/>
      <c r="M338" s="24"/>
      <c r="N338" s="61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71"/>
      <c r="AG338" s="272"/>
      <c r="AH338" s="4"/>
    </row>
    <row r="339" spans="1:34" ht="21.75" customHeight="1">
      <c r="A339" s="30"/>
      <c r="B339" s="38"/>
      <c r="C339" s="38"/>
      <c r="D339" s="39"/>
      <c r="E339" s="24"/>
      <c r="F339" s="24"/>
      <c r="G339" s="105"/>
      <c r="H339" s="24"/>
      <c r="I339" s="24"/>
      <c r="J339" s="39"/>
      <c r="K339" s="24"/>
      <c r="L339" s="24"/>
      <c r="M339" s="24"/>
      <c r="N339" s="61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71"/>
      <c r="AG339" s="272"/>
      <c r="AH339" s="4"/>
    </row>
    <row r="340" spans="1:34" ht="21.75" customHeight="1">
      <c r="A340" s="30"/>
      <c r="B340" s="38"/>
      <c r="C340" s="46"/>
      <c r="D340" s="39"/>
      <c r="E340" s="24"/>
      <c r="F340" s="24"/>
      <c r="G340" s="105"/>
      <c r="H340" s="24"/>
      <c r="I340" s="24"/>
      <c r="J340" s="39"/>
      <c r="K340" s="24"/>
      <c r="L340" s="24"/>
      <c r="M340" s="24"/>
      <c r="N340" s="61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71"/>
      <c r="AG340" s="272"/>
      <c r="AH340" s="4"/>
    </row>
    <row r="341" spans="1:34" ht="21.75" customHeight="1">
      <c r="A341" s="30"/>
      <c r="B341" s="38"/>
      <c r="C341" s="46"/>
      <c r="D341" s="39"/>
      <c r="E341" s="24"/>
      <c r="F341" s="24"/>
      <c r="G341" s="105"/>
      <c r="H341" s="24"/>
      <c r="I341" s="24"/>
      <c r="J341" s="24"/>
      <c r="K341" s="24"/>
      <c r="L341" s="24"/>
      <c r="M341" s="24"/>
      <c r="N341" s="61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71"/>
      <c r="AG341" s="272"/>
      <c r="AH341" s="4"/>
    </row>
    <row r="342" spans="1:34" ht="21.75" customHeight="1">
      <c r="A342" s="30"/>
      <c r="B342" s="38"/>
      <c r="C342" s="38"/>
      <c r="D342" s="39"/>
      <c r="E342" s="24"/>
      <c r="F342" s="24"/>
      <c r="G342" s="105"/>
      <c r="H342" s="24"/>
      <c r="I342" s="24"/>
      <c r="J342" s="39"/>
      <c r="K342" s="24"/>
      <c r="L342" s="24"/>
      <c r="M342" s="24"/>
      <c r="N342" s="61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71"/>
      <c r="AG342" s="272"/>
      <c r="AH342" s="4"/>
    </row>
    <row r="343" spans="1:34" ht="21.75" customHeight="1">
      <c r="A343" s="30"/>
      <c r="B343" s="38"/>
      <c r="C343" s="38"/>
      <c r="D343" s="39"/>
      <c r="E343" s="24"/>
      <c r="F343" s="24"/>
      <c r="G343" s="24"/>
      <c r="H343" s="24"/>
      <c r="I343" s="24"/>
      <c r="J343" s="24"/>
      <c r="K343" s="24"/>
      <c r="L343" s="24"/>
      <c r="M343" s="24"/>
      <c r="N343" s="61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71"/>
      <c r="AG343" s="272"/>
      <c r="AH343" s="4"/>
    </row>
    <row r="344" spans="1:34" ht="21.75" customHeight="1">
      <c r="A344" s="30"/>
      <c r="B344" s="38"/>
      <c r="C344" s="38"/>
      <c r="D344" s="39"/>
      <c r="E344" s="24"/>
      <c r="F344" s="24"/>
      <c r="G344" s="105"/>
      <c r="H344" s="24"/>
      <c r="I344" s="24"/>
      <c r="J344" s="24"/>
      <c r="K344" s="24"/>
      <c r="L344" s="24"/>
      <c r="M344" s="24"/>
      <c r="N344" s="61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71"/>
      <c r="AG344" s="272"/>
      <c r="AH344" s="4"/>
    </row>
    <row r="345" spans="1:34" ht="21.75" customHeight="1">
      <c r="A345" s="30"/>
      <c r="B345" s="38"/>
      <c r="C345" s="38"/>
      <c r="D345" s="39"/>
      <c r="E345" s="24"/>
      <c r="F345" s="24"/>
      <c r="G345" s="105"/>
      <c r="H345" s="24"/>
      <c r="I345" s="24"/>
      <c r="J345" s="24"/>
      <c r="K345" s="24"/>
      <c r="L345" s="24"/>
      <c r="M345" s="24"/>
      <c r="N345" s="61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71"/>
      <c r="AG345" s="272"/>
      <c r="AH345" s="4"/>
    </row>
    <row r="346" spans="1:34" ht="21.75" customHeight="1">
      <c r="A346" s="30"/>
      <c r="B346" s="38"/>
      <c r="C346" s="38"/>
      <c r="D346" s="39"/>
      <c r="E346" s="24"/>
      <c r="F346" s="24"/>
      <c r="G346" s="105"/>
      <c r="H346" s="24"/>
      <c r="I346" s="24"/>
      <c r="J346" s="24"/>
      <c r="K346" s="24"/>
      <c r="L346" s="24"/>
      <c r="M346" s="24"/>
      <c r="N346" s="61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71"/>
      <c r="AG346" s="272"/>
      <c r="AH346" s="4"/>
    </row>
    <row r="347" spans="1:34" ht="21.75" customHeight="1">
      <c r="A347" s="30"/>
      <c r="B347" s="38"/>
      <c r="C347" s="38"/>
      <c r="D347" s="39"/>
      <c r="E347" s="24"/>
      <c r="F347" s="24"/>
      <c r="G347" s="24"/>
      <c r="H347" s="24"/>
      <c r="I347" s="24"/>
      <c r="J347" s="24"/>
      <c r="K347" s="24"/>
      <c r="L347" s="24"/>
      <c r="M347" s="24"/>
      <c r="N347" s="61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71"/>
      <c r="AG347" s="272"/>
      <c r="AH347" s="4"/>
    </row>
    <row r="348" spans="1:34" ht="21.75" customHeight="1">
      <c r="A348" s="30"/>
      <c r="B348" s="38"/>
      <c r="C348" s="38"/>
      <c r="D348" s="39"/>
      <c r="E348" s="24"/>
      <c r="F348" s="66"/>
      <c r="G348" s="105"/>
      <c r="H348" s="24"/>
      <c r="I348" s="24"/>
      <c r="J348" s="24"/>
      <c r="K348" s="24"/>
      <c r="L348" s="24"/>
      <c r="M348" s="24"/>
      <c r="N348" s="61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71"/>
      <c r="AG348" s="272"/>
      <c r="AH348" s="4"/>
    </row>
    <row r="349" spans="1:34" ht="21.75" customHeight="1">
      <c r="A349" s="30"/>
      <c r="B349" s="38"/>
      <c r="C349" s="38"/>
      <c r="D349" s="39"/>
      <c r="E349" s="24"/>
      <c r="F349" s="66"/>
      <c r="G349" s="105"/>
      <c r="H349" s="24"/>
      <c r="I349" s="24"/>
      <c r="J349" s="24"/>
      <c r="K349" s="24"/>
      <c r="L349" s="24"/>
      <c r="M349" s="24"/>
      <c r="N349" s="61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71"/>
      <c r="AG349" s="272"/>
      <c r="AH349" s="16"/>
    </row>
    <row r="350" spans="1:34" ht="21.75" customHeight="1">
      <c r="A350" s="30"/>
      <c r="B350" s="38"/>
      <c r="C350" s="38"/>
      <c r="D350" s="39"/>
      <c r="E350" s="24"/>
      <c r="F350" s="24"/>
      <c r="G350" s="105"/>
      <c r="H350" s="24"/>
      <c r="I350" s="24"/>
      <c r="J350" s="24"/>
      <c r="K350" s="24"/>
      <c r="L350" s="24"/>
      <c r="M350" s="24"/>
      <c r="N350" s="61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71"/>
      <c r="AG350" s="272"/>
      <c r="AH350" s="16"/>
    </row>
    <row r="351" spans="1:34" ht="21.75" customHeight="1" thickBot="1">
      <c r="A351" s="30"/>
      <c r="B351" s="38"/>
      <c r="C351" s="38"/>
      <c r="D351" s="39"/>
      <c r="E351" s="24"/>
      <c r="F351" s="24"/>
      <c r="G351" s="24"/>
      <c r="H351" s="24"/>
      <c r="I351" s="24"/>
      <c r="J351" s="24"/>
      <c r="K351" s="24"/>
      <c r="L351" s="24"/>
      <c r="M351" s="24"/>
      <c r="N351" s="61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81"/>
      <c r="AG351" s="275"/>
      <c r="AH351" s="16"/>
    </row>
    <row r="352" spans="1:34" ht="21.75" customHeight="1">
      <c r="A352" s="30"/>
      <c r="B352" s="38"/>
      <c r="C352" s="38"/>
      <c r="D352" s="39"/>
      <c r="E352" s="24"/>
      <c r="F352" s="24"/>
      <c r="G352" s="105"/>
      <c r="H352" s="24"/>
      <c r="I352" s="24"/>
      <c r="J352" s="24"/>
      <c r="K352" s="24"/>
      <c r="L352" s="24"/>
      <c r="M352" s="24"/>
      <c r="N352" s="61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69"/>
      <c r="AG352" s="270"/>
      <c r="AH352" s="16"/>
    </row>
    <row r="353" spans="1:34" ht="21.75" customHeight="1">
      <c r="A353" s="30"/>
      <c r="B353" s="38"/>
      <c r="C353" s="38"/>
      <c r="D353" s="39"/>
      <c r="E353" s="24"/>
      <c r="F353" s="24"/>
      <c r="G353" s="105"/>
      <c r="H353" s="24"/>
      <c r="I353" s="24"/>
      <c r="J353" s="24"/>
      <c r="K353" s="24"/>
      <c r="L353" s="24"/>
      <c r="M353" s="24"/>
      <c r="N353" s="61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71"/>
      <c r="AG353" s="272"/>
      <c r="AH353" s="16"/>
    </row>
    <row r="354" spans="1:34" ht="21.75" customHeight="1">
      <c r="A354" s="30"/>
      <c r="B354" s="38"/>
      <c r="C354" s="38"/>
      <c r="D354" s="39"/>
      <c r="E354" s="24"/>
      <c r="F354" s="24"/>
      <c r="G354" s="105"/>
      <c r="H354" s="24"/>
      <c r="I354" s="24"/>
      <c r="J354" s="24"/>
      <c r="K354" s="24"/>
      <c r="L354" s="24"/>
      <c r="M354" s="24"/>
      <c r="N354" s="61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71"/>
      <c r="AG354" s="272"/>
      <c r="AH354" s="4"/>
    </row>
    <row r="355" spans="1:34" ht="21.75" customHeight="1">
      <c r="A355" s="30"/>
      <c r="B355" s="38"/>
      <c r="C355" s="46"/>
      <c r="D355" s="39"/>
      <c r="E355" s="24"/>
      <c r="F355" s="24"/>
      <c r="G355" s="105"/>
      <c r="H355" s="24"/>
      <c r="I355" s="24"/>
      <c r="J355" s="24"/>
      <c r="K355" s="24"/>
      <c r="L355" s="24"/>
      <c r="M355" s="24"/>
      <c r="N355" s="61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71"/>
      <c r="AG355" s="272"/>
      <c r="AH355" s="4"/>
    </row>
    <row r="356" spans="1:34" ht="21.75" customHeight="1">
      <c r="A356" s="30"/>
      <c r="B356" s="46"/>
      <c r="C356" s="46"/>
      <c r="D356" s="39"/>
      <c r="E356" s="24"/>
      <c r="F356" s="24"/>
      <c r="G356" s="105"/>
      <c r="H356" s="24"/>
      <c r="I356" s="24"/>
      <c r="J356" s="24"/>
      <c r="K356" s="24"/>
      <c r="L356" s="39"/>
      <c r="M356" s="24"/>
      <c r="N356" s="61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71"/>
      <c r="AG356" s="272"/>
      <c r="AH356" s="4"/>
    </row>
    <row r="357" spans="1:34" ht="21.75" customHeight="1">
      <c r="A357" s="30"/>
      <c r="B357" s="38"/>
      <c r="C357" s="46"/>
      <c r="D357" s="39"/>
      <c r="E357" s="24"/>
      <c r="F357" s="24"/>
      <c r="G357" s="24"/>
      <c r="H357" s="24"/>
      <c r="I357" s="24"/>
      <c r="J357" s="24"/>
      <c r="K357" s="24"/>
      <c r="L357" s="39"/>
      <c r="M357" s="24"/>
      <c r="N357" s="61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71"/>
      <c r="AG357" s="272"/>
      <c r="AH357" s="4"/>
    </row>
    <row r="358" spans="1:34" ht="21.75" customHeight="1">
      <c r="A358" s="30"/>
      <c r="B358" s="38"/>
      <c r="C358" s="38"/>
      <c r="D358" s="39"/>
      <c r="E358" s="24"/>
      <c r="F358" s="24"/>
      <c r="G358" s="105"/>
      <c r="H358" s="24"/>
      <c r="I358" s="24"/>
      <c r="J358" s="24"/>
      <c r="K358" s="24"/>
      <c r="L358" s="24"/>
      <c r="M358" s="24"/>
      <c r="N358" s="61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71"/>
      <c r="AG358" s="272"/>
      <c r="AH358" s="4"/>
    </row>
    <row r="359" spans="1:34" ht="21.75" customHeight="1">
      <c r="A359" s="30"/>
      <c r="B359" s="38"/>
      <c r="C359" s="38"/>
      <c r="D359" s="39"/>
      <c r="E359" s="24"/>
      <c r="F359" s="24"/>
      <c r="G359" s="24"/>
      <c r="H359" s="24"/>
      <c r="I359" s="24"/>
      <c r="J359" s="24"/>
      <c r="K359" s="24"/>
      <c r="L359" s="24"/>
      <c r="M359" s="24"/>
      <c r="N359" s="61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71"/>
      <c r="AG359" s="272"/>
      <c r="AH359" s="4"/>
    </row>
    <row r="360" spans="1:34" ht="21.75" customHeight="1">
      <c r="A360" s="30"/>
      <c r="B360" s="38"/>
      <c r="C360" s="38"/>
      <c r="D360" s="39"/>
      <c r="E360" s="24"/>
      <c r="F360" s="24"/>
      <c r="G360" s="105"/>
      <c r="H360" s="24"/>
      <c r="I360" s="24"/>
      <c r="J360" s="24"/>
      <c r="K360" s="24"/>
      <c r="L360" s="24"/>
      <c r="M360" s="24"/>
      <c r="N360" s="61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71"/>
      <c r="AG360" s="272"/>
      <c r="AH360" s="4"/>
    </row>
    <row r="361" spans="1:34" ht="21.75" customHeight="1">
      <c r="A361" s="30"/>
      <c r="B361" s="38"/>
      <c r="C361" s="46"/>
      <c r="D361" s="39"/>
      <c r="E361" s="24"/>
      <c r="F361" s="24"/>
      <c r="G361" s="105"/>
      <c r="H361" s="24"/>
      <c r="I361" s="24"/>
      <c r="J361" s="24"/>
      <c r="K361" s="24"/>
      <c r="L361" s="24"/>
      <c r="M361" s="24"/>
      <c r="N361" s="61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71"/>
      <c r="AG361" s="272"/>
      <c r="AH361" s="4"/>
    </row>
    <row r="362" spans="1:34" ht="21.75" customHeight="1">
      <c r="A362" s="30"/>
      <c r="B362" s="38"/>
      <c r="C362" s="38"/>
      <c r="D362" s="39"/>
      <c r="E362" s="24"/>
      <c r="F362" s="24"/>
      <c r="G362" s="105"/>
      <c r="H362" s="24"/>
      <c r="I362" s="24"/>
      <c r="J362" s="24"/>
      <c r="K362" s="24"/>
      <c r="L362" s="24"/>
      <c r="M362" s="24"/>
      <c r="N362" s="61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71"/>
      <c r="AG362" s="272"/>
      <c r="AH362" s="4"/>
    </row>
    <row r="363" spans="1:34" ht="21.75" customHeight="1">
      <c r="A363" s="30"/>
      <c r="B363" s="38"/>
      <c r="C363" s="38"/>
      <c r="D363" s="39"/>
      <c r="E363" s="24"/>
      <c r="F363" s="24"/>
      <c r="G363" s="105"/>
      <c r="H363" s="24"/>
      <c r="I363" s="24"/>
      <c r="J363" s="24"/>
      <c r="K363" s="24"/>
      <c r="L363" s="24"/>
      <c r="M363" s="24"/>
      <c r="N363" s="61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71"/>
      <c r="AG363" s="272"/>
      <c r="AH363" s="4"/>
    </row>
    <row r="364" spans="1:34" ht="21.75" customHeight="1">
      <c r="A364" s="30"/>
      <c r="B364" s="38"/>
      <c r="C364" s="46"/>
      <c r="D364" s="39"/>
      <c r="E364" s="24"/>
      <c r="F364" s="24"/>
      <c r="G364" s="105"/>
      <c r="H364" s="24"/>
      <c r="I364" s="24"/>
      <c r="J364" s="24"/>
      <c r="K364" s="24"/>
      <c r="L364" s="39"/>
      <c r="M364" s="24"/>
      <c r="N364" s="61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71"/>
      <c r="AG364" s="272"/>
      <c r="AH364" s="4"/>
    </row>
    <row r="365" spans="1:34" ht="21.75" customHeight="1">
      <c r="A365" s="30"/>
      <c r="B365" s="38"/>
      <c r="C365" s="46"/>
      <c r="D365" s="39"/>
      <c r="E365" s="24"/>
      <c r="F365" s="24"/>
      <c r="G365" s="24"/>
      <c r="H365" s="24"/>
      <c r="I365" s="24"/>
      <c r="J365" s="24"/>
      <c r="K365" s="24"/>
      <c r="L365" s="24"/>
      <c r="M365" s="24"/>
      <c r="N365" s="61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73"/>
      <c r="AG365" s="272"/>
      <c r="AH365" s="4"/>
    </row>
    <row r="366" spans="1:34" ht="21.75" customHeight="1">
      <c r="A366" s="30"/>
      <c r="B366" s="38"/>
      <c r="C366" s="38"/>
      <c r="D366" s="39"/>
      <c r="E366" s="24"/>
      <c r="F366" s="24"/>
      <c r="G366" s="24"/>
      <c r="H366" s="24"/>
      <c r="I366" s="24"/>
      <c r="J366" s="24"/>
      <c r="K366" s="24"/>
      <c r="L366" s="24"/>
      <c r="M366" s="24"/>
      <c r="N366" s="61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73"/>
      <c r="AG366" s="272"/>
      <c r="AH366" s="4"/>
    </row>
    <row r="367" spans="1:34" ht="21.75" customHeight="1" thickBot="1">
      <c r="A367" s="30"/>
      <c r="B367" s="38"/>
      <c r="C367" s="46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61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74"/>
      <c r="AG367" s="275"/>
      <c r="AH367" s="4"/>
    </row>
    <row r="368" spans="1:34" ht="46.5" customHeight="1">
      <c r="A368" s="1"/>
      <c r="B368" s="233"/>
      <c r="C368" s="234"/>
      <c r="D368" s="234"/>
      <c r="E368" s="234"/>
      <c r="F368" s="234"/>
      <c r="G368" s="234"/>
      <c r="H368" s="234"/>
      <c r="I368" s="234"/>
      <c r="J368" s="234"/>
      <c r="K368" s="234"/>
      <c r="L368" s="234"/>
      <c r="M368" s="234"/>
      <c r="N368" s="235"/>
      <c r="O368" s="211"/>
      <c r="P368" s="211"/>
      <c r="Q368" s="211"/>
      <c r="R368" s="211"/>
      <c r="S368" s="211"/>
      <c r="T368" s="211"/>
      <c r="U368" s="211"/>
      <c r="V368" s="211"/>
      <c r="W368" s="211"/>
      <c r="X368" s="211"/>
      <c r="Y368" s="211"/>
      <c r="Z368" s="211"/>
      <c r="AA368" s="211"/>
      <c r="AB368" s="211"/>
      <c r="AC368" s="211"/>
      <c r="AD368" s="211"/>
      <c r="AE368" s="211"/>
      <c r="AF368" s="279"/>
      <c r="AG368" s="280"/>
      <c r="AH368" s="1"/>
    </row>
    <row r="369" spans="1:34" ht="46.5" customHeight="1" thickBot="1">
      <c r="A369" s="1"/>
      <c r="B369" s="236"/>
      <c r="C369" s="237"/>
      <c r="D369" s="237"/>
      <c r="E369" s="237"/>
      <c r="F369" s="237"/>
      <c r="G369" s="237"/>
      <c r="H369" s="237"/>
      <c r="I369" s="237"/>
      <c r="J369" s="237"/>
      <c r="K369" s="237"/>
      <c r="L369" s="237"/>
      <c r="M369" s="237"/>
      <c r="N369" s="238"/>
      <c r="O369" s="250"/>
      <c r="P369" s="250"/>
      <c r="Q369" s="250"/>
      <c r="R369" s="250"/>
      <c r="S369" s="250"/>
      <c r="T369" s="250"/>
      <c r="U369" s="212"/>
      <c r="V369" s="212"/>
      <c r="W369" s="212"/>
      <c r="X369" s="212"/>
      <c r="Y369" s="250"/>
      <c r="Z369" s="250"/>
      <c r="AA369" s="212"/>
      <c r="AB369" s="212"/>
      <c r="AC369" s="212"/>
      <c r="AD369" s="212"/>
      <c r="AE369" s="212"/>
      <c r="AF369" s="276"/>
      <c r="AG369" s="277"/>
      <c r="AH369" s="1"/>
    </row>
    <row r="370" spans="1:34" ht="12.75">
      <c r="A370" s="10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85"/>
      <c r="U370" s="49"/>
      <c r="V370" s="49"/>
      <c r="Y370" s="85"/>
      <c r="Z370" s="49"/>
      <c r="AC370" s="49"/>
      <c r="AD370" s="49"/>
      <c r="AF370" s="49"/>
      <c r="AG370" s="49"/>
      <c r="AH370" s="11"/>
    </row>
    <row r="371" spans="2:33" ht="12.75"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85"/>
      <c r="U371" s="49"/>
      <c r="V371" s="49"/>
      <c r="Y371" s="85"/>
      <c r="Z371" s="49"/>
      <c r="AC371" s="49"/>
      <c r="AD371" s="49"/>
      <c r="AF371" s="49"/>
      <c r="AG371" s="49"/>
    </row>
    <row r="372" spans="2:33" ht="12.75"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85"/>
      <c r="U372" s="49"/>
      <c r="V372" s="49"/>
      <c r="Y372" s="85"/>
      <c r="Z372" s="49"/>
      <c r="AC372" s="49"/>
      <c r="AD372" s="49"/>
      <c r="AF372" s="49"/>
      <c r="AG372" s="49"/>
    </row>
    <row r="373" spans="2:33" ht="15.75">
      <c r="B373" s="224"/>
      <c r="C373" s="224"/>
      <c r="D373" s="224"/>
      <c r="E373" s="224"/>
      <c r="F373" s="224"/>
      <c r="G373" s="224"/>
      <c r="H373" s="53"/>
      <c r="I373" s="53"/>
      <c r="J373" s="53"/>
      <c r="K373" s="53"/>
      <c r="L373" s="53"/>
      <c r="M373" s="53"/>
      <c r="N373" s="53"/>
      <c r="O373" s="53"/>
      <c r="P373" s="53"/>
      <c r="Q373" s="101"/>
      <c r="R373" s="53"/>
      <c r="S373" s="94"/>
      <c r="T373" s="93"/>
      <c r="U373" s="101"/>
      <c r="V373" s="101"/>
      <c r="W373" s="101"/>
      <c r="X373" s="101"/>
      <c r="Y373" s="53"/>
      <c r="Z373" s="53"/>
      <c r="AA373" s="101"/>
      <c r="AB373" s="101"/>
      <c r="AC373" s="53"/>
      <c r="AD373" s="53"/>
      <c r="AF373" s="49"/>
      <c r="AG373" s="49"/>
    </row>
    <row r="374" spans="2:33" ht="15"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96"/>
      <c r="P374" s="96"/>
      <c r="Q374" s="53"/>
      <c r="R374" s="53"/>
      <c r="S374" s="85"/>
      <c r="T374" s="49"/>
      <c r="U374" s="49"/>
      <c r="V374" s="49"/>
      <c r="Y374" s="49"/>
      <c r="Z374" s="49"/>
      <c r="AC374" s="49"/>
      <c r="AD374" s="49"/>
      <c r="AF374" s="49"/>
      <c r="AG374" s="49"/>
    </row>
    <row r="375" spans="2:33" ht="15"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96"/>
      <c r="P375" s="49"/>
      <c r="Q375" s="49"/>
      <c r="R375" s="49"/>
      <c r="S375" s="85"/>
      <c r="T375" s="49"/>
      <c r="U375" s="49"/>
      <c r="V375" s="49"/>
      <c r="Y375" s="49"/>
      <c r="Z375" s="49"/>
      <c r="AC375" s="49"/>
      <c r="AD375" s="49"/>
      <c r="AF375" s="49"/>
      <c r="AG375" s="49"/>
    </row>
    <row r="376" spans="2:33" ht="12.75"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85"/>
      <c r="U376" s="49"/>
      <c r="V376" s="49"/>
      <c r="Y376" s="49"/>
      <c r="Z376" s="49"/>
      <c r="AC376" s="49"/>
      <c r="AD376" s="49"/>
      <c r="AF376" s="49"/>
      <c r="AG376" s="49"/>
    </row>
    <row r="377" spans="2:33" ht="15"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53"/>
      <c r="Q377" s="53"/>
      <c r="R377" s="53"/>
      <c r="S377" s="49"/>
      <c r="T377" s="85"/>
      <c r="U377" s="49"/>
      <c r="V377" s="49"/>
      <c r="Y377" s="49"/>
      <c r="Z377" s="49"/>
      <c r="AC377" s="49"/>
      <c r="AD377" s="49"/>
      <c r="AF377" s="49"/>
      <c r="AG377" s="49"/>
    </row>
    <row r="378" spans="2:33" ht="15"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53"/>
      <c r="Q378" s="53"/>
      <c r="R378" s="53"/>
      <c r="S378" s="49"/>
      <c r="T378" s="85"/>
      <c r="U378" s="49"/>
      <c r="V378" s="49"/>
      <c r="Y378" s="49"/>
      <c r="Z378" s="49"/>
      <c r="AC378" s="49"/>
      <c r="AD378" s="49"/>
      <c r="AF378" s="49"/>
      <c r="AG378" s="49"/>
    </row>
    <row r="379" spans="2:33" ht="15"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53"/>
      <c r="Q379" s="53"/>
      <c r="R379" s="53"/>
      <c r="S379" s="49"/>
      <c r="T379" s="85"/>
      <c r="U379" s="49"/>
      <c r="V379" s="49"/>
      <c r="Y379" s="49"/>
      <c r="Z379" s="49"/>
      <c r="AC379" s="49"/>
      <c r="AD379" s="49"/>
      <c r="AF379" s="49"/>
      <c r="AG379" s="49"/>
    </row>
    <row r="380" spans="1:34" ht="36" customHeight="1" thickBot="1">
      <c r="A380" s="3"/>
      <c r="B380" s="54"/>
      <c r="C380" s="55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229"/>
      <c r="P380" s="229"/>
      <c r="Q380" s="229"/>
      <c r="R380" s="229"/>
      <c r="S380" s="229"/>
      <c r="T380" s="229"/>
      <c r="U380" s="229"/>
      <c r="V380" s="229"/>
      <c r="Y380" s="229"/>
      <c r="Z380" s="229"/>
      <c r="AC380" s="175"/>
      <c r="AD380" s="175"/>
      <c r="AF380" s="98"/>
      <c r="AG380" s="98"/>
      <c r="AH380" s="13"/>
    </row>
    <row r="381" spans="1:34" ht="21.75" customHeight="1">
      <c r="A381" s="4"/>
      <c r="B381" s="233"/>
      <c r="C381" s="299"/>
      <c r="D381" s="251"/>
      <c r="E381" s="251"/>
      <c r="F381" s="251"/>
      <c r="G381" s="254"/>
      <c r="H381" s="254"/>
      <c r="I381" s="251"/>
      <c r="J381" s="254"/>
      <c r="K381" s="254"/>
      <c r="L381" s="254"/>
      <c r="M381" s="254"/>
      <c r="N381" s="254"/>
      <c r="O381" s="216"/>
      <c r="P381" s="217"/>
      <c r="Q381" s="216"/>
      <c r="R381" s="217"/>
      <c r="S381" s="216"/>
      <c r="T381" s="217"/>
      <c r="U381" s="216"/>
      <c r="V381" s="217"/>
      <c r="W381" s="216"/>
      <c r="X381" s="217"/>
      <c r="Y381" s="216"/>
      <c r="Z381" s="217"/>
      <c r="AA381" s="216"/>
      <c r="AB381" s="217"/>
      <c r="AC381" s="121"/>
      <c r="AD381" s="58"/>
      <c r="AE381" s="58"/>
      <c r="AF381" s="282"/>
      <c r="AG381" s="282"/>
      <c r="AH381" s="4"/>
    </row>
    <row r="382" spans="1:34" ht="27.75" customHeight="1">
      <c r="A382" s="4"/>
      <c r="B382" s="293"/>
      <c r="C382" s="300"/>
      <c r="D382" s="255"/>
      <c r="E382" s="255"/>
      <c r="F382" s="255"/>
      <c r="G382" s="242"/>
      <c r="H382" s="242"/>
      <c r="I382" s="252"/>
      <c r="J382" s="255"/>
      <c r="K382" s="255"/>
      <c r="L382" s="242"/>
      <c r="M382" s="242"/>
      <c r="N382" s="242"/>
      <c r="O382" s="218"/>
      <c r="P382" s="219"/>
      <c r="Q382" s="218"/>
      <c r="R382" s="219"/>
      <c r="S382" s="218"/>
      <c r="T382" s="219"/>
      <c r="U382" s="218"/>
      <c r="V382" s="219"/>
      <c r="W382" s="218"/>
      <c r="X382" s="219"/>
      <c r="Y382" s="218"/>
      <c r="Z382" s="219"/>
      <c r="AA382" s="218"/>
      <c r="AB382" s="219"/>
      <c r="AC382" s="241"/>
      <c r="AD382" s="241"/>
      <c r="AE382" s="241"/>
      <c r="AF382" s="283"/>
      <c r="AG382" s="304"/>
      <c r="AH382" s="4"/>
    </row>
    <row r="383" spans="1:34" ht="27.75" customHeight="1" thickBot="1">
      <c r="A383" s="4"/>
      <c r="B383" s="293"/>
      <c r="C383" s="300"/>
      <c r="D383" s="255"/>
      <c r="E383" s="255"/>
      <c r="F383" s="255"/>
      <c r="G383" s="242"/>
      <c r="H383" s="242"/>
      <c r="I383" s="252"/>
      <c r="J383" s="255"/>
      <c r="K383" s="255"/>
      <c r="L383" s="242"/>
      <c r="M383" s="242"/>
      <c r="N383" s="242"/>
      <c r="O383" s="220"/>
      <c r="P383" s="221"/>
      <c r="Q383" s="220"/>
      <c r="R383" s="221"/>
      <c r="S383" s="220"/>
      <c r="T383" s="221"/>
      <c r="U383" s="220"/>
      <c r="V383" s="221"/>
      <c r="W383" s="220"/>
      <c r="X383" s="221"/>
      <c r="Y383" s="220"/>
      <c r="Z383" s="221"/>
      <c r="AA383" s="220"/>
      <c r="AB383" s="221"/>
      <c r="AC383" s="242"/>
      <c r="AD383" s="242"/>
      <c r="AE383" s="242"/>
      <c r="AF383" s="284"/>
      <c r="AG383" s="304"/>
      <c r="AH383" s="4"/>
    </row>
    <row r="384" spans="1:34" ht="27.75" customHeight="1">
      <c r="A384" s="4"/>
      <c r="B384" s="293"/>
      <c r="C384" s="300"/>
      <c r="D384" s="255"/>
      <c r="E384" s="255"/>
      <c r="F384" s="255"/>
      <c r="G384" s="242"/>
      <c r="H384" s="242"/>
      <c r="I384" s="252"/>
      <c r="J384" s="255"/>
      <c r="K384" s="255"/>
      <c r="L384" s="242"/>
      <c r="M384" s="242"/>
      <c r="N384" s="242"/>
      <c r="O384" s="220"/>
      <c r="P384" s="221"/>
      <c r="Q384" s="220"/>
      <c r="R384" s="221"/>
      <c r="S384" s="220"/>
      <c r="T384" s="221"/>
      <c r="U384" s="220"/>
      <c r="V384" s="221"/>
      <c r="W384" s="220"/>
      <c r="X384" s="221"/>
      <c r="Y384" s="220"/>
      <c r="Z384" s="221"/>
      <c r="AA384" s="220"/>
      <c r="AB384" s="221"/>
      <c r="AC384" s="242"/>
      <c r="AD384" s="242"/>
      <c r="AE384" s="242"/>
      <c r="AF384" s="269"/>
      <c r="AG384" s="270"/>
      <c r="AH384" s="4"/>
    </row>
    <row r="385" spans="1:34" ht="27.75" customHeight="1">
      <c r="A385" s="4"/>
      <c r="B385" s="293"/>
      <c r="C385" s="300"/>
      <c r="D385" s="255"/>
      <c r="E385" s="255"/>
      <c r="F385" s="255"/>
      <c r="G385" s="242"/>
      <c r="H385" s="242"/>
      <c r="I385" s="252"/>
      <c r="J385" s="255"/>
      <c r="K385" s="255"/>
      <c r="L385" s="242"/>
      <c r="M385" s="242"/>
      <c r="N385" s="242"/>
      <c r="O385" s="220"/>
      <c r="P385" s="221"/>
      <c r="Q385" s="220"/>
      <c r="R385" s="221"/>
      <c r="S385" s="220"/>
      <c r="T385" s="221"/>
      <c r="U385" s="220"/>
      <c r="V385" s="221"/>
      <c r="W385" s="220"/>
      <c r="X385" s="221"/>
      <c r="Y385" s="220"/>
      <c r="Z385" s="221"/>
      <c r="AA385" s="220"/>
      <c r="AB385" s="221"/>
      <c r="AC385" s="242"/>
      <c r="AD385" s="242"/>
      <c r="AE385" s="242"/>
      <c r="AF385" s="271"/>
      <c r="AG385" s="272"/>
      <c r="AH385" s="4"/>
    </row>
    <row r="386" spans="1:34" ht="27.75" customHeight="1">
      <c r="A386" s="4"/>
      <c r="B386" s="293"/>
      <c r="C386" s="300"/>
      <c r="D386" s="255"/>
      <c r="E386" s="255"/>
      <c r="F386" s="255"/>
      <c r="G386" s="242"/>
      <c r="H386" s="242"/>
      <c r="I386" s="252"/>
      <c r="J386" s="255"/>
      <c r="K386" s="255"/>
      <c r="L386" s="242"/>
      <c r="M386" s="242"/>
      <c r="N386" s="242"/>
      <c r="O386" s="220"/>
      <c r="P386" s="221"/>
      <c r="Q386" s="220"/>
      <c r="R386" s="221"/>
      <c r="S386" s="220"/>
      <c r="T386" s="221"/>
      <c r="U386" s="220"/>
      <c r="V386" s="221"/>
      <c r="W386" s="220"/>
      <c r="X386" s="221"/>
      <c r="Y386" s="220"/>
      <c r="Z386" s="221"/>
      <c r="AA386" s="220"/>
      <c r="AB386" s="221"/>
      <c r="AC386" s="242"/>
      <c r="AD386" s="242"/>
      <c r="AE386" s="242"/>
      <c r="AF386" s="271"/>
      <c r="AG386" s="272"/>
      <c r="AH386" s="4"/>
    </row>
    <row r="387" spans="1:34" ht="27.75" customHeight="1">
      <c r="A387" s="4"/>
      <c r="B387" s="293"/>
      <c r="C387" s="300"/>
      <c r="D387" s="255"/>
      <c r="E387" s="255"/>
      <c r="F387" s="255"/>
      <c r="G387" s="242"/>
      <c r="H387" s="242"/>
      <c r="I387" s="252"/>
      <c r="J387" s="255"/>
      <c r="K387" s="255"/>
      <c r="L387" s="242"/>
      <c r="M387" s="242"/>
      <c r="N387" s="242"/>
      <c r="O387" s="220"/>
      <c r="P387" s="221"/>
      <c r="Q387" s="220"/>
      <c r="R387" s="221"/>
      <c r="S387" s="220"/>
      <c r="T387" s="221"/>
      <c r="U387" s="220"/>
      <c r="V387" s="221"/>
      <c r="W387" s="220"/>
      <c r="X387" s="221"/>
      <c r="Y387" s="220"/>
      <c r="Z387" s="221"/>
      <c r="AA387" s="220"/>
      <c r="AB387" s="221"/>
      <c r="AC387" s="242"/>
      <c r="AD387" s="242"/>
      <c r="AE387" s="242"/>
      <c r="AF387" s="271"/>
      <c r="AG387" s="272"/>
      <c r="AH387" s="4"/>
    </row>
    <row r="388" spans="1:34" ht="27.75" customHeight="1">
      <c r="A388" s="4"/>
      <c r="B388" s="293"/>
      <c r="C388" s="300"/>
      <c r="D388" s="255"/>
      <c r="E388" s="255"/>
      <c r="F388" s="255"/>
      <c r="G388" s="242"/>
      <c r="H388" s="242"/>
      <c r="I388" s="252"/>
      <c r="J388" s="255"/>
      <c r="K388" s="255"/>
      <c r="L388" s="242"/>
      <c r="M388" s="242"/>
      <c r="N388" s="242"/>
      <c r="O388" s="220"/>
      <c r="P388" s="221"/>
      <c r="Q388" s="220"/>
      <c r="R388" s="221"/>
      <c r="S388" s="220"/>
      <c r="T388" s="221"/>
      <c r="U388" s="220"/>
      <c r="V388" s="221"/>
      <c r="W388" s="220"/>
      <c r="X388" s="221"/>
      <c r="Y388" s="220"/>
      <c r="Z388" s="221"/>
      <c r="AA388" s="220"/>
      <c r="AB388" s="221"/>
      <c r="AC388" s="242"/>
      <c r="AD388" s="242"/>
      <c r="AE388" s="242"/>
      <c r="AF388" s="271"/>
      <c r="AG388" s="272"/>
      <c r="AH388" s="4"/>
    </row>
    <row r="389" spans="1:34" ht="27.75" customHeight="1">
      <c r="A389" s="5"/>
      <c r="B389" s="301"/>
      <c r="C389" s="302"/>
      <c r="D389" s="256"/>
      <c r="E389" s="256"/>
      <c r="F389" s="256"/>
      <c r="G389" s="243"/>
      <c r="H389" s="243"/>
      <c r="I389" s="253"/>
      <c r="J389" s="256"/>
      <c r="K389" s="256"/>
      <c r="L389" s="243"/>
      <c r="M389" s="243"/>
      <c r="N389" s="243"/>
      <c r="O389" s="222"/>
      <c r="P389" s="223"/>
      <c r="Q389" s="222"/>
      <c r="R389" s="223"/>
      <c r="S389" s="222"/>
      <c r="T389" s="223"/>
      <c r="U389" s="222"/>
      <c r="V389" s="223"/>
      <c r="W389" s="222"/>
      <c r="X389" s="223"/>
      <c r="Y389" s="222"/>
      <c r="Z389" s="223"/>
      <c r="AA389" s="222"/>
      <c r="AB389" s="223"/>
      <c r="AC389" s="243"/>
      <c r="AD389" s="243"/>
      <c r="AE389" s="243"/>
      <c r="AF389" s="271"/>
      <c r="AG389" s="272"/>
      <c r="AH389" s="5"/>
    </row>
    <row r="390" spans="1:34" ht="21.75" customHeight="1" thickBot="1">
      <c r="A390" s="7"/>
      <c r="B390" s="56"/>
      <c r="C390" s="56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208"/>
      <c r="P390" s="210"/>
      <c r="Q390" s="208"/>
      <c r="R390" s="210"/>
      <c r="S390" s="208"/>
      <c r="T390" s="210"/>
      <c r="U390" s="208"/>
      <c r="V390" s="210"/>
      <c r="W390" s="208"/>
      <c r="X390" s="210"/>
      <c r="Y390" s="208"/>
      <c r="Z390" s="210"/>
      <c r="AA390" s="208"/>
      <c r="AB390" s="210"/>
      <c r="AC390" s="120"/>
      <c r="AD390" s="120"/>
      <c r="AE390" s="57"/>
      <c r="AF390" s="271"/>
      <c r="AG390" s="272"/>
      <c r="AH390" s="7"/>
    </row>
    <row r="391" spans="1:34" ht="21.75" customHeight="1">
      <c r="A391" s="30"/>
      <c r="B391" s="87"/>
      <c r="C391" s="87"/>
      <c r="D391" s="58"/>
      <c r="E391" s="60"/>
      <c r="F391" s="60"/>
      <c r="G391" s="58"/>
      <c r="H391" s="60"/>
      <c r="I391" s="60"/>
      <c r="J391" s="59"/>
      <c r="K391" s="59"/>
      <c r="L391" s="59"/>
      <c r="M391" s="59"/>
      <c r="N391" s="88"/>
      <c r="O391" s="227"/>
      <c r="P391" s="227"/>
      <c r="Q391" s="227"/>
      <c r="R391" s="227"/>
      <c r="S391" s="227"/>
      <c r="T391" s="227"/>
      <c r="U391" s="227"/>
      <c r="V391" s="227"/>
      <c r="W391" s="227"/>
      <c r="X391" s="227"/>
      <c r="Y391" s="227"/>
      <c r="Z391" s="227"/>
      <c r="AA391" s="227"/>
      <c r="AB391" s="227"/>
      <c r="AC391" s="265"/>
      <c r="AD391" s="265"/>
      <c r="AE391" s="227"/>
      <c r="AF391" s="271"/>
      <c r="AG391" s="272"/>
      <c r="AH391" s="4"/>
    </row>
    <row r="392" spans="1:34" ht="21.75" customHeight="1">
      <c r="A392" s="30"/>
      <c r="B392" s="230"/>
      <c r="C392" s="231"/>
      <c r="D392" s="231"/>
      <c r="E392" s="231"/>
      <c r="F392" s="231"/>
      <c r="G392" s="231"/>
      <c r="H392" s="231"/>
      <c r="I392" s="232"/>
      <c r="J392" s="24"/>
      <c r="K392" s="24"/>
      <c r="L392" s="24"/>
      <c r="M392" s="24"/>
      <c r="N392" s="61"/>
      <c r="O392" s="228"/>
      <c r="P392" s="228"/>
      <c r="Q392" s="228"/>
      <c r="R392" s="228"/>
      <c r="S392" s="228"/>
      <c r="T392" s="228"/>
      <c r="U392" s="228"/>
      <c r="V392" s="228"/>
      <c r="W392" s="228"/>
      <c r="X392" s="228"/>
      <c r="Y392" s="228"/>
      <c r="Z392" s="228"/>
      <c r="AA392" s="228"/>
      <c r="AB392" s="228"/>
      <c r="AC392" s="266"/>
      <c r="AD392" s="266"/>
      <c r="AE392" s="228"/>
      <c r="AF392" s="271"/>
      <c r="AG392" s="272"/>
      <c r="AH392" s="4"/>
    </row>
    <row r="393" spans="1:34" ht="21.75" customHeight="1">
      <c r="A393" s="30"/>
      <c r="B393" s="291"/>
      <c r="C393" s="292"/>
      <c r="D393" s="39"/>
      <c r="E393" s="24"/>
      <c r="F393" s="107"/>
      <c r="G393" s="90"/>
      <c r="H393" s="24"/>
      <c r="I393" s="24"/>
      <c r="J393" s="24"/>
      <c r="K393" s="24"/>
      <c r="L393" s="24"/>
      <c r="M393" s="24"/>
      <c r="N393" s="61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71"/>
      <c r="AG393" s="272"/>
      <c r="AH393" s="4"/>
    </row>
    <row r="394" spans="1:34" ht="21.75" customHeight="1">
      <c r="A394" s="30"/>
      <c r="B394" s="38"/>
      <c r="C394" s="38"/>
      <c r="D394" s="39"/>
      <c r="E394" s="24"/>
      <c r="F394" s="24"/>
      <c r="G394" s="105"/>
      <c r="H394" s="105"/>
      <c r="I394" s="24"/>
      <c r="J394" s="24"/>
      <c r="K394" s="24"/>
      <c r="L394" s="24"/>
      <c r="M394" s="24"/>
      <c r="N394" s="61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71"/>
      <c r="AG394" s="272"/>
      <c r="AH394" s="4"/>
    </row>
    <row r="395" spans="1:34" ht="21.75" customHeight="1">
      <c r="A395" s="30"/>
      <c r="B395" s="38"/>
      <c r="C395" s="46"/>
      <c r="D395" s="39"/>
      <c r="E395" s="24"/>
      <c r="F395" s="24"/>
      <c r="G395" s="105"/>
      <c r="H395" s="24"/>
      <c r="I395" s="24"/>
      <c r="J395" s="24"/>
      <c r="K395" s="24"/>
      <c r="L395" s="24"/>
      <c r="M395" s="24"/>
      <c r="N395" s="61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71"/>
      <c r="AG395" s="272"/>
      <c r="AH395" s="4"/>
    </row>
    <row r="396" spans="1:34" ht="21.75" customHeight="1">
      <c r="A396" s="30"/>
      <c r="B396" s="38"/>
      <c r="C396" s="46"/>
      <c r="D396" s="39"/>
      <c r="E396" s="24"/>
      <c r="F396" s="24"/>
      <c r="G396" s="105"/>
      <c r="H396" s="24"/>
      <c r="I396" s="24"/>
      <c r="J396" s="24"/>
      <c r="K396" s="24"/>
      <c r="L396" s="24"/>
      <c r="M396" s="24"/>
      <c r="N396" s="61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71"/>
      <c r="AG396" s="272"/>
      <c r="AH396" s="4"/>
    </row>
    <row r="397" spans="1:34" ht="21.75" customHeight="1">
      <c r="A397" s="30"/>
      <c r="B397" s="38"/>
      <c r="C397" s="38"/>
      <c r="D397" s="39"/>
      <c r="E397" s="24"/>
      <c r="F397" s="66"/>
      <c r="G397" s="105"/>
      <c r="H397" s="24"/>
      <c r="I397" s="24"/>
      <c r="J397" s="24"/>
      <c r="K397" s="24"/>
      <c r="L397" s="24"/>
      <c r="M397" s="24"/>
      <c r="N397" s="61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71"/>
      <c r="AG397" s="272"/>
      <c r="AH397" s="4"/>
    </row>
    <row r="398" spans="1:34" ht="21.75" customHeight="1">
      <c r="A398" s="30"/>
      <c r="B398" s="38"/>
      <c r="C398" s="38"/>
      <c r="D398" s="39"/>
      <c r="E398" s="24"/>
      <c r="F398" s="24"/>
      <c r="G398" s="105"/>
      <c r="H398" s="24"/>
      <c r="I398" s="24"/>
      <c r="J398" s="24"/>
      <c r="K398" s="24"/>
      <c r="L398" s="24"/>
      <c r="M398" s="24"/>
      <c r="N398" s="61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71"/>
      <c r="AG398" s="272"/>
      <c r="AH398" s="4"/>
    </row>
    <row r="399" spans="1:34" ht="21.75" customHeight="1">
      <c r="A399" s="30"/>
      <c r="B399" s="38"/>
      <c r="C399" s="46"/>
      <c r="D399" s="39"/>
      <c r="E399" s="24"/>
      <c r="F399" s="24"/>
      <c r="G399" s="66"/>
      <c r="H399" s="24"/>
      <c r="I399" s="24"/>
      <c r="J399" s="24"/>
      <c r="K399" s="24"/>
      <c r="L399" s="24"/>
      <c r="M399" s="24"/>
      <c r="N399" s="61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71"/>
      <c r="AG399" s="272"/>
      <c r="AH399" s="4"/>
    </row>
    <row r="400" spans="1:34" ht="21.75" customHeight="1">
      <c r="A400" s="30"/>
      <c r="B400" s="38"/>
      <c r="C400" s="38"/>
      <c r="D400" s="39"/>
      <c r="E400" s="24"/>
      <c r="F400" s="24"/>
      <c r="G400" s="105"/>
      <c r="H400" s="105"/>
      <c r="I400" s="24"/>
      <c r="J400" s="24"/>
      <c r="K400" s="24"/>
      <c r="L400" s="24"/>
      <c r="M400" s="24"/>
      <c r="N400" s="61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71"/>
      <c r="AG400" s="272"/>
      <c r="AH400" s="4"/>
    </row>
    <row r="401" spans="1:34" ht="21.75" customHeight="1">
      <c r="A401" s="30"/>
      <c r="B401" s="38"/>
      <c r="C401" s="38"/>
      <c r="D401" s="39"/>
      <c r="E401" s="24"/>
      <c r="F401" s="24"/>
      <c r="G401" s="105"/>
      <c r="H401" s="105"/>
      <c r="I401" s="24"/>
      <c r="J401" s="24"/>
      <c r="K401" s="24"/>
      <c r="L401" s="24"/>
      <c r="M401" s="24"/>
      <c r="N401" s="61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71"/>
      <c r="AG401" s="272"/>
      <c r="AH401" s="4"/>
    </row>
    <row r="402" spans="1:34" ht="21.75" customHeight="1">
      <c r="A402" s="30"/>
      <c r="B402" s="38"/>
      <c r="C402" s="46"/>
      <c r="D402" s="39"/>
      <c r="E402" s="24"/>
      <c r="F402" s="24"/>
      <c r="G402" s="105"/>
      <c r="H402" s="24"/>
      <c r="I402" s="24"/>
      <c r="J402" s="24"/>
      <c r="K402" s="24"/>
      <c r="L402" s="24"/>
      <c r="M402" s="24"/>
      <c r="N402" s="61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71"/>
      <c r="AG402" s="272"/>
      <c r="AH402" s="4"/>
    </row>
    <row r="403" spans="1:34" ht="21.75" customHeight="1">
      <c r="A403" s="30"/>
      <c r="B403" s="38"/>
      <c r="C403" s="38"/>
      <c r="D403" s="39"/>
      <c r="E403" s="24"/>
      <c r="F403" s="213"/>
      <c r="G403" s="214"/>
      <c r="H403" s="214"/>
      <c r="I403" s="215"/>
      <c r="J403" s="24"/>
      <c r="K403" s="24"/>
      <c r="L403" s="24"/>
      <c r="M403" s="24"/>
      <c r="N403" s="61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71"/>
      <c r="AG403" s="272"/>
      <c r="AH403" s="16"/>
    </row>
    <row r="404" spans="1:34" ht="21.75" customHeight="1">
      <c r="A404" s="30"/>
      <c r="B404" s="38"/>
      <c r="C404" s="46"/>
      <c r="D404" s="39"/>
      <c r="E404" s="24"/>
      <c r="F404" s="24"/>
      <c r="G404" s="105"/>
      <c r="H404" s="105"/>
      <c r="I404" s="24"/>
      <c r="J404" s="24"/>
      <c r="K404" s="24"/>
      <c r="L404" s="24"/>
      <c r="M404" s="24"/>
      <c r="N404" s="61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71"/>
      <c r="AG404" s="272"/>
      <c r="AH404" s="16"/>
    </row>
    <row r="405" spans="1:34" ht="21.75" customHeight="1">
      <c r="A405" s="30"/>
      <c r="B405" s="38"/>
      <c r="C405" s="38"/>
      <c r="D405" s="39"/>
      <c r="E405" s="24"/>
      <c r="F405" s="24"/>
      <c r="G405" s="66"/>
      <c r="H405" s="24"/>
      <c r="I405" s="24"/>
      <c r="J405" s="24"/>
      <c r="K405" s="24"/>
      <c r="L405" s="24"/>
      <c r="M405" s="24"/>
      <c r="N405" s="61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71"/>
      <c r="AG405" s="272"/>
      <c r="AH405" s="16"/>
    </row>
    <row r="406" spans="1:34" ht="21.75" customHeight="1">
      <c r="A406" s="30"/>
      <c r="B406" s="38"/>
      <c r="C406" s="38"/>
      <c r="D406" s="39"/>
      <c r="E406" s="24"/>
      <c r="F406" s="24"/>
      <c r="G406" s="105"/>
      <c r="H406" s="105"/>
      <c r="I406" s="24"/>
      <c r="J406" s="24"/>
      <c r="K406" s="24"/>
      <c r="L406" s="24"/>
      <c r="M406" s="24"/>
      <c r="N406" s="61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71"/>
      <c r="AG406" s="272"/>
      <c r="AH406" s="16"/>
    </row>
    <row r="407" spans="1:34" ht="21.75" customHeight="1">
      <c r="A407" s="30"/>
      <c r="B407" s="38"/>
      <c r="C407" s="46"/>
      <c r="D407" s="39"/>
      <c r="E407" s="24"/>
      <c r="F407" s="24"/>
      <c r="G407" s="66"/>
      <c r="H407" s="24"/>
      <c r="I407" s="24"/>
      <c r="J407" s="24"/>
      <c r="K407" s="24"/>
      <c r="L407" s="24"/>
      <c r="M407" s="24"/>
      <c r="N407" s="61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71"/>
      <c r="AG407" s="272"/>
      <c r="AH407" s="16"/>
    </row>
    <row r="408" spans="1:34" ht="21.75" customHeight="1">
      <c r="A408" s="30"/>
      <c r="B408" s="38"/>
      <c r="C408" s="46"/>
      <c r="D408" s="39"/>
      <c r="E408" s="24"/>
      <c r="F408" s="24"/>
      <c r="G408" s="66"/>
      <c r="H408" s="24"/>
      <c r="I408" s="24"/>
      <c r="J408" s="24"/>
      <c r="K408" s="119"/>
      <c r="L408" s="24"/>
      <c r="M408" s="24"/>
      <c r="N408" s="61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71"/>
      <c r="AG408" s="272"/>
      <c r="AH408" s="4"/>
    </row>
    <row r="409" spans="1:34" ht="21.75" customHeight="1">
      <c r="A409" s="30"/>
      <c r="B409" s="38"/>
      <c r="C409" s="46"/>
      <c r="D409" s="39"/>
      <c r="E409" s="24"/>
      <c r="F409" s="24"/>
      <c r="G409" s="105"/>
      <c r="H409" s="105"/>
      <c r="I409" s="24"/>
      <c r="J409" s="24"/>
      <c r="K409" s="24"/>
      <c r="L409" s="24"/>
      <c r="M409" s="24"/>
      <c r="N409" s="61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71"/>
      <c r="AG409" s="272"/>
      <c r="AH409" s="4"/>
    </row>
    <row r="410" spans="1:34" ht="21.75" customHeight="1">
      <c r="A410" s="30"/>
      <c r="B410" s="38"/>
      <c r="C410" s="46"/>
      <c r="D410" s="39"/>
      <c r="E410" s="24"/>
      <c r="F410" s="24"/>
      <c r="G410" s="66"/>
      <c r="H410" s="24"/>
      <c r="I410" s="24"/>
      <c r="J410" s="24"/>
      <c r="K410" s="24"/>
      <c r="L410" s="24"/>
      <c r="M410" s="24"/>
      <c r="N410" s="61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71"/>
      <c r="AG410" s="272"/>
      <c r="AH410" s="4"/>
    </row>
    <row r="411" spans="1:34" ht="21.75" customHeight="1">
      <c r="A411" s="30"/>
      <c r="B411" s="38"/>
      <c r="C411" s="38"/>
      <c r="D411" s="39"/>
      <c r="E411" s="24"/>
      <c r="F411" s="24"/>
      <c r="G411" s="105"/>
      <c r="H411" s="105"/>
      <c r="I411" s="24"/>
      <c r="J411" s="24"/>
      <c r="K411" s="24"/>
      <c r="L411" s="24"/>
      <c r="M411" s="24"/>
      <c r="N411" s="61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71"/>
      <c r="AG411" s="272"/>
      <c r="AH411" s="4"/>
    </row>
    <row r="412" spans="1:34" ht="21.75" customHeight="1">
      <c r="A412" s="30"/>
      <c r="B412" s="38"/>
      <c r="C412" s="38"/>
      <c r="D412" s="39"/>
      <c r="E412" s="24"/>
      <c r="F412" s="24"/>
      <c r="G412" s="90"/>
      <c r="H412" s="24"/>
      <c r="I412" s="24"/>
      <c r="J412" s="24"/>
      <c r="K412" s="24"/>
      <c r="L412" s="24"/>
      <c r="M412" s="24"/>
      <c r="N412" s="61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71"/>
      <c r="AG412" s="272"/>
      <c r="AH412" s="4"/>
    </row>
    <row r="413" spans="1:34" ht="21.75" customHeight="1">
      <c r="A413" s="30"/>
      <c r="B413" s="38"/>
      <c r="C413" s="38"/>
      <c r="D413" s="39"/>
      <c r="E413" s="24"/>
      <c r="F413" s="24"/>
      <c r="G413" s="105"/>
      <c r="H413" s="105"/>
      <c r="I413" s="24"/>
      <c r="J413" s="24"/>
      <c r="K413" s="24"/>
      <c r="L413" s="24"/>
      <c r="M413" s="24"/>
      <c r="N413" s="61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71"/>
      <c r="AG413" s="272"/>
      <c r="AH413" s="4"/>
    </row>
    <row r="414" spans="1:34" ht="21.75" customHeight="1">
      <c r="A414" s="30"/>
      <c r="B414" s="38"/>
      <c r="C414" s="38"/>
      <c r="D414" s="39"/>
      <c r="E414" s="24"/>
      <c r="F414" s="24"/>
      <c r="G414" s="105"/>
      <c r="H414" s="105"/>
      <c r="I414" s="24"/>
      <c r="J414" s="24"/>
      <c r="K414" s="24"/>
      <c r="L414" s="24"/>
      <c r="M414" s="24"/>
      <c r="N414" s="61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71"/>
      <c r="AG414" s="272"/>
      <c r="AH414" s="4"/>
    </row>
    <row r="415" spans="1:34" ht="21.75" customHeight="1">
      <c r="A415" s="30"/>
      <c r="B415" s="38"/>
      <c r="C415" s="46"/>
      <c r="D415" s="39"/>
      <c r="E415" s="24"/>
      <c r="F415" s="24"/>
      <c r="G415" s="66"/>
      <c r="H415" s="24"/>
      <c r="I415" s="24"/>
      <c r="J415" s="24"/>
      <c r="K415" s="24"/>
      <c r="L415" s="24"/>
      <c r="M415" s="24"/>
      <c r="N415" s="61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71"/>
      <c r="AG415" s="272"/>
      <c r="AH415" s="4"/>
    </row>
    <row r="416" spans="1:34" ht="21.75" customHeight="1">
      <c r="A416" s="30"/>
      <c r="B416" s="38"/>
      <c r="C416" s="38"/>
      <c r="D416" s="39"/>
      <c r="E416" s="24"/>
      <c r="F416" s="66"/>
      <c r="G416" s="105"/>
      <c r="H416" s="105"/>
      <c r="I416" s="24"/>
      <c r="J416" s="24"/>
      <c r="K416" s="24"/>
      <c r="L416" s="24"/>
      <c r="M416" s="24"/>
      <c r="N416" s="61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71"/>
      <c r="AG416" s="272"/>
      <c r="AH416" s="4"/>
    </row>
    <row r="417" spans="1:34" ht="21.75" customHeight="1">
      <c r="A417" s="30"/>
      <c r="B417" s="38"/>
      <c r="C417" s="38"/>
      <c r="D417" s="39"/>
      <c r="E417" s="24"/>
      <c r="F417" s="24"/>
      <c r="G417" s="105"/>
      <c r="H417" s="105"/>
      <c r="I417" s="24"/>
      <c r="J417" s="24"/>
      <c r="K417" s="24"/>
      <c r="L417" s="24"/>
      <c r="M417" s="24"/>
      <c r="N417" s="61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71"/>
      <c r="AG417" s="272"/>
      <c r="AH417" s="4"/>
    </row>
    <row r="418" spans="1:34" ht="21.75" customHeight="1">
      <c r="A418" s="30"/>
      <c r="B418" s="38"/>
      <c r="C418" s="46"/>
      <c r="D418" s="39"/>
      <c r="E418" s="24"/>
      <c r="F418" s="66"/>
      <c r="G418" s="105"/>
      <c r="H418" s="105"/>
      <c r="I418" s="24"/>
      <c r="J418" s="24"/>
      <c r="K418" s="24"/>
      <c r="L418" s="24"/>
      <c r="M418" s="24"/>
      <c r="N418" s="61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71"/>
      <c r="AG418" s="272"/>
      <c r="AH418" s="4"/>
    </row>
    <row r="419" spans="1:34" ht="21.75" customHeight="1">
      <c r="A419" s="30"/>
      <c r="B419" s="38"/>
      <c r="C419" s="38"/>
      <c r="D419" s="39"/>
      <c r="E419" s="24"/>
      <c r="F419" s="66"/>
      <c r="G419" s="105"/>
      <c r="H419" s="105"/>
      <c r="I419" s="24"/>
      <c r="J419" s="24"/>
      <c r="K419" s="24"/>
      <c r="L419" s="24"/>
      <c r="M419" s="24"/>
      <c r="N419" s="61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71"/>
      <c r="AG419" s="272"/>
      <c r="AH419" s="4"/>
    </row>
    <row r="420" spans="1:34" ht="21.75" customHeight="1">
      <c r="A420" s="30"/>
      <c r="B420" s="38"/>
      <c r="C420" s="38"/>
      <c r="D420" s="39"/>
      <c r="E420" s="24"/>
      <c r="F420" s="66"/>
      <c r="G420" s="105"/>
      <c r="H420" s="105"/>
      <c r="I420" s="24"/>
      <c r="J420" s="24"/>
      <c r="K420" s="24"/>
      <c r="L420" s="24"/>
      <c r="M420" s="24"/>
      <c r="N420" s="61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71"/>
      <c r="AG420" s="272"/>
      <c r="AH420" s="4"/>
    </row>
    <row r="421" spans="1:34" ht="21.75" customHeight="1">
      <c r="A421" s="30"/>
      <c r="B421" s="38"/>
      <c r="C421" s="46"/>
      <c r="D421" s="39"/>
      <c r="E421" s="24"/>
      <c r="F421" s="24"/>
      <c r="G421" s="66"/>
      <c r="H421" s="24"/>
      <c r="I421" s="24"/>
      <c r="J421" s="24"/>
      <c r="K421" s="24"/>
      <c r="L421" s="24"/>
      <c r="M421" s="24"/>
      <c r="N421" s="61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71"/>
      <c r="AG421" s="272"/>
      <c r="AH421" s="4"/>
    </row>
    <row r="422" spans="1:34" ht="21.75" customHeight="1">
      <c r="A422" s="30"/>
      <c r="B422" s="38"/>
      <c r="C422" s="38"/>
      <c r="D422" s="39"/>
      <c r="E422" s="24"/>
      <c r="F422" s="66"/>
      <c r="G422" s="105"/>
      <c r="H422" s="105"/>
      <c r="I422" s="24"/>
      <c r="J422" s="24"/>
      <c r="K422" s="24"/>
      <c r="L422" s="24"/>
      <c r="M422" s="24"/>
      <c r="N422" s="61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71"/>
      <c r="AG422" s="272"/>
      <c r="AH422" s="4"/>
    </row>
    <row r="423" spans="1:34" ht="21.75" customHeight="1">
      <c r="A423" s="30"/>
      <c r="B423" s="38"/>
      <c r="C423" s="38"/>
      <c r="D423" s="39"/>
      <c r="E423" s="24"/>
      <c r="F423" s="24"/>
      <c r="G423" s="105"/>
      <c r="H423" s="105"/>
      <c r="I423" s="24"/>
      <c r="J423" s="24"/>
      <c r="K423" s="24"/>
      <c r="L423" s="24"/>
      <c r="M423" s="24"/>
      <c r="N423" s="61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71"/>
      <c r="AG423" s="272"/>
      <c r="AH423" s="4"/>
    </row>
    <row r="424" spans="1:34" ht="21.75" customHeight="1">
      <c r="A424" s="30"/>
      <c r="B424" s="38"/>
      <c r="C424" s="38"/>
      <c r="D424" s="39"/>
      <c r="E424" s="24"/>
      <c r="F424" s="24"/>
      <c r="G424" s="66"/>
      <c r="H424" s="24"/>
      <c r="I424" s="24"/>
      <c r="J424" s="24"/>
      <c r="K424" s="24"/>
      <c r="L424" s="24"/>
      <c r="M424" s="24"/>
      <c r="N424" s="61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71"/>
      <c r="AG424" s="272"/>
      <c r="AH424" s="4"/>
    </row>
    <row r="425" spans="1:34" ht="21.75" customHeight="1">
      <c r="A425" s="30"/>
      <c r="B425" s="38"/>
      <c r="C425" s="46"/>
      <c r="D425" s="39"/>
      <c r="E425" s="24"/>
      <c r="F425" s="24"/>
      <c r="G425" s="66"/>
      <c r="H425" s="24"/>
      <c r="I425" s="24"/>
      <c r="J425" s="24"/>
      <c r="K425" s="24"/>
      <c r="L425" s="24"/>
      <c r="M425" s="24"/>
      <c r="N425" s="61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71"/>
      <c r="AG425" s="272"/>
      <c r="AH425" s="4"/>
    </row>
    <row r="426" spans="1:34" ht="21.75" customHeight="1">
      <c r="A426" s="30"/>
      <c r="B426" s="38"/>
      <c r="C426" s="38"/>
      <c r="D426" s="39"/>
      <c r="E426" s="24"/>
      <c r="F426" s="24"/>
      <c r="G426" s="105"/>
      <c r="H426" s="105"/>
      <c r="I426" s="24"/>
      <c r="J426" s="24"/>
      <c r="K426" s="24"/>
      <c r="L426" s="24"/>
      <c r="M426" s="24"/>
      <c r="N426" s="61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71"/>
      <c r="AG426" s="272"/>
      <c r="AH426" s="4"/>
    </row>
    <row r="427" spans="1:34" ht="21.75" customHeight="1">
      <c r="A427" s="30"/>
      <c r="B427" s="38"/>
      <c r="C427" s="46"/>
      <c r="D427" s="39"/>
      <c r="E427" s="24"/>
      <c r="F427" s="24"/>
      <c r="G427" s="105"/>
      <c r="H427" s="105"/>
      <c r="I427" s="24"/>
      <c r="J427" s="24"/>
      <c r="K427" s="24"/>
      <c r="L427" s="24"/>
      <c r="M427" s="24"/>
      <c r="N427" s="61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71"/>
      <c r="AG427" s="272"/>
      <c r="AH427" s="4"/>
    </row>
    <row r="428" spans="1:34" ht="21.75" customHeight="1" thickBot="1">
      <c r="A428" s="30"/>
      <c r="B428" s="38"/>
      <c r="C428" s="46"/>
      <c r="D428" s="39"/>
      <c r="E428" s="24"/>
      <c r="F428" s="24"/>
      <c r="G428" s="66"/>
      <c r="H428" s="24"/>
      <c r="I428" s="24"/>
      <c r="J428" s="24"/>
      <c r="K428" s="24"/>
      <c r="L428" s="24"/>
      <c r="M428" s="24"/>
      <c r="N428" s="61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81"/>
      <c r="AG428" s="275"/>
      <c r="AH428" s="4"/>
    </row>
    <row r="429" spans="1:34" ht="21.75" customHeight="1">
      <c r="A429" s="30"/>
      <c r="B429" s="38"/>
      <c r="C429" s="38"/>
      <c r="D429" s="39"/>
      <c r="E429" s="24"/>
      <c r="F429" s="213"/>
      <c r="G429" s="214"/>
      <c r="H429" s="214"/>
      <c r="I429" s="215"/>
      <c r="J429" s="24"/>
      <c r="K429" s="24"/>
      <c r="L429" s="24"/>
      <c r="M429" s="24"/>
      <c r="N429" s="61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69"/>
      <c r="AG429" s="270"/>
      <c r="AH429" s="4"/>
    </row>
    <row r="430" spans="1:34" ht="21.75" customHeight="1">
      <c r="A430" s="30"/>
      <c r="B430" s="38"/>
      <c r="C430" s="38"/>
      <c r="D430" s="39"/>
      <c r="E430" s="24"/>
      <c r="F430" s="24"/>
      <c r="G430" s="105"/>
      <c r="H430" s="105"/>
      <c r="I430" s="24"/>
      <c r="J430" s="24"/>
      <c r="K430" s="24"/>
      <c r="L430" s="24"/>
      <c r="M430" s="24"/>
      <c r="N430" s="61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71"/>
      <c r="AG430" s="272"/>
      <c r="AH430" s="4"/>
    </row>
    <row r="431" spans="1:34" ht="21.75" customHeight="1">
      <c r="A431" s="30"/>
      <c r="B431" s="38"/>
      <c r="C431" s="38"/>
      <c r="D431" s="39"/>
      <c r="E431" s="24"/>
      <c r="F431" s="24"/>
      <c r="G431" s="105"/>
      <c r="H431" s="105"/>
      <c r="I431" s="24"/>
      <c r="J431" s="24"/>
      <c r="K431" s="24"/>
      <c r="L431" s="24"/>
      <c r="M431" s="24"/>
      <c r="N431" s="61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71"/>
      <c r="AG431" s="272"/>
      <c r="AH431" s="4"/>
    </row>
    <row r="432" spans="1:34" ht="21.75" customHeight="1">
      <c r="A432" s="30"/>
      <c r="B432" s="38"/>
      <c r="C432" s="38"/>
      <c r="D432" s="39"/>
      <c r="E432" s="24"/>
      <c r="F432" s="24"/>
      <c r="G432" s="105"/>
      <c r="H432" s="105"/>
      <c r="I432" s="24"/>
      <c r="J432" s="24"/>
      <c r="K432" s="24"/>
      <c r="L432" s="24"/>
      <c r="M432" s="24"/>
      <c r="N432" s="61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71"/>
      <c r="AG432" s="272"/>
      <c r="AH432" s="4"/>
    </row>
    <row r="433" spans="1:34" ht="21.75" customHeight="1">
      <c r="A433" s="30"/>
      <c r="B433" s="38"/>
      <c r="C433" s="38"/>
      <c r="D433" s="39"/>
      <c r="E433" s="24"/>
      <c r="F433" s="24"/>
      <c r="G433" s="105"/>
      <c r="H433" s="105"/>
      <c r="I433" s="24"/>
      <c r="J433" s="24"/>
      <c r="K433" s="24"/>
      <c r="L433" s="24"/>
      <c r="M433" s="24"/>
      <c r="N433" s="61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71"/>
      <c r="AG433" s="272"/>
      <c r="AH433" s="4"/>
    </row>
    <row r="434" spans="1:34" ht="21.75" customHeight="1">
      <c r="A434" s="30"/>
      <c r="B434" s="38"/>
      <c r="C434" s="38"/>
      <c r="D434" s="39"/>
      <c r="E434" s="24"/>
      <c r="F434" s="213"/>
      <c r="G434" s="214"/>
      <c r="H434" s="214"/>
      <c r="I434" s="215"/>
      <c r="J434" s="24"/>
      <c r="K434" s="24"/>
      <c r="L434" s="24"/>
      <c r="M434" s="24"/>
      <c r="N434" s="61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71"/>
      <c r="AG434" s="272"/>
      <c r="AH434" s="4"/>
    </row>
    <row r="435" spans="1:34" ht="21.75" customHeight="1">
      <c r="A435" s="30"/>
      <c r="B435" s="38"/>
      <c r="C435" s="38"/>
      <c r="D435" s="39"/>
      <c r="E435" s="24"/>
      <c r="F435" s="24"/>
      <c r="G435" s="66"/>
      <c r="H435" s="24"/>
      <c r="I435" s="24"/>
      <c r="J435" s="24"/>
      <c r="K435" s="24"/>
      <c r="L435" s="24"/>
      <c r="M435" s="24"/>
      <c r="N435" s="61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71"/>
      <c r="AG435" s="272"/>
      <c r="AH435" s="4"/>
    </row>
    <row r="436" spans="1:34" ht="21.75" customHeight="1">
      <c r="A436" s="30"/>
      <c r="B436" s="38"/>
      <c r="C436" s="38"/>
      <c r="D436" s="39"/>
      <c r="E436" s="24"/>
      <c r="F436" s="24"/>
      <c r="G436" s="105"/>
      <c r="H436" s="105"/>
      <c r="I436" s="24"/>
      <c r="J436" s="24"/>
      <c r="K436" s="24"/>
      <c r="L436" s="24"/>
      <c r="M436" s="24"/>
      <c r="N436" s="61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71"/>
      <c r="AG436" s="272"/>
      <c r="AH436" s="4"/>
    </row>
    <row r="437" spans="1:34" ht="21.75" customHeight="1">
      <c r="A437" s="30"/>
      <c r="B437" s="38"/>
      <c r="C437" s="38"/>
      <c r="D437" s="39"/>
      <c r="E437" s="24"/>
      <c r="F437" s="24"/>
      <c r="G437" s="66"/>
      <c r="H437" s="24"/>
      <c r="I437" s="24"/>
      <c r="J437" s="24"/>
      <c r="K437" s="24"/>
      <c r="L437" s="24"/>
      <c r="M437" s="24"/>
      <c r="N437" s="61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71"/>
      <c r="AG437" s="272"/>
      <c r="AH437" s="4"/>
    </row>
    <row r="438" spans="1:34" ht="21.75" customHeight="1">
      <c r="A438" s="30"/>
      <c r="B438" s="38"/>
      <c r="C438" s="38"/>
      <c r="D438" s="39"/>
      <c r="E438" s="24"/>
      <c r="F438" s="24"/>
      <c r="G438" s="105"/>
      <c r="H438" s="105"/>
      <c r="I438" s="24"/>
      <c r="J438" s="24"/>
      <c r="K438" s="24"/>
      <c r="L438" s="24"/>
      <c r="M438" s="24"/>
      <c r="N438" s="61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71"/>
      <c r="AG438" s="272"/>
      <c r="AH438" s="4"/>
    </row>
    <row r="439" spans="1:34" ht="21.75" customHeight="1">
      <c r="A439" s="30"/>
      <c r="B439" s="38"/>
      <c r="C439" s="46"/>
      <c r="D439" s="39"/>
      <c r="E439" s="24"/>
      <c r="F439" s="24"/>
      <c r="G439" s="66"/>
      <c r="H439" s="24"/>
      <c r="I439" s="24"/>
      <c r="J439" s="24"/>
      <c r="K439" s="24"/>
      <c r="L439" s="24"/>
      <c r="M439" s="24"/>
      <c r="N439" s="61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71"/>
      <c r="AG439" s="272"/>
      <c r="AH439" s="4"/>
    </row>
    <row r="440" spans="1:34" ht="21.75" customHeight="1">
      <c r="A440" s="30"/>
      <c r="B440" s="38"/>
      <c r="C440" s="38"/>
      <c r="D440" s="39"/>
      <c r="E440" s="24"/>
      <c r="F440" s="24"/>
      <c r="G440" s="66"/>
      <c r="H440" s="24"/>
      <c r="I440" s="24"/>
      <c r="J440" s="24"/>
      <c r="K440" s="24"/>
      <c r="L440" s="24"/>
      <c r="M440" s="24"/>
      <c r="N440" s="61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71"/>
      <c r="AG440" s="272"/>
      <c r="AH440" s="4"/>
    </row>
    <row r="441" spans="1:34" ht="21.75" customHeight="1">
      <c r="A441" s="30"/>
      <c r="B441" s="38"/>
      <c r="C441" s="38"/>
      <c r="D441" s="39"/>
      <c r="E441" s="24"/>
      <c r="F441" s="107"/>
      <c r="G441" s="90"/>
      <c r="H441" s="24"/>
      <c r="I441" s="24"/>
      <c r="J441" s="24"/>
      <c r="K441" s="24"/>
      <c r="L441" s="24"/>
      <c r="M441" s="24"/>
      <c r="N441" s="61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71"/>
      <c r="AG441" s="272"/>
      <c r="AH441" s="4"/>
    </row>
    <row r="442" spans="1:34" ht="21.75" customHeight="1">
      <c r="A442" s="30"/>
      <c r="B442" s="38"/>
      <c r="C442" s="38"/>
      <c r="D442" s="39"/>
      <c r="E442" s="24"/>
      <c r="F442" s="107"/>
      <c r="G442" s="90"/>
      <c r="H442" s="24"/>
      <c r="I442" s="24"/>
      <c r="J442" s="24"/>
      <c r="K442" s="24"/>
      <c r="L442" s="24"/>
      <c r="M442" s="24"/>
      <c r="N442" s="61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73"/>
      <c r="AG442" s="272"/>
      <c r="AH442" s="4"/>
    </row>
    <row r="443" spans="1:34" ht="21.75" customHeight="1">
      <c r="A443" s="30"/>
      <c r="B443" s="38"/>
      <c r="C443" s="38"/>
      <c r="D443" s="39"/>
      <c r="E443" s="24"/>
      <c r="F443" s="107"/>
      <c r="G443" s="90"/>
      <c r="H443" s="24"/>
      <c r="I443" s="24"/>
      <c r="J443" s="24"/>
      <c r="K443" s="24"/>
      <c r="L443" s="24"/>
      <c r="M443" s="24"/>
      <c r="N443" s="61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73"/>
      <c r="AG443" s="272"/>
      <c r="AH443" s="4"/>
    </row>
    <row r="444" spans="1:34" ht="21.75" customHeight="1" thickBot="1">
      <c r="A444" s="30"/>
      <c r="B444" s="38"/>
      <c r="C444" s="38"/>
      <c r="D444" s="39"/>
      <c r="E444" s="24"/>
      <c r="F444" s="57"/>
      <c r="G444" s="66"/>
      <c r="H444" s="24"/>
      <c r="I444" s="24"/>
      <c r="J444" s="24"/>
      <c r="K444" s="24"/>
      <c r="L444" s="24"/>
      <c r="M444" s="24"/>
      <c r="N444" s="61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74"/>
      <c r="AG444" s="275"/>
      <c r="AH444" s="4"/>
    </row>
    <row r="445" spans="1:34" ht="46.5" customHeight="1">
      <c r="A445" s="1"/>
      <c r="B445" s="233"/>
      <c r="C445" s="234"/>
      <c r="D445" s="234"/>
      <c r="E445" s="234"/>
      <c r="F445" s="234"/>
      <c r="G445" s="234"/>
      <c r="H445" s="234"/>
      <c r="I445" s="234"/>
      <c r="J445" s="234"/>
      <c r="K445" s="234"/>
      <c r="L445" s="234"/>
      <c r="M445" s="234"/>
      <c r="N445" s="235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  <c r="AB445" s="211"/>
      <c r="AC445" s="211"/>
      <c r="AD445" s="211"/>
      <c r="AE445" s="211"/>
      <c r="AF445" s="279"/>
      <c r="AG445" s="280"/>
      <c r="AH445" s="1"/>
    </row>
    <row r="446" spans="1:34" ht="46.5" customHeight="1" thickBot="1">
      <c r="A446" s="1"/>
      <c r="B446" s="236"/>
      <c r="C446" s="237"/>
      <c r="D446" s="237"/>
      <c r="E446" s="237"/>
      <c r="F446" s="237"/>
      <c r="G446" s="237"/>
      <c r="H446" s="237"/>
      <c r="I446" s="237"/>
      <c r="J446" s="237"/>
      <c r="K446" s="237"/>
      <c r="L446" s="237"/>
      <c r="M446" s="237"/>
      <c r="N446" s="238"/>
      <c r="O446" s="250"/>
      <c r="P446" s="250"/>
      <c r="Q446" s="250"/>
      <c r="R446" s="250"/>
      <c r="S446" s="250"/>
      <c r="T446" s="250"/>
      <c r="U446" s="212"/>
      <c r="V446" s="212"/>
      <c r="W446" s="212"/>
      <c r="X446" s="212"/>
      <c r="Y446" s="250"/>
      <c r="Z446" s="250"/>
      <c r="AA446" s="212"/>
      <c r="AB446" s="212"/>
      <c r="AC446" s="212"/>
      <c r="AD446" s="212"/>
      <c r="AE446" s="212"/>
      <c r="AF446" s="276"/>
      <c r="AG446" s="277"/>
      <c r="AH446" s="1"/>
    </row>
    <row r="447" spans="1:34" ht="12.75">
      <c r="A447" s="10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85"/>
      <c r="U447" s="49"/>
      <c r="V447" s="49"/>
      <c r="Y447" s="85"/>
      <c r="Z447" s="49"/>
      <c r="AC447" s="49"/>
      <c r="AD447" s="49"/>
      <c r="AF447" s="49"/>
      <c r="AG447" s="49"/>
      <c r="AH447" s="11"/>
    </row>
    <row r="448" spans="2:33" ht="12.75"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85"/>
      <c r="U448" s="49"/>
      <c r="V448" s="49"/>
      <c r="Y448" s="85"/>
      <c r="Z448" s="49"/>
      <c r="AC448" s="49"/>
      <c r="AD448" s="49"/>
      <c r="AF448" s="49"/>
      <c r="AG448" s="49"/>
    </row>
    <row r="449" spans="2:33" ht="12.75"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85"/>
      <c r="U449" s="49"/>
      <c r="V449" s="49"/>
      <c r="Y449" s="85"/>
      <c r="Z449" s="49"/>
      <c r="AC449" s="49"/>
      <c r="AD449" s="49"/>
      <c r="AF449" s="49"/>
      <c r="AG449" s="49"/>
    </row>
    <row r="450" spans="2:33" ht="15.75">
      <c r="B450" s="224"/>
      <c r="C450" s="224"/>
      <c r="D450" s="224"/>
      <c r="E450" s="224"/>
      <c r="F450" s="224"/>
      <c r="G450" s="224"/>
      <c r="H450" s="53"/>
      <c r="I450" s="53"/>
      <c r="J450" s="53"/>
      <c r="K450" s="53"/>
      <c r="L450" s="53"/>
      <c r="M450" s="53"/>
      <c r="N450" s="53"/>
      <c r="O450" s="53"/>
      <c r="P450" s="53"/>
      <c r="Q450" s="101"/>
      <c r="R450" s="53"/>
      <c r="S450" s="94"/>
      <c r="T450" s="93"/>
      <c r="U450" s="101"/>
      <c r="V450" s="101"/>
      <c r="W450" s="101"/>
      <c r="X450" s="101"/>
      <c r="Y450" s="53"/>
      <c r="Z450" s="53"/>
      <c r="AA450" s="53"/>
      <c r="AB450" s="53"/>
      <c r="AC450" s="53"/>
      <c r="AD450" s="53"/>
      <c r="AF450" s="49"/>
      <c r="AG450" s="49"/>
    </row>
    <row r="451" spans="2:33" ht="15"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96"/>
      <c r="P451" s="96"/>
      <c r="Q451" s="53"/>
      <c r="R451" s="53"/>
      <c r="S451" s="85"/>
      <c r="T451" s="49"/>
      <c r="U451" s="49"/>
      <c r="V451" s="49"/>
      <c r="Y451" s="49"/>
      <c r="Z451" s="49"/>
      <c r="AC451" s="49"/>
      <c r="AD451" s="49"/>
      <c r="AF451" s="49"/>
      <c r="AG451" s="49"/>
    </row>
    <row r="452" spans="2:33" ht="15"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96"/>
      <c r="P452" s="49"/>
      <c r="Q452" s="49"/>
      <c r="R452" s="49"/>
      <c r="S452" s="85"/>
      <c r="T452" s="49"/>
      <c r="U452" s="49"/>
      <c r="V452" s="49"/>
      <c r="Y452" s="49"/>
      <c r="Z452" s="49"/>
      <c r="AC452" s="49"/>
      <c r="AD452" s="49"/>
      <c r="AF452" s="49"/>
      <c r="AG452" s="49"/>
    </row>
    <row r="453" spans="2:33" ht="12.75"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85"/>
      <c r="U453" s="49"/>
      <c r="V453" s="49"/>
      <c r="Y453" s="49"/>
      <c r="Z453" s="49"/>
      <c r="AC453" s="49"/>
      <c r="AD453" s="49"/>
      <c r="AF453" s="49"/>
      <c r="AG453" s="49"/>
    </row>
    <row r="454" spans="2:33" ht="15"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53"/>
      <c r="Q454" s="53"/>
      <c r="R454" s="53"/>
      <c r="S454" s="49"/>
      <c r="T454" s="85"/>
      <c r="U454" s="49"/>
      <c r="V454" s="49"/>
      <c r="Y454" s="49"/>
      <c r="Z454" s="49"/>
      <c r="AC454" s="49"/>
      <c r="AD454" s="49"/>
      <c r="AF454" s="49"/>
      <c r="AG454" s="49"/>
    </row>
    <row r="455" spans="2:33" ht="15"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53"/>
      <c r="Q455" s="53"/>
      <c r="R455" s="53"/>
      <c r="S455" s="49"/>
      <c r="T455" s="85"/>
      <c r="U455" s="49"/>
      <c r="V455" s="49"/>
      <c r="Y455" s="49"/>
      <c r="Z455" s="49"/>
      <c r="AC455" s="49"/>
      <c r="AD455" s="49"/>
      <c r="AF455" s="49"/>
      <c r="AG455" s="49"/>
    </row>
    <row r="456" spans="2:33" ht="15"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53"/>
      <c r="Q456" s="53"/>
      <c r="R456" s="53"/>
      <c r="S456" s="49"/>
      <c r="T456" s="85"/>
      <c r="U456" s="49"/>
      <c r="V456" s="49"/>
      <c r="Y456" s="49"/>
      <c r="Z456" s="49"/>
      <c r="AC456" s="49"/>
      <c r="AD456" s="49"/>
      <c r="AF456" s="49"/>
      <c r="AG456" s="49"/>
    </row>
    <row r="457" spans="1:34" ht="36" customHeight="1" thickBot="1">
      <c r="A457" s="3"/>
      <c r="B457" s="54"/>
      <c r="C457" s="55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151"/>
      <c r="O457" s="229"/>
      <c r="P457" s="229"/>
      <c r="Q457" s="229"/>
      <c r="R457" s="229"/>
      <c r="S457" s="229"/>
      <c r="T457" s="229"/>
      <c r="U457" s="229"/>
      <c r="V457" s="229"/>
      <c r="Y457" s="229"/>
      <c r="Z457" s="229"/>
      <c r="AC457" s="257"/>
      <c r="AD457" s="257"/>
      <c r="AF457" s="98"/>
      <c r="AG457" s="98"/>
      <c r="AH457" s="13"/>
    </row>
    <row r="458" spans="1:34" ht="21.75" customHeight="1">
      <c r="A458" s="4"/>
      <c r="B458" s="233"/>
      <c r="C458" s="299"/>
      <c r="D458" s="251"/>
      <c r="E458" s="251"/>
      <c r="F458" s="251"/>
      <c r="G458" s="254"/>
      <c r="H458" s="254"/>
      <c r="I458" s="251"/>
      <c r="J458" s="254"/>
      <c r="K458" s="254"/>
      <c r="L458" s="254"/>
      <c r="M458" s="254"/>
      <c r="N458" s="254"/>
      <c r="O458" s="216"/>
      <c r="P458" s="217"/>
      <c r="Q458" s="216"/>
      <c r="R458" s="217"/>
      <c r="S458" s="216"/>
      <c r="T458" s="217"/>
      <c r="U458" s="216"/>
      <c r="V458" s="217"/>
      <c r="W458" s="216"/>
      <c r="X458" s="217"/>
      <c r="Y458" s="216"/>
      <c r="Z458" s="217"/>
      <c r="AA458" s="216"/>
      <c r="AB458" s="217"/>
      <c r="AC458" s="216"/>
      <c r="AD458" s="217"/>
      <c r="AE458" s="58"/>
      <c r="AF458" s="282"/>
      <c r="AG458" s="282"/>
      <c r="AH458" s="4"/>
    </row>
    <row r="459" spans="1:34" ht="27.75" customHeight="1">
      <c r="A459" s="4"/>
      <c r="B459" s="293"/>
      <c r="C459" s="300"/>
      <c r="D459" s="255"/>
      <c r="E459" s="255"/>
      <c r="F459" s="255"/>
      <c r="G459" s="242"/>
      <c r="H459" s="242"/>
      <c r="I459" s="252"/>
      <c r="J459" s="255"/>
      <c r="K459" s="255"/>
      <c r="L459" s="242"/>
      <c r="M459" s="242"/>
      <c r="N459" s="242"/>
      <c r="O459" s="218"/>
      <c r="P459" s="219"/>
      <c r="Q459" s="218"/>
      <c r="R459" s="219"/>
      <c r="S459" s="218"/>
      <c r="T459" s="219"/>
      <c r="U459" s="218"/>
      <c r="V459" s="219"/>
      <c r="W459" s="218"/>
      <c r="X459" s="219"/>
      <c r="Y459" s="218"/>
      <c r="Z459" s="219"/>
      <c r="AA459" s="218"/>
      <c r="AB459" s="219"/>
      <c r="AC459" s="218"/>
      <c r="AD459" s="219"/>
      <c r="AE459" s="241"/>
      <c r="AF459" s="283"/>
      <c r="AG459" s="304"/>
      <c r="AH459" s="4"/>
    </row>
    <row r="460" spans="1:34" ht="27.75" customHeight="1" thickBot="1">
      <c r="A460" s="4"/>
      <c r="B460" s="293"/>
      <c r="C460" s="300"/>
      <c r="D460" s="255"/>
      <c r="E460" s="255"/>
      <c r="F460" s="255"/>
      <c r="G460" s="242"/>
      <c r="H460" s="242"/>
      <c r="I460" s="252"/>
      <c r="J460" s="255"/>
      <c r="K460" s="255"/>
      <c r="L460" s="242"/>
      <c r="M460" s="242"/>
      <c r="N460" s="242"/>
      <c r="O460" s="220"/>
      <c r="P460" s="221"/>
      <c r="Q460" s="220"/>
      <c r="R460" s="221"/>
      <c r="S460" s="220"/>
      <c r="T460" s="221"/>
      <c r="U460" s="220"/>
      <c r="V460" s="221"/>
      <c r="W460" s="220"/>
      <c r="X460" s="221"/>
      <c r="Y460" s="220"/>
      <c r="Z460" s="221"/>
      <c r="AA460" s="220"/>
      <c r="AB460" s="221"/>
      <c r="AC460" s="220"/>
      <c r="AD460" s="221"/>
      <c r="AE460" s="242"/>
      <c r="AF460" s="284"/>
      <c r="AG460" s="304"/>
      <c r="AH460" s="4"/>
    </row>
    <row r="461" spans="1:34" ht="27.75" customHeight="1">
      <c r="A461" s="4"/>
      <c r="B461" s="293"/>
      <c r="C461" s="300"/>
      <c r="D461" s="255"/>
      <c r="E461" s="255"/>
      <c r="F461" s="255"/>
      <c r="G461" s="242"/>
      <c r="H461" s="242"/>
      <c r="I461" s="252"/>
      <c r="J461" s="255"/>
      <c r="K461" s="255"/>
      <c r="L461" s="242"/>
      <c r="M461" s="242"/>
      <c r="N461" s="242"/>
      <c r="O461" s="220"/>
      <c r="P461" s="221"/>
      <c r="Q461" s="220"/>
      <c r="R461" s="221"/>
      <c r="S461" s="220"/>
      <c r="T461" s="221"/>
      <c r="U461" s="220"/>
      <c r="V461" s="221"/>
      <c r="W461" s="220"/>
      <c r="X461" s="221"/>
      <c r="Y461" s="220"/>
      <c r="Z461" s="221"/>
      <c r="AA461" s="220"/>
      <c r="AB461" s="221"/>
      <c r="AC461" s="220"/>
      <c r="AD461" s="221"/>
      <c r="AE461" s="242"/>
      <c r="AF461" s="269"/>
      <c r="AG461" s="270"/>
      <c r="AH461" s="4"/>
    </row>
    <row r="462" spans="1:34" ht="27.75" customHeight="1">
      <c r="A462" s="4"/>
      <c r="B462" s="293"/>
      <c r="C462" s="300"/>
      <c r="D462" s="255"/>
      <c r="E462" s="255"/>
      <c r="F462" s="255"/>
      <c r="G462" s="242"/>
      <c r="H462" s="242"/>
      <c r="I462" s="252"/>
      <c r="J462" s="255"/>
      <c r="K462" s="255"/>
      <c r="L462" s="242"/>
      <c r="M462" s="242"/>
      <c r="N462" s="242"/>
      <c r="O462" s="220"/>
      <c r="P462" s="221"/>
      <c r="Q462" s="220"/>
      <c r="R462" s="221"/>
      <c r="S462" s="220"/>
      <c r="T462" s="221"/>
      <c r="U462" s="220"/>
      <c r="V462" s="221"/>
      <c r="W462" s="220"/>
      <c r="X462" s="221"/>
      <c r="Y462" s="220"/>
      <c r="Z462" s="221"/>
      <c r="AA462" s="220"/>
      <c r="AB462" s="221"/>
      <c r="AC462" s="220"/>
      <c r="AD462" s="221"/>
      <c r="AE462" s="242"/>
      <c r="AF462" s="271"/>
      <c r="AG462" s="272"/>
      <c r="AH462" s="4"/>
    </row>
    <row r="463" spans="1:34" ht="27.75" customHeight="1">
      <c r="A463" s="4"/>
      <c r="B463" s="293"/>
      <c r="C463" s="300"/>
      <c r="D463" s="255"/>
      <c r="E463" s="255"/>
      <c r="F463" s="255"/>
      <c r="G463" s="242"/>
      <c r="H463" s="242"/>
      <c r="I463" s="252"/>
      <c r="J463" s="255"/>
      <c r="K463" s="255"/>
      <c r="L463" s="242"/>
      <c r="M463" s="242"/>
      <c r="N463" s="242"/>
      <c r="O463" s="220"/>
      <c r="P463" s="221"/>
      <c r="Q463" s="220"/>
      <c r="R463" s="221"/>
      <c r="S463" s="220"/>
      <c r="T463" s="221"/>
      <c r="U463" s="220"/>
      <c r="V463" s="221"/>
      <c r="W463" s="220"/>
      <c r="X463" s="221"/>
      <c r="Y463" s="220"/>
      <c r="Z463" s="221"/>
      <c r="AA463" s="220"/>
      <c r="AB463" s="221"/>
      <c r="AC463" s="220"/>
      <c r="AD463" s="221"/>
      <c r="AE463" s="242"/>
      <c r="AF463" s="271"/>
      <c r="AG463" s="272"/>
      <c r="AH463" s="4"/>
    </row>
    <row r="464" spans="1:34" ht="27.75" customHeight="1">
      <c r="A464" s="4"/>
      <c r="B464" s="293"/>
      <c r="C464" s="300"/>
      <c r="D464" s="255"/>
      <c r="E464" s="255"/>
      <c r="F464" s="255"/>
      <c r="G464" s="242"/>
      <c r="H464" s="242"/>
      <c r="I464" s="252"/>
      <c r="J464" s="255"/>
      <c r="K464" s="255"/>
      <c r="L464" s="242"/>
      <c r="M464" s="242"/>
      <c r="N464" s="242"/>
      <c r="O464" s="220"/>
      <c r="P464" s="221"/>
      <c r="Q464" s="220"/>
      <c r="R464" s="221"/>
      <c r="S464" s="220"/>
      <c r="T464" s="221"/>
      <c r="U464" s="220"/>
      <c r="V464" s="221"/>
      <c r="W464" s="220"/>
      <c r="X464" s="221"/>
      <c r="Y464" s="220"/>
      <c r="Z464" s="221"/>
      <c r="AA464" s="220"/>
      <c r="AB464" s="221"/>
      <c r="AC464" s="220"/>
      <c r="AD464" s="221"/>
      <c r="AE464" s="242"/>
      <c r="AF464" s="271"/>
      <c r="AG464" s="272"/>
      <c r="AH464" s="4"/>
    </row>
    <row r="465" spans="1:34" ht="27.75" customHeight="1">
      <c r="A465" s="4"/>
      <c r="B465" s="293"/>
      <c r="C465" s="300"/>
      <c r="D465" s="255"/>
      <c r="E465" s="255"/>
      <c r="F465" s="255"/>
      <c r="G465" s="242"/>
      <c r="H465" s="242"/>
      <c r="I465" s="252"/>
      <c r="J465" s="255"/>
      <c r="K465" s="255"/>
      <c r="L465" s="242"/>
      <c r="M465" s="242"/>
      <c r="N465" s="242"/>
      <c r="O465" s="220"/>
      <c r="P465" s="221"/>
      <c r="Q465" s="220"/>
      <c r="R465" s="221"/>
      <c r="S465" s="220"/>
      <c r="T465" s="221"/>
      <c r="U465" s="220"/>
      <c r="V465" s="221"/>
      <c r="W465" s="220"/>
      <c r="X465" s="221"/>
      <c r="Y465" s="220"/>
      <c r="Z465" s="221"/>
      <c r="AA465" s="220"/>
      <c r="AB465" s="221"/>
      <c r="AC465" s="220"/>
      <c r="AD465" s="221"/>
      <c r="AE465" s="242"/>
      <c r="AF465" s="271"/>
      <c r="AG465" s="272"/>
      <c r="AH465" s="4"/>
    </row>
    <row r="466" spans="1:34" ht="27.75" customHeight="1">
      <c r="A466" s="5"/>
      <c r="B466" s="301"/>
      <c r="C466" s="302"/>
      <c r="D466" s="256"/>
      <c r="E466" s="256"/>
      <c r="F466" s="256"/>
      <c r="G466" s="243"/>
      <c r="H466" s="243"/>
      <c r="I466" s="253"/>
      <c r="J466" s="256"/>
      <c r="K466" s="256"/>
      <c r="L466" s="243"/>
      <c r="M466" s="243"/>
      <c r="N466" s="243"/>
      <c r="O466" s="222"/>
      <c r="P466" s="223"/>
      <c r="Q466" s="222"/>
      <c r="R466" s="223"/>
      <c r="S466" s="222"/>
      <c r="T466" s="223"/>
      <c r="U466" s="222"/>
      <c r="V466" s="223"/>
      <c r="W466" s="222"/>
      <c r="X466" s="223"/>
      <c r="Y466" s="222"/>
      <c r="Z466" s="223"/>
      <c r="AA466" s="222"/>
      <c r="AB466" s="223"/>
      <c r="AC466" s="222"/>
      <c r="AD466" s="223"/>
      <c r="AE466" s="243"/>
      <c r="AF466" s="271"/>
      <c r="AG466" s="272"/>
      <c r="AH466" s="5"/>
    </row>
    <row r="467" spans="1:34" ht="21.75" customHeight="1" thickBot="1">
      <c r="A467" s="7"/>
      <c r="B467" s="56"/>
      <c r="C467" s="56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208"/>
      <c r="P467" s="210"/>
      <c r="Q467" s="208"/>
      <c r="R467" s="210"/>
      <c r="S467" s="208"/>
      <c r="T467" s="210"/>
      <c r="U467" s="208"/>
      <c r="V467" s="210"/>
      <c r="W467" s="208"/>
      <c r="X467" s="210"/>
      <c r="Y467" s="208"/>
      <c r="Z467" s="210"/>
      <c r="AA467" s="208"/>
      <c r="AB467" s="210"/>
      <c r="AC467" s="208"/>
      <c r="AD467" s="210"/>
      <c r="AE467" s="57"/>
      <c r="AF467" s="271"/>
      <c r="AG467" s="272"/>
      <c r="AH467" s="7"/>
    </row>
    <row r="468" spans="1:34" ht="21.75" customHeight="1">
      <c r="A468" s="30"/>
      <c r="B468" s="87"/>
      <c r="C468" s="87"/>
      <c r="D468" s="58"/>
      <c r="E468" s="60"/>
      <c r="F468" s="60"/>
      <c r="G468" s="58"/>
      <c r="H468" s="60"/>
      <c r="I468" s="60"/>
      <c r="J468" s="59"/>
      <c r="K468" s="59"/>
      <c r="L468" s="59"/>
      <c r="M468" s="59"/>
      <c r="N468" s="59"/>
      <c r="O468" s="227"/>
      <c r="P468" s="227"/>
      <c r="Q468" s="227"/>
      <c r="R468" s="227"/>
      <c r="S468" s="227"/>
      <c r="T468" s="227"/>
      <c r="U468" s="227"/>
      <c r="V468" s="227"/>
      <c r="W468" s="227"/>
      <c r="X468" s="227"/>
      <c r="Y468" s="227"/>
      <c r="Z468" s="227"/>
      <c r="AA468" s="227"/>
      <c r="AB468" s="227"/>
      <c r="AC468" s="227"/>
      <c r="AD468" s="265"/>
      <c r="AE468" s="227"/>
      <c r="AF468" s="271"/>
      <c r="AG468" s="272"/>
      <c r="AH468" s="4"/>
    </row>
    <row r="469" spans="1:34" ht="21.75" customHeight="1">
      <c r="A469" s="30"/>
      <c r="B469" s="230"/>
      <c r="C469" s="231"/>
      <c r="D469" s="231"/>
      <c r="E469" s="231"/>
      <c r="F469" s="231"/>
      <c r="G469" s="231"/>
      <c r="H469" s="231"/>
      <c r="I469" s="232"/>
      <c r="J469" s="24"/>
      <c r="K469" s="24"/>
      <c r="L469" s="24"/>
      <c r="M469" s="24"/>
      <c r="N469" s="24"/>
      <c r="O469" s="228"/>
      <c r="P469" s="228"/>
      <c r="Q469" s="228"/>
      <c r="R469" s="228"/>
      <c r="S469" s="228"/>
      <c r="T469" s="228"/>
      <c r="U469" s="228"/>
      <c r="V469" s="228"/>
      <c r="W469" s="228"/>
      <c r="X469" s="228"/>
      <c r="Y469" s="228"/>
      <c r="Z469" s="228"/>
      <c r="AA469" s="228"/>
      <c r="AB469" s="228"/>
      <c r="AC469" s="228"/>
      <c r="AD469" s="266"/>
      <c r="AE469" s="228"/>
      <c r="AF469" s="271"/>
      <c r="AG469" s="272"/>
      <c r="AH469" s="4"/>
    </row>
    <row r="470" spans="1:34" ht="21.75" customHeight="1">
      <c r="A470" s="30"/>
      <c r="B470" s="291"/>
      <c r="C470" s="292"/>
      <c r="D470" s="39"/>
      <c r="E470" s="24"/>
      <c r="F470" s="39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61"/>
      <c r="AD470" s="24"/>
      <c r="AE470" s="24"/>
      <c r="AF470" s="271"/>
      <c r="AG470" s="272"/>
      <c r="AH470" s="4"/>
    </row>
    <row r="471" spans="1:34" ht="21.75" customHeight="1">
      <c r="A471" s="30"/>
      <c r="B471" s="38"/>
      <c r="C471" s="46"/>
      <c r="D471" s="39"/>
      <c r="E471" s="24"/>
      <c r="F471" s="24"/>
      <c r="G471" s="105"/>
      <c r="H471" s="105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61"/>
      <c r="AD471" s="24"/>
      <c r="AE471" s="24"/>
      <c r="AF471" s="271"/>
      <c r="AG471" s="272"/>
      <c r="AH471" s="4"/>
    </row>
    <row r="472" spans="1:34" ht="21.75" customHeight="1">
      <c r="A472" s="30"/>
      <c r="B472" s="38"/>
      <c r="C472" s="38"/>
      <c r="D472" s="39"/>
      <c r="E472" s="24"/>
      <c r="F472" s="24"/>
      <c r="G472" s="66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61"/>
      <c r="AD472" s="24"/>
      <c r="AE472" s="24"/>
      <c r="AF472" s="271"/>
      <c r="AG472" s="272"/>
      <c r="AH472" s="4"/>
    </row>
    <row r="473" spans="1:34" ht="21.75" customHeight="1">
      <c r="A473" s="30"/>
      <c r="B473" s="38"/>
      <c r="C473" s="38"/>
      <c r="D473" s="39"/>
      <c r="E473" s="24"/>
      <c r="F473" s="24"/>
      <c r="G473" s="105"/>
      <c r="H473" s="105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61"/>
      <c r="AD473" s="24"/>
      <c r="AE473" s="24"/>
      <c r="AF473" s="271"/>
      <c r="AG473" s="272"/>
      <c r="AH473" s="4"/>
    </row>
    <row r="474" spans="1:34" ht="21.75" customHeight="1">
      <c r="A474" s="30"/>
      <c r="B474" s="38"/>
      <c r="C474" s="38"/>
      <c r="D474" s="39"/>
      <c r="E474" s="24"/>
      <c r="F474" s="39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61"/>
      <c r="AD474" s="24"/>
      <c r="AE474" s="24"/>
      <c r="AF474" s="271"/>
      <c r="AG474" s="272"/>
      <c r="AH474" s="4"/>
    </row>
    <row r="475" spans="1:34" ht="21.75" customHeight="1">
      <c r="A475" s="30"/>
      <c r="B475" s="230"/>
      <c r="C475" s="231"/>
      <c r="D475" s="231"/>
      <c r="E475" s="231"/>
      <c r="F475" s="231"/>
      <c r="G475" s="231"/>
      <c r="H475" s="231"/>
      <c r="I475" s="232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61"/>
      <c r="AD475" s="24"/>
      <c r="AE475" s="24"/>
      <c r="AF475" s="271"/>
      <c r="AG475" s="272"/>
      <c r="AH475" s="4"/>
    </row>
    <row r="476" spans="1:34" ht="21.75" customHeight="1">
      <c r="A476" s="30"/>
      <c r="B476" s="67"/>
      <c r="C476" s="38"/>
      <c r="D476" s="39"/>
      <c r="E476" s="24"/>
      <c r="F476" s="107"/>
      <c r="G476" s="90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61"/>
      <c r="AD476" s="24"/>
      <c r="AE476" s="24"/>
      <c r="AF476" s="271"/>
      <c r="AG476" s="272"/>
      <c r="AH476" s="4"/>
    </row>
    <row r="477" spans="1:34" ht="21.75" customHeight="1">
      <c r="A477" s="30"/>
      <c r="B477" s="38"/>
      <c r="C477" s="38"/>
      <c r="D477" s="39"/>
      <c r="E477" s="24"/>
      <c r="F477" s="24"/>
      <c r="G477" s="105"/>
      <c r="H477" s="105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61"/>
      <c r="AD477" s="24"/>
      <c r="AE477" s="24"/>
      <c r="AF477" s="271"/>
      <c r="AG477" s="272"/>
      <c r="AH477" s="4"/>
    </row>
    <row r="478" spans="1:34" ht="21.75" customHeight="1">
      <c r="A478" s="30"/>
      <c r="B478" s="38"/>
      <c r="C478" s="38"/>
      <c r="D478" s="39"/>
      <c r="E478" s="24"/>
      <c r="F478" s="24"/>
      <c r="G478" s="105"/>
      <c r="H478" s="105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61"/>
      <c r="AD478" s="24"/>
      <c r="AE478" s="24"/>
      <c r="AF478" s="271"/>
      <c r="AG478" s="272"/>
      <c r="AH478" s="4"/>
    </row>
    <row r="479" spans="1:34" ht="21.75" customHeight="1">
      <c r="A479" s="30"/>
      <c r="B479" s="38"/>
      <c r="C479" s="38"/>
      <c r="D479" s="39"/>
      <c r="E479" s="24"/>
      <c r="F479" s="24"/>
      <c r="G479" s="105"/>
      <c r="H479" s="105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61"/>
      <c r="AD479" s="24"/>
      <c r="AE479" s="24"/>
      <c r="AF479" s="271"/>
      <c r="AG479" s="272"/>
      <c r="AH479" s="4"/>
    </row>
    <row r="480" spans="1:34" ht="21.75" customHeight="1">
      <c r="A480" s="30"/>
      <c r="B480" s="313"/>
      <c r="C480" s="314"/>
      <c r="D480" s="39"/>
      <c r="E480" s="213"/>
      <c r="F480" s="214"/>
      <c r="G480" s="214"/>
      <c r="H480" s="214"/>
      <c r="I480" s="215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61"/>
      <c r="AD480" s="24"/>
      <c r="AE480" s="24"/>
      <c r="AF480" s="271"/>
      <c r="AG480" s="272"/>
      <c r="AH480" s="16"/>
    </row>
    <row r="481" spans="1:34" ht="21.75" customHeight="1">
      <c r="A481" s="30"/>
      <c r="B481" s="38"/>
      <c r="C481" s="38"/>
      <c r="D481" s="39"/>
      <c r="E481" s="24"/>
      <c r="F481" s="39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61"/>
      <c r="AD481" s="24"/>
      <c r="AE481" s="24"/>
      <c r="AF481" s="271"/>
      <c r="AG481" s="272"/>
      <c r="AH481" s="16"/>
    </row>
    <row r="482" spans="1:34" ht="21.75" customHeight="1">
      <c r="A482" s="30"/>
      <c r="B482" s="291"/>
      <c r="C482" s="292"/>
      <c r="D482" s="39"/>
      <c r="E482" s="24"/>
      <c r="F482" s="39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61"/>
      <c r="AD482" s="24"/>
      <c r="AE482" s="24"/>
      <c r="AF482" s="271"/>
      <c r="AG482" s="272"/>
      <c r="AH482" s="16"/>
    </row>
    <row r="483" spans="1:34" ht="21.75" customHeight="1">
      <c r="A483" s="30"/>
      <c r="B483" s="38"/>
      <c r="C483" s="46"/>
      <c r="D483" s="39"/>
      <c r="E483" s="24"/>
      <c r="F483" s="66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61"/>
      <c r="AD483" s="24"/>
      <c r="AE483" s="24"/>
      <c r="AF483" s="271"/>
      <c r="AG483" s="272"/>
      <c r="AH483" s="16"/>
    </row>
    <row r="484" spans="1:34" ht="21.75" customHeight="1">
      <c r="A484" s="30"/>
      <c r="B484" s="38"/>
      <c r="C484" s="38"/>
      <c r="D484" s="39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61"/>
      <c r="AD484" s="24"/>
      <c r="AE484" s="24"/>
      <c r="AF484" s="271"/>
      <c r="AG484" s="272"/>
      <c r="AH484" s="16"/>
    </row>
    <row r="485" spans="1:34" ht="21.75" customHeight="1">
      <c r="A485" s="30"/>
      <c r="B485" s="38"/>
      <c r="C485" s="38"/>
      <c r="D485" s="39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61"/>
      <c r="AD485" s="24"/>
      <c r="AE485" s="24"/>
      <c r="AF485" s="271"/>
      <c r="AG485" s="272"/>
      <c r="AH485" s="4"/>
    </row>
    <row r="486" spans="1:34" ht="21.75" customHeight="1">
      <c r="A486" s="30"/>
      <c r="B486" s="38"/>
      <c r="C486" s="38"/>
      <c r="D486" s="39"/>
      <c r="E486" s="24"/>
      <c r="F486" s="39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61"/>
      <c r="AD486" s="24"/>
      <c r="AE486" s="24"/>
      <c r="AF486" s="271"/>
      <c r="AG486" s="272"/>
      <c r="AH486" s="4"/>
    </row>
    <row r="487" spans="1:34" ht="21.75" customHeight="1">
      <c r="A487" s="30"/>
      <c r="B487" s="38"/>
      <c r="C487" s="38"/>
      <c r="D487" s="39"/>
      <c r="E487" s="24"/>
      <c r="F487" s="24"/>
      <c r="G487" s="105"/>
      <c r="H487" s="105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61"/>
      <c r="AD487" s="24"/>
      <c r="AE487" s="24"/>
      <c r="AF487" s="271"/>
      <c r="AG487" s="272"/>
      <c r="AH487" s="4"/>
    </row>
    <row r="488" spans="1:34" ht="21.75" customHeight="1">
      <c r="A488" s="30"/>
      <c r="B488" s="38"/>
      <c r="C488" s="38"/>
      <c r="D488" s="39"/>
      <c r="E488" s="24"/>
      <c r="F488" s="24"/>
      <c r="G488" s="105"/>
      <c r="H488" s="105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61"/>
      <c r="AD488" s="24"/>
      <c r="AE488" s="24"/>
      <c r="AF488" s="271"/>
      <c r="AG488" s="272"/>
      <c r="AH488" s="4"/>
    </row>
    <row r="489" spans="1:34" ht="21.75" customHeight="1">
      <c r="A489" s="30"/>
      <c r="B489" s="38"/>
      <c r="C489" s="38"/>
      <c r="D489" s="39"/>
      <c r="E489" s="24"/>
      <c r="F489" s="66"/>
      <c r="G489" s="105"/>
      <c r="H489" s="105"/>
      <c r="I489" s="24"/>
      <c r="J489" s="119"/>
      <c r="K489" s="119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61"/>
      <c r="AD489" s="24"/>
      <c r="AE489" s="24"/>
      <c r="AF489" s="271"/>
      <c r="AG489" s="272"/>
      <c r="AH489" s="4"/>
    </row>
    <row r="490" spans="1:34" ht="21.75" customHeight="1">
      <c r="A490" s="30"/>
      <c r="B490" s="38"/>
      <c r="C490" s="38"/>
      <c r="D490" s="39"/>
      <c r="E490" s="24"/>
      <c r="F490" s="66"/>
      <c r="G490" s="105"/>
      <c r="H490" s="105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61"/>
      <c r="AD490" s="24"/>
      <c r="AE490" s="24"/>
      <c r="AF490" s="271"/>
      <c r="AG490" s="272"/>
      <c r="AH490" s="4"/>
    </row>
    <row r="491" spans="1:34" ht="21.75" customHeight="1">
      <c r="A491" s="30"/>
      <c r="B491" s="38"/>
      <c r="C491" s="46"/>
      <c r="D491" s="39"/>
      <c r="E491" s="24"/>
      <c r="F491" s="66"/>
      <c r="G491" s="105"/>
      <c r="H491" s="105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61"/>
      <c r="AD491" s="24"/>
      <c r="AE491" s="24"/>
      <c r="AF491" s="271"/>
      <c r="AG491" s="272"/>
      <c r="AH491" s="4"/>
    </row>
    <row r="492" spans="1:34" ht="21.75" customHeight="1">
      <c r="A492" s="30"/>
      <c r="B492" s="38"/>
      <c r="C492" s="38"/>
      <c r="D492" s="39"/>
      <c r="E492" s="24"/>
      <c r="F492" s="66"/>
      <c r="G492" s="105"/>
      <c r="H492" s="105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61"/>
      <c r="AD492" s="24"/>
      <c r="AE492" s="24"/>
      <c r="AF492" s="271"/>
      <c r="AG492" s="272"/>
      <c r="AH492" s="4"/>
    </row>
    <row r="493" spans="1:34" ht="21.75" customHeight="1">
      <c r="A493" s="30"/>
      <c r="B493" s="38"/>
      <c r="C493" s="38"/>
      <c r="D493" s="39"/>
      <c r="E493" s="24"/>
      <c r="F493" s="66"/>
      <c r="G493" s="105"/>
      <c r="H493" s="105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61"/>
      <c r="AD493" s="24"/>
      <c r="AE493" s="24"/>
      <c r="AF493" s="271"/>
      <c r="AG493" s="272"/>
      <c r="AH493" s="4"/>
    </row>
    <row r="494" spans="1:34" ht="21.75" customHeight="1">
      <c r="A494" s="30"/>
      <c r="B494" s="38"/>
      <c r="C494" s="46"/>
      <c r="D494" s="39"/>
      <c r="E494" s="24"/>
      <c r="F494" s="66"/>
      <c r="G494" s="105"/>
      <c r="H494" s="105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61"/>
      <c r="AD494" s="24"/>
      <c r="AE494" s="24"/>
      <c r="AF494" s="271"/>
      <c r="AG494" s="272"/>
      <c r="AH494" s="4"/>
    </row>
    <row r="495" spans="1:34" ht="21.75" customHeight="1">
      <c r="A495" s="30"/>
      <c r="B495" s="38"/>
      <c r="C495" s="38"/>
      <c r="D495" s="39"/>
      <c r="E495" s="24"/>
      <c r="F495" s="66"/>
      <c r="G495" s="105"/>
      <c r="H495" s="105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61"/>
      <c r="AD495" s="24"/>
      <c r="AE495" s="24"/>
      <c r="AF495" s="271"/>
      <c r="AG495" s="272"/>
      <c r="AH495" s="4"/>
    </row>
    <row r="496" spans="1:34" ht="21.75" customHeight="1">
      <c r="A496" s="30"/>
      <c r="B496" s="38"/>
      <c r="C496" s="38"/>
      <c r="D496" s="39"/>
      <c r="E496" s="24"/>
      <c r="F496" s="66"/>
      <c r="G496" s="105"/>
      <c r="H496" s="105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61"/>
      <c r="AD496" s="24"/>
      <c r="AE496" s="24"/>
      <c r="AF496" s="271"/>
      <c r="AG496" s="272"/>
      <c r="AH496" s="4"/>
    </row>
    <row r="497" spans="1:34" ht="21.75" customHeight="1">
      <c r="A497" s="30"/>
      <c r="B497" s="38"/>
      <c r="C497" s="38"/>
      <c r="D497" s="39"/>
      <c r="E497" s="24"/>
      <c r="F497" s="66"/>
      <c r="G497" s="105"/>
      <c r="H497" s="105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61"/>
      <c r="AD497" s="24"/>
      <c r="AE497" s="24"/>
      <c r="AF497" s="271"/>
      <c r="AG497" s="272"/>
      <c r="AH497" s="4"/>
    </row>
    <row r="498" spans="1:34" ht="21.75" customHeight="1">
      <c r="A498" s="30"/>
      <c r="B498" s="313"/>
      <c r="C498" s="314"/>
      <c r="D498" s="39"/>
      <c r="E498" s="24"/>
      <c r="F498" s="213"/>
      <c r="G498" s="214"/>
      <c r="H498" s="214"/>
      <c r="I498" s="215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61"/>
      <c r="AD498" s="24"/>
      <c r="AE498" s="24"/>
      <c r="AF498" s="271"/>
      <c r="AG498" s="272"/>
      <c r="AH498" s="4"/>
    </row>
    <row r="499" spans="1:34" ht="21.75" customHeight="1">
      <c r="A499" s="30"/>
      <c r="B499" s="38"/>
      <c r="C499" s="46"/>
      <c r="D499" s="39"/>
      <c r="E499" s="24"/>
      <c r="F499" s="39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61"/>
      <c r="AD499" s="24"/>
      <c r="AE499" s="24"/>
      <c r="AF499" s="271"/>
      <c r="AG499" s="272"/>
      <c r="AH499" s="4"/>
    </row>
    <row r="500" spans="1:34" ht="21.75" customHeight="1">
      <c r="A500" s="30"/>
      <c r="B500" s="260"/>
      <c r="C500" s="261"/>
      <c r="D500" s="261"/>
      <c r="E500" s="261"/>
      <c r="F500" s="261"/>
      <c r="G500" s="261"/>
      <c r="H500" s="261"/>
      <c r="I500" s="152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61"/>
      <c r="AD500" s="24"/>
      <c r="AE500" s="24"/>
      <c r="AF500" s="271"/>
      <c r="AG500" s="272"/>
      <c r="AH500" s="4"/>
    </row>
    <row r="501" spans="1:34" ht="21.75" customHeight="1">
      <c r="A501" s="30"/>
      <c r="B501" s="141"/>
      <c r="C501" s="38"/>
      <c r="D501" s="39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61"/>
      <c r="AD501" s="24"/>
      <c r="AE501" s="24"/>
      <c r="AF501" s="271"/>
      <c r="AG501" s="272"/>
      <c r="AH501" s="4"/>
    </row>
    <row r="502" spans="1:34" ht="21.75" customHeight="1">
      <c r="A502" s="30"/>
      <c r="B502" s="38"/>
      <c r="C502" s="38"/>
      <c r="D502" s="39"/>
      <c r="E502" s="213"/>
      <c r="F502" s="214"/>
      <c r="G502" s="214"/>
      <c r="H502" s="214"/>
      <c r="I502" s="215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61"/>
      <c r="AD502" s="24"/>
      <c r="AE502" s="24"/>
      <c r="AF502" s="271"/>
      <c r="AG502" s="272"/>
      <c r="AH502" s="4"/>
    </row>
    <row r="503" spans="1:34" ht="21.75" customHeight="1">
      <c r="A503" s="30"/>
      <c r="B503" s="38"/>
      <c r="C503" s="38"/>
      <c r="D503" s="39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61"/>
      <c r="AD503" s="24"/>
      <c r="AE503" s="24"/>
      <c r="AF503" s="271"/>
      <c r="AG503" s="272"/>
      <c r="AH503" s="4"/>
    </row>
    <row r="504" spans="1:34" ht="21.75" customHeight="1">
      <c r="A504" s="30"/>
      <c r="B504" s="141"/>
      <c r="C504" s="38"/>
      <c r="D504" s="39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61"/>
      <c r="AD504" s="24"/>
      <c r="AE504" s="24"/>
      <c r="AF504" s="271"/>
      <c r="AG504" s="272"/>
      <c r="AH504" s="4"/>
    </row>
    <row r="505" spans="1:34" ht="21.75" customHeight="1" thickBot="1">
      <c r="A505" s="30"/>
      <c r="B505" s="38"/>
      <c r="C505" s="38"/>
      <c r="D505" s="39"/>
      <c r="E505" s="213"/>
      <c r="F505" s="214"/>
      <c r="G505" s="214"/>
      <c r="H505" s="214"/>
      <c r="I505" s="215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61"/>
      <c r="W505" s="24"/>
      <c r="X505" s="61"/>
      <c r="Y505" s="24"/>
      <c r="Z505" s="24"/>
      <c r="AA505" s="24"/>
      <c r="AB505" s="24"/>
      <c r="AC505" s="61"/>
      <c r="AD505" s="24"/>
      <c r="AE505" s="24"/>
      <c r="AF505" s="281"/>
      <c r="AG505" s="275"/>
      <c r="AH505" s="4"/>
    </row>
    <row r="506" spans="1:34" ht="21.75" customHeight="1">
      <c r="A506" s="30"/>
      <c r="B506" s="38"/>
      <c r="C506" s="38"/>
      <c r="D506" s="39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61"/>
      <c r="AD506" s="24"/>
      <c r="AE506" s="24"/>
      <c r="AF506" s="269"/>
      <c r="AG506" s="270"/>
      <c r="AH506" s="4"/>
    </row>
    <row r="507" spans="1:34" ht="21.75" customHeight="1">
      <c r="A507" s="30"/>
      <c r="B507" s="141"/>
      <c r="C507" s="38"/>
      <c r="D507" s="39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61"/>
      <c r="AD507" s="24"/>
      <c r="AE507" s="24"/>
      <c r="AF507" s="271"/>
      <c r="AG507" s="272"/>
      <c r="AH507" s="4"/>
    </row>
    <row r="508" spans="1:34" ht="21.75" customHeight="1">
      <c r="A508" s="30"/>
      <c r="B508" s="38"/>
      <c r="C508" s="46"/>
      <c r="D508" s="39"/>
      <c r="E508" s="213"/>
      <c r="F508" s="214"/>
      <c r="G508" s="214"/>
      <c r="H508" s="214"/>
      <c r="I508" s="215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61"/>
      <c r="AD508" s="24"/>
      <c r="AE508" s="24"/>
      <c r="AF508" s="271"/>
      <c r="AG508" s="272"/>
      <c r="AH508" s="4"/>
    </row>
    <row r="509" spans="1:34" ht="21.75" customHeight="1">
      <c r="A509" s="30"/>
      <c r="B509" s="38"/>
      <c r="C509" s="38"/>
      <c r="D509" s="39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61"/>
      <c r="AD509" s="24"/>
      <c r="AE509" s="24"/>
      <c r="AF509" s="271"/>
      <c r="AG509" s="272"/>
      <c r="AH509" s="4"/>
    </row>
    <row r="510" spans="1:34" ht="21.75" customHeight="1">
      <c r="A510" s="30"/>
      <c r="B510" s="141"/>
      <c r="C510" s="38"/>
      <c r="D510" s="39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61"/>
      <c r="AD510" s="24"/>
      <c r="AE510" s="24"/>
      <c r="AF510" s="271"/>
      <c r="AG510" s="272"/>
      <c r="AH510" s="4"/>
    </row>
    <row r="511" spans="1:34" ht="21.75" customHeight="1">
      <c r="A511" s="30"/>
      <c r="B511" s="38"/>
      <c r="C511" s="38"/>
      <c r="D511" s="39"/>
      <c r="E511" s="213"/>
      <c r="F511" s="214"/>
      <c r="G511" s="214"/>
      <c r="H511" s="214"/>
      <c r="I511" s="215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61"/>
      <c r="AD511" s="24"/>
      <c r="AE511" s="24"/>
      <c r="AF511" s="271"/>
      <c r="AG511" s="272"/>
      <c r="AH511" s="4"/>
    </row>
    <row r="512" spans="1:34" ht="21.75" customHeight="1">
      <c r="A512" s="30"/>
      <c r="B512" s="38"/>
      <c r="C512" s="38"/>
      <c r="D512" s="39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61"/>
      <c r="AD512" s="24"/>
      <c r="AE512" s="24"/>
      <c r="AF512" s="271"/>
      <c r="AG512" s="272"/>
      <c r="AH512" s="4"/>
    </row>
    <row r="513" spans="1:34" ht="21.75" customHeight="1">
      <c r="A513" s="30"/>
      <c r="B513" s="141"/>
      <c r="C513" s="38"/>
      <c r="D513" s="39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61"/>
      <c r="AD513" s="24"/>
      <c r="AE513" s="24"/>
      <c r="AF513" s="271"/>
      <c r="AG513" s="272"/>
      <c r="AH513" s="4"/>
    </row>
    <row r="514" spans="1:34" ht="21.75" customHeight="1">
      <c r="A514" s="30"/>
      <c r="B514" s="38"/>
      <c r="C514" s="46"/>
      <c r="D514" s="39"/>
      <c r="E514" s="213"/>
      <c r="F514" s="214"/>
      <c r="G514" s="214"/>
      <c r="H514" s="214"/>
      <c r="I514" s="215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61"/>
      <c r="AD514" s="24"/>
      <c r="AE514" s="24"/>
      <c r="AF514" s="271"/>
      <c r="AG514" s="272"/>
      <c r="AH514" s="4"/>
    </row>
    <row r="515" spans="1:34" ht="21.75" customHeight="1">
      <c r="A515" s="30"/>
      <c r="B515" s="38"/>
      <c r="C515" s="38"/>
      <c r="D515" s="39"/>
      <c r="E515" s="213"/>
      <c r="F515" s="214"/>
      <c r="G515" s="214"/>
      <c r="H515" s="214"/>
      <c r="I515" s="215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61"/>
      <c r="AD515" s="24"/>
      <c r="AE515" s="24"/>
      <c r="AF515" s="271"/>
      <c r="AG515" s="272"/>
      <c r="AH515" s="4"/>
    </row>
    <row r="516" spans="1:34" ht="21.75" customHeight="1">
      <c r="A516" s="30"/>
      <c r="B516" s="38"/>
      <c r="C516" s="46"/>
      <c r="D516" s="39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61"/>
      <c r="AD516" s="24"/>
      <c r="AE516" s="24"/>
      <c r="AF516" s="271"/>
      <c r="AG516" s="272"/>
      <c r="AH516" s="4"/>
    </row>
    <row r="517" spans="1:34" ht="21.75" customHeight="1">
      <c r="A517" s="30"/>
      <c r="B517" s="141"/>
      <c r="C517" s="46"/>
      <c r="D517" s="39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61"/>
      <c r="AD517" s="24"/>
      <c r="AE517" s="24"/>
      <c r="AF517" s="271"/>
      <c r="AG517" s="272"/>
      <c r="AH517" s="4"/>
    </row>
    <row r="518" spans="1:34" ht="21.75" customHeight="1">
      <c r="A518" s="30"/>
      <c r="B518" s="38"/>
      <c r="C518" s="46"/>
      <c r="D518" s="39"/>
      <c r="E518" s="213"/>
      <c r="F518" s="214"/>
      <c r="G518" s="214"/>
      <c r="H518" s="214"/>
      <c r="I518" s="215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61"/>
      <c r="AD518" s="24"/>
      <c r="AE518" s="24"/>
      <c r="AF518" s="271"/>
      <c r="AG518" s="272"/>
      <c r="AH518" s="4"/>
    </row>
    <row r="519" spans="1:34" ht="21.75" customHeight="1">
      <c r="A519" s="30"/>
      <c r="B519" s="38"/>
      <c r="C519" s="46"/>
      <c r="D519" s="39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73"/>
      <c r="AG519" s="272"/>
      <c r="AH519" s="4"/>
    </row>
    <row r="520" spans="1:34" ht="21.75" customHeight="1">
      <c r="A520" s="30"/>
      <c r="B520" s="38"/>
      <c r="C520" s="46"/>
      <c r="D520" s="39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73"/>
      <c r="AG520" s="272"/>
      <c r="AH520" s="4"/>
    </row>
    <row r="521" spans="1:34" ht="21.75" customHeight="1" thickBot="1">
      <c r="A521" s="30"/>
      <c r="B521" s="38"/>
      <c r="C521" s="46"/>
      <c r="D521" s="39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61"/>
      <c r="AD521" s="24"/>
      <c r="AE521" s="24"/>
      <c r="AF521" s="274"/>
      <c r="AG521" s="275"/>
      <c r="AH521" s="4"/>
    </row>
    <row r="522" spans="1:34" ht="46.5" customHeight="1">
      <c r="A522" s="1"/>
      <c r="B522" s="233"/>
      <c r="C522" s="234"/>
      <c r="D522" s="234"/>
      <c r="E522" s="234"/>
      <c r="F522" s="234"/>
      <c r="G522" s="234"/>
      <c r="H522" s="234"/>
      <c r="I522" s="234"/>
      <c r="J522" s="234"/>
      <c r="K522" s="234"/>
      <c r="L522" s="234"/>
      <c r="M522" s="234"/>
      <c r="N522" s="235"/>
      <c r="O522" s="211"/>
      <c r="P522" s="211"/>
      <c r="Q522" s="211"/>
      <c r="R522" s="211"/>
      <c r="S522" s="211"/>
      <c r="T522" s="211"/>
      <c r="U522" s="211"/>
      <c r="V522" s="211"/>
      <c r="W522" s="211"/>
      <c r="X522" s="211"/>
      <c r="Y522" s="211"/>
      <c r="Z522" s="211"/>
      <c r="AA522" s="211"/>
      <c r="AB522" s="211"/>
      <c r="AC522" s="211"/>
      <c r="AD522" s="211"/>
      <c r="AE522" s="211"/>
      <c r="AF522" s="279"/>
      <c r="AG522" s="280"/>
      <c r="AH522" s="1"/>
    </row>
    <row r="523" spans="1:34" ht="46.5" customHeight="1" thickBot="1">
      <c r="A523" s="1"/>
      <c r="B523" s="236"/>
      <c r="C523" s="237"/>
      <c r="D523" s="237"/>
      <c r="E523" s="237"/>
      <c r="F523" s="237"/>
      <c r="G523" s="237"/>
      <c r="H523" s="237"/>
      <c r="I523" s="237"/>
      <c r="J523" s="237"/>
      <c r="K523" s="237"/>
      <c r="L523" s="237"/>
      <c r="M523" s="237"/>
      <c r="N523" s="238"/>
      <c r="O523" s="250"/>
      <c r="P523" s="250"/>
      <c r="Q523" s="250"/>
      <c r="R523" s="250"/>
      <c r="S523" s="250"/>
      <c r="T523" s="250"/>
      <c r="U523" s="212"/>
      <c r="V523" s="212"/>
      <c r="W523" s="212"/>
      <c r="X523" s="212"/>
      <c r="Y523" s="250"/>
      <c r="Z523" s="250"/>
      <c r="AA523" s="212"/>
      <c r="AB523" s="212"/>
      <c r="AC523" s="212"/>
      <c r="AD523" s="212"/>
      <c r="AE523" s="212"/>
      <c r="AF523" s="276"/>
      <c r="AG523" s="277"/>
      <c r="AH523" s="1"/>
    </row>
    <row r="524" spans="1:34" ht="12.75">
      <c r="A524" s="10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85"/>
      <c r="U524" s="49"/>
      <c r="V524" s="49"/>
      <c r="Y524" s="85"/>
      <c r="Z524" s="49"/>
      <c r="AC524" s="49"/>
      <c r="AD524" s="49"/>
      <c r="AF524" s="49"/>
      <c r="AG524" s="49"/>
      <c r="AH524" s="11"/>
    </row>
    <row r="525" spans="2:33" ht="12.75"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85"/>
      <c r="U525" s="49"/>
      <c r="V525" s="49"/>
      <c r="Y525" s="85"/>
      <c r="Z525" s="49"/>
      <c r="AC525" s="49"/>
      <c r="AD525" s="49"/>
      <c r="AF525" s="49"/>
      <c r="AG525" s="49"/>
    </row>
    <row r="526" spans="2:33" ht="12.75"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85"/>
      <c r="U526" s="49"/>
      <c r="V526" s="49"/>
      <c r="W526" s="49"/>
      <c r="X526" s="49"/>
      <c r="Y526" s="85"/>
      <c r="Z526" s="49"/>
      <c r="AC526" s="49"/>
      <c r="AD526" s="49"/>
      <c r="AF526" s="49"/>
      <c r="AG526" s="49"/>
    </row>
    <row r="527" spans="2:33" ht="15.75">
      <c r="B527" s="224"/>
      <c r="C527" s="224"/>
      <c r="D527" s="224"/>
      <c r="E527" s="224"/>
      <c r="F527" s="224"/>
      <c r="G527" s="224"/>
      <c r="H527" s="53"/>
      <c r="I527" s="53"/>
      <c r="J527" s="53"/>
      <c r="K527" s="53"/>
      <c r="L527" s="53"/>
      <c r="M527" s="53"/>
      <c r="N527" s="53"/>
      <c r="O527" s="53"/>
      <c r="P527" s="53"/>
      <c r="Q527" s="101"/>
      <c r="R527" s="53"/>
      <c r="S527" s="94"/>
      <c r="T527" s="93"/>
      <c r="U527" s="101"/>
      <c r="V527" s="101"/>
      <c r="W527" s="101"/>
      <c r="X527" s="101"/>
      <c r="Y527" s="53"/>
      <c r="Z527" s="53"/>
      <c r="AA527" s="53"/>
      <c r="AB527" s="53"/>
      <c r="AC527" s="101"/>
      <c r="AD527" s="53"/>
      <c r="AF527" s="49"/>
      <c r="AG527" s="49"/>
    </row>
    <row r="528" spans="2:33" ht="15"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96"/>
      <c r="P528" s="96"/>
      <c r="Q528" s="53"/>
      <c r="R528" s="53"/>
      <c r="S528" s="85"/>
      <c r="T528" s="49"/>
      <c r="U528" s="49"/>
      <c r="V528" s="49"/>
      <c r="Y528" s="49"/>
      <c r="Z528" s="49"/>
      <c r="AC528" s="49"/>
      <c r="AD528" s="49"/>
      <c r="AF528" s="49"/>
      <c r="AG528" s="49"/>
    </row>
    <row r="529" spans="2:33" ht="15">
      <c r="B529" s="49"/>
      <c r="C529" s="49"/>
      <c r="D529" s="49"/>
      <c r="E529" s="49"/>
      <c r="F529" s="49"/>
      <c r="G529" s="49"/>
      <c r="H529" s="49"/>
      <c r="I529" s="49"/>
      <c r="J529" s="49"/>
      <c r="K529" s="348"/>
      <c r="L529" s="349"/>
      <c r="M529" s="349"/>
      <c r="N529" s="350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  <c r="AA529" s="122"/>
      <c r="AB529" s="122"/>
      <c r="AC529" s="122"/>
      <c r="AD529" s="122"/>
      <c r="AF529" s="49"/>
      <c r="AG529" s="49"/>
    </row>
    <row r="530" spans="2:33" ht="15">
      <c r="B530" s="49"/>
      <c r="C530" s="49"/>
      <c r="D530" s="49"/>
      <c r="E530" s="49"/>
      <c r="F530" s="49"/>
      <c r="G530" s="49"/>
      <c r="H530" s="49"/>
      <c r="I530" s="49"/>
      <c r="J530" s="49"/>
      <c r="K530" s="297"/>
      <c r="L530" s="298"/>
      <c r="M530" s="298"/>
      <c r="N530" s="298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  <c r="AA530" s="122"/>
      <c r="AB530" s="122"/>
      <c r="AC530" s="122"/>
      <c r="AD530" s="122"/>
      <c r="AF530" s="49"/>
      <c r="AG530" s="49"/>
    </row>
    <row r="531" spans="2:33" ht="15">
      <c r="B531" s="49"/>
      <c r="C531" s="49"/>
      <c r="D531" s="49"/>
      <c r="E531" s="49"/>
      <c r="F531" s="49"/>
      <c r="G531" s="49"/>
      <c r="H531" s="49"/>
      <c r="I531" s="49"/>
      <c r="J531" s="49"/>
      <c r="K531" s="79"/>
      <c r="L531" s="79"/>
      <c r="M531" s="79"/>
      <c r="N531" s="79"/>
      <c r="O531" s="79"/>
      <c r="P531" s="136"/>
      <c r="Q531" s="136"/>
      <c r="R531" s="136"/>
      <c r="S531" s="79"/>
      <c r="T531" s="137"/>
      <c r="U531" s="79"/>
      <c r="V531" s="79"/>
      <c r="W531" s="79"/>
      <c r="X531" s="79"/>
      <c r="Y531" s="79"/>
      <c r="Z531" s="79"/>
      <c r="AF531" s="49"/>
      <c r="AG531" s="49"/>
    </row>
    <row r="532" spans="2:33" ht="15" customHeight="1"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85"/>
      <c r="U532" s="49"/>
      <c r="V532" s="49"/>
      <c r="W532" s="49"/>
      <c r="X532" s="49"/>
      <c r="Y532" s="49"/>
      <c r="Z532" s="49"/>
      <c r="AF532" s="49"/>
      <c r="AG532" s="49"/>
    </row>
    <row r="533" spans="2:33" ht="15" customHeight="1"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85"/>
      <c r="U533" s="49"/>
      <c r="V533" s="49"/>
      <c r="W533" s="49"/>
      <c r="X533" s="49"/>
      <c r="Y533" s="49"/>
      <c r="Z533" s="49"/>
      <c r="AF533" s="49"/>
      <c r="AG533" s="49"/>
    </row>
    <row r="534" spans="1:34" s="3" customFormat="1" ht="36" customHeight="1" thickBot="1">
      <c r="A534" s="12"/>
      <c r="B534" s="54"/>
      <c r="C534" s="55"/>
      <c r="D534" s="55"/>
      <c r="E534" s="55"/>
      <c r="F534" s="55"/>
      <c r="G534" s="55"/>
      <c r="H534" s="55"/>
      <c r="I534" s="55"/>
      <c r="J534" s="55"/>
      <c r="K534" s="99"/>
      <c r="L534" s="99"/>
      <c r="M534" s="229"/>
      <c r="N534" s="229"/>
      <c r="O534" s="229"/>
      <c r="P534" s="229"/>
      <c r="Q534" s="229"/>
      <c r="R534" s="229"/>
      <c r="S534" s="99"/>
      <c r="T534" s="99"/>
      <c r="U534" s="99"/>
      <c r="V534" s="99"/>
      <c r="W534" s="99"/>
      <c r="X534" s="99"/>
      <c r="Y534" s="99"/>
      <c r="Z534" s="99"/>
      <c r="AF534" s="98"/>
      <c r="AG534" s="98"/>
      <c r="AH534" s="13"/>
    </row>
    <row r="535" spans="2:33" s="4" customFormat="1" ht="21.75" customHeight="1">
      <c r="B535" s="233"/>
      <c r="C535" s="235"/>
      <c r="D535" s="251"/>
      <c r="E535" s="251"/>
      <c r="F535" s="251"/>
      <c r="G535" s="254"/>
      <c r="H535" s="254"/>
      <c r="I535" s="251"/>
      <c r="J535" s="254"/>
      <c r="K535" s="58"/>
      <c r="L535" s="58"/>
      <c r="M535" s="216"/>
      <c r="N535" s="217"/>
      <c r="O535" s="216"/>
      <c r="P535" s="217"/>
      <c r="Q535" s="216"/>
      <c r="R535" s="217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282"/>
      <c r="AG535" s="282"/>
    </row>
    <row r="536" spans="2:33" s="4" customFormat="1" ht="27.75" customHeight="1">
      <c r="B536" s="293"/>
      <c r="C536" s="294"/>
      <c r="D536" s="252"/>
      <c r="E536" s="252"/>
      <c r="F536" s="252"/>
      <c r="G536" s="242"/>
      <c r="H536" s="242"/>
      <c r="I536" s="252"/>
      <c r="J536" s="255"/>
      <c r="K536" s="241"/>
      <c r="L536" s="241"/>
      <c r="M536" s="218"/>
      <c r="N536" s="219"/>
      <c r="O536" s="218"/>
      <c r="P536" s="219"/>
      <c r="Q536" s="218"/>
      <c r="R536" s="219"/>
      <c r="S536" s="241"/>
      <c r="T536" s="241"/>
      <c r="U536" s="241"/>
      <c r="V536" s="241"/>
      <c r="W536" s="241"/>
      <c r="X536" s="241"/>
      <c r="Y536" s="241"/>
      <c r="Z536" s="241"/>
      <c r="AA536" s="241"/>
      <c r="AB536" s="241"/>
      <c r="AC536" s="241"/>
      <c r="AD536" s="241"/>
      <c r="AE536" s="241"/>
      <c r="AF536" s="283"/>
      <c r="AG536" s="304"/>
    </row>
    <row r="537" spans="2:33" s="4" customFormat="1" ht="27.75" customHeight="1" thickBot="1">
      <c r="B537" s="293"/>
      <c r="C537" s="294"/>
      <c r="D537" s="252"/>
      <c r="E537" s="252"/>
      <c r="F537" s="252"/>
      <c r="G537" s="242"/>
      <c r="H537" s="242"/>
      <c r="I537" s="252"/>
      <c r="J537" s="255"/>
      <c r="K537" s="255"/>
      <c r="L537" s="255"/>
      <c r="M537" s="220"/>
      <c r="N537" s="221"/>
      <c r="O537" s="220"/>
      <c r="P537" s="221"/>
      <c r="Q537" s="220"/>
      <c r="R537" s="221"/>
      <c r="S537" s="255"/>
      <c r="T537" s="242"/>
      <c r="U537" s="242"/>
      <c r="V537" s="242"/>
      <c r="W537" s="242"/>
      <c r="X537" s="242"/>
      <c r="Y537" s="242"/>
      <c r="Z537" s="242"/>
      <c r="AA537" s="242"/>
      <c r="AB537" s="242"/>
      <c r="AC537" s="242"/>
      <c r="AD537" s="242"/>
      <c r="AE537" s="242"/>
      <c r="AF537" s="284"/>
      <c r="AG537" s="304"/>
    </row>
    <row r="538" spans="2:33" s="4" customFormat="1" ht="27.75" customHeight="1">
      <c r="B538" s="293"/>
      <c r="C538" s="294"/>
      <c r="D538" s="252"/>
      <c r="E538" s="252"/>
      <c r="F538" s="252"/>
      <c r="G538" s="242"/>
      <c r="H538" s="242"/>
      <c r="I538" s="252"/>
      <c r="J538" s="255"/>
      <c r="K538" s="255"/>
      <c r="L538" s="255"/>
      <c r="M538" s="220"/>
      <c r="N538" s="221"/>
      <c r="O538" s="220"/>
      <c r="P538" s="221"/>
      <c r="Q538" s="220"/>
      <c r="R538" s="221"/>
      <c r="S538" s="255"/>
      <c r="T538" s="242"/>
      <c r="U538" s="242"/>
      <c r="V538" s="242"/>
      <c r="W538" s="242"/>
      <c r="X538" s="242"/>
      <c r="Y538" s="242"/>
      <c r="Z538" s="242"/>
      <c r="AA538" s="242"/>
      <c r="AB538" s="242"/>
      <c r="AC538" s="242"/>
      <c r="AD538" s="242"/>
      <c r="AE538" s="242"/>
      <c r="AF538" s="269"/>
      <c r="AG538" s="270"/>
    </row>
    <row r="539" spans="2:33" s="4" customFormat="1" ht="27.75" customHeight="1">
      <c r="B539" s="293"/>
      <c r="C539" s="294"/>
      <c r="D539" s="252"/>
      <c r="E539" s="252"/>
      <c r="F539" s="252"/>
      <c r="G539" s="242"/>
      <c r="H539" s="242"/>
      <c r="I539" s="252"/>
      <c r="J539" s="255"/>
      <c r="K539" s="255"/>
      <c r="L539" s="255"/>
      <c r="M539" s="220"/>
      <c r="N539" s="221"/>
      <c r="O539" s="220"/>
      <c r="P539" s="221"/>
      <c r="Q539" s="220"/>
      <c r="R539" s="221"/>
      <c r="S539" s="255"/>
      <c r="T539" s="242"/>
      <c r="U539" s="242"/>
      <c r="V539" s="242"/>
      <c r="W539" s="242"/>
      <c r="X539" s="242"/>
      <c r="Y539" s="242"/>
      <c r="Z539" s="242"/>
      <c r="AA539" s="242"/>
      <c r="AB539" s="242"/>
      <c r="AC539" s="242"/>
      <c r="AD539" s="242"/>
      <c r="AE539" s="242"/>
      <c r="AF539" s="271"/>
      <c r="AG539" s="272"/>
    </row>
    <row r="540" spans="2:33" s="4" customFormat="1" ht="27.75" customHeight="1">
      <c r="B540" s="293"/>
      <c r="C540" s="294"/>
      <c r="D540" s="252"/>
      <c r="E540" s="252"/>
      <c r="F540" s="252"/>
      <c r="G540" s="242"/>
      <c r="H540" s="242"/>
      <c r="I540" s="252"/>
      <c r="J540" s="255"/>
      <c r="K540" s="255"/>
      <c r="L540" s="255"/>
      <c r="M540" s="220"/>
      <c r="N540" s="221"/>
      <c r="O540" s="220"/>
      <c r="P540" s="221"/>
      <c r="Q540" s="220"/>
      <c r="R540" s="221"/>
      <c r="S540" s="255"/>
      <c r="T540" s="242"/>
      <c r="U540" s="242"/>
      <c r="V540" s="242"/>
      <c r="W540" s="242"/>
      <c r="X540" s="242"/>
      <c r="Y540" s="242"/>
      <c r="Z540" s="242"/>
      <c r="AA540" s="242"/>
      <c r="AB540" s="242"/>
      <c r="AC540" s="242"/>
      <c r="AD540" s="242"/>
      <c r="AE540" s="242"/>
      <c r="AF540" s="271"/>
      <c r="AG540" s="272"/>
    </row>
    <row r="541" spans="2:33" s="4" customFormat="1" ht="27.75" customHeight="1">
      <c r="B541" s="293"/>
      <c r="C541" s="294"/>
      <c r="D541" s="252"/>
      <c r="E541" s="252"/>
      <c r="F541" s="252"/>
      <c r="G541" s="242"/>
      <c r="H541" s="242"/>
      <c r="I541" s="252"/>
      <c r="J541" s="255"/>
      <c r="K541" s="255"/>
      <c r="L541" s="255"/>
      <c r="M541" s="220"/>
      <c r="N541" s="221"/>
      <c r="O541" s="220"/>
      <c r="P541" s="221"/>
      <c r="Q541" s="220"/>
      <c r="R541" s="221"/>
      <c r="S541" s="255"/>
      <c r="T541" s="242"/>
      <c r="U541" s="242"/>
      <c r="V541" s="242"/>
      <c r="W541" s="242"/>
      <c r="X541" s="242"/>
      <c r="Y541" s="242"/>
      <c r="Z541" s="242"/>
      <c r="AA541" s="242"/>
      <c r="AB541" s="242"/>
      <c r="AC541" s="242"/>
      <c r="AD541" s="242"/>
      <c r="AE541" s="242"/>
      <c r="AF541" s="271"/>
      <c r="AG541" s="272"/>
    </row>
    <row r="542" spans="2:33" s="4" customFormat="1" ht="27.75" customHeight="1">
      <c r="B542" s="293"/>
      <c r="C542" s="294"/>
      <c r="D542" s="252"/>
      <c r="E542" s="252"/>
      <c r="F542" s="252"/>
      <c r="G542" s="242"/>
      <c r="H542" s="242"/>
      <c r="I542" s="252"/>
      <c r="J542" s="255"/>
      <c r="K542" s="255"/>
      <c r="L542" s="255"/>
      <c r="M542" s="220"/>
      <c r="N542" s="221"/>
      <c r="O542" s="220"/>
      <c r="P542" s="221"/>
      <c r="Q542" s="220"/>
      <c r="R542" s="221"/>
      <c r="S542" s="255"/>
      <c r="T542" s="242"/>
      <c r="U542" s="242"/>
      <c r="V542" s="242"/>
      <c r="W542" s="242"/>
      <c r="X542" s="242"/>
      <c r="Y542" s="242"/>
      <c r="Z542" s="242"/>
      <c r="AA542" s="242"/>
      <c r="AB542" s="242"/>
      <c r="AC542" s="242"/>
      <c r="AD542" s="242"/>
      <c r="AE542" s="242"/>
      <c r="AF542" s="271"/>
      <c r="AG542" s="272"/>
    </row>
    <row r="543" spans="2:33" s="5" customFormat="1" ht="27.75" customHeight="1">
      <c r="B543" s="295"/>
      <c r="C543" s="296"/>
      <c r="D543" s="253"/>
      <c r="E543" s="253"/>
      <c r="F543" s="253"/>
      <c r="G543" s="243"/>
      <c r="H543" s="243"/>
      <c r="I543" s="253"/>
      <c r="J543" s="256"/>
      <c r="K543" s="256"/>
      <c r="L543" s="256"/>
      <c r="M543" s="222"/>
      <c r="N543" s="223"/>
      <c r="O543" s="222"/>
      <c r="P543" s="223"/>
      <c r="Q543" s="222"/>
      <c r="R543" s="223"/>
      <c r="S543" s="256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71"/>
      <c r="AG543" s="272"/>
    </row>
    <row r="544" spans="2:33" s="7" customFormat="1" ht="21.75" customHeight="1" thickBot="1">
      <c r="B544" s="56"/>
      <c r="C544" s="56"/>
      <c r="D544" s="57"/>
      <c r="E544" s="57"/>
      <c r="F544" s="57"/>
      <c r="G544" s="57"/>
      <c r="H544" s="57"/>
      <c r="I544" s="57"/>
      <c r="J544" s="57"/>
      <c r="K544" s="57"/>
      <c r="L544" s="57"/>
      <c r="M544" s="208"/>
      <c r="N544" s="210"/>
      <c r="O544" s="208"/>
      <c r="P544" s="210"/>
      <c r="Q544" s="208"/>
      <c r="R544" s="210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271"/>
      <c r="AG544" s="272"/>
    </row>
    <row r="545" spans="1:33" s="4" customFormat="1" ht="21.75" customHeight="1">
      <c r="A545" s="30"/>
      <c r="B545" s="291"/>
      <c r="C545" s="292"/>
      <c r="D545" s="42"/>
      <c r="E545" s="42"/>
      <c r="F545" s="42"/>
      <c r="G545" s="42"/>
      <c r="H545" s="42"/>
      <c r="I545" s="43"/>
      <c r="J545" s="58"/>
      <c r="K545" s="346"/>
      <c r="L545" s="346"/>
      <c r="M545" s="227"/>
      <c r="N545" s="227"/>
      <c r="O545" s="227"/>
      <c r="P545" s="227"/>
      <c r="Q545" s="227"/>
      <c r="R545" s="227"/>
      <c r="S545" s="289"/>
      <c r="T545" s="289"/>
      <c r="U545" s="289"/>
      <c r="V545" s="289"/>
      <c r="W545" s="289"/>
      <c r="X545" s="289"/>
      <c r="Y545" s="289"/>
      <c r="Z545" s="289"/>
      <c r="AA545" s="227"/>
      <c r="AB545" s="227"/>
      <c r="AC545" s="227"/>
      <c r="AD545" s="227"/>
      <c r="AE545" s="227"/>
      <c r="AF545" s="271"/>
      <c r="AG545" s="272"/>
    </row>
    <row r="546" spans="1:33" s="4" customFormat="1" ht="21.75" customHeight="1">
      <c r="A546" s="30"/>
      <c r="B546" s="230"/>
      <c r="C546" s="231"/>
      <c r="D546" s="231"/>
      <c r="E546" s="231"/>
      <c r="F546" s="231"/>
      <c r="G546" s="231"/>
      <c r="H546" s="231"/>
      <c r="I546" s="232"/>
      <c r="J546" s="39"/>
      <c r="K546" s="347"/>
      <c r="L546" s="347"/>
      <c r="M546" s="228"/>
      <c r="N546" s="228"/>
      <c r="O546" s="228"/>
      <c r="P546" s="228"/>
      <c r="Q546" s="228"/>
      <c r="R546" s="228"/>
      <c r="S546" s="290"/>
      <c r="T546" s="290"/>
      <c r="U546" s="290"/>
      <c r="V546" s="290"/>
      <c r="W546" s="290"/>
      <c r="X546" s="290"/>
      <c r="Y546" s="290"/>
      <c r="Z546" s="290"/>
      <c r="AA546" s="228"/>
      <c r="AB546" s="228"/>
      <c r="AC546" s="228"/>
      <c r="AD546" s="228"/>
      <c r="AE546" s="228"/>
      <c r="AF546" s="271"/>
      <c r="AG546" s="272"/>
    </row>
    <row r="547" spans="1:33" s="4" customFormat="1" ht="21.75" customHeight="1">
      <c r="A547" s="30"/>
      <c r="B547" s="67"/>
      <c r="C547" s="46"/>
      <c r="D547" s="39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71"/>
      <c r="AG547" s="272"/>
    </row>
    <row r="548" spans="1:33" s="4" customFormat="1" ht="21.75" customHeight="1">
      <c r="A548" s="30"/>
      <c r="B548" s="37"/>
      <c r="C548" s="38"/>
      <c r="D548" s="39"/>
      <c r="E548" s="213"/>
      <c r="F548" s="214"/>
      <c r="G548" s="214"/>
      <c r="H548" s="214"/>
      <c r="I548" s="215"/>
      <c r="J548" s="24"/>
      <c r="K548" s="24"/>
      <c r="L548" s="24"/>
      <c r="M548" s="24"/>
      <c r="N548" s="61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71"/>
      <c r="AG548" s="272"/>
    </row>
    <row r="549" spans="1:33" s="4" customFormat="1" ht="21.75" customHeight="1">
      <c r="A549" s="30"/>
      <c r="B549" s="38"/>
      <c r="C549" s="38"/>
      <c r="D549" s="39"/>
      <c r="E549" s="213"/>
      <c r="F549" s="214"/>
      <c r="G549" s="214"/>
      <c r="H549" s="214"/>
      <c r="I549" s="215"/>
      <c r="J549" s="24"/>
      <c r="K549" s="24"/>
      <c r="L549" s="24"/>
      <c r="M549" s="24"/>
      <c r="N549" s="61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71"/>
      <c r="AG549" s="272"/>
    </row>
    <row r="550" spans="1:33" s="4" customFormat="1" ht="21.75" customHeight="1">
      <c r="A550" s="30"/>
      <c r="B550" s="38"/>
      <c r="C550" s="38"/>
      <c r="D550" s="39"/>
      <c r="E550" s="213"/>
      <c r="F550" s="214"/>
      <c r="G550" s="214"/>
      <c r="H550" s="214"/>
      <c r="I550" s="215"/>
      <c r="J550" s="39"/>
      <c r="K550" s="24"/>
      <c r="L550" s="24"/>
      <c r="M550" s="24"/>
      <c r="N550" s="61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71"/>
      <c r="AG550" s="272"/>
    </row>
    <row r="551" spans="1:33" s="4" customFormat="1" ht="21.75" customHeight="1">
      <c r="A551" s="30"/>
      <c r="B551" s="38"/>
      <c r="C551" s="38"/>
      <c r="D551" s="39"/>
      <c r="E551" s="24"/>
      <c r="F551" s="24"/>
      <c r="G551" s="24"/>
      <c r="H551" s="24"/>
      <c r="I551" s="24"/>
      <c r="J551" s="39"/>
      <c r="K551" s="24"/>
      <c r="L551" s="24"/>
      <c r="M551" s="24"/>
      <c r="N551" s="61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71"/>
      <c r="AG551" s="272"/>
    </row>
    <row r="552" spans="1:33" s="4" customFormat="1" ht="21.75" customHeight="1">
      <c r="A552" s="30"/>
      <c r="B552" s="67"/>
      <c r="C552" s="46"/>
      <c r="D552" s="39"/>
      <c r="E552" s="24"/>
      <c r="F552" s="24"/>
      <c r="G552" s="24"/>
      <c r="H552" s="24"/>
      <c r="I552" s="24"/>
      <c r="J552" s="39"/>
      <c r="K552" s="24"/>
      <c r="L552" s="24"/>
      <c r="M552" s="24"/>
      <c r="N552" s="61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71"/>
      <c r="AG552" s="272"/>
    </row>
    <row r="553" spans="1:33" s="4" customFormat="1" ht="21.75" customHeight="1">
      <c r="A553" s="30"/>
      <c r="B553" s="38"/>
      <c r="C553" s="38"/>
      <c r="D553" s="39"/>
      <c r="E553" s="24"/>
      <c r="F553" s="24"/>
      <c r="G553" s="105"/>
      <c r="H553" s="105"/>
      <c r="I553" s="24"/>
      <c r="J553" s="39"/>
      <c r="K553" s="24"/>
      <c r="L553" s="24"/>
      <c r="M553" s="24"/>
      <c r="N553" s="61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71"/>
      <c r="AG553" s="272"/>
    </row>
    <row r="554" spans="1:33" s="4" customFormat="1" ht="21.75" customHeight="1">
      <c r="A554" s="30"/>
      <c r="B554" s="38"/>
      <c r="C554" s="38"/>
      <c r="D554" s="39"/>
      <c r="E554" s="24"/>
      <c r="F554" s="24"/>
      <c r="G554" s="105"/>
      <c r="H554" s="105"/>
      <c r="I554" s="24"/>
      <c r="J554" s="39"/>
      <c r="K554" s="24"/>
      <c r="L554" s="24"/>
      <c r="M554" s="24"/>
      <c r="N554" s="61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71"/>
      <c r="AG554" s="272"/>
    </row>
    <row r="555" spans="1:33" s="4" customFormat="1" ht="21.75" customHeight="1">
      <c r="A555" s="30"/>
      <c r="B555" s="38"/>
      <c r="C555" s="38"/>
      <c r="D555" s="39"/>
      <c r="E555" s="24"/>
      <c r="F555" s="24"/>
      <c r="G555" s="24"/>
      <c r="H555" s="24"/>
      <c r="I555" s="24"/>
      <c r="J555" s="24"/>
      <c r="K555" s="24"/>
      <c r="L555" s="24"/>
      <c r="M555" s="24"/>
      <c r="N555" s="61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71"/>
      <c r="AG555" s="272"/>
    </row>
    <row r="556" spans="1:33" s="4" customFormat="1" ht="21.75" customHeight="1">
      <c r="A556" s="30"/>
      <c r="B556" s="67"/>
      <c r="C556" s="46"/>
      <c r="D556" s="39"/>
      <c r="E556" s="24"/>
      <c r="F556" s="24"/>
      <c r="G556" s="24"/>
      <c r="H556" s="24"/>
      <c r="I556" s="24"/>
      <c r="J556" s="24"/>
      <c r="K556" s="24"/>
      <c r="L556" s="24"/>
      <c r="M556" s="24"/>
      <c r="N556" s="61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71"/>
      <c r="AG556" s="272"/>
    </row>
    <row r="557" spans="1:33" s="4" customFormat="1" ht="21.75" customHeight="1">
      <c r="A557" s="30"/>
      <c r="B557" s="37"/>
      <c r="C557" s="38"/>
      <c r="D557" s="39"/>
      <c r="E557" s="24"/>
      <c r="F557" s="66"/>
      <c r="G557" s="107"/>
      <c r="H557" s="24"/>
      <c r="I557" s="24"/>
      <c r="J557" s="39"/>
      <c r="K557" s="24"/>
      <c r="L557" s="24"/>
      <c r="M557" s="24"/>
      <c r="N557" s="61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71"/>
      <c r="AG557" s="272"/>
    </row>
    <row r="558" spans="1:33" s="16" customFormat="1" ht="21.75" customHeight="1">
      <c r="A558" s="30"/>
      <c r="B558" s="38"/>
      <c r="C558" s="38"/>
      <c r="D558" s="39"/>
      <c r="E558" s="213"/>
      <c r="F558" s="214"/>
      <c r="G558" s="214"/>
      <c r="H558" s="214"/>
      <c r="I558" s="215"/>
      <c r="J558" s="24"/>
      <c r="K558" s="24"/>
      <c r="L558" s="24"/>
      <c r="M558" s="24"/>
      <c r="N558" s="61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71"/>
      <c r="AG558" s="272"/>
    </row>
    <row r="559" spans="1:33" s="16" customFormat="1" ht="21.75" customHeight="1">
      <c r="A559" s="30"/>
      <c r="B559" s="38"/>
      <c r="C559" s="38"/>
      <c r="D559" s="39"/>
      <c r="E559" s="24"/>
      <c r="F559" s="66"/>
      <c r="G559" s="24"/>
      <c r="H559" s="24"/>
      <c r="I559" s="24"/>
      <c r="J559" s="24"/>
      <c r="K559" s="24"/>
      <c r="L559" s="24"/>
      <c r="M559" s="24"/>
      <c r="N559" s="61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71"/>
      <c r="AG559" s="272"/>
    </row>
    <row r="560" spans="1:33" s="16" customFormat="1" ht="21.75" customHeight="1">
      <c r="A560" s="30"/>
      <c r="B560" s="38"/>
      <c r="C560" s="46"/>
      <c r="D560" s="39"/>
      <c r="E560" s="24"/>
      <c r="F560" s="24"/>
      <c r="G560" s="24"/>
      <c r="H560" s="24"/>
      <c r="I560" s="24"/>
      <c r="J560" s="24"/>
      <c r="K560" s="24"/>
      <c r="L560" s="24"/>
      <c r="M560" s="24"/>
      <c r="N560" s="61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71"/>
      <c r="AG560" s="272"/>
    </row>
    <row r="561" spans="1:33" s="16" customFormat="1" ht="21.75" customHeight="1">
      <c r="A561" s="30"/>
      <c r="B561" s="38"/>
      <c r="C561" s="38"/>
      <c r="D561" s="39"/>
      <c r="E561" s="24"/>
      <c r="F561" s="66"/>
      <c r="G561" s="24"/>
      <c r="H561" s="24"/>
      <c r="I561" s="24"/>
      <c r="J561" s="24"/>
      <c r="K561" s="24"/>
      <c r="L561" s="24"/>
      <c r="M561" s="24"/>
      <c r="N561" s="61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71"/>
      <c r="AG561" s="272"/>
    </row>
    <row r="562" spans="1:33" s="4" customFormat="1" ht="21.75" customHeight="1">
      <c r="A562" s="30"/>
      <c r="B562" s="38"/>
      <c r="C562" s="38"/>
      <c r="D562" s="39"/>
      <c r="E562" s="24"/>
      <c r="F562" s="66"/>
      <c r="G562" s="24"/>
      <c r="H562" s="24"/>
      <c r="I562" s="24"/>
      <c r="J562" s="24"/>
      <c r="K562" s="24"/>
      <c r="L562" s="24"/>
      <c r="M562" s="24"/>
      <c r="N562" s="61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71"/>
      <c r="AG562" s="272"/>
    </row>
    <row r="563" spans="1:33" s="4" customFormat="1" ht="21.75" customHeight="1">
      <c r="A563" s="30"/>
      <c r="B563" s="38"/>
      <c r="C563" s="38"/>
      <c r="D563" s="39"/>
      <c r="E563" s="24"/>
      <c r="F563" s="24"/>
      <c r="G563" s="24"/>
      <c r="H563" s="24"/>
      <c r="I563" s="24"/>
      <c r="J563" s="24"/>
      <c r="K563" s="24"/>
      <c r="L563" s="24"/>
      <c r="M563" s="24"/>
      <c r="N563" s="61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71"/>
      <c r="AG563" s="272"/>
    </row>
    <row r="564" spans="1:33" s="4" customFormat="1" ht="21.75" customHeight="1">
      <c r="A564" s="30"/>
      <c r="B564" s="230"/>
      <c r="C564" s="231"/>
      <c r="D564" s="231"/>
      <c r="E564" s="231"/>
      <c r="F564" s="231"/>
      <c r="G564" s="231"/>
      <c r="H564" s="231"/>
      <c r="I564" s="232"/>
      <c r="J564" s="24"/>
      <c r="K564" s="24"/>
      <c r="L564" s="24"/>
      <c r="M564" s="24"/>
      <c r="N564" s="61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71"/>
      <c r="AG564" s="272"/>
    </row>
    <row r="565" spans="1:33" s="4" customFormat="1" ht="21.75" customHeight="1">
      <c r="A565" s="30"/>
      <c r="B565" s="67"/>
      <c r="C565" s="46"/>
      <c r="D565" s="39"/>
      <c r="E565" s="24"/>
      <c r="F565" s="24"/>
      <c r="G565" s="24"/>
      <c r="H565" s="24"/>
      <c r="I565" s="24"/>
      <c r="J565" s="24"/>
      <c r="K565" s="24"/>
      <c r="L565" s="24"/>
      <c r="M565" s="24"/>
      <c r="N565" s="61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71"/>
      <c r="AG565" s="272"/>
    </row>
    <row r="566" spans="1:33" s="4" customFormat="1" ht="21.75" customHeight="1">
      <c r="A566" s="30"/>
      <c r="B566" s="38"/>
      <c r="C566" s="38"/>
      <c r="D566" s="39"/>
      <c r="E566" s="24"/>
      <c r="F566" s="24"/>
      <c r="G566" s="105"/>
      <c r="H566" s="105"/>
      <c r="I566" s="24"/>
      <c r="J566" s="39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71"/>
      <c r="AG566" s="272"/>
    </row>
    <row r="567" spans="1:33" s="4" customFormat="1" ht="21.75" customHeight="1">
      <c r="A567" s="30"/>
      <c r="B567" s="38"/>
      <c r="C567" s="46"/>
      <c r="D567" s="39"/>
      <c r="E567" s="24"/>
      <c r="F567" s="24"/>
      <c r="G567" s="105"/>
      <c r="H567" s="105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71"/>
      <c r="AG567" s="272"/>
    </row>
    <row r="568" spans="1:33" s="4" customFormat="1" ht="21.75" customHeight="1">
      <c r="A568" s="30"/>
      <c r="B568" s="38"/>
      <c r="C568" s="38"/>
      <c r="D568" s="39"/>
      <c r="E568" s="24"/>
      <c r="F568" s="24"/>
      <c r="G568" s="105"/>
      <c r="H568" s="105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71"/>
      <c r="AG568" s="272"/>
    </row>
    <row r="569" spans="1:33" s="4" customFormat="1" ht="21.75" customHeight="1">
      <c r="A569" s="30"/>
      <c r="B569" s="38"/>
      <c r="C569" s="38"/>
      <c r="D569" s="39"/>
      <c r="E569" s="24"/>
      <c r="F569" s="24"/>
      <c r="G569" s="105"/>
      <c r="H569" s="105"/>
      <c r="I569" s="24"/>
      <c r="J569" s="39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71"/>
      <c r="AG569" s="272"/>
    </row>
    <row r="570" spans="1:33" s="4" customFormat="1" ht="21.75" customHeight="1">
      <c r="A570" s="30"/>
      <c r="B570" s="38"/>
      <c r="C570" s="38"/>
      <c r="D570" s="39"/>
      <c r="E570" s="24"/>
      <c r="F570" s="24"/>
      <c r="G570" s="105"/>
      <c r="H570" s="105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71"/>
      <c r="AG570" s="272"/>
    </row>
    <row r="571" spans="1:33" s="4" customFormat="1" ht="21.75" customHeight="1">
      <c r="A571" s="30"/>
      <c r="B571" s="38"/>
      <c r="C571" s="38"/>
      <c r="D571" s="39"/>
      <c r="E571" s="24"/>
      <c r="F571" s="24"/>
      <c r="G571" s="24"/>
      <c r="H571" s="44"/>
      <c r="I571" s="45"/>
      <c r="J571" s="39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71"/>
      <c r="AG571" s="272"/>
    </row>
    <row r="572" spans="1:33" s="4" customFormat="1" ht="21.75" customHeight="1">
      <c r="A572" s="30"/>
      <c r="B572" s="38"/>
      <c r="C572" s="38"/>
      <c r="D572" s="39"/>
      <c r="E572" s="24"/>
      <c r="F572" s="24"/>
      <c r="G572" s="105"/>
      <c r="H572" s="105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71"/>
      <c r="AG572" s="272"/>
    </row>
    <row r="573" spans="1:33" s="4" customFormat="1" ht="21.75" customHeight="1">
      <c r="A573" s="30"/>
      <c r="B573" s="38"/>
      <c r="C573" s="38"/>
      <c r="D573" s="39"/>
      <c r="E573" s="24"/>
      <c r="F573" s="24"/>
      <c r="G573" s="105"/>
      <c r="H573" s="105"/>
      <c r="I573" s="24"/>
      <c r="J573" s="39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71"/>
      <c r="AG573" s="272"/>
    </row>
    <row r="574" spans="1:33" s="4" customFormat="1" ht="21.75" customHeight="1">
      <c r="A574" s="30"/>
      <c r="B574" s="38"/>
      <c r="C574" s="38"/>
      <c r="D574" s="39"/>
      <c r="E574" s="24"/>
      <c r="F574" s="24"/>
      <c r="G574" s="90"/>
      <c r="H574" s="24"/>
      <c r="I574" s="24"/>
      <c r="J574" s="148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71"/>
      <c r="AG574" s="272"/>
    </row>
    <row r="575" spans="1:33" s="4" customFormat="1" ht="21.75" customHeight="1">
      <c r="A575" s="30"/>
      <c r="B575" s="67"/>
      <c r="C575" s="38"/>
      <c r="D575" s="39"/>
      <c r="E575" s="24"/>
      <c r="F575" s="66"/>
      <c r="G575" s="90"/>
      <c r="H575" s="24"/>
      <c r="I575" s="24"/>
      <c r="J575" s="148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71"/>
      <c r="AG575" s="272"/>
    </row>
    <row r="576" spans="1:33" s="4" customFormat="1" ht="21.75" customHeight="1">
      <c r="A576" s="30"/>
      <c r="B576" s="38"/>
      <c r="C576" s="46"/>
      <c r="D576" s="39"/>
      <c r="E576" s="24"/>
      <c r="F576" s="24"/>
      <c r="G576" s="105"/>
      <c r="H576" s="105"/>
      <c r="I576" s="24"/>
      <c r="J576" s="148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71"/>
      <c r="AG576" s="272"/>
    </row>
    <row r="577" spans="1:33" s="4" customFormat="1" ht="21.75" customHeight="1">
      <c r="A577" s="30"/>
      <c r="B577" s="38"/>
      <c r="C577" s="46"/>
      <c r="D577" s="39"/>
      <c r="E577" s="24"/>
      <c r="F577" s="24"/>
      <c r="G577" s="105"/>
      <c r="H577" s="105"/>
      <c r="I577" s="24"/>
      <c r="J577" s="148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71"/>
      <c r="AG577" s="272"/>
    </row>
    <row r="578" spans="1:33" s="4" customFormat="1" ht="21.75" customHeight="1">
      <c r="A578" s="30"/>
      <c r="B578" s="38"/>
      <c r="C578" s="38"/>
      <c r="D578" s="39"/>
      <c r="E578" s="24"/>
      <c r="F578" s="24"/>
      <c r="G578" s="105"/>
      <c r="H578" s="105"/>
      <c r="I578" s="24"/>
      <c r="J578" s="148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71"/>
      <c r="AG578" s="272"/>
    </row>
    <row r="579" spans="1:33" s="4" customFormat="1" ht="21.75" customHeight="1">
      <c r="A579" s="30"/>
      <c r="B579" s="38"/>
      <c r="C579" s="38"/>
      <c r="D579" s="39"/>
      <c r="E579" s="24"/>
      <c r="F579" s="24"/>
      <c r="G579" s="105"/>
      <c r="H579" s="105"/>
      <c r="I579" s="24"/>
      <c r="J579" s="148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71"/>
      <c r="AG579" s="272"/>
    </row>
    <row r="580" spans="1:33" s="4" customFormat="1" ht="21.75" customHeight="1">
      <c r="A580" s="30"/>
      <c r="B580" s="38"/>
      <c r="C580" s="38"/>
      <c r="D580" s="39"/>
      <c r="E580" s="24"/>
      <c r="F580" s="24"/>
      <c r="G580" s="105"/>
      <c r="H580" s="105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71"/>
      <c r="AG580" s="272"/>
    </row>
    <row r="581" spans="1:33" s="4" customFormat="1" ht="21.75" customHeight="1">
      <c r="A581" s="30"/>
      <c r="B581" s="38"/>
      <c r="C581" s="38"/>
      <c r="D581" s="39"/>
      <c r="E581" s="24"/>
      <c r="F581" s="66"/>
      <c r="G581" s="105"/>
      <c r="H581" s="105"/>
      <c r="I581" s="24"/>
      <c r="J581" s="24"/>
      <c r="K581" s="24"/>
      <c r="L581" s="24"/>
      <c r="M581" s="24"/>
      <c r="N581" s="61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71"/>
      <c r="AG581" s="272"/>
    </row>
    <row r="582" spans="1:33" s="4" customFormat="1" ht="21.75" customHeight="1" thickBot="1">
      <c r="A582" s="30"/>
      <c r="B582" s="38"/>
      <c r="C582" s="38"/>
      <c r="D582" s="39"/>
      <c r="E582" s="24"/>
      <c r="F582" s="24"/>
      <c r="G582" s="105"/>
      <c r="H582" s="105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81"/>
      <c r="AG582" s="275"/>
    </row>
    <row r="583" spans="1:33" s="4" customFormat="1" ht="21.75" customHeight="1">
      <c r="A583" s="30"/>
      <c r="B583" s="38"/>
      <c r="C583" s="38"/>
      <c r="D583" s="39"/>
      <c r="E583" s="24"/>
      <c r="F583" s="66"/>
      <c r="G583" s="105"/>
      <c r="H583" s="105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69"/>
      <c r="AG583" s="270"/>
    </row>
    <row r="584" spans="1:33" s="4" customFormat="1" ht="21.75" customHeight="1">
      <c r="A584" s="30"/>
      <c r="B584" s="38"/>
      <c r="C584" s="38"/>
      <c r="D584" s="39"/>
      <c r="E584" s="24"/>
      <c r="F584" s="66"/>
      <c r="G584" s="105"/>
      <c r="H584" s="105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71"/>
      <c r="AG584" s="272"/>
    </row>
    <row r="585" spans="1:33" s="4" customFormat="1" ht="21.75" customHeight="1">
      <c r="A585" s="30"/>
      <c r="B585" s="38"/>
      <c r="C585" s="38"/>
      <c r="D585" s="39"/>
      <c r="E585" s="24"/>
      <c r="F585" s="66"/>
      <c r="G585" s="105"/>
      <c r="H585" s="105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71"/>
      <c r="AG585" s="272"/>
    </row>
    <row r="586" spans="1:33" s="4" customFormat="1" ht="21.75" customHeight="1">
      <c r="A586" s="30"/>
      <c r="B586" s="38"/>
      <c r="C586" s="38"/>
      <c r="D586" s="39"/>
      <c r="E586" s="24"/>
      <c r="F586" s="24"/>
      <c r="G586" s="105"/>
      <c r="H586" s="105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71"/>
      <c r="AG586" s="272"/>
    </row>
    <row r="587" spans="1:33" s="4" customFormat="1" ht="21.75" customHeight="1">
      <c r="A587" s="30"/>
      <c r="B587" s="38"/>
      <c r="C587" s="38"/>
      <c r="D587" s="39"/>
      <c r="E587" s="24"/>
      <c r="F587" s="24"/>
      <c r="G587" s="105"/>
      <c r="H587" s="105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71"/>
      <c r="AG587" s="272"/>
    </row>
    <row r="588" spans="1:33" s="4" customFormat="1" ht="21.75" customHeight="1">
      <c r="A588" s="30"/>
      <c r="B588" s="38"/>
      <c r="C588" s="38"/>
      <c r="D588" s="39"/>
      <c r="E588" s="24"/>
      <c r="F588" s="24"/>
      <c r="G588" s="105"/>
      <c r="H588" s="105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71"/>
      <c r="AG588" s="272"/>
    </row>
    <row r="589" spans="1:33" s="4" customFormat="1" ht="21.75" customHeight="1">
      <c r="A589" s="30"/>
      <c r="B589" s="38"/>
      <c r="C589" s="38"/>
      <c r="D589" s="39"/>
      <c r="E589" s="24"/>
      <c r="F589" s="24"/>
      <c r="G589" s="24"/>
      <c r="H589" s="24"/>
      <c r="I589" s="24"/>
      <c r="J589" s="24"/>
      <c r="K589" s="24"/>
      <c r="L589" s="24"/>
      <c r="M589" s="24"/>
      <c r="N589" s="61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71"/>
      <c r="AG589" s="272"/>
    </row>
    <row r="590" spans="1:33" s="4" customFormat="1" ht="21.75" customHeight="1">
      <c r="A590" s="30"/>
      <c r="B590" s="67"/>
      <c r="C590" s="38"/>
      <c r="D590" s="39"/>
      <c r="E590" s="24"/>
      <c r="F590" s="24"/>
      <c r="G590" s="24"/>
      <c r="H590" s="24"/>
      <c r="I590" s="24"/>
      <c r="J590" s="24"/>
      <c r="K590" s="24"/>
      <c r="L590" s="24"/>
      <c r="M590" s="24"/>
      <c r="N590" s="61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71"/>
      <c r="AG590" s="272"/>
    </row>
    <row r="591" spans="1:33" s="4" customFormat="1" ht="21.75" customHeight="1">
      <c r="A591" s="30"/>
      <c r="B591" s="38"/>
      <c r="C591" s="38"/>
      <c r="D591" s="39"/>
      <c r="E591" s="24"/>
      <c r="F591" s="24"/>
      <c r="G591" s="105"/>
      <c r="H591" s="105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71"/>
      <c r="AG591" s="272"/>
    </row>
    <row r="592" spans="1:33" s="4" customFormat="1" ht="21.75" customHeight="1">
      <c r="A592" s="30"/>
      <c r="B592" s="38"/>
      <c r="C592" s="38"/>
      <c r="D592" s="39"/>
      <c r="E592" s="24"/>
      <c r="F592" s="24"/>
      <c r="G592" s="105"/>
      <c r="H592" s="105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71"/>
      <c r="AG592" s="272"/>
    </row>
    <row r="593" spans="1:33" s="4" customFormat="1" ht="21.75" customHeight="1">
      <c r="A593" s="30"/>
      <c r="B593" s="38"/>
      <c r="C593" s="38"/>
      <c r="D593" s="39"/>
      <c r="E593" s="24"/>
      <c r="F593" s="24"/>
      <c r="G593" s="24"/>
      <c r="H593" s="24"/>
      <c r="I593" s="24"/>
      <c r="J593" s="24"/>
      <c r="K593" s="24"/>
      <c r="L593" s="24"/>
      <c r="M593" s="24"/>
      <c r="N593" s="61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71"/>
      <c r="AG593" s="272"/>
    </row>
    <row r="594" spans="1:33" s="4" customFormat="1" ht="21.75" customHeight="1">
      <c r="A594" s="30"/>
      <c r="B594" s="38"/>
      <c r="C594" s="38"/>
      <c r="D594" s="39"/>
      <c r="E594" s="24"/>
      <c r="F594" s="214"/>
      <c r="G594" s="214"/>
      <c r="H594" s="214"/>
      <c r="I594" s="215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71"/>
      <c r="AG594" s="272"/>
    </row>
    <row r="595" spans="1:33" s="4" customFormat="1" ht="21.75" customHeight="1">
      <c r="A595" s="30"/>
      <c r="B595" s="38"/>
      <c r="C595" s="38"/>
      <c r="D595" s="39"/>
      <c r="E595" s="24"/>
      <c r="F595" s="24"/>
      <c r="G595" s="105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71"/>
      <c r="AG595" s="272"/>
    </row>
    <row r="596" spans="1:33" s="4" customFormat="1" ht="21.75" customHeight="1">
      <c r="A596" s="30"/>
      <c r="B596" s="38"/>
      <c r="C596" s="38"/>
      <c r="D596" s="39"/>
      <c r="E596" s="24"/>
      <c r="F596" s="24"/>
      <c r="G596" s="105"/>
      <c r="H596" s="105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73"/>
      <c r="AG596" s="272"/>
    </row>
    <row r="597" spans="1:33" s="4" customFormat="1" ht="21.75" customHeight="1">
      <c r="A597" s="30"/>
      <c r="B597" s="38"/>
      <c r="C597" s="38"/>
      <c r="D597" s="39"/>
      <c r="E597" s="24"/>
      <c r="F597" s="24"/>
      <c r="G597" s="105"/>
      <c r="H597" s="105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73"/>
      <c r="AG597" s="272"/>
    </row>
    <row r="598" spans="1:33" s="4" customFormat="1" ht="21.75" customHeight="1" thickBot="1">
      <c r="A598" s="30"/>
      <c r="B598" s="38"/>
      <c r="C598" s="38"/>
      <c r="D598" s="39"/>
      <c r="E598" s="24"/>
      <c r="F598" s="24"/>
      <c r="G598" s="24"/>
      <c r="H598" s="24"/>
      <c r="I598" s="24"/>
      <c r="J598" s="24"/>
      <c r="K598" s="24"/>
      <c r="L598" s="24"/>
      <c r="M598" s="24"/>
      <c r="N598" s="61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74"/>
      <c r="AG598" s="275"/>
    </row>
    <row r="599" spans="2:33" s="1" customFormat="1" ht="46.5" customHeight="1">
      <c r="B599" s="233"/>
      <c r="C599" s="234"/>
      <c r="D599" s="234"/>
      <c r="E599" s="234"/>
      <c r="F599" s="234"/>
      <c r="G599" s="234"/>
      <c r="H599" s="234"/>
      <c r="I599" s="234"/>
      <c r="J599" s="234"/>
      <c r="K599" s="211"/>
      <c r="L599" s="211"/>
      <c r="M599" s="211"/>
      <c r="N599" s="211"/>
      <c r="O599" s="211"/>
      <c r="P599" s="211"/>
      <c r="Q599" s="211"/>
      <c r="R599" s="211"/>
      <c r="S599" s="211"/>
      <c r="T599" s="211"/>
      <c r="U599" s="211"/>
      <c r="V599" s="211"/>
      <c r="W599" s="211"/>
      <c r="X599" s="211"/>
      <c r="Y599" s="211"/>
      <c r="Z599" s="211"/>
      <c r="AA599" s="211"/>
      <c r="AB599" s="211"/>
      <c r="AC599" s="211"/>
      <c r="AD599" s="211"/>
      <c r="AE599" s="211"/>
      <c r="AF599" s="279"/>
      <c r="AG599" s="280"/>
    </row>
    <row r="600" spans="2:33" s="1" customFormat="1" ht="46.5" customHeight="1" thickBot="1">
      <c r="B600" s="236"/>
      <c r="C600" s="237"/>
      <c r="D600" s="237"/>
      <c r="E600" s="237"/>
      <c r="F600" s="237"/>
      <c r="G600" s="237"/>
      <c r="H600" s="237"/>
      <c r="I600" s="237"/>
      <c r="J600" s="237"/>
      <c r="K600" s="212"/>
      <c r="L600" s="212"/>
      <c r="M600" s="212"/>
      <c r="N600" s="212"/>
      <c r="O600" s="212"/>
      <c r="P600" s="212"/>
      <c r="Q600" s="212"/>
      <c r="R600" s="212"/>
      <c r="S600" s="212"/>
      <c r="T600" s="212"/>
      <c r="U600" s="212"/>
      <c r="V600" s="212"/>
      <c r="W600" s="212"/>
      <c r="X600" s="212"/>
      <c r="Y600" s="212"/>
      <c r="Z600" s="212"/>
      <c r="AA600" s="212"/>
      <c r="AB600" s="212"/>
      <c r="AC600" s="212"/>
      <c r="AD600" s="212"/>
      <c r="AE600" s="212"/>
      <c r="AF600" s="276"/>
      <c r="AG600" s="277"/>
    </row>
    <row r="601" spans="1:34" ht="36" customHeight="1">
      <c r="A601" s="10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78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F601" s="49"/>
      <c r="AG601" s="49"/>
      <c r="AH601" s="11"/>
    </row>
    <row r="602" spans="2:33" ht="15"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79"/>
      <c r="P602" s="78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F602" s="49"/>
      <c r="AG602" s="49"/>
    </row>
    <row r="603" spans="2:33" ht="15"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79"/>
      <c r="P603" s="78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F603" s="49"/>
      <c r="AG603" s="49"/>
    </row>
    <row r="604" spans="1:33" ht="15.75">
      <c r="A604" s="156"/>
      <c r="B604" s="153"/>
      <c r="C604" s="51"/>
      <c r="D604" s="51"/>
      <c r="E604" s="51"/>
      <c r="F604" s="51"/>
      <c r="G604" s="52"/>
      <c r="H604" s="53"/>
      <c r="I604" s="53"/>
      <c r="J604" s="53"/>
      <c r="K604" s="53"/>
      <c r="L604" s="80"/>
      <c r="M604" s="80"/>
      <c r="N604" s="53"/>
      <c r="O604" s="53"/>
      <c r="P604" s="53"/>
      <c r="Q604" s="53"/>
      <c r="R604" s="53"/>
      <c r="S604" s="94"/>
      <c r="T604" s="94"/>
      <c r="U604" s="95"/>
      <c r="V604" s="53"/>
      <c r="W604" s="82"/>
      <c r="X604" s="82"/>
      <c r="Y604" s="83"/>
      <c r="Z604" s="84"/>
      <c r="AF604" s="52"/>
      <c r="AG604" s="52"/>
    </row>
    <row r="605" spans="2:33" ht="15">
      <c r="B605" s="49"/>
      <c r="C605" s="49"/>
      <c r="D605" s="49"/>
      <c r="E605" s="49"/>
      <c r="F605" s="49"/>
      <c r="G605" s="49"/>
      <c r="H605" s="49"/>
      <c r="I605" s="49"/>
      <c r="J605" s="49"/>
      <c r="K605" s="146"/>
      <c r="L605" s="146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F605" s="49"/>
      <c r="AG605" s="49"/>
    </row>
    <row r="606" spans="2:33" ht="15">
      <c r="B606" s="49"/>
      <c r="C606" s="49"/>
      <c r="D606" s="49"/>
      <c r="E606" s="49"/>
      <c r="F606" s="49"/>
      <c r="G606" s="49"/>
      <c r="H606" s="49"/>
      <c r="I606" s="49"/>
      <c r="J606" s="49"/>
      <c r="K606" s="143"/>
      <c r="L606" s="144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F606" s="49"/>
      <c r="AG606" s="49"/>
    </row>
    <row r="607" spans="2:33" ht="15">
      <c r="B607" s="49"/>
      <c r="C607" s="49"/>
      <c r="D607" s="49"/>
      <c r="E607" s="49"/>
      <c r="F607" s="49"/>
      <c r="G607" s="49"/>
      <c r="H607" s="49"/>
      <c r="I607" s="49"/>
      <c r="J607" s="49"/>
      <c r="K607" s="139"/>
      <c r="L607" s="140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  <c r="AF607" s="49"/>
      <c r="AG607" s="49"/>
    </row>
    <row r="608" spans="2:33" ht="12.75"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85"/>
      <c r="U608" s="49"/>
      <c r="V608" s="49"/>
      <c r="W608" s="49"/>
      <c r="X608" s="49"/>
      <c r="Y608" s="49"/>
      <c r="Z608" s="49"/>
      <c r="AF608" s="49"/>
      <c r="AG608" s="49"/>
    </row>
    <row r="609" spans="2:33" ht="12.75"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79"/>
      <c r="R609" s="49"/>
      <c r="S609" s="49"/>
      <c r="T609" s="85"/>
      <c r="U609" s="49"/>
      <c r="V609" s="49"/>
      <c r="W609" s="49"/>
      <c r="X609" s="49"/>
      <c r="Y609" s="49"/>
      <c r="Z609" s="49"/>
      <c r="AF609" s="49"/>
      <c r="AG609" s="49"/>
    </row>
    <row r="610" spans="1:34" s="3" customFormat="1" ht="36" customHeight="1" thickBot="1">
      <c r="A610" s="12"/>
      <c r="B610" s="54"/>
      <c r="C610" s="55"/>
      <c r="D610" s="55"/>
      <c r="E610" s="55"/>
      <c r="F610" s="55"/>
      <c r="G610" s="55"/>
      <c r="H610" s="55"/>
      <c r="I610" s="55"/>
      <c r="J610" s="55"/>
      <c r="K610" s="99"/>
      <c r="L610" s="99"/>
      <c r="M610" s="229"/>
      <c r="N610" s="229"/>
      <c r="O610" s="229"/>
      <c r="P610" s="229"/>
      <c r="Q610" s="142"/>
      <c r="R610" s="142"/>
      <c r="S610" s="99"/>
      <c r="T610" s="99"/>
      <c r="U610" s="99"/>
      <c r="V610" s="99"/>
      <c r="W610" s="99"/>
      <c r="X610" s="99"/>
      <c r="Y610" s="99"/>
      <c r="Z610" s="99"/>
      <c r="AF610" s="98"/>
      <c r="AG610" s="98"/>
      <c r="AH610" s="13"/>
    </row>
    <row r="611" spans="2:33" s="4" customFormat="1" ht="21.75" customHeight="1">
      <c r="B611" s="233"/>
      <c r="C611" s="235"/>
      <c r="D611" s="251"/>
      <c r="E611" s="251"/>
      <c r="F611" s="251"/>
      <c r="G611" s="254"/>
      <c r="H611" s="254"/>
      <c r="I611" s="251"/>
      <c r="J611" s="254"/>
      <c r="K611" s="58"/>
      <c r="L611" s="58"/>
      <c r="M611" s="216"/>
      <c r="N611" s="217"/>
      <c r="O611" s="216"/>
      <c r="P611" s="217"/>
      <c r="Q611" s="149"/>
      <c r="R611" s="135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282"/>
      <c r="AG611" s="282"/>
    </row>
    <row r="612" spans="2:33" s="4" customFormat="1" ht="27.75" customHeight="1">
      <c r="B612" s="293"/>
      <c r="C612" s="294"/>
      <c r="D612" s="252"/>
      <c r="E612" s="252"/>
      <c r="F612" s="252"/>
      <c r="G612" s="242"/>
      <c r="H612" s="242"/>
      <c r="I612" s="252"/>
      <c r="J612" s="255"/>
      <c r="K612" s="241"/>
      <c r="L612" s="241"/>
      <c r="M612" s="218"/>
      <c r="N612" s="219"/>
      <c r="O612" s="218"/>
      <c r="P612" s="219"/>
      <c r="Q612" s="241"/>
      <c r="R612" s="219"/>
      <c r="S612" s="241"/>
      <c r="T612" s="241"/>
      <c r="U612" s="241"/>
      <c r="V612" s="241"/>
      <c r="W612" s="241"/>
      <c r="X612" s="241"/>
      <c r="Y612" s="241"/>
      <c r="Z612" s="241"/>
      <c r="AA612" s="241"/>
      <c r="AB612" s="241"/>
      <c r="AC612" s="241"/>
      <c r="AD612" s="241"/>
      <c r="AE612" s="241"/>
      <c r="AF612" s="283"/>
      <c r="AG612" s="304"/>
    </row>
    <row r="613" spans="2:33" s="4" customFormat="1" ht="27.75" customHeight="1" thickBot="1">
      <c r="B613" s="293"/>
      <c r="C613" s="294"/>
      <c r="D613" s="252"/>
      <c r="E613" s="252"/>
      <c r="F613" s="252"/>
      <c r="G613" s="242"/>
      <c r="H613" s="242"/>
      <c r="I613" s="252"/>
      <c r="J613" s="255"/>
      <c r="K613" s="255"/>
      <c r="L613" s="255"/>
      <c r="M613" s="220"/>
      <c r="N613" s="221"/>
      <c r="O613" s="220"/>
      <c r="P613" s="221"/>
      <c r="Q613" s="242"/>
      <c r="R613" s="221"/>
      <c r="S613" s="255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84"/>
      <c r="AG613" s="304"/>
    </row>
    <row r="614" spans="2:33" s="4" customFormat="1" ht="27.75" customHeight="1">
      <c r="B614" s="293"/>
      <c r="C614" s="294"/>
      <c r="D614" s="252"/>
      <c r="E614" s="252"/>
      <c r="F614" s="252"/>
      <c r="G614" s="242"/>
      <c r="H614" s="242"/>
      <c r="I614" s="252"/>
      <c r="J614" s="255"/>
      <c r="K614" s="255"/>
      <c r="L614" s="255"/>
      <c r="M614" s="220"/>
      <c r="N614" s="221"/>
      <c r="O614" s="220"/>
      <c r="P614" s="221"/>
      <c r="Q614" s="242"/>
      <c r="R614" s="221"/>
      <c r="S614" s="255"/>
      <c r="T614" s="242"/>
      <c r="U614" s="242"/>
      <c r="V614" s="242"/>
      <c r="W614" s="242"/>
      <c r="X614" s="242"/>
      <c r="Y614" s="242"/>
      <c r="Z614" s="242"/>
      <c r="AA614" s="242"/>
      <c r="AB614" s="242"/>
      <c r="AC614" s="242"/>
      <c r="AD614" s="242"/>
      <c r="AE614" s="242"/>
      <c r="AF614" s="269"/>
      <c r="AG614" s="270"/>
    </row>
    <row r="615" spans="2:33" s="4" customFormat="1" ht="27.75" customHeight="1">
      <c r="B615" s="293"/>
      <c r="C615" s="294"/>
      <c r="D615" s="252"/>
      <c r="E615" s="252"/>
      <c r="F615" s="252"/>
      <c r="G615" s="242"/>
      <c r="H615" s="242"/>
      <c r="I615" s="252"/>
      <c r="J615" s="255"/>
      <c r="K615" s="255"/>
      <c r="L615" s="255"/>
      <c r="M615" s="220"/>
      <c r="N615" s="221"/>
      <c r="O615" s="220"/>
      <c r="P615" s="221"/>
      <c r="Q615" s="242"/>
      <c r="R615" s="221"/>
      <c r="S615" s="255"/>
      <c r="T615" s="242"/>
      <c r="U615" s="242"/>
      <c r="V615" s="242"/>
      <c r="W615" s="242"/>
      <c r="X615" s="242"/>
      <c r="Y615" s="242"/>
      <c r="Z615" s="242"/>
      <c r="AA615" s="242"/>
      <c r="AB615" s="242"/>
      <c r="AC615" s="242"/>
      <c r="AD615" s="242"/>
      <c r="AE615" s="242"/>
      <c r="AF615" s="271"/>
      <c r="AG615" s="272"/>
    </row>
    <row r="616" spans="2:33" s="4" customFormat="1" ht="27.75" customHeight="1">
      <c r="B616" s="293"/>
      <c r="C616" s="294"/>
      <c r="D616" s="252"/>
      <c r="E616" s="252"/>
      <c r="F616" s="252"/>
      <c r="G616" s="242"/>
      <c r="H616" s="242"/>
      <c r="I616" s="252"/>
      <c r="J616" s="255"/>
      <c r="K616" s="255"/>
      <c r="L616" s="255"/>
      <c r="M616" s="220"/>
      <c r="N616" s="221"/>
      <c r="O616" s="220"/>
      <c r="P616" s="221"/>
      <c r="Q616" s="242"/>
      <c r="R616" s="221"/>
      <c r="S616" s="255"/>
      <c r="T616" s="242"/>
      <c r="U616" s="242"/>
      <c r="V616" s="242"/>
      <c r="W616" s="242"/>
      <c r="X616" s="242"/>
      <c r="Y616" s="242"/>
      <c r="Z616" s="242"/>
      <c r="AA616" s="242"/>
      <c r="AB616" s="242"/>
      <c r="AC616" s="242"/>
      <c r="AD616" s="242"/>
      <c r="AE616" s="242"/>
      <c r="AF616" s="271"/>
      <c r="AG616" s="272"/>
    </row>
    <row r="617" spans="2:33" s="4" customFormat="1" ht="27.75" customHeight="1">
      <c r="B617" s="293"/>
      <c r="C617" s="294"/>
      <c r="D617" s="252"/>
      <c r="E617" s="252"/>
      <c r="F617" s="252"/>
      <c r="G617" s="242"/>
      <c r="H617" s="242"/>
      <c r="I617" s="252"/>
      <c r="J617" s="255"/>
      <c r="K617" s="255"/>
      <c r="L617" s="255"/>
      <c r="M617" s="220"/>
      <c r="N617" s="221"/>
      <c r="O617" s="220"/>
      <c r="P617" s="221"/>
      <c r="Q617" s="242"/>
      <c r="R617" s="221"/>
      <c r="S617" s="255"/>
      <c r="T617" s="242"/>
      <c r="U617" s="242"/>
      <c r="V617" s="242"/>
      <c r="W617" s="242"/>
      <c r="X617" s="242"/>
      <c r="Y617" s="242"/>
      <c r="Z617" s="242"/>
      <c r="AA617" s="242"/>
      <c r="AB617" s="242"/>
      <c r="AC617" s="242"/>
      <c r="AD617" s="242"/>
      <c r="AE617" s="242"/>
      <c r="AF617" s="271"/>
      <c r="AG617" s="272"/>
    </row>
    <row r="618" spans="2:33" s="4" customFormat="1" ht="27.75" customHeight="1">
      <c r="B618" s="293"/>
      <c r="C618" s="294"/>
      <c r="D618" s="252"/>
      <c r="E618" s="252"/>
      <c r="F618" s="252"/>
      <c r="G618" s="242"/>
      <c r="H618" s="242"/>
      <c r="I618" s="252"/>
      <c r="J618" s="255"/>
      <c r="K618" s="255"/>
      <c r="L618" s="255"/>
      <c r="M618" s="220"/>
      <c r="N618" s="221"/>
      <c r="O618" s="220"/>
      <c r="P618" s="221"/>
      <c r="Q618" s="242"/>
      <c r="R618" s="221"/>
      <c r="S618" s="255"/>
      <c r="T618" s="242"/>
      <c r="U618" s="242"/>
      <c r="V618" s="242"/>
      <c r="W618" s="242"/>
      <c r="X618" s="242"/>
      <c r="Y618" s="242"/>
      <c r="Z618" s="242"/>
      <c r="AA618" s="242"/>
      <c r="AB618" s="242"/>
      <c r="AC618" s="242"/>
      <c r="AD618" s="242"/>
      <c r="AE618" s="242"/>
      <c r="AF618" s="271"/>
      <c r="AG618" s="272"/>
    </row>
    <row r="619" spans="2:33" s="5" customFormat="1" ht="27.75" customHeight="1">
      <c r="B619" s="295"/>
      <c r="C619" s="296"/>
      <c r="D619" s="253"/>
      <c r="E619" s="253"/>
      <c r="F619" s="253"/>
      <c r="G619" s="243"/>
      <c r="H619" s="243"/>
      <c r="I619" s="253"/>
      <c r="J619" s="256"/>
      <c r="K619" s="256"/>
      <c r="L619" s="256"/>
      <c r="M619" s="222"/>
      <c r="N619" s="223"/>
      <c r="O619" s="222"/>
      <c r="P619" s="223"/>
      <c r="Q619" s="243"/>
      <c r="R619" s="223"/>
      <c r="S619" s="256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71"/>
      <c r="AG619" s="272"/>
    </row>
    <row r="620" spans="2:33" s="7" customFormat="1" ht="21.75" customHeight="1" thickBot="1">
      <c r="B620" s="56"/>
      <c r="C620" s="56"/>
      <c r="D620" s="57"/>
      <c r="E620" s="57"/>
      <c r="F620" s="57"/>
      <c r="G620" s="57"/>
      <c r="H620" s="57"/>
      <c r="I620" s="57"/>
      <c r="J620" s="57"/>
      <c r="K620" s="57"/>
      <c r="L620" s="57"/>
      <c r="M620" s="208"/>
      <c r="N620" s="210"/>
      <c r="O620" s="208"/>
      <c r="P620" s="210"/>
      <c r="Q620" s="150"/>
      <c r="R620" s="154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271"/>
      <c r="AG620" s="272"/>
    </row>
    <row r="621" spans="1:33" s="4" customFormat="1" ht="21.75" customHeight="1">
      <c r="A621" s="30"/>
      <c r="B621" s="291"/>
      <c r="C621" s="292"/>
      <c r="D621" s="42"/>
      <c r="E621" s="42"/>
      <c r="F621" s="42"/>
      <c r="G621" s="42"/>
      <c r="H621" s="42"/>
      <c r="I621" s="43"/>
      <c r="J621" s="58"/>
      <c r="K621" s="346"/>
      <c r="L621" s="346"/>
      <c r="M621" s="227"/>
      <c r="N621" s="227"/>
      <c r="O621" s="227"/>
      <c r="P621" s="227"/>
      <c r="Q621" s="227"/>
      <c r="R621" s="227"/>
      <c r="S621" s="289"/>
      <c r="T621" s="289"/>
      <c r="U621" s="289"/>
      <c r="V621" s="289"/>
      <c r="W621" s="289"/>
      <c r="X621" s="289"/>
      <c r="Y621" s="289"/>
      <c r="Z621" s="289"/>
      <c r="AA621" s="227"/>
      <c r="AB621" s="227"/>
      <c r="AC621" s="227"/>
      <c r="AD621" s="227"/>
      <c r="AE621" s="227"/>
      <c r="AF621" s="271"/>
      <c r="AG621" s="272"/>
    </row>
    <row r="622" spans="1:33" s="4" customFormat="1" ht="21.75" customHeight="1">
      <c r="A622" s="30"/>
      <c r="B622" s="230"/>
      <c r="C622" s="231"/>
      <c r="D622" s="231"/>
      <c r="E622" s="231"/>
      <c r="F622" s="231"/>
      <c r="G622" s="231"/>
      <c r="H622" s="231"/>
      <c r="I622" s="232"/>
      <c r="J622" s="39"/>
      <c r="K622" s="347"/>
      <c r="L622" s="347"/>
      <c r="M622" s="228"/>
      <c r="N622" s="228"/>
      <c r="O622" s="228"/>
      <c r="P622" s="228"/>
      <c r="Q622" s="228"/>
      <c r="R622" s="228"/>
      <c r="S622" s="290"/>
      <c r="T622" s="290"/>
      <c r="U622" s="290"/>
      <c r="V622" s="290"/>
      <c r="W622" s="290"/>
      <c r="X622" s="290"/>
      <c r="Y622" s="290"/>
      <c r="Z622" s="290"/>
      <c r="AA622" s="228"/>
      <c r="AB622" s="228"/>
      <c r="AC622" s="228"/>
      <c r="AD622" s="228"/>
      <c r="AE622" s="228"/>
      <c r="AF622" s="271"/>
      <c r="AG622" s="272"/>
    </row>
    <row r="623" spans="1:33" s="4" customFormat="1" ht="21.75" customHeight="1">
      <c r="A623" s="30"/>
      <c r="B623" s="67"/>
      <c r="C623" s="46"/>
      <c r="D623" s="39"/>
      <c r="E623" s="24"/>
      <c r="F623" s="24"/>
      <c r="G623" s="24"/>
      <c r="H623" s="24"/>
      <c r="I623" s="24"/>
      <c r="J623" s="24"/>
      <c r="K623" s="24"/>
      <c r="L623" s="24"/>
      <c r="M623" s="24"/>
      <c r="N623" s="61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71"/>
      <c r="AG623" s="272"/>
    </row>
    <row r="624" spans="1:33" s="4" customFormat="1" ht="21.75" customHeight="1">
      <c r="A624" s="30"/>
      <c r="B624" s="38"/>
      <c r="C624" s="38"/>
      <c r="D624" s="39"/>
      <c r="E624" s="24"/>
      <c r="F624" s="24"/>
      <c r="G624" s="105"/>
      <c r="H624" s="105"/>
      <c r="I624" s="24"/>
      <c r="J624" s="39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71"/>
      <c r="AG624" s="272"/>
    </row>
    <row r="625" spans="1:33" s="4" customFormat="1" ht="21.75" customHeight="1">
      <c r="A625" s="30"/>
      <c r="B625" s="38"/>
      <c r="C625" s="46"/>
      <c r="D625" s="39"/>
      <c r="E625" s="24"/>
      <c r="F625" s="24"/>
      <c r="G625" s="105"/>
      <c r="H625" s="24"/>
      <c r="I625" s="24"/>
      <c r="J625" s="39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71"/>
      <c r="AG625" s="272"/>
    </row>
    <row r="626" spans="1:33" s="4" customFormat="1" ht="21.75" customHeight="1">
      <c r="A626" s="30"/>
      <c r="B626" s="38"/>
      <c r="C626" s="46"/>
      <c r="D626" s="39"/>
      <c r="E626" s="24"/>
      <c r="F626" s="66"/>
      <c r="G626" s="105"/>
      <c r="H626" s="24"/>
      <c r="I626" s="24"/>
      <c r="J626" s="39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71"/>
      <c r="AG626" s="272"/>
    </row>
    <row r="627" spans="1:33" s="4" customFormat="1" ht="21.75" customHeight="1">
      <c r="A627" s="30"/>
      <c r="B627" s="38"/>
      <c r="C627" s="38"/>
      <c r="D627" s="39"/>
      <c r="E627" s="24"/>
      <c r="F627" s="24"/>
      <c r="G627" s="24"/>
      <c r="H627" s="24"/>
      <c r="I627" s="24"/>
      <c r="J627" s="39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71"/>
      <c r="AG627" s="272"/>
    </row>
    <row r="628" spans="1:33" s="4" customFormat="1" ht="21.75" customHeight="1">
      <c r="A628" s="30"/>
      <c r="B628" s="38"/>
      <c r="C628" s="38"/>
      <c r="D628" s="39"/>
      <c r="E628" s="24"/>
      <c r="F628" s="66"/>
      <c r="G628" s="105"/>
      <c r="H628" s="105"/>
      <c r="I628" s="24"/>
      <c r="J628" s="39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71"/>
      <c r="AG628" s="272"/>
    </row>
    <row r="629" spans="1:33" s="4" customFormat="1" ht="21.75" customHeight="1">
      <c r="A629" s="30"/>
      <c r="B629" s="38"/>
      <c r="C629" s="38"/>
      <c r="D629" s="39"/>
      <c r="E629" s="24"/>
      <c r="F629" s="24"/>
      <c r="G629" s="105"/>
      <c r="H629" s="105"/>
      <c r="I629" s="24"/>
      <c r="J629" s="39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71"/>
      <c r="AG629" s="272"/>
    </row>
    <row r="630" spans="1:33" s="4" customFormat="1" ht="21.75" customHeight="1">
      <c r="A630" s="30"/>
      <c r="B630" s="38"/>
      <c r="C630" s="38"/>
      <c r="D630" s="39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71"/>
      <c r="AG630" s="272"/>
    </row>
    <row r="631" spans="1:33" s="4" customFormat="1" ht="21.75" customHeight="1">
      <c r="A631" s="30"/>
      <c r="B631" s="38"/>
      <c r="C631" s="38"/>
      <c r="D631" s="39"/>
      <c r="E631" s="24"/>
      <c r="F631" s="66"/>
      <c r="G631" s="24"/>
      <c r="H631" s="24"/>
      <c r="I631" s="24"/>
      <c r="J631" s="39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71"/>
      <c r="AG631" s="272"/>
    </row>
    <row r="632" spans="1:33" s="4" customFormat="1" ht="21.75" customHeight="1">
      <c r="A632" s="30"/>
      <c r="B632" s="38"/>
      <c r="C632" s="38"/>
      <c r="D632" s="39"/>
      <c r="E632" s="24"/>
      <c r="F632" s="24"/>
      <c r="G632" s="24"/>
      <c r="H632" s="24"/>
      <c r="I632" s="24"/>
      <c r="J632" s="39"/>
      <c r="K632" s="24"/>
      <c r="L632" s="24"/>
      <c r="M632" s="24"/>
      <c r="N632" s="61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71"/>
      <c r="AG632" s="272"/>
    </row>
    <row r="633" spans="1:33" s="4" customFormat="1" ht="21.75" customHeight="1">
      <c r="A633" s="30"/>
      <c r="B633" s="67"/>
      <c r="C633" s="46"/>
      <c r="D633" s="39"/>
      <c r="E633" s="24"/>
      <c r="F633" s="24"/>
      <c r="G633" s="24"/>
      <c r="H633" s="24"/>
      <c r="I633" s="24"/>
      <c r="J633" s="39"/>
      <c r="K633" s="24"/>
      <c r="L633" s="24"/>
      <c r="M633" s="24"/>
      <c r="N633" s="61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71"/>
      <c r="AG633" s="272"/>
    </row>
    <row r="634" spans="1:33" s="4" customFormat="1" ht="21.75" customHeight="1">
      <c r="A634" s="30"/>
      <c r="B634" s="38"/>
      <c r="C634" s="38"/>
      <c r="D634" s="39"/>
      <c r="E634" s="24"/>
      <c r="F634" s="24"/>
      <c r="G634" s="105"/>
      <c r="H634" s="24"/>
      <c r="I634" s="24"/>
      <c r="J634" s="39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71"/>
      <c r="AG634" s="272"/>
    </row>
    <row r="635" spans="1:33" s="4" customFormat="1" ht="21.75" customHeight="1">
      <c r="A635" s="30"/>
      <c r="B635" s="38"/>
      <c r="C635" s="38"/>
      <c r="D635" s="39"/>
      <c r="E635" s="24"/>
      <c r="F635" s="24"/>
      <c r="G635" s="105"/>
      <c r="H635" s="105"/>
      <c r="I635" s="24"/>
      <c r="J635" s="39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71"/>
      <c r="AG635" s="272"/>
    </row>
    <row r="636" spans="1:33" s="4" customFormat="1" ht="21.75" customHeight="1">
      <c r="A636" s="30"/>
      <c r="B636" s="38"/>
      <c r="C636" s="38"/>
      <c r="D636" s="39"/>
      <c r="E636" s="24"/>
      <c r="F636" s="24"/>
      <c r="G636" s="105"/>
      <c r="H636" s="105"/>
      <c r="I636" s="24"/>
      <c r="J636" s="39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71"/>
      <c r="AG636" s="272"/>
    </row>
    <row r="637" spans="1:33" s="4" customFormat="1" ht="21.75" customHeight="1">
      <c r="A637" s="30"/>
      <c r="B637" s="38"/>
      <c r="C637" s="46"/>
      <c r="D637" s="39"/>
      <c r="E637" s="24"/>
      <c r="F637" s="24"/>
      <c r="G637" s="66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71"/>
      <c r="AG637" s="272"/>
    </row>
    <row r="638" spans="1:33" s="4" customFormat="1" ht="21.75" customHeight="1">
      <c r="A638" s="30"/>
      <c r="B638" s="38"/>
      <c r="C638" s="38"/>
      <c r="D638" s="39"/>
      <c r="E638" s="24"/>
      <c r="F638" s="24"/>
      <c r="G638" s="105"/>
      <c r="H638" s="105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71"/>
      <c r="AG638" s="272"/>
    </row>
    <row r="639" spans="1:33" s="16" customFormat="1" ht="21.75" customHeight="1">
      <c r="A639" s="30"/>
      <c r="B639" s="38"/>
      <c r="C639" s="46"/>
      <c r="D639" s="39"/>
      <c r="E639" s="24"/>
      <c r="F639" s="24"/>
      <c r="G639" s="105"/>
      <c r="H639" s="105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71"/>
      <c r="AG639" s="272"/>
    </row>
    <row r="640" spans="1:33" s="16" customFormat="1" ht="21.75" customHeight="1">
      <c r="A640" s="30"/>
      <c r="B640" s="38"/>
      <c r="C640" s="46"/>
      <c r="D640" s="39"/>
      <c r="E640" s="24"/>
      <c r="F640" s="39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71"/>
      <c r="AG640" s="272"/>
    </row>
    <row r="641" spans="1:33" s="16" customFormat="1" ht="21.75" customHeight="1">
      <c r="A641" s="30"/>
      <c r="B641" s="38"/>
      <c r="C641" s="38"/>
      <c r="D641" s="39"/>
      <c r="E641" s="24"/>
      <c r="F641" s="24"/>
      <c r="G641" s="105"/>
      <c r="H641" s="105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71"/>
      <c r="AG641" s="272"/>
    </row>
    <row r="642" spans="1:33" s="16" customFormat="1" ht="21.75" customHeight="1">
      <c r="A642" s="30"/>
      <c r="B642" s="38"/>
      <c r="C642" s="46"/>
      <c r="D642" s="39"/>
      <c r="E642" s="24"/>
      <c r="F642" s="24"/>
      <c r="G642" s="66"/>
      <c r="H642" s="24"/>
      <c r="I642" s="24"/>
      <c r="J642" s="39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71"/>
      <c r="AG642" s="272"/>
    </row>
    <row r="643" spans="1:33" s="4" customFormat="1" ht="21.75" customHeight="1">
      <c r="A643" s="30"/>
      <c r="B643" s="38"/>
      <c r="C643" s="38"/>
      <c r="D643" s="39"/>
      <c r="E643" s="24"/>
      <c r="F643" s="24"/>
      <c r="G643" s="24"/>
      <c r="H643" s="24"/>
      <c r="I643" s="24"/>
      <c r="J643" s="39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71"/>
      <c r="AG643" s="272"/>
    </row>
    <row r="644" spans="1:33" s="4" customFormat="1" ht="21.75" customHeight="1">
      <c r="A644" s="30"/>
      <c r="B644" s="38"/>
      <c r="C644" s="38"/>
      <c r="D644" s="39"/>
      <c r="E644" s="24"/>
      <c r="F644" s="66"/>
      <c r="G644" s="105"/>
      <c r="H644" s="105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71"/>
      <c r="AG644" s="272"/>
    </row>
    <row r="645" spans="1:33" s="4" customFormat="1" ht="21.75" customHeight="1">
      <c r="A645" s="30"/>
      <c r="B645" s="38"/>
      <c r="C645" s="38"/>
      <c r="D645" s="39"/>
      <c r="E645" s="24"/>
      <c r="F645" s="24"/>
      <c r="G645" s="105"/>
      <c r="H645" s="105"/>
      <c r="I645" s="24"/>
      <c r="J645" s="39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71"/>
      <c r="AG645" s="272"/>
    </row>
    <row r="646" spans="1:33" s="4" customFormat="1" ht="21.75" customHeight="1">
      <c r="A646" s="30"/>
      <c r="B646" s="38"/>
      <c r="C646" s="46"/>
      <c r="D646" s="39"/>
      <c r="E646" s="24"/>
      <c r="F646" s="66"/>
      <c r="G646" s="105"/>
      <c r="H646" s="105"/>
      <c r="I646" s="24"/>
      <c r="J646" s="39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71"/>
      <c r="AG646" s="272"/>
    </row>
    <row r="647" spans="1:33" s="4" customFormat="1" ht="21.75" customHeight="1">
      <c r="A647" s="30"/>
      <c r="B647" s="38"/>
      <c r="C647" s="38"/>
      <c r="D647" s="39"/>
      <c r="E647" s="24"/>
      <c r="F647" s="66"/>
      <c r="G647" s="105"/>
      <c r="H647" s="105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71"/>
      <c r="AG647" s="272"/>
    </row>
    <row r="648" spans="1:33" s="4" customFormat="1" ht="21.75" customHeight="1">
      <c r="A648" s="30"/>
      <c r="B648" s="38"/>
      <c r="C648" s="38"/>
      <c r="D648" s="39"/>
      <c r="E648" s="24"/>
      <c r="F648" s="66"/>
      <c r="G648" s="105"/>
      <c r="H648" s="105"/>
      <c r="I648" s="24"/>
      <c r="J648" s="39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71"/>
      <c r="AG648" s="272"/>
    </row>
    <row r="649" spans="1:33" s="4" customFormat="1" ht="21.75" customHeight="1">
      <c r="A649" s="30"/>
      <c r="B649" s="38"/>
      <c r="C649" s="38"/>
      <c r="D649" s="39"/>
      <c r="E649" s="24"/>
      <c r="F649" s="214"/>
      <c r="G649" s="214"/>
      <c r="H649" s="214"/>
      <c r="I649" s="215"/>
      <c r="J649" s="39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71"/>
      <c r="AG649" s="272"/>
    </row>
    <row r="650" spans="1:33" s="4" customFormat="1" ht="21.75" customHeight="1">
      <c r="A650" s="30"/>
      <c r="B650" s="38"/>
      <c r="C650" s="46"/>
      <c r="D650" s="39"/>
      <c r="E650" s="24"/>
      <c r="F650" s="24"/>
      <c r="G650" s="66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71"/>
      <c r="AG650" s="272"/>
    </row>
    <row r="651" spans="1:33" s="4" customFormat="1" ht="21.75" customHeight="1">
      <c r="A651" s="30"/>
      <c r="B651" s="38"/>
      <c r="C651" s="38"/>
      <c r="D651" s="39"/>
      <c r="E651" s="24"/>
      <c r="F651" s="24"/>
      <c r="G651" s="105"/>
      <c r="H651" s="105"/>
      <c r="I651" s="24"/>
      <c r="J651" s="39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71"/>
      <c r="AG651" s="272"/>
    </row>
    <row r="652" spans="1:33" s="4" customFormat="1" ht="21.75" customHeight="1">
      <c r="A652" s="30"/>
      <c r="B652" s="38"/>
      <c r="C652" s="46"/>
      <c r="D652" s="39"/>
      <c r="E652" s="24"/>
      <c r="F652" s="24"/>
      <c r="G652" s="105"/>
      <c r="H652" s="105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71"/>
      <c r="AG652" s="272"/>
    </row>
    <row r="653" spans="1:33" s="4" customFormat="1" ht="21.75" customHeight="1">
      <c r="A653" s="30"/>
      <c r="B653" s="67"/>
      <c r="C653" s="38"/>
      <c r="D653" s="39"/>
      <c r="E653" s="24"/>
      <c r="F653" s="24"/>
      <c r="G653" s="24"/>
      <c r="H653" s="44"/>
      <c r="I653" s="45"/>
      <c r="J653" s="39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71"/>
      <c r="AG653" s="272"/>
    </row>
    <row r="654" spans="1:33" s="4" customFormat="1" ht="21.75" customHeight="1">
      <c r="A654" s="30"/>
      <c r="B654" s="38"/>
      <c r="C654" s="46"/>
      <c r="D654" s="39"/>
      <c r="E654" s="24"/>
      <c r="F654" s="24"/>
      <c r="G654" s="105"/>
      <c r="H654" s="105"/>
      <c r="I654" s="24"/>
      <c r="J654" s="39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71"/>
      <c r="AG654" s="272"/>
    </row>
    <row r="655" spans="1:33" s="4" customFormat="1" ht="21.75" customHeight="1">
      <c r="A655" s="30"/>
      <c r="B655" s="38"/>
      <c r="C655" s="38"/>
      <c r="D655" s="39"/>
      <c r="E655" s="24"/>
      <c r="F655" s="24"/>
      <c r="G655" s="105"/>
      <c r="H655" s="105"/>
      <c r="I655" s="24"/>
      <c r="J655" s="39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71"/>
      <c r="AG655" s="272"/>
    </row>
    <row r="656" spans="1:33" s="4" customFormat="1" ht="21.75" customHeight="1">
      <c r="A656" s="30"/>
      <c r="B656" s="67"/>
      <c r="C656" s="38"/>
      <c r="D656" s="39"/>
      <c r="E656" s="24"/>
      <c r="F656" s="24"/>
      <c r="G656" s="24"/>
      <c r="H656" s="24"/>
      <c r="I656" s="24"/>
      <c r="J656" s="39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71"/>
      <c r="AG656" s="272"/>
    </row>
    <row r="657" spans="1:33" s="4" customFormat="1" ht="21.75" customHeight="1">
      <c r="A657" s="30"/>
      <c r="B657" s="38"/>
      <c r="C657" s="38"/>
      <c r="D657" s="39"/>
      <c r="E657" s="24"/>
      <c r="F657" s="24"/>
      <c r="G657" s="105"/>
      <c r="H657" s="105"/>
      <c r="I657" s="24"/>
      <c r="J657" s="39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71"/>
      <c r="AG657" s="272"/>
    </row>
    <row r="658" spans="1:33" s="4" customFormat="1" ht="21.75" customHeight="1" thickBot="1">
      <c r="A658" s="30"/>
      <c r="B658" s="38"/>
      <c r="C658" s="38"/>
      <c r="D658" s="39"/>
      <c r="E658" s="24"/>
      <c r="F658" s="24"/>
      <c r="G658" s="105"/>
      <c r="H658" s="105"/>
      <c r="I658" s="24"/>
      <c r="J658" s="39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81"/>
      <c r="AG658" s="275"/>
    </row>
    <row r="659" spans="1:33" s="4" customFormat="1" ht="21.75" customHeight="1">
      <c r="A659" s="30"/>
      <c r="B659" s="38"/>
      <c r="C659" s="38"/>
      <c r="D659" s="39"/>
      <c r="E659" s="24"/>
      <c r="F659" s="24"/>
      <c r="G659" s="105"/>
      <c r="H659" s="105"/>
      <c r="I659" s="24"/>
      <c r="J659" s="39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69"/>
      <c r="AG659" s="270"/>
    </row>
    <row r="660" spans="1:33" s="4" customFormat="1" ht="21.75" customHeight="1">
      <c r="A660" s="30"/>
      <c r="B660" s="38"/>
      <c r="C660" s="38"/>
      <c r="D660" s="39"/>
      <c r="E660" s="24"/>
      <c r="F660" s="39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71"/>
      <c r="AG660" s="272"/>
    </row>
    <row r="661" spans="1:33" s="4" customFormat="1" ht="21.75" customHeight="1">
      <c r="A661" s="30"/>
      <c r="B661" s="67"/>
      <c r="C661" s="46"/>
      <c r="D661" s="39"/>
      <c r="E661" s="24"/>
      <c r="F661" s="24"/>
      <c r="G661" s="24"/>
      <c r="H661" s="24"/>
      <c r="I661" s="24"/>
      <c r="J661" s="39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71"/>
      <c r="AG661" s="272"/>
    </row>
    <row r="662" spans="1:33" s="4" customFormat="1" ht="21.75" customHeight="1">
      <c r="A662" s="30"/>
      <c r="B662" s="38"/>
      <c r="C662" s="46"/>
      <c r="D662" s="39"/>
      <c r="E662" s="24"/>
      <c r="F662" s="66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71"/>
      <c r="AG662" s="272"/>
    </row>
    <row r="663" spans="1:33" s="4" customFormat="1" ht="21.75" customHeight="1">
      <c r="A663" s="30"/>
      <c r="B663" s="38"/>
      <c r="C663" s="38"/>
      <c r="D663" s="39"/>
      <c r="E663" s="24"/>
      <c r="F663" s="24"/>
      <c r="G663" s="24"/>
      <c r="H663" s="24"/>
      <c r="I663" s="24"/>
      <c r="J663" s="39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71"/>
      <c r="AG663" s="272"/>
    </row>
    <row r="664" spans="1:33" s="4" customFormat="1" ht="21.75" customHeight="1">
      <c r="A664" s="30"/>
      <c r="B664" s="38"/>
      <c r="C664" s="38"/>
      <c r="D664" s="39"/>
      <c r="E664" s="24"/>
      <c r="F664" s="24"/>
      <c r="G664" s="24"/>
      <c r="H664" s="24"/>
      <c r="I664" s="24"/>
      <c r="J664" s="39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71"/>
      <c r="AG664" s="272"/>
    </row>
    <row r="665" spans="1:33" s="4" customFormat="1" ht="21.75" customHeight="1">
      <c r="A665" s="30"/>
      <c r="B665" s="38"/>
      <c r="C665" s="38"/>
      <c r="D665" s="39"/>
      <c r="E665" s="24"/>
      <c r="F665" s="24"/>
      <c r="G665" s="24"/>
      <c r="H665" s="24"/>
      <c r="I665" s="24"/>
      <c r="J665" s="39"/>
      <c r="K665" s="24"/>
      <c r="L665" s="24"/>
      <c r="M665" s="24"/>
      <c r="N665" s="61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71"/>
      <c r="AG665" s="272"/>
    </row>
    <row r="666" spans="1:33" s="4" customFormat="1" ht="21.75" customHeight="1">
      <c r="A666" s="30"/>
      <c r="B666" s="38"/>
      <c r="C666" s="38"/>
      <c r="D666" s="39"/>
      <c r="E666" s="24"/>
      <c r="F666" s="66"/>
      <c r="G666" s="105"/>
      <c r="H666" s="105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71"/>
      <c r="AG666" s="272"/>
    </row>
    <row r="667" spans="1:33" s="4" customFormat="1" ht="21.75" customHeight="1">
      <c r="A667" s="30"/>
      <c r="B667" s="38"/>
      <c r="C667" s="46"/>
      <c r="D667" s="39"/>
      <c r="E667" s="24"/>
      <c r="F667" s="66"/>
      <c r="G667" s="105"/>
      <c r="H667" s="105"/>
      <c r="I667" s="24"/>
      <c r="J667" s="39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71"/>
      <c r="AG667" s="272"/>
    </row>
    <row r="668" spans="1:33" s="4" customFormat="1" ht="21.75" customHeight="1">
      <c r="A668" s="30"/>
      <c r="B668" s="38"/>
      <c r="C668" s="38"/>
      <c r="D668" s="39"/>
      <c r="E668" s="24"/>
      <c r="F668" s="66"/>
      <c r="G668" s="105"/>
      <c r="H668" s="105"/>
      <c r="I668" s="24"/>
      <c r="J668" s="39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71"/>
      <c r="AG668" s="272"/>
    </row>
    <row r="669" spans="1:33" s="4" customFormat="1" ht="21.75" customHeight="1">
      <c r="A669" s="30"/>
      <c r="B669" s="38"/>
      <c r="C669" s="38"/>
      <c r="D669" s="39"/>
      <c r="E669" s="24"/>
      <c r="F669" s="66"/>
      <c r="G669" s="105"/>
      <c r="H669" s="105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71"/>
      <c r="AG669" s="272"/>
    </row>
    <row r="670" spans="1:33" s="4" customFormat="1" ht="21.75" customHeight="1">
      <c r="A670" s="30"/>
      <c r="B670" s="38"/>
      <c r="C670" s="38"/>
      <c r="D670" s="39"/>
      <c r="E670" s="24"/>
      <c r="F670" s="66"/>
      <c r="G670" s="105"/>
      <c r="H670" s="105"/>
      <c r="I670" s="24"/>
      <c r="J670" s="39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71"/>
      <c r="AG670" s="272"/>
    </row>
    <row r="671" spans="1:33" s="4" customFormat="1" ht="21.75" customHeight="1">
      <c r="A671" s="30"/>
      <c r="B671" s="38"/>
      <c r="C671" s="38"/>
      <c r="D671" s="39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71"/>
      <c r="AG671" s="272"/>
    </row>
    <row r="672" spans="1:33" s="4" customFormat="1" ht="21.75" customHeight="1">
      <c r="A672" s="30"/>
      <c r="B672" s="313"/>
      <c r="C672" s="314"/>
      <c r="D672" s="39"/>
      <c r="E672" s="24"/>
      <c r="F672" s="333"/>
      <c r="G672" s="334"/>
      <c r="H672" s="334"/>
      <c r="I672" s="335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73"/>
      <c r="AG672" s="272"/>
    </row>
    <row r="673" spans="1:33" s="4" customFormat="1" ht="21.75" customHeight="1">
      <c r="A673" s="30"/>
      <c r="B673" s="38"/>
      <c r="C673" s="38"/>
      <c r="D673" s="39"/>
      <c r="E673" s="24"/>
      <c r="F673" s="24"/>
      <c r="G673" s="24"/>
      <c r="H673" s="24"/>
      <c r="I673" s="24"/>
      <c r="J673" s="39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73"/>
      <c r="AG673" s="272"/>
    </row>
    <row r="674" spans="1:33" s="4" customFormat="1" ht="21.75" customHeight="1" thickBot="1">
      <c r="A674" s="30"/>
      <c r="B674" s="38"/>
      <c r="C674" s="38"/>
      <c r="D674" s="39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74"/>
      <c r="AG674" s="275"/>
    </row>
    <row r="675" spans="2:33" s="1" customFormat="1" ht="46.5" customHeight="1">
      <c r="B675" s="233"/>
      <c r="C675" s="234"/>
      <c r="D675" s="234"/>
      <c r="E675" s="234"/>
      <c r="F675" s="234"/>
      <c r="G675" s="234"/>
      <c r="H675" s="234"/>
      <c r="I675" s="234"/>
      <c r="J675" s="234"/>
      <c r="K675" s="211"/>
      <c r="L675" s="211"/>
      <c r="M675" s="211"/>
      <c r="N675" s="211"/>
      <c r="O675" s="211"/>
      <c r="P675" s="211"/>
      <c r="Q675" s="211"/>
      <c r="R675" s="211"/>
      <c r="S675" s="211"/>
      <c r="T675" s="211"/>
      <c r="U675" s="211"/>
      <c r="V675" s="211"/>
      <c r="W675" s="211"/>
      <c r="X675" s="211"/>
      <c r="Y675" s="211"/>
      <c r="Z675" s="211"/>
      <c r="AA675" s="211"/>
      <c r="AB675" s="211"/>
      <c r="AC675" s="211"/>
      <c r="AD675" s="211"/>
      <c r="AE675" s="211"/>
      <c r="AF675" s="279"/>
      <c r="AG675" s="280"/>
    </row>
    <row r="676" spans="2:33" s="1" customFormat="1" ht="46.5" customHeight="1" thickBot="1">
      <c r="B676" s="236"/>
      <c r="C676" s="237"/>
      <c r="D676" s="237"/>
      <c r="E676" s="237"/>
      <c r="F676" s="237"/>
      <c r="G676" s="237"/>
      <c r="H676" s="237"/>
      <c r="I676" s="237"/>
      <c r="J676" s="237"/>
      <c r="K676" s="212"/>
      <c r="L676" s="212"/>
      <c r="M676" s="212"/>
      <c r="N676" s="212"/>
      <c r="O676" s="212"/>
      <c r="P676" s="212"/>
      <c r="Q676" s="212"/>
      <c r="R676" s="212"/>
      <c r="S676" s="212"/>
      <c r="T676" s="212"/>
      <c r="U676" s="212"/>
      <c r="V676" s="212"/>
      <c r="W676" s="212"/>
      <c r="X676" s="212"/>
      <c r="Y676" s="212"/>
      <c r="Z676" s="212"/>
      <c r="AA676" s="212"/>
      <c r="AB676" s="212"/>
      <c r="AC676" s="212"/>
      <c r="AD676" s="212"/>
      <c r="AE676" s="212"/>
      <c r="AF676" s="276"/>
      <c r="AG676" s="277"/>
    </row>
    <row r="677" spans="1:34" ht="36" customHeight="1">
      <c r="A677" s="10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78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F677" s="49"/>
      <c r="AG677" s="49"/>
      <c r="AH677" s="11"/>
    </row>
    <row r="678" spans="2:33" ht="15"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79"/>
      <c r="P678" s="78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F678" s="49"/>
      <c r="AG678" s="49"/>
    </row>
    <row r="679" spans="2:33" ht="15"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79"/>
      <c r="P679" s="78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F679" s="49"/>
      <c r="AG679" s="49"/>
    </row>
    <row r="680" spans="2:33" ht="15.75">
      <c r="B680" s="153"/>
      <c r="C680" s="51"/>
      <c r="D680" s="51"/>
      <c r="E680" s="51"/>
      <c r="F680" s="51"/>
      <c r="G680" s="52"/>
      <c r="H680" s="53"/>
      <c r="I680" s="53"/>
      <c r="J680" s="53"/>
      <c r="K680" s="53"/>
      <c r="L680" s="80"/>
      <c r="M680" s="80"/>
      <c r="N680" s="53"/>
      <c r="O680" s="53"/>
      <c r="P680" s="53"/>
      <c r="Q680" s="53"/>
      <c r="R680" s="53"/>
      <c r="S680" s="94"/>
      <c r="T680" s="94"/>
      <c r="U680" s="95"/>
      <c r="V680" s="53"/>
      <c r="W680" s="82"/>
      <c r="X680" s="82"/>
      <c r="Y680" s="83"/>
      <c r="Z680" s="84"/>
      <c r="AF680" s="52"/>
      <c r="AG680" s="52"/>
    </row>
    <row r="681" spans="2:33" ht="15">
      <c r="B681" s="49"/>
      <c r="C681" s="49"/>
      <c r="D681" s="49"/>
      <c r="E681" s="49"/>
      <c r="F681" s="49"/>
      <c r="G681" s="49"/>
      <c r="H681" s="49"/>
      <c r="I681" s="49"/>
      <c r="J681" s="49"/>
      <c r="K681" s="146"/>
      <c r="L681" s="146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  <c r="AF681" s="49"/>
      <c r="AG681" s="49"/>
    </row>
    <row r="682" spans="2:33" ht="15">
      <c r="B682" s="49"/>
      <c r="C682" s="49"/>
      <c r="D682" s="49"/>
      <c r="E682" s="49"/>
      <c r="F682" s="49"/>
      <c r="G682" s="49"/>
      <c r="H682" s="49"/>
      <c r="I682" s="49"/>
      <c r="J682" s="49"/>
      <c r="K682" s="143"/>
      <c r="L682" s="144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F682" s="49"/>
      <c r="AG682" s="49"/>
    </row>
    <row r="683" spans="2:33" ht="15">
      <c r="B683" s="49"/>
      <c r="C683" s="49"/>
      <c r="D683" s="49"/>
      <c r="E683" s="49"/>
      <c r="F683" s="49"/>
      <c r="G683" s="49"/>
      <c r="H683" s="49"/>
      <c r="I683" s="49"/>
      <c r="J683" s="49"/>
      <c r="K683" s="139"/>
      <c r="L683" s="140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F683" s="49"/>
      <c r="AG683" s="49"/>
    </row>
    <row r="684" spans="2:33" ht="12.75"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85"/>
      <c r="U684" s="49"/>
      <c r="V684" s="49"/>
      <c r="W684" s="49"/>
      <c r="X684" s="49"/>
      <c r="Y684" s="49"/>
      <c r="Z684" s="49"/>
      <c r="AF684" s="49"/>
      <c r="AG684" s="49"/>
    </row>
    <row r="685" spans="2:33" ht="12.75"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85"/>
      <c r="U685" s="49"/>
      <c r="V685" s="49"/>
      <c r="W685" s="49"/>
      <c r="X685" s="49"/>
      <c r="Y685" s="49"/>
      <c r="Z685" s="49"/>
      <c r="AF685" s="49"/>
      <c r="AG685" s="49"/>
    </row>
    <row r="686" spans="2:33" ht="12.75"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85"/>
      <c r="U686" s="49"/>
      <c r="V686" s="49"/>
      <c r="W686" s="49"/>
      <c r="X686" s="49"/>
      <c r="Y686" s="49"/>
      <c r="Z686" s="49"/>
      <c r="AF686" s="49"/>
      <c r="AG686" s="49"/>
    </row>
    <row r="687" spans="1:34" s="3" customFormat="1" ht="36" customHeight="1" thickBot="1">
      <c r="A687" s="12"/>
      <c r="B687" s="54"/>
      <c r="C687" s="55"/>
      <c r="D687" s="55"/>
      <c r="E687" s="55"/>
      <c r="F687" s="55"/>
      <c r="G687" s="55"/>
      <c r="H687" s="55"/>
      <c r="I687" s="55"/>
      <c r="J687" s="55"/>
      <c r="K687" s="31"/>
      <c r="L687" s="257"/>
      <c r="M687" s="257"/>
      <c r="N687" s="257"/>
      <c r="O687" s="257"/>
      <c r="P687" s="257"/>
      <c r="Q687" s="257"/>
      <c r="R687" s="257"/>
      <c r="S687" s="257"/>
      <c r="T687" s="257"/>
      <c r="U687" s="257"/>
      <c r="V687" s="100"/>
      <c r="W687" s="100"/>
      <c r="AB687" s="31"/>
      <c r="AD687" s="31"/>
      <c r="AE687" s="31"/>
      <c r="AH687" s="13"/>
    </row>
    <row r="688" spans="2:33" s="4" customFormat="1" ht="21.75" customHeight="1">
      <c r="B688" s="233"/>
      <c r="C688" s="235"/>
      <c r="D688" s="251"/>
      <c r="E688" s="251"/>
      <c r="F688" s="251"/>
      <c r="G688" s="254"/>
      <c r="H688" s="254"/>
      <c r="I688" s="254"/>
      <c r="J688" s="251"/>
      <c r="K688" s="254"/>
      <c r="L688" s="216"/>
      <c r="M688" s="217"/>
      <c r="N688" s="216"/>
      <c r="O688" s="217"/>
      <c r="P688" s="216"/>
      <c r="Q688" s="217"/>
      <c r="R688" s="216"/>
      <c r="S688" s="217"/>
      <c r="T688" s="216"/>
      <c r="U688" s="217"/>
      <c r="V688" s="216"/>
      <c r="W688" s="217"/>
      <c r="X688" s="216"/>
      <c r="Y688" s="217"/>
      <c r="Z688" s="216"/>
      <c r="AA688" s="217"/>
      <c r="AB688" s="216"/>
      <c r="AC688" s="217"/>
      <c r="AD688" s="216"/>
      <c r="AE688" s="217"/>
      <c r="AF688" s="282"/>
      <c r="AG688" s="282"/>
    </row>
    <row r="689" spans="2:33" s="4" customFormat="1" ht="27.75" customHeight="1">
      <c r="B689" s="293"/>
      <c r="C689" s="294"/>
      <c r="D689" s="252"/>
      <c r="E689" s="252"/>
      <c r="F689" s="252"/>
      <c r="G689" s="255"/>
      <c r="H689" s="242"/>
      <c r="I689" s="242"/>
      <c r="J689" s="252"/>
      <c r="K689" s="255"/>
      <c r="L689" s="218"/>
      <c r="M689" s="219"/>
      <c r="N689" s="218"/>
      <c r="O689" s="219"/>
      <c r="P689" s="218"/>
      <c r="Q689" s="219"/>
      <c r="R689" s="218"/>
      <c r="S689" s="219"/>
      <c r="T689" s="218"/>
      <c r="U689" s="219"/>
      <c r="V689" s="218"/>
      <c r="W689" s="219"/>
      <c r="X689" s="218"/>
      <c r="Y689" s="219"/>
      <c r="Z689" s="218"/>
      <c r="AA689" s="219"/>
      <c r="AB689" s="218"/>
      <c r="AC689" s="219"/>
      <c r="AD689" s="218"/>
      <c r="AE689" s="219"/>
      <c r="AF689" s="283"/>
      <c r="AG689" s="304"/>
    </row>
    <row r="690" spans="2:33" s="4" customFormat="1" ht="27.75" customHeight="1" thickBot="1">
      <c r="B690" s="293"/>
      <c r="C690" s="294"/>
      <c r="D690" s="252"/>
      <c r="E690" s="252"/>
      <c r="F690" s="252"/>
      <c r="G690" s="255"/>
      <c r="H690" s="242"/>
      <c r="I690" s="242"/>
      <c r="J690" s="252"/>
      <c r="K690" s="255"/>
      <c r="L690" s="220"/>
      <c r="M690" s="221"/>
      <c r="N690" s="220"/>
      <c r="O690" s="221"/>
      <c r="P690" s="220"/>
      <c r="Q690" s="221"/>
      <c r="R690" s="220"/>
      <c r="S690" s="221"/>
      <c r="T690" s="220"/>
      <c r="U690" s="221"/>
      <c r="V690" s="220"/>
      <c r="W690" s="221"/>
      <c r="X690" s="220"/>
      <c r="Y690" s="221"/>
      <c r="Z690" s="220"/>
      <c r="AA690" s="221"/>
      <c r="AB690" s="220"/>
      <c r="AC690" s="221"/>
      <c r="AD690" s="220"/>
      <c r="AE690" s="221"/>
      <c r="AF690" s="284"/>
      <c r="AG690" s="304"/>
    </row>
    <row r="691" spans="2:33" s="4" customFormat="1" ht="27.75" customHeight="1">
      <c r="B691" s="293"/>
      <c r="C691" s="294"/>
      <c r="D691" s="252"/>
      <c r="E691" s="252"/>
      <c r="F691" s="252"/>
      <c r="G691" s="255"/>
      <c r="H691" s="242"/>
      <c r="I691" s="242"/>
      <c r="J691" s="252"/>
      <c r="K691" s="255"/>
      <c r="L691" s="220"/>
      <c r="M691" s="221"/>
      <c r="N691" s="220"/>
      <c r="O691" s="221"/>
      <c r="P691" s="220"/>
      <c r="Q691" s="221"/>
      <c r="R691" s="220"/>
      <c r="S691" s="221"/>
      <c r="T691" s="220"/>
      <c r="U691" s="221"/>
      <c r="V691" s="220"/>
      <c r="W691" s="221"/>
      <c r="X691" s="220"/>
      <c r="Y691" s="221"/>
      <c r="Z691" s="220"/>
      <c r="AA691" s="221"/>
      <c r="AB691" s="220"/>
      <c r="AC691" s="221"/>
      <c r="AD691" s="220"/>
      <c r="AE691" s="221"/>
      <c r="AF691" s="269"/>
      <c r="AG691" s="270"/>
    </row>
    <row r="692" spans="2:33" s="4" customFormat="1" ht="27.75" customHeight="1">
      <c r="B692" s="293"/>
      <c r="C692" s="294"/>
      <c r="D692" s="252"/>
      <c r="E692" s="252"/>
      <c r="F692" s="252"/>
      <c r="G692" s="255"/>
      <c r="H692" s="242"/>
      <c r="I692" s="242"/>
      <c r="J692" s="252"/>
      <c r="K692" s="255"/>
      <c r="L692" s="220"/>
      <c r="M692" s="221"/>
      <c r="N692" s="220"/>
      <c r="O692" s="221"/>
      <c r="P692" s="220"/>
      <c r="Q692" s="221"/>
      <c r="R692" s="220"/>
      <c r="S692" s="221"/>
      <c r="T692" s="220"/>
      <c r="U692" s="221"/>
      <c r="V692" s="220"/>
      <c r="W692" s="221"/>
      <c r="X692" s="220"/>
      <c r="Y692" s="221"/>
      <c r="Z692" s="220"/>
      <c r="AA692" s="221"/>
      <c r="AB692" s="220"/>
      <c r="AC692" s="221"/>
      <c r="AD692" s="220"/>
      <c r="AE692" s="221"/>
      <c r="AF692" s="271"/>
      <c r="AG692" s="272"/>
    </row>
    <row r="693" spans="2:33" s="4" customFormat="1" ht="27.75" customHeight="1">
      <c r="B693" s="293"/>
      <c r="C693" s="294"/>
      <c r="D693" s="252"/>
      <c r="E693" s="252"/>
      <c r="F693" s="252"/>
      <c r="G693" s="255"/>
      <c r="H693" s="242"/>
      <c r="I693" s="242"/>
      <c r="J693" s="252"/>
      <c r="K693" s="255"/>
      <c r="L693" s="220"/>
      <c r="M693" s="221"/>
      <c r="N693" s="220"/>
      <c r="O693" s="221"/>
      <c r="P693" s="220"/>
      <c r="Q693" s="221"/>
      <c r="R693" s="220"/>
      <c r="S693" s="221"/>
      <c r="T693" s="220"/>
      <c r="U693" s="221"/>
      <c r="V693" s="220"/>
      <c r="W693" s="221"/>
      <c r="X693" s="220"/>
      <c r="Y693" s="221"/>
      <c r="Z693" s="220"/>
      <c r="AA693" s="221"/>
      <c r="AB693" s="220"/>
      <c r="AC693" s="221"/>
      <c r="AD693" s="220"/>
      <c r="AE693" s="221"/>
      <c r="AF693" s="271"/>
      <c r="AG693" s="272"/>
    </row>
    <row r="694" spans="2:33" s="4" customFormat="1" ht="27.75" customHeight="1">
      <c r="B694" s="293"/>
      <c r="C694" s="294"/>
      <c r="D694" s="252"/>
      <c r="E694" s="252"/>
      <c r="F694" s="252"/>
      <c r="G694" s="255"/>
      <c r="H694" s="242"/>
      <c r="I694" s="242"/>
      <c r="J694" s="252"/>
      <c r="K694" s="255"/>
      <c r="L694" s="220"/>
      <c r="M694" s="221"/>
      <c r="N694" s="220"/>
      <c r="O694" s="221"/>
      <c r="P694" s="220"/>
      <c r="Q694" s="221"/>
      <c r="R694" s="220"/>
      <c r="S694" s="221"/>
      <c r="T694" s="220"/>
      <c r="U694" s="221"/>
      <c r="V694" s="220"/>
      <c r="W694" s="221"/>
      <c r="X694" s="220"/>
      <c r="Y694" s="221"/>
      <c r="Z694" s="220"/>
      <c r="AA694" s="221"/>
      <c r="AB694" s="220"/>
      <c r="AC694" s="221"/>
      <c r="AD694" s="220"/>
      <c r="AE694" s="221"/>
      <c r="AF694" s="271"/>
      <c r="AG694" s="272"/>
    </row>
    <row r="695" spans="2:33" s="4" customFormat="1" ht="27.75" customHeight="1">
      <c r="B695" s="293"/>
      <c r="C695" s="294"/>
      <c r="D695" s="252"/>
      <c r="E695" s="252"/>
      <c r="F695" s="252"/>
      <c r="G695" s="255"/>
      <c r="H695" s="242"/>
      <c r="I695" s="242"/>
      <c r="J695" s="252"/>
      <c r="K695" s="255"/>
      <c r="L695" s="220"/>
      <c r="M695" s="221"/>
      <c r="N695" s="220"/>
      <c r="O695" s="221"/>
      <c r="P695" s="220"/>
      <c r="Q695" s="221"/>
      <c r="R695" s="220"/>
      <c r="S695" s="221"/>
      <c r="T695" s="220"/>
      <c r="U695" s="221"/>
      <c r="V695" s="220"/>
      <c r="W695" s="221"/>
      <c r="X695" s="220"/>
      <c r="Y695" s="221"/>
      <c r="Z695" s="220"/>
      <c r="AA695" s="221"/>
      <c r="AB695" s="220"/>
      <c r="AC695" s="221"/>
      <c r="AD695" s="220"/>
      <c r="AE695" s="221"/>
      <c r="AF695" s="271"/>
      <c r="AG695" s="272"/>
    </row>
    <row r="696" spans="2:33" s="5" customFormat="1" ht="27.75" customHeight="1">
      <c r="B696" s="295"/>
      <c r="C696" s="296"/>
      <c r="D696" s="253"/>
      <c r="E696" s="253"/>
      <c r="F696" s="253"/>
      <c r="G696" s="256"/>
      <c r="H696" s="243"/>
      <c r="I696" s="243"/>
      <c r="J696" s="253"/>
      <c r="K696" s="256"/>
      <c r="L696" s="222"/>
      <c r="M696" s="223"/>
      <c r="N696" s="222"/>
      <c r="O696" s="223"/>
      <c r="P696" s="222"/>
      <c r="Q696" s="223"/>
      <c r="R696" s="222"/>
      <c r="S696" s="223"/>
      <c r="T696" s="222"/>
      <c r="U696" s="223"/>
      <c r="V696" s="222"/>
      <c r="W696" s="223"/>
      <c r="X696" s="222"/>
      <c r="Y696" s="223"/>
      <c r="Z696" s="222"/>
      <c r="AA696" s="223"/>
      <c r="AB696" s="222"/>
      <c r="AC696" s="223"/>
      <c r="AD696" s="222"/>
      <c r="AE696" s="223"/>
      <c r="AF696" s="271"/>
      <c r="AG696" s="272"/>
    </row>
    <row r="697" spans="2:33" s="7" customFormat="1" ht="21.75" customHeight="1" thickBot="1">
      <c r="B697" s="56"/>
      <c r="C697" s="56"/>
      <c r="D697" s="57"/>
      <c r="E697" s="57"/>
      <c r="F697" s="57"/>
      <c r="G697" s="57"/>
      <c r="H697" s="57"/>
      <c r="I697" s="57"/>
      <c r="J697" s="57"/>
      <c r="K697" s="57"/>
      <c r="L697" s="208"/>
      <c r="M697" s="210"/>
      <c r="N697" s="208"/>
      <c r="O697" s="210"/>
      <c r="P697" s="208"/>
      <c r="Q697" s="210"/>
      <c r="R697" s="208"/>
      <c r="S697" s="210"/>
      <c r="T697" s="208"/>
      <c r="U697" s="210"/>
      <c r="V697" s="208"/>
      <c r="W697" s="210"/>
      <c r="X697" s="208"/>
      <c r="Y697" s="210"/>
      <c r="Z697" s="208"/>
      <c r="AA697" s="210"/>
      <c r="AB697" s="208"/>
      <c r="AC697" s="210"/>
      <c r="AD697" s="208"/>
      <c r="AE697" s="210"/>
      <c r="AF697" s="271"/>
      <c r="AG697" s="272"/>
    </row>
    <row r="698" spans="1:33" s="4" customFormat="1" ht="21.75" customHeight="1">
      <c r="A698" s="30"/>
      <c r="B698" s="37"/>
      <c r="C698" s="38"/>
      <c r="D698" s="39"/>
      <c r="E698" s="24"/>
      <c r="F698" s="66"/>
      <c r="G698" s="24"/>
      <c r="H698" s="105"/>
      <c r="I698" s="105"/>
      <c r="J698" s="24"/>
      <c r="K698" s="24"/>
      <c r="L698" s="227"/>
      <c r="M698" s="227"/>
      <c r="N698" s="227"/>
      <c r="O698" s="227"/>
      <c r="P698" s="227"/>
      <c r="Q698" s="227"/>
      <c r="R698" s="227"/>
      <c r="S698" s="227"/>
      <c r="T698" s="227"/>
      <c r="U698" s="227"/>
      <c r="V698" s="227"/>
      <c r="W698" s="227"/>
      <c r="X698" s="227"/>
      <c r="Y698" s="227"/>
      <c r="Z698" s="227"/>
      <c r="AA698" s="227"/>
      <c r="AB698" s="227"/>
      <c r="AC698" s="227"/>
      <c r="AD698" s="227"/>
      <c r="AE698" s="227"/>
      <c r="AF698" s="271"/>
      <c r="AG698" s="272"/>
    </row>
    <row r="699" spans="1:33" s="4" customFormat="1" ht="21.75" customHeight="1">
      <c r="A699" s="30"/>
      <c r="B699" s="230"/>
      <c r="C699" s="231"/>
      <c r="D699" s="231"/>
      <c r="E699" s="231"/>
      <c r="F699" s="231"/>
      <c r="G699" s="231"/>
      <c r="H699" s="231"/>
      <c r="I699" s="232"/>
      <c r="J699" s="24"/>
      <c r="K699" s="24"/>
      <c r="L699" s="228"/>
      <c r="M699" s="228"/>
      <c r="N699" s="228"/>
      <c r="O699" s="228"/>
      <c r="P699" s="228"/>
      <c r="Q699" s="228"/>
      <c r="R699" s="228"/>
      <c r="S699" s="228"/>
      <c r="T699" s="228"/>
      <c r="U699" s="228"/>
      <c r="V699" s="228"/>
      <c r="W699" s="228"/>
      <c r="X699" s="228"/>
      <c r="Y699" s="228"/>
      <c r="Z699" s="228"/>
      <c r="AA699" s="228"/>
      <c r="AB699" s="228"/>
      <c r="AC699" s="228"/>
      <c r="AD699" s="228"/>
      <c r="AE699" s="228"/>
      <c r="AF699" s="271"/>
      <c r="AG699" s="272"/>
    </row>
    <row r="700" spans="1:33" s="4" customFormat="1" ht="21.75" customHeight="1">
      <c r="A700" s="30"/>
      <c r="B700" s="67"/>
      <c r="C700" s="68"/>
      <c r="D700" s="39"/>
      <c r="E700" s="24"/>
      <c r="F700" s="24"/>
      <c r="G700" s="24"/>
      <c r="H700" s="24"/>
      <c r="I700" s="61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13"/>
      <c r="W700" s="215"/>
      <c r="X700" s="24"/>
      <c r="Y700" s="24"/>
      <c r="Z700" s="24"/>
      <c r="AA700" s="24"/>
      <c r="AB700" s="39"/>
      <c r="AC700" s="24"/>
      <c r="AD700" s="24"/>
      <c r="AE700" s="24"/>
      <c r="AF700" s="271"/>
      <c r="AG700" s="272"/>
    </row>
    <row r="701" spans="1:33" s="4" customFormat="1" ht="21.75" customHeight="1">
      <c r="A701" s="30"/>
      <c r="B701" s="40"/>
      <c r="C701" s="41"/>
      <c r="D701" s="39"/>
      <c r="E701" s="24"/>
      <c r="F701" s="66"/>
      <c r="G701" s="24"/>
      <c r="H701" s="105"/>
      <c r="I701" s="105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358"/>
      <c r="W701" s="359"/>
      <c r="X701" s="24"/>
      <c r="Y701" s="24"/>
      <c r="Z701" s="24"/>
      <c r="AA701" s="24"/>
      <c r="AB701" s="39"/>
      <c r="AC701" s="24"/>
      <c r="AD701" s="24"/>
      <c r="AE701" s="24"/>
      <c r="AF701" s="271"/>
      <c r="AG701" s="272"/>
    </row>
    <row r="702" spans="1:33" s="4" customFormat="1" ht="21.75" customHeight="1">
      <c r="A702" s="30"/>
      <c r="B702" s="37"/>
      <c r="C702" s="38"/>
      <c r="D702" s="39"/>
      <c r="E702" s="24"/>
      <c r="F702" s="66"/>
      <c r="G702" s="24"/>
      <c r="H702" s="105"/>
      <c r="I702" s="105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373"/>
      <c r="W702" s="374"/>
      <c r="X702" s="24"/>
      <c r="Y702" s="24"/>
      <c r="Z702" s="24"/>
      <c r="AA702" s="24"/>
      <c r="AB702" s="24"/>
      <c r="AC702" s="24"/>
      <c r="AD702" s="24"/>
      <c r="AE702" s="24"/>
      <c r="AF702" s="271"/>
      <c r="AG702" s="272"/>
    </row>
    <row r="703" spans="1:33" s="4" customFormat="1" ht="21.75" customHeight="1">
      <c r="A703" s="30"/>
      <c r="B703" s="37"/>
      <c r="C703" s="38"/>
      <c r="D703" s="39"/>
      <c r="E703" s="24"/>
      <c r="F703" s="66"/>
      <c r="G703" s="24"/>
      <c r="H703" s="105"/>
      <c r="I703" s="105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373"/>
      <c r="W703" s="374"/>
      <c r="X703" s="24"/>
      <c r="Y703" s="24"/>
      <c r="Z703" s="24"/>
      <c r="AA703" s="24"/>
      <c r="AB703" s="24"/>
      <c r="AC703" s="24"/>
      <c r="AD703" s="24"/>
      <c r="AE703" s="24"/>
      <c r="AF703" s="271"/>
      <c r="AG703" s="272"/>
    </row>
    <row r="704" spans="1:33" s="4" customFormat="1" ht="21.75" customHeight="1">
      <c r="A704" s="30"/>
      <c r="B704" s="37"/>
      <c r="C704" s="38"/>
      <c r="D704" s="39"/>
      <c r="E704" s="24"/>
      <c r="F704" s="66"/>
      <c r="G704" s="24"/>
      <c r="H704" s="105"/>
      <c r="I704" s="105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375"/>
      <c r="W704" s="376"/>
      <c r="X704" s="24"/>
      <c r="Y704" s="24"/>
      <c r="Z704" s="24"/>
      <c r="AA704" s="24"/>
      <c r="AB704" s="24"/>
      <c r="AC704" s="24"/>
      <c r="AD704" s="24"/>
      <c r="AE704" s="24"/>
      <c r="AF704" s="271"/>
      <c r="AG704" s="272"/>
    </row>
    <row r="705" spans="1:33" s="4" customFormat="1" ht="21.75" customHeight="1">
      <c r="A705" s="30"/>
      <c r="B705" s="37"/>
      <c r="C705" s="38"/>
      <c r="D705" s="39"/>
      <c r="E705" s="24"/>
      <c r="F705" s="66"/>
      <c r="G705" s="24"/>
      <c r="H705" s="105"/>
      <c r="I705" s="105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71"/>
      <c r="AG705" s="272"/>
    </row>
    <row r="706" spans="1:33" s="4" customFormat="1" ht="21.75" customHeight="1">
      <c r="A706" s="30"/>
      <c r="B706" s="115"/>
      <c r="C706" s="116"/>
      <c r="D706" s="39"/>
      <c r="E706" s="24"/>
      <c r="F706" s="66"/>
      <c r="G706" s="66"/>
      <c r="H706" s="105"/>
      <c r="I706" s="105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71"/>
      <c r="AG706" s="272"/>
    </row>
    <row r="707" spans="1:33" s="4" customFormat="1" ht="21.75" customHeight="1">
      <c r="A707" s="30"/>
      <c r="B707" s="38"/>
      <c r="C707" s="103"/>
      <c r="D707" s="39"/>
      <c r="E707" s="24"/>
      <c r="F707" s="66"/>
      <c r="G707" s="74"/>
      <c r="H707" s="105"/>
      <c r="I707" s="105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71"/>
      <c r="AG707" s="272"/>
    </row>
    <row r="708" spans="1:33" s="4" customFormat="1" ht="21.75" customHeight="1">
      <c r="A708" s="30"/>
      <c r="B708" s="38"/>
      <c r="C708" s="38"/>
      <c r="D708" s="39"/>
      <c r="E708" s="24"/>
      <c r="F708" s="66"/>
      <c r="G708" s="66"/>
      <c r="H708" s="105"/>
      <c r="I708" s="105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71"/>
      <c r="AG708" s="272"/>
    </row>
    <row r="709" spans="1:33" s="4" customFormat="1" ht="21.75" customHeight="1">
      <c r="A709" s="30"/>
      <c r="B709" s="37"/>
      <c r="C709" s="38"/>
      <c r="D709" s="39"/>
      <c r="E709" s="24"/>
      <c r="F709" s="66"/>
      <c r="G709" s="24"/>
      <c r="H709" s="105"/>
      <c r="I709" s="61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71"/>
      <c r="AG709" s="272"/>
    </row>
    <row r="710" spans="1:33" s="4" customFormat="1" ht="21.75" customHeight="1">
      <c r="A710" s="30"/>
      <c r="B710" s="37"/>
      <c r="C710" s="38"/>
      <c r="D710" s="39"/>
      <c r="E710" s="24"/>
      <c r="F710" s="66"/>
      <c r="G710" s="24"/>
      <c r="H710" s="105"/>
      <c r="I710" s="105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358"/>
      <c r="Y710" s="359"/>
      <c r="Z710" s="24"/>
      <c r="AA710" s="24"/>
      <c r="AB710" s="24"/>
      <c r="AC710" s="24"/>
      <c r="AD710" s="24"/>
      <c r="AE710" s="24"/>
      <c r="AF710" s="271"/>
      <c r="AG710" s="272"/>
    </row>
    <row r="711" spans="1:33" s="4" customFormat="1" ht="21.75" customHeight="1">
      <c r="A711" s="30"/>
      <c r="B711" s="37"/>
      <c r="C711" s="38"/>
      <c r="D711" s="39"/>
      <c r="E711" s="24"/>
      <c r="F711" s="66"/>
      <c r="G711" s="66"/>
      <c r="H711" s="105"/>
      <c r="I711" s="105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373"/>
      <c r="Y711" s="374"/>
      <c r="Z711" s="24"/>
      <c r="AA711" s="24"/>
      <c r="AB711" s="24"/>
      <c r="AC711" s="24"/>
      <c r="AD711" s="24"/>
      <c r="AE711" s="24"/>
      <c r="AF711" s="271"/>
      <c r="AG711" s="272"/>
    </row>
    <row r="712" spans="1:33" s="16" customFormat="1" ht="21.75" customHeight="1">
      <c r="A712" s="30"/>
      <c r="B712" s="37"/>
      <c r="C712" s="38"/>
      <c r="D712" s="39"/>
      <c r="E712" s="24"/>
      <c r="F712" s="66"/>
      <c r="G712" s="74"/>
      <c r="H712" s="105"/>
      <c r="I712" s="105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373"/>
      <c r="Y712" s="374"/>
      <c r="Z712" s="24"/>
      <c r="AA712" s="24"/>
      <c r="AB712" s="24"/>
      <c r="AC712" s="24"/>
      <c r="AD712" s="24"/>
      <c r="AE712" s="24"/>
      <c r="AF712" s="271"/>
      <c r="AG712" s="272"/>
    </row>
    <row r="713" spans="1:33" s="16" customFormat="1" ht="21.75" customHeight="1">
      <c r="A713" s="30"/>
      <c r="B713" s="37"/>
      <c r="C713" s="38"/>
      <c r="D713" s="39"/>
      <c r="E713" s="24"/>
      <c r="F713" s="66"/>
      <c r="G713" s="66"/>
      <c r="H713" s="105"/>
      <c r="I713" s="105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373"/>
      <c r="Y713" s="374"/>
      <c r="Z713" s="24"/>
      <c r="AA713" s="24"/>
      <c r="AB713" s="24"/>
      <c r="AC713" s="24"/>
      <c r="AD713" s="24"/>
      <c r="AE713" s="24"/>
      <c r="AF713" s="271"/>
      <c r="AG713" s="272"/>
    </row>
    <row r="714" spans="1:33" s="16" customFormat="1" ht="21.75" customHeight="1">
      <c r="A714" s="30"/>
      <c r="B714" s="37"/>
      <c r="C714" s="38"/>
      <c r="D714" s="39"/>
      <c r="E714" s="24"/>
      <c r="F714" s="66"/>
      <c r="G714" s="24"/>
      <c r="H714" s="105"/>
      <c r="I714" s="105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373"/>
      <c r="Y714" s="374"/>
      <c r="Z714" s="24"/>
      <c r="AA714" s="24"/>
      <c r="AB714" s="24"/>
      <c r="AC714" s="24"/>
      <c r="AD714" s="24"/>
      <c r="AE714" s="24"/>
      <c r="AF714" s="271"/>
      <c r="AG714" s="272"/>
    </row>
    <row r="715" spans="1:33" s="16" customFormat="1" ht="21.75" customHeight="1">
      <c r="A715" s="30"/>
      <c r="B715" s="37"/>
      <c r="C715" s="38"/>
      <c r="D715" s="39"/>
      <c r="E715" s="24"/>
      <c r="F715" s="66"/>
      <c r="G715" s="66"/>
      <c r="H715" s="105"/>
      <c r="I715" s="105"/>
      <c r="J715" s="90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375"/>
      <c r="Y715" s="376"/>
      <c r="Z715" s="24"/>
      <c r="AA715" s="24"/>
      <c r="AB715" s="24"/>
      <c r="AC715" s="24"/>
      <c r="AD715" s="24"/>
      <c r="AE715" s="24"/>
      <c r="AF715" s="271"/>
      <c r="AG715" s="272"/>
    </row>
    <row r="716" spans="1:33" s="4" customFormat="1" ht="21.75" customHeight="1">
      <c r="A716" s="30"/>
      <c r="B716" s="38"/>
      <c r="C716" s="38"/>
      <c r="D716" s="39"/>
      <c r="E716" s="24"/>
      <c r="F716" s="66"/>
      <c r="G716" s="24"/>
      <c r="H716" s="24"/>
      <c r="I716" s="61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71"/>
      <c r="AG716" s="272"/>
    </row>
    <row r="717" spans="1:33" s="4" customFormat="1" ht="21.75" customHeight="1">
      <c r="A717" s="30"/>
      <c r="B717" s="37"/>
      <c r="C717" s="38"/>
      <c r="D717" s="39"/>
      <c r="E717" s="24"/>
      <c r="F717" s="66"/>
      <c r="G717" s="24"/>
      <c r="H717" s="105"/>
      <c r="I717" s="105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358"/>
      <c r="AA717" s="359"/>
      <c r="AB717" s="24"/>
      <c r="AC717" s="24"/>
      <c r="AD717" s="24"/>
      <c r="AE717" s="24"/>
      <c r="AF717" s="271"/>
      <c r="AG717" s="272"/>
    </row>
    <row r="718" spans="1:33" s="4" customFormat="1" ht="21.75" customHeight="1">
      <c r="A718" s="30"/>
      <c r="B718" s="37"/>
      <c r="C718" s="38"/>
      <c r="D718" s="39"/>
      <c r="E718" s="24"/>
      <c r="F718" s="66"/>
      <c r="G718" s="24"/>
      <c r="H718" s="105"/>
      <c r="I718" s="105"/>
      <c r="J718" s="90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373"/>
      <c r="AA718" s="374"/>
      <c r="AB718" s="24"/>
      <c r="AC718" s="24"/>
      <c r="AD718" s="24"/>
      <c r="AE718" s="24"/>
      <c r="AF718" s="271"/>
      <c r="AG718" s="272"/>
    </row>
    <row r="719" spans="1:33" s="4" customFormat="1" ht="21.75" customHeight="1">
      <c r="A719" s="30"/>
      <c r="B719" s="37"/>
      <c r="C719" s="38"/>
      <c r="D719" s="39"/>
      <c r="E719" s="24"/>
      <c r="F719" s="66"/>
      <c r="G719" s="24"/>
      <c r="H719" s="105"/>
      <c r="I719" s="105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375"/>
      <c r="AA719" s="376"/>
      <c r="AB719" s="24"/>
      <c r="AC719" s="24"/>
      <c r="AD719" s="24"/>
      <c r="AE719" s="24"/>
      <c r="AF719" s="271"/>
      <c r="AG719" s="272"/>
    </row>
    <row r="720" spans="1:33" s="4" customFormat="1" ht="21.75" customHeight="1">
      <c r="A720" s="30"/>
      <c r="B720" s="38"/>
      <c r="C720" s="38"/>
      <c r="D720" s="39"/>
      <c r="E720" s="24"/>
      <c r="F720" s="66"/>
      <c r="G720" s="24"/>
      <c r="H720" s="105"/>
      <c r="I720" s="105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71"/>
      <c r="AG720" s="272"/>
    </row>
    <row r="721" spans="1:33" s="4" customFormat="1" ht="21.75" customHeight="1">
      <c r="A721" s="30"/>
      <c r="B721" s="38"/>
      <c r="C721" s="38"/>
      <c r="D721" s="39"/>
      <c r="E721" s="24"/>
      <c r="F721" s="66"/>
      <c r="G721" s="105"/>
      <c r="H721" s="105"/>
      <c r="I721" s="105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358"/>
      <c r="AC721" s="359"/>
      <c r="AD721" s="24"/>
      <c r="AE721" s="24"/>
      <c r="AF721" s="271"/>
      <c r="AG721" s="272"/>
    </row>
    <row r="722" spans="1:33" s="4" customFormat="1" ht="21.75" customHeight="1">
      <c r="A722" s="30"/>
      <c r="B722" s="38"/>
      <c r="C722" s="38"/>
      <c r="D722" s="39"/>
      <c r="E722" s="24"/>
      <c r="F722" s="66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373"/>
      <c r="AC722" s="374"/>
      <c r="AD722" s="24"/>
      <c r="AE722" s="24"/>
      <c r="AF722" s="271"/>
      <c r="AG722" s="272"/>
    </row>
    <row r="723" spans="1:33" s="4" customFormat="1" ht="21.75" customHeight="1">
      <c r="A723" s="30"/>
      <c r="B723" s="38"/>
      <c r="C723" s="38"/>
      <c r="D723" s="39"/>
      <c r="E723" s="24"/>
      <c r="F723" s="66"/>
      <c r="G723" s="90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373"/>
      <c r="AC723" s="374"/>
      <c r="AD723" s="24"/>
      <c r="AE723" s="24"/>
      <c r="AF723" s="271"/>
      <c r="AG723" s="272"/>
    </row>
    <row r="724" spans="1:33" s="4" customFormat="1" ht="21.75" customHeight="1">
      <c r="A724" s="30"/>
      <c r="B724" s="38"/>
      <c r="C724" s="38"/>
      <c r="D724" s="39"/>
      <c r="E724" s="24"/>
      <c r="F724" s="66"/>
      <c r="G724" s="90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375"/>
      <c r="AC724" s="376"/>
      <c r="AD724" s="24"/>
      <c r="AE724" s="24"/>
      <c r="AF724" s="271"/>
      <c r="AG724" s="272"/>
    </row>
    <row r="725" spans="1:33" s="4" customFormat="1" ht="21.75" customHeight="1">
      <c r="A725" s="30"/>
      <c r="B725" s="37"/>
      <c r="C725" s="38"/>
      <c r="D725" s="39"/>
      <c r="E725" s="24"/>
      <c r="F725" s="66"/>
      <c r="G725" s="24"/>
      <c r="H725" s="105"/>
      <c r="I725" s="105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71"/>
      <c r="AG725" s="272"/>
    </row>
    <row r="726" spans="1:33" s="4" customFormat="1" ht="21.75" customHeight="1">
      <c r="A726" s="30"/>
      <c r="B726" s="38"/>
      <c r="C726" s="38"/>
      <c r="D726" s="39"/>
      <c r="E726" s="24"/>
      <c r="F726" s="66"/>
      <c r="G726" s="105"/>
      <c r="H726" s="105"/>
      <c r="I726" s="105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13"/>
      <c r="AC726" s="215"/>
      <c r="AD726" s="24"/>
      <c r="AE726" s="24"/>
      <c r="AF726" s="271"/>
      <c r="AG726" s="272"/>
    </row>
    <row r="727" spans="1:33" s="4" customFormat="1" ht="21.75" customHeight="1">
      <c r="A727" s="30"/>
      <c r="B727" s="37"/>
      <c r="C727" s="38"/>
      <c r="D727" s="39"/>
      <c r="E727" s="24"/>
      <c r="F727" s="66"/>
      <c r="G727" s="24"/>
      <c r="H727" s="105"/>
      <c r="I727" s="105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71"/>
      <c r="AG727" s="272"/>
    </row>
    <row r="728" spans="1:33" s="4" customFormat="1" ht="21.75" customHeight="1">
      <c r="A728" s="30"/>
      <c r="B728" s="38"/>
      <c r="C728" s="38"/>
      <c r="D728" s="39"/>
      <c r="E728" s="24"/>
      <c r="F728" s="66"/>
      <c r="G728" s="105"/>
      <c r="H728" s="105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13"/>
      <c r="AC728" s="215"/>
      <c r="AD728" s="24"/>
      <c r="AE728" s="24"/>
      <c r="AF728" s="271"/>
      <c r="AG728" s="272"/>
    </row>
    <row r="729" spans="1:33" s="4" customFormat="1" ht="21.75" customHeight="1">
      <c r="A729" s="30"/>
      <c r="B729" s="37"/>
      <c r="C729" s="38"/>
      <c r="D729" s="39"/>
      <c r="E729" s="24"/>
      <c r="F729" s="66"/>
      <c r="G729" s="24"/>
      <c r="H729" s="105"/>
      <c r="I729" s="105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71"/>
      <c r="AG729" s="272"/>
    </row>
    <row r="730" spans="1:33" s="4" customFormat="1" ht="21.75" customHeight="1">
      <c r="A730" s="30"/>
      <c r="B730" s="67"/>
      <c r="C730" s="38"/>
      <c r="D730" s="39"/>
      <c r="E730" s="24"/>
      <c r="F730" s="92"/>
      <c r="G730" s="24"/>
      <c r="H730" s="24"/>
      <c r="I730" s="61"/>
      <c r="J730" s="66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71"/>
      <c r="AG730" s="272"/>
    </row>
    <row r="731" spans="1:33" s="4" customFormat="1" ht="21.75" customHeight="1">
      <c r="A731" s="30"/>
      <c r="B731" s="38"/>
      <c r="C731" s="38"/>
      <c r="D731" s="39"/>
      <c r="E731" s="24"/>
      <c r="F731" s="24"/>
      <c r="G731" s="105"/>
      <c r="H731" s="105"/>
      <c r="I731" s="105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71"/>
      <c r="AG731" s="272"/>
    </row>
    <row r="732" spans="1:33" s="4" customFormat="1" ht="21.75" customHeight="1">
      <c r="A732" s="30"/>
      <c r="B732" s="38"/>
      <c r="C732" s="38"/>
      <c r="D732" s="39"/>
      <c r="E732" s="24"/>
      <c r="F732" s="24"/>
      <c r="G732" s="105"/>
      <c r="H732" s="105"/>
      <c r="I732" s="105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71"/>
      <c r="AG732" s="272"/>
    </row>
    <row r="733" spans="1:33" s="4" customFormat="1" ht="21.75" customHeight="1">
      <c r="A733" s="30"/>
      <c r="B733" s="38"/>
      <c r="C733" s="38"/>
      <c r="D733" s="39"/>
      <c r="E733" s="24"/>
      <c r="F733" s="66"/>
      <c r="G733" s="24"/>
      <c r="H733" s="105"/>
      <c r="I733" s="61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71"/>
      <c r="AG733" s="272"/>
    </row>
    <row r="734" spans="1:33" s="4" customFormat="1" ht="21.75" customHeight="1">
      <c r="A734" s="30"/>
      <c r="B734" s="37"/>
      <c r="C734" s="38"/>
      <c r="D734" s="39"/>
      <c r="E734" s="24"/>
      <c r="F734" s="66"/>
      <c r="G734" s="24"/>
      <c r="H734" s="105"/>
      <c r="I734" s="105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71"/>
      <c r="AG734" s="272"/>
    </row>
    <row r="735" spans="1:33" s="4" customFormat="1" ht="21.75" customHeight="1" thickBot="1">
      <c r="A735" s="30"/>
      <c r="B735" s="38"/>
      <c r="C735" s="38"/>
      <c r="D735" s="39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81"/>
      <c r="AG735" s="275"/>
    </row>
    <row r="736" spans="1:33" s="4" customFormat="1" ht="21.75" customHeight="1">
      <c r="A736" s="30"/>
      <c r="B736" s="38"/>
      <c r="C736" s="38"/>
      <c r="D736" s="39"/>
      <c r="E736" s="24"/>
      <c r="F736" s="66"/>
      <c r="G736" s="105"/>
      <c r="H736" s="105"/>
      <c r="I736" s="105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69"/>
      <c r="AG736" s="270"/>
    </row>
    <row r="737" spans="1:33" s="4" customFormat="1" ht="21.75" customHeight="1">
      <c r="A737" s="30"/>
      <c r="B737" s="38"/>
      <c r="C737" s="38"/>
      <c r="D737" s="39"/>
      <c r="E737" s="24"/>
      <c r="F737" s="66"/>
      <c r="G737" s="105"/>
      <c r="H737" s="105"/>
      <c r="I737" s="105"/>
      <c r="J737" s="66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71"/>
      <c r="AG737" s="272"/>
    </row>
    <row r="738" spans="1:33" s="4" customFormat="1" ht="21.75" customHeight="1">
      <c r="A738" s="30"/>
      <c r="B738" s="38"/>
      <c r="C738" s="38"/>
      <c r="D738" s="39"/>
      <c r="E738" s="24"/>
      <c r="F738" s="24"/>
      <c r="G738" s="105"/>
      <c r="H738" s="105"/>
      <c r="I738" s="105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71"/>
      <c r="AG738" s="272"/>
    </row>
    <row r="739" spans="1:33" s="4" customFormat="1" ht="21.75" customHeight="1">
      <c r="A739" s="30"/>
      <c r="B739" s="38"/>
      <c r="C739" s="38"/>
      <c r="D739" s="39"/>
      <c r="E739" s="24"/>
      <c r="F739" s="24"/>
      <c r="G739" s="105"/>
      <c r="H739" s="105"/>
      <c r="I739" s="105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71"/>
      <c r="AG739" s="272"/>
    </row>
    <row r="740" spans="1:33" s="4" customFormat="1" ht="21.75" customHeight="1">
      <c r="A740" s="30"/>
      <c r="B740" s="38"/>
      <c r="C740" s="38"/>
      <c r="D740" s="39"/>
      <c r="E740" s="24"/>
      <c r="F740" s="24"/>
      <c r="G740" s="105"/>
      <c r="H740" s="105"/>
      <c r="I740" s="105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71"/>
      <c r="AG740" s="272"/>
    </row>
    <row r="741" spans="1:33" s="4" customFormat="1" ht="21.75" customHeight="1">
      <c r="A741" s="30"/>
      <c r="B741" s="38"/>
      <c r="C741" s="38"/>
      <c r="D741" s="39"/>
      <c r="E741" s="24"/>
      <c r="F741" s="66"/>
      <c r="G741" s="105"/>
      <c r="H741" s="105"/>
      <c r="I741" s="105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71"/>
      <c r="AG741" s="272"/>
    </row>
    <row r="742" spans="1:33" s="4" customFormat="1" ht="21.75" customHeight="1">
      <c r="A742" s="30"/>
      <c r="B742" s="38"/>
      <c r="C742" s="46"/>
      <c r="D742" s="39"/>
      <c r="E742" s="24"/>
      <c r="F742" s="66"/>
      <c r="G742" s="105"/>
      <c r="H742" s="105"/>
      <c r="I742" s="105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71"/>
      <c r="AG742" s="272"/>
    </row>
    <row r="743" spans="1:33" s="4" customFormat="1" ht="21.75" customHeight="1">
      <c r="A743" s="30"/>
      <c r="B743" s="67"/>
      <c r="C743" s="38"/>
      <c r="D743" s="39"/>
      <c r="E743" s="24"/>
      <c r="F743" s="66"/>
      <c r="G743" s="24"/>
      <c r="H743" s="105"/>
      <c r="I743" s="105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71"/>
      <c r="AG743" s="272"/>
    </row>
    <row r="744" spans="1:33" s="4" customFormat="1" ht="21.75" customHeight="1">
      <c r="A744" s="30"/>
      <c r="B744" s="38"/>
      <c r="C744" s="38"/>
      <c r="D744" s="39"/>
      <c r="E744" s="24"/>
      <c r="F744" s="24"/>
      <c r="G744" s="105"/>
      <c r="H744" s="105"/>
      <c r="I744" s="105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71"/>
      <c r="AG744" s="272"/>
    </row>
    <row r="745" spans="1:33" s="4" customFormat="1" ht="21.75" customHeight="1">
      <c r="A745" s="30"/>
      <c r="B745" s="37"/>
      <c r="C745" s="38"/>
      <c r="D745" s="39"/>
      <c r="E745" s="24"/>
      <c r="F745" s="66"/>
      <c r="G745" s="24"/>
      <c r="H745" s="105"/>
      <c r="I745" s="105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71"/>
      <c r="AG745" s="272"/>
    </row>
    <row r="746" spans="1:33" s="4" customFormat="1" ht="21.75" customHeight="1">
      <c r="A746" s="30"/>
      <c r="B746" s="67"/>
      <c r="C746" s="38"/>
      <c r="D746" s="39"/>
      <c r="E746" s="24"/>
      <c r="F746" s="66"/>
      <c r="G746" s="24"/>
      <c r="H746" s="105"/>
      <c r="I746" s="105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71"/>
      <c r="AG746" s="272"/>
    </row>
    <row r="747" spans="1:33" s="4" customFormat="1" ht="21.75" customHeight="1">
      <c r="A747" s="30"/>
      <c r="B747" s="38"/>
      <c r="C747" s="38"/>
      <c r="D747" s="39"/>
      <c r="E747" s="24"/>
      <c r="F747" s="24"/>
      <c r="G747" s="105"/>
      <c r="H747" s="105"/>
      <c r="I747" s="105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71"/>
      <c r="AG747" s="272"/>
    </row>
    <row r="748" spans="1:33" s="4" customFormat="1" ht="21.75" customHeight="1">
      <c r="A748" s="30"/>
      <c r="B748" s="38"/>
      <c r="C748" s="38"/>
      <c r="D748" s="39"/>
      <c r="E748" s="24"/>
      <c r="F748" s="24"/>
      <c r="G748" s="105"/>
      <c r="H748" s="105"/>
      <c r="I748" s="105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71"/>
      <c r="AG748" s="272"/>
    </row>
    <row r="749" spans="1:33" s="4" customFormat="1" ht="21.75" customHeight="1">
      <c r="A749" s="30"/>
      <c r="B749" s="37"/>
      <c r="C749" s="38"/>
      <c r="D749" s="39"/>
      <c r="E749" s="24"/>
      <c r="F749" s="66"/>
      <c r="G749" s="24"/>
      <c r="H749" s="105"/>
      <c r="I749" s="105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73"/>
      <c r="AG749" s="272"/>
    </row>
    <row r="750" spans="1:33" s="4" customFormat="1" ht="21.75" customHeight="1">
      <c r="A750" s="30"/>
      <c r="B750" s="37"/>
      <c r="C750" s="38"/>
      <c r="D750" s="39"/>
      <c r="E750" s="24"/>
      <c r="F750" s="66"/>
      <c r="G750" s="24"/>
      <c r="H750" s="105"/>
      <c r="I750" s="105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73"/>
      <c r="AG750" s="272"/>
    </row>
    <row r="751" spans="1:33" s="4" customFormat="1" ht="21.75" customHeight="1" thickBot="1">
      <c r="A751" s="30"/>
      <c r="B751" s="37"/>
      <c r="C751" s="38"/>
      <c r="D751" s="39"/>
      <c r="E751" s="24"/>
      <c r="F751" s="66"/>
      <c r="G751" s="24"/>
      <c r="H751" s="105"/>
      <c r="I751" s="105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74"/>
      <c r="AG751" s="275"/>
    </row>
    <row r="752" spans="2:33" s="1" customFormat="1" ht="46.5" customHeight="1">
      <c r="B752" s="233"/>
      <c r="C752" s="234"/>
      <c r="D752" s="234"/>
      <c r="E752" s="234"/>
      <c r="F752" s="234"/>
      <c r="G752" s="234"/>
      <c r="H752" s="234"/>
      <c r="I752" s="234"/>
      <c r="J752" s="234"/>
      <c r="K752" s="234"/>
      <c r="L752" s="211"/>
      <c r="M752" s="211"/>
      <c r="N752" s="211"/>
      <c r="O752" s="211"/>
      <c r="P752" s="211"/>
      <c r="Q752" s="211"/>
      <c r="R752" s="211"/>
      <c r="S752" s="211"/>
      <c r="T752" s="211"/>
      <c r="U752" s="211"/>
      <c r="V752" s="211"/>
      <c r="W752" s="211"/>
      <c r="X752" s="211"/>
      <c r="Y752" s="211"/>
      <c r="Z752" s="211"/>
      <c r="AA752" s="211"/>
      <c r="AB752" s="211"/>
      <c r="AC752" s="211"/>
      <c r="AD752" s="211"/>
      <c r="AE752" s="211"/>
      <c r="AF752" s="279"/>
      <c r="AG752" s="280"/>
    </row>
    <row r="753" spans="2:33" s="1" customFormat="1" ht="46.5" customHeight="1" thickBot="1">
      <c r="B753" s="236"/>
      <c r="C753" s="237"/>
      <c r="D753" s="237"/>
      <c r="E753" s="237"/>
      <c r="F753" s="237"/>
      <c r="G753" s="237"/>
      <c r="H753" s="237"/>
      <c r="I753" s="237"/>
      <c r="J753" s="237"/>
      <c r="K753" s="237"/>
      <c r="L753" s="250"/>
      <c r="M753" s="250"/>
      <c r="N753" s="250"/>
      <c r="O753" s="250"/>
      <c r="P753" s="250"/>
      <c r="Q753" s="250"/>
      <c r="R753" s="250"/>
      <c r="S753" s="250"/>
      <c r="T753" s="212"/>
      <c r="U753" s="212"/>
      <c r="V753" s="212"/>
      <c r="W753" s="212"/>
      <c r="X753" s="212"/>
      <c r="Y753" s="212"/>
      <c r="Z753" s="212"/>
      <c r="AA753" s="212"/>
      <c r="AB753" s="250"/>
      <c r="AC753" s="212"/>
      <c r="AD753" s="250"/>
      <c r="AE753" s="250"/>
      <c r="AF753" s="276"/>
      <c r="AG753" s="277"/>
    </row>
    <row r="754" spans="1:34" ht="36" customHeight="1">
      <c r="A754" s="10"/>
      <c r="M754" s="28"/>
      <c r="T754"/>
      <c r="AH754" s="11"/>
    </row>
    <row r="755" spans="12:20" ht="15">
      <c r="L755" s="27"/>
      <c r="M755" s="28"/>
      <c r="T755"/>
    </row>
    <row r="756" spans="12:20" ht="15">
      <c r="L756" s="27"/>
      <c r="M756" s="28"/>
      <c r="T756"/>
    </row>
    <row r="757" spans="2:33" ht="15.75">
      <c r="B757" s="158"/>
      <c r="C757" s="131"/>
      <c r="D757" s="131"/>
      <c r="E757" s="131"/>
      <c r="F757" s="131"/>
      <c r="G757" s="26"/>
      <c r="H757" s="21"/>
      <c r="I757" s="21"/>
      <c r="J757" s="21"/>
      <c r="K757" s="21"/>
      <c r="L757" s="33"/>
      <c r="M757" s="32"/>
      <c r="N757" s="32"/>
      <c r="O757" s="34"/>
      <c r="P757" s="36"/>
      <c r="Q757" s="64"/>
      <c r="R757" s="34"/>
      <c r="S757" s="34"/>
      <c r="T757" s="34"/>
      <c r="U757" s="34"/>
      <c r="V757" s="64"/>
      <c r="W757" s="35"/>
      <c r="AB757" s="32"/>
      <c r="AD757" s="32"/>
      <c r="AE757" s="32"/>
      <c r="AF757" s="26"/>
      <c r="AG757" s="26"/>
    </row>
    <row r="758" spans="11:31" ht="15">
      <c r="K758" s="139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  <c r="AA758" s="122"/>
      <c r="AB758" s="122"/>
      <c r="AC758" s="122"/>
      <c r="AD758" s="122"/>
      <c r="AE758" s="122"/>
    </row>
    <row r="759" spans="11:31" ht="15">
      <c r="K759" s="139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  <c r="AA759" s="122"/>
      <c r="AB759" s="122"/>
      <c r="AC759" s="122"/>
      <c r="AD759" s="122"/>
      <c r="AE759" s="122"/>
    </row>
    <row r="761" spans="1:34" s="3" customFormat="1" ht="36" customHeight="1" thickBot="1">
      <c r="A761" s="12"/>
      <c r="B761" s="54"/>
      <c r="C761" s="55"/>
      <c r="D761" s="55"/>
      <c r="E761" s="55"/>
      <c r="F761" s="55"/>
      <c r="G761" s="55"/>
      <c r="H761" s="55"/>
      <c r="I761" s="55"/>
      <c r="J761" s="55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H761" s="13"/>
    </row>
    <row r="762" spans="2:33" s="4" customFormat="1" ht="21.75" customHeight="1">
      <c r="B762" s="233"/>
      <c r="C762" s="235"/>
      <c r="D762" s="251"/>
      <c r="E762" s="251"/>
      <c r="F762" s="251"/>
      <c r="G762" s="251"/>
      <c r="H762" s="258"/>
      <c r="I762" s="258"/>
      <c r="J762" s="258"/>
      <c r="K762" s="258"/>
      <c r="L762" s="254"/>
      <c r="M762" s="58"/>
      <c r="N762" s="58"/>
      <c r="O762" s="58"/>
      <c r="P762" s="58"/>
      <c r="Q762" s="58"/>
      <c r="R762" s="58"/>
      <c r="S762" s="58"/>
      <c r="T762" s="6"/>
      <c r="U762" s="6"/>
      <c r="V762" s="58"/>
      <c r="W762" s="6"/>
      <c r="X762" s="6"/>
      <c r="Y762" s="6"/>
      <c r="Z762" s="6"/>
      <c r="AF762" s="307"/>
      <c r="AG762" s="307"/>
    </row>
    <row r="763" spans="2:33" s="4" customFormat="1" ht="27.75" customHeight="1">
      <c r="B763" s="293"/>
      <c r="C763" s="294"/>
      <c r="D763" s="252"/>
      <c r="E763" s="252"/>
      <c r="F763" s="252"/>
      <c r="G763" s="252"/>
      <c r="H763" s="204"/>
      <c r="I763" s="204"/>
      <c r="J763" s="204"/>
      <c r="K763" s="204"/>
      <c r="L763" s="242"/>
      <c r="M763" s="241"/>
      <c r="N763" s="241"/>
      <c r="O763" s="241"/>
      <c r="P763" s="241"/>
      <c r="Q763" s="241"/>
      <c r="R763" s="241"/>
      <c r="S763" s="241"/>
      <c r="T763" s="203"/>
      <c r="U763" s="203"/>
      <c r="V763" s="241"/>
      <c r="W763" s="203"/>
      <c r="X763" s="203"/>
      <c r="Y763" s="203"/>
      <c r="Z763" s="203"/>
      <c r="AF763" s="308"/>
      <c r="AG763" s="308"/>
    </row>
    <row r="764" spans="2:33" s="4" customFormat="1" ht="27.75" customHeight="1" thickBot="1">
      <c r="B764" s="293"/>
      <c r="C764" s="294"/>
      <c r="D764" s="252"/>
      <c r="E764" s="252"/>
      <c r="F764" s="252"/>
      <c r="G764" s="252"/>
      <c r="H764" s="204"/>
      <c r="I764" s="204"/>
      <c r="J764" s="204"/>
      <c r="K764" s="204"/>
      <c r="L764" s="242"/>
      <c r="M764" s="242"/>
      <c r="N764" s="242"/>
      <c r="O764" s="242"/>
      <c r="P764" s="242"/>
      <c r="Q764" s="242"/>
      <c r="R764" s="242"/>
      <c r="S764" s="242"/>
      <c r="T764" s="204"/>
      <c r="U764" s="204"/>
      <c r="V764" s="242"/>
      <c r="W764" s="204"/>
      <c r="X764" s="204"/>
      <c r="Y764" s="204"/>
      <c r="Z764" s="204"/>
      <c r="AF764" s="309"/>
      <c r="AG764" s="309"/>
    </row>
    <row r="765" spans="2:33" s="4" customFormat="1" ht="27.75" customHeight="1">
      <c r="B765" s="293"/>
      <c r="C765" s="294"/>
      <c r="D765" s="252"/>
      <c r="E765" s="252"/>
      <c r="F765" s="252"/>
      <c r="G765" s="252"/>
      <c r="H765" s="204"/>
      <c r="I765" s="204"/>
      <c r="J765" s="204"/>
      <c r="K765" s="204"/>
      <c r="L765" s="242"/>
      <c r="M765" s="242"/>
      <c r="N765" s="242"/>
      <c r="O765" s="242"/>
      <c r="P765" s="242"/>
      <c r="Q765" s="242"/>
      <c r="R765" s="242"/>
      <c r="S765" s="242"/>
      <c r="T765" s="204"/>
      <c r="U765" s="204"/>
      <c r="V765" s="242"/>
      <c r="W765" s="204"/>
      <c r="X765" s="204"/>
      <c r="Y765" s="204"/>
      <c r="Z765" s="204"/>
      <c r="AF765" s="321"/>
      <c r="AG765" s="322"/>
    </row>
    <row r="766" spans="2:33" s="4" customFormat="1" ht="27.75" customHeight="1">
      <c r="B766" s="293"/>
      <c r="C766" s="294"/>
      <c r="D766" s="252"/>
      <c r="E766" s="252"/>
      <c r="F766" s="252"/>
      <c r="G766" s="252"/>
      <c r="H766" s="204"/>
      <c r="I766" s="204"/>
      <c r="J766" s="204"/>
      <c r="K766" s="204"/>
      <c r="L766" s="242"/>
      <c r="M766" s="242"/>
      <c r="N766" s="242"/>
      <c r="O766" s="242"/>
      <c r="P766" s="242"/>
      <c r="Q766" s="242"/>
      <c r="R766" s="242"/>
      <c r="S766" s="242"/>
      <c r="T766" s="204"/>
      <c r="U766" s="204"/>
      <c r="V766" s="242"/>
      <c r="W766" s="204"/>
      <c r="X766" s="204"/>
      <c r="Y766" s="204"/>
      <c r="Z766" s="204"/>
      <c r="AF766" s="323"/>
      <c r="AG766" s="324"/>
    </row>
    <row r="767" spans="2:33" s="4" customFormat="1" ht="27.75" customHeight="1">
      <c r="B767" s="293"/>
      <c r="C767" s="294"/>
      <c r="D767" s="252"/>
      <c r="E767" s="252"/>
      <c r="F767" s="252"/>
      <c r="G767" s="252"/>
      <c r="H767" s="204"/>
      <c r="I767" s="204"/>
      <c r="J767" s="204"/>
      <c r="K767" s="204"/>
      <c r="L767" s="242"/>
      <c r="M767" s="242"/>
      <c r="N767" s="242"/>
      <c r="O767" s="242"/>
      <c r="P767" s="242"/>
      <c r="Q767" s="242"/>
      <c r="R767" s="242"/>
      <c r="S767" s="242"/>
      <c r="T767" s="204"/>
      <c r="U767" s="204"/>
      <c r="V767" s="242"/>
      <c r="W767" s="204"/>
      <c r="X767" s="204"/>
      <c r="Y767" s="204"/>
      <c r="Z767" s="204"/>
      <c r="AF767" s="323"/>
      <c r="AG767" s="324"/>
    </row>
    <row r="768" spans="2:33" s="4" customFormat="1" ht="27.75" customHeight="1">
      <c r="B768" s="293"/>
      <c r="C768" s="294"/>
      <c r="D768" s="252"/>
      <c r="E768" s="252"/>
      <c r="F768" s="252"/>
      <c r="G768" s="252"/>
      <c r="H768" s="204"/>
      <c r="I768" s="204"/>
      <c r="J768" s="204"/>
      <c r="K768" s="204"/>
      <c r="L768" s="242"/>
      <c r="M768" s="242"/>
      <c r="N768" s="242"/>
      <c r="O768" s="242"/>
      <c r="P768" s="242"/>
      <c r="Q768" s="242"/>
      <c r="R768" s="242"/>
      <c r="S768" s="242"/>
      <c r="T768" s="204"/>
      <c r="U768" s="204"/>
      <c r="V768" s="242"/>
      <c r="W768" s="204"/>
      <c r="X768" s="204"/>
      <c r="Y768" s="204"/>
      <c r="Z768" s="204"/>
      <c r="AF768" s="323"/>
      <c r="AG768" s="324"/>
    </row>
    <row r="769" spans="2:33" s="4" customFormat="1" ht="27.75" customHeight="1">
      <c r="B769" s="293"/>
      <c r="C769" s="294"/>
      <c r="D769" s="252"/>
      <c r="E769" s="252"/>
      <c r="F769" s="252"/>
      <c r="G769" s="252"/>
      <c r="H769" s="204"/>
      <c r="I769" s="204"/>
      <c r="J769" s="204"/>
      <c r="K769" s="204"/>
      <c r="L769" s="242"/>
      <c r="M769" s="242"/>
      <c r="N769" s="242"/>
      <c r="O769" s="242"/>
      <c r="P769" s="242"/>
      <c r="Q769" s="242"/>
      <c r="R769" s="242"/>
      <c r="S769" s="242"/>
      <c r="T769" s="204"/>
      <c r="U769" s="204"/>
      <c r="V769" s="242"/>
      <c r="W769" s="204"/>
      <c r="X769" s="204"/>
      <c r="Y769" s="204"/>
      <c r="Z769" s="204"/>
      <c r="AF769" s="323"/>
      <c r="AG769" s="324"/>
    </row>
    <row r="770" spans="2:33" s="5" customFormat="1" ht="27.75" customHeight="1">
      <c r="B770" s="295"/>
      <c r="C770" s="296"/>
      <c r="D770" s="253"/>
      <c r="E770" s="253"/>
      <c r="F770" s="253"/>
      <c r="G770" s="253"/>
      <c r="H770" s="205"/>
      <c r="I770" s="205"/>
      <c r="J770" s="205"/>
      <c r="K770" s="205"/>
      <c r="L770" s="243"/>
      <c r="M770" s="243"/>
      <c r="N770" s="243"/>
      <c r="O770" s="243"/>
      <c r="P770" s="243"/>
      <c r="Q770" s="243"/>
      <c r="R770" s="243"/>
      <c r="S770" s="243"/>
      <c r="T770" s="205"/>
      <c r="U770" s="205"/>
      <c r="V770" s="243"/>
      <c r="W770" s="205"/>
      <c r="X770" s="205"/>
      <c r="Y770" s="205"/>
      <c r="Z770" s="205"/>
      <c r="AF770" s="323"/>
      <c r="AG770" s="324"/>
    </row>
    <row r="771" spans="2:33" s="7" customFormat="1" ht="21.75" customHeight="1" thickBot="1">
      <c r="B771" s="56"/>
      <c r="C771" s="56"/>
      <c r="D771" s="57"/>
      <c r="E771" s="57"/>
      <c r="F771" s="57"/>
      <c r="G771" s="57"/>
      <c r="H771" s="14"/>
      <c r="I771" s="14"/>
      <c r="J771" s="14"/>
      <c r="K771" s="14"/>
      <c r="L771" s="14"/>
      <c r="M771" s="14"/>
      <c r="N771" s="14"/>
      <c r="O771" s="57"/>
      <c r="P771" s="57"/>
      <c r="Q771" s="57"/>
      <c r="R771" s="57"/>
      <c r="S771" s="57"/>
      <c r="T771" s="14"/>
      <c r="U771" s="14"/>
      <c r="V771" s="57"/>
      <c r="W771" s="14"/>
      <c r="X771" s="14"/>
      <c r="Y771" s="14"/>
      <c r="Z771" s="14"/>
      <c r="AF771" s="323"/>
      <c r="AG771" s="324"/>
    </row>
    <row r="772" spans="1:33" s="4" customFormat="1" ht="21.75" customHeight="1">
      <c r="A772" s="30"/>
      <c r="B772" s="315"/>
      <c r="C772" s="316"/>
      <c r="D772" s="42"/>
      <c r="E772" s="42"/>
      <c r="F772" s="42"/>
      <c r="G772" s="42"/>
      <c r="H772" s="42"/>
      <c r="I772" s="43"/>
      <c r="J772" s="58"/>
      <c r="K772" s="6"/>
      <c r="L772" s="6"/>
      <c r="M772" s="19"/>
      <c r="N772" s="6"/>
      <c r="O772" s="6"/>
      <c r="P772" s="15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F772" s="323"/>
      <c r="AG772" s="324"/>
    </row>
    <row r="773" spans="1:33" s="4" customFormat="1" ht="21.75" customHeight="1">
      <c r="A773" s="30"/>
      <c r="B773" s="71"/>
      <c r="C773" s="72"/>
      <c r="D773" s="72"/>
      <c r="E773" s="72"/>
      <c r="F773" s="72"/>
      <c r="G773" s="73"/>
      <c r="H773" s="24"/>
      <c r="I773" s="43"/>
      <c r="J773" s="24"/>
      <c r="K773" s="24"/>
      <c r="L773" s="24"/>
      <c r="M773" s="24"/>
      <c r="N773" s="24"/>
      <c r="O773" s="24"/>
      <c r="P773" s="24"/>
      <c r="Q773" s="61"/>
      <c r="R773" s="25"/>
      <c r="S773" s="25"/>
      <c r="T773" s="25"/>
      <c r="U773" s="25"/>
      <c r="V773" s="24"/>
      <c r="W773" s="25"/>
      <c r="X773" s="25"/>
      <c r="Y773" s="25"/>
      <c r="Z773" s="25"/>
      <c r="AF773" s="323"/>
      <c r="AG773" s="324"/>
    </row>
    <row r="774" spans="1:33" s="4" customFormat="1" ht="21.75" customHeight="1">
      <c r="A774" s="30"/>
      <c r="B774" s="291"/>
      <c r="C774" s="292"/>
      <c r="D774" s="39"/>
      <c r="E774" s="24"/>
      <c r="F774" s="24"/>
      <c r="G774" s="24"/>
      <c r="H774" s="24"/>
      <c r="I774" s="45"/>
      <c r="J774" s="39"/>
      <c r="K774" s="24"/>
      <c r="L774" s="24"/>
      <c r="M774" s="24"/>
      <c r="N774" s="24"/>
      <c r="O774" s="24"/>
      <c r="P774" s="24"/>
      <c r="Q774" s="61"/>
      <c r="R774" s="25"/>
      <c r="S774" s="25"/>
      <c r="T774" s="25"/>
      <c r="U774" s="25"/>
      <c r="V774" s="24"/>
      <c r="W774" s="25"/>
      <c r="X774" s="25"/>
      <c r="Y774" s="25"/>
      <c r="Z774" s="25"/>
      <c r="AF774" s="323"/>
      <c r="AG774" s="324"/>
    </row>
    <row r="775" spans="1:33" s="4" customFormat="1" ht="21.75" customHeight="1">
      <c r="A775" s="30"/>
      <c r="B775" s="38"/>
      <c r="C775" s="38"/>
      <c r="D775" s="39"/>
      <c r="E775" s="24"/>
      <c r="F775" s="92"/>
      <c r="G775" s="66"/>
      <c r="H775" s="24"/>
      <c r="I775" s="45"/>
      <c r="J775" s="39"/>
      <c r="K775" s="24"/>
      <c r="L775" s="24"/>
      <c r="M775" s="24"/>
      <c r="N775" s="24"/>
      <c r="O775" s="24"/>
      <c r="P775" s="24"/>
      <c r="Q775" s="24"/>
      <c r="R775" s="9"/>
      <c r="S775" s="24"/>
      <c r="T775" s="9"/>
      <c r="U775" s="9"/>
      <c r="V775" s="24"/>
      <c r="W775" s="9"/>
      <c r="X775" s="9"/>
      <c r="Y775" s="9"/>
      <c r="Z775" s="9"/>
      <c r="AF775" s="323"/>
      <c r="AG775" s="324"/>
    </row>
    <row r="776" spans="1:33" s="4" customFormat="1" ht="21.75" customHeight="1">
      <c r="A776" s="30"/>
      <c r="B776" s="38"/>
      <c r="C776" s="38"/>
      <c r="D776" s="39"/>
      <c r="E776" s="24"/>
      <c r="F776" s="92"/>
      <c r="G776" s="66"/>
      <c r="H776" s="24"/>
      <c r="I776" s="45"/>
      <c r="J776" s="39"/>
      <c r="K776" s="24"/>
      <c r="L776" s="24"/>
      <c r="M776" s="24"/>
      <c r="N776" s="24"/>
      <c r="O776" s="24"/>
      <c r="P776" s="24"/>
      <c r="Q776" s="24"/>
      <c r="R776" s="9"/>
      <c r="S776" s="9"/>
      <c r="T776" s="9"/>
      <c r="U776" s="9"/>
      <c r="V776" s="24"/>
      <c r="W776" s="9"/>
      <c r="X776" s="9"/>
      <c r="Y776" s="9"/>
      <c r="Z776" s="9"/>
      <c r="AF776" s="323"/>
      <c r="AG776" s="324"/>
    </row>
    <row r="777" spans="1:33" s="4" customFormat="1" ht="21.75" customHeight="1">
      <c r="A777" s="30"/>
      <c r="B777" s="67"/>
      <c r="C777" s="68"/>
      <c r="D777" s="39"/>
      <c r="E777" s="24"/>
      <c r="F777" s="24"/>
      <c r="G777" s="24"/>
      <c r="H777" s="24"/>
      <c r="I777" s="45"/>
      <c r="J777" s="39"/>
      <c r="K777" s="24"/>
      <c r="L777" s="24"/>
      <c r="M777" s="24"/>
      <c r="N777" s="24"/>
      <c r="O777" s="24"/>
      <c r="P777" s="24"/>
      <c r="Q777" s="24"/>
      <c r="R777" s="9"/>
      <c r="S777" s="9"/>
      <c r="T777" s="9"/>
      <c r="U777" s="9"/>
      <c r="V777" s="24"/>
      <c r="W777" s="9"/>
      <c r="X777" s="9"/>
      <c r="Y777" s="9"/>
      <c r="Z777" s="9"/>
      <c r="AF777" s="323"/>
      <c r="AG777" s="324"/>
    </row>
    <row r="778" spans="1:33" s="4" customFormat="1" ht="21.75" customHeight="1">
      <c r="A778" s="30"/>
      <c r="B778" s="38"/>
      <c r="C778" s="38"/>
      <c r="D778" s="39"/>
      <c r="E778" s="24"/>
      <c r="F778" s="70"/>
      <c r="G778" s="66"/>
      <c r="H778" s="24"/>
      <c r="I778" s="24"/>
      <c r="J778" s="39"/>
      <c r="K778" s="24"/>
      <c r="L778" s="24"/>
      <c r="M778" s="24"/>
      <c r="N778" s="24"/>
      <c r="O778" s="24"/>
      <c r="P778" s="24"/>
      <c r="Q778" s="24"/>
      <c r="R778" s="9"/>
      <c r="S778" s="9"/>
      <c r="T778" s="9"/>
      <c r="U778" s="9"/>
      <c r="V778" s="24"/>
      <c r="W778" s="9"/>
      <c r="X778" s="9"/>
      <c r="Y778" s="9"/>
      <c r="Z778" s="9"/>
      <c r="AF778" s="323"/>
      <c r="AG778" s="324"/>
    </row>
    <row r="779" spans="1:33" s="4" customFormat="1" ht="21.75" customHeight="1">
      <c r="A779" s="30"/>
      <c r="B779" s="38"/>
      <c r="C779" s="38"/>
      <c r="D779" s="39"/>
      <c r="E779" s="24"/>
      <c r="F779" s="70"/>
      <c r="G779" s="66"/>
      <c r="H779" s="24"/>
      <c r="I779" s="24"/>
      <c r="J779" s="39"/>
      <c r="K779" s="24"/>
      <c r="L779" s="24"/>
      <c r="M779" s="24"/>
      <c r="N779" s="24"/>
      <c r="O779" s="24"/>
      <c r="P779" s="24"/>
      <c r="Q779" s="24"/>
      <c r="R779" s="9"/>
      <c r="S779" s="9"/>
      <c r="T779" s="9"/>
      <c r="U779" s="9"/>
      <c r="V779" s="24"/>
      <c r="W779" s="9"/>
      <c r="X779" s="9"/>
      <c r="Y779" s="9"/>
      <c r="Z779" s="9"/>
      <c r="AF779" s="323"/>
      <c r="AG779" s="324"/>
    </row>
    <row r="780" spans="1:33" s="4" customFormat="1" ht="21.75" customHeight="1">
      <c r="A780" s="30"/>
      <c r="B780" s="67"/>
      <c r="C780" s="68"/>
      <c r="D780" s="39"/>
      <c r="E780" s="24"/>
      <c r="F780" s="24"/>
      <c r="G780" s="24"/>
      <c r="H780" s="24"/>
      <c r="I780" s="24"/>
      <c r="J780" s="39"/>
      <c r="K780" s="24"/>
      <c r="L780" s="24"/>
      <c r="M780" s="24"/>
      <c r="N780" s="24"/>
      <c r="O780" s="24"/>
      <c r="P780" s="24"/>
      <c r="Q780" s="24"/>
      <c r="R780" s="9"/>
      <c r="S780" s="9"/>
      <c r="T780" s="9"/>
      <c r="U780" s="9"/>
      <c r="V780" s="24"/>
      <c r="W780" s="9"/>
      <c r="X780" s="9"/>
      <c r="Y780" s="9"/>
      <c r="Z780" s="9"/>
      <c r="AF780" s="323"/>
      <c r="AG780" s="324"/>
    </row>
    <row r="781" spans="1:33" s="4" customFormat="1" ht="21.75" customHeight="1">
      <c r="A781" s="30"/>
      <c r="B781" s="38"/>
      <c r="C781" s="38"/>
      <c r="D781" s="39"/>
      <c r="E781" s="24"/>
      <c r="F781" s="70"/>
      <c r="G781" s="66"/>
      <c r="H781" s="24"/>
      <c r="I781" s="24"/>
      <c r="J781" s="39"/>
      <c r="K781" s="24"/>
      <c r="L781" s="24"/>
      <c r="M781" s="24"/>
      <c r="N781" s="24"/>
      <c r="O781" s="24"/>
      <c r="P781" s="24"/>
      <c r="Q781" s="24"/>
      <c r="R781" s="9"/>
      <c r="S781" s="9"/>
      <c r="T781" s="9"/>
      <c r="U781" s="9"/>
      <c r="V781" s="24"/>
      <c r="W781" s="9"/>
      <c r="X781" s="9"/>
      <c r="Y781" s="9"/>
      <c r="Z781" s="9"/>
      <c r="AF781" s="323"/>
      <c r="AG781" s="324"/>
    </row>
    <row r="782" spans="1:33" s="4" customFormat="1" ht="21.75" customHeight="1">
      <c r="A782" s="30"/>
      <c r="B782" s="38"/>
      <c r="C782" s="38"/>
      <c r="D782" s="39"/>
      <c r="E782" s="24"/>
      <c r="F782" s="70"/>
      <c r="G782" s="66"/>
      <c r="H782" s="24"/>
      <c r="I782" s="24"/>
      <c r="J782" s="39"/>
      <c r="K782" s="24"/>
      <c r="L782" s="24"/>
      <c r="M782" s="24"/>
      <c r="N782" s="24"/>
      <c r="O782" s="24"/>
      <c r="P782" s="24"/>
      <c r="Q782" s="24"/>
      <c r="R782" s="9"/>
      <c r="S782" s="9"/>
      <c r="T782" s="9"/>
      <c r="U782" s="9"/>
      <c r="V782" s="24"/>
      <c r="W782" s="9"/>
      <c r="X782" s="9"/>
      <c r="Y782" s="9"/>
      <c r="Z782" s="9"/>
      <c r="AF782" s="323"/>
      <c r="AG782" s="324"/>
    </row>
    <row r="783" spans="1:33" s="4" customFormat="1" ht="21.75" customHeight="1">
      <c r="A783" s="30"/>
      <c r="B783" s="67"/>
      <c r="C783" s="68"/>
      <c r="D783" s="39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9"/>
      <c r="S783" s="9"/>
      <c r="T783" s="9"/>
      <c r="U783" s="9"/>
      <c r="V783" s="24"/>
      <c r="W783" s="9"/>
      <c r="X783" s="9"/>
      <c r="Y783" s="9"/>
      <c r="Z783" s="9"/>
      <c r="AF783" s="323"/>
      <c r="AG783" s="324"/>
    </row>
    <row r="784" spans="1:33" s="4" customFormat="1" ht="21.75" customHeight="1">
      <c r="A784" s="30"/>
      <c r="B784" s="38"/>
      <c r="C784" s="38"/>
      <c r="D784" s="39"/>
      <c r="E784" s="24"/>
      <c r="F784" s="70"/>
      <c r="G784" s="66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9"/>
      <c r="S784" s="9"/>
      <c r="T784" s="9"/>
      <c r="U784" s="9"/>
      <c r="V784" s="24"/>
      <c r="W784" s="9"/>
      <c r="X784" s="9"/>
      <c r="Y784" s="9"/>
      <c r="Z784" s="9"/>
      <c r="AF784" s="323"/>
      <c r="AG784" s="324"/>
    </row>
    <row r="785" spans="1:33" s="16" customFormat="1" ht="21.75" customHeight="1">
      <c r="A785" s="30"/>
      <c r="B785" s="38"/>
      <c r="C785" s="38"/>
      <c r="D785" s="39"/>
      <c r="E785" s="24"/>
      <c r="F785" s="70"/>
      <c r="G785" s="66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9"/>
      <c r="S785" s="9"/>
      <c r="T785" s="9"/>
      <c r="U785" s="9"/>
      <c r="V785" s="24"/>
      <c r="W785" s="9"/>
      <c r="X785" s="9"/>
      <c r="Y785" s="9"/>
      <c r="Z785" s="9"/>
      <c r="AF785" s="323"/>
      <c r="AG785" s="324"/>
    </row>
    <row r="786" spans="1:33" s="16" customFormat="1" ht="21.75" customHeight="1">
      <c r="A786" s="30"/>
      <c r="B786" s="67"/>
      <c r="C786" s="68"/>
      <c r="D786" s="39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9"/>
      <c r="S786" s="9"/>
      <c r="T786" s="9"/>
      <c r="U786" s="9"/>
      <c r="V786" s="24"/>
      <c r="W786" s="9"/>
      <c r="X786" s="9"/>
      <c r="Y786" s="9"/>
      <c r="Z786" s="9"/>
      <c r="AF786" s="323"/>
      <c r="AG786" s="324"/>
    </row>
    <row r="787" spans="1:33" s="16" customFormat="1" ht="21.75" customHeight="1">
      <c r="A787" s="30"/>
      <c r="B787" s="38"/>
      <c r="C787" s="38"/>
      <c r="D787" s="39"/>
      <c r="E787" s="24"/>
      <c r="F787" s="70"/>
      <c r="G787" s="66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9"/>
      <c r="S787" s="9"/>
      <c r="T787" s="9"/>
      <c r="U787" s="9"/>
      <c r="V787" s="24"/>
      <c r="W787" s="9"/>
      <c r="X787" s="9"/>
      <c r="Y787" s="9"/>
      <c r="Z787" s="9"/>
      <c r="AF787" s="323"/>
      <c r="AG787" s="324"/>
    </row>
    <row r="788" spans="1:33" s="16" customFormat="1" ht="21.75" customHeight="1">
      <c r="A788" s="30"/>
      <c r="B788" s="38"/>
      <c r="C788" s="38"/>
      <c r="D788" s="39"/>
      <c r="E788" s="24"/>
      <c r="F788" s="70"/>
      <c r="G788" s="66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9"/>
      <c r="S788" s="9"/>
      <c r="T788" s="9"/>
      <c r="U788" s="9"/>
      <c r="V788" s="24"/>
      <c r="W788" s="9"/>
      <c r="X788" s="9"/>
      <c r="Y788" s="9"/>
      <c r="Z788" s="9"/>
      <c r="AF788" s="323"/>
      <c r="AG788" s="324"/>
    </row>
    <row r="789" spans="1:33" s="4" customFormat="1" ht="21.75" customHeight="1">
      <c r="A789" s="30"/>
      <c r="B789" s="67"/>
      <c r="C789" s="68"/>
      <c r="D789" s="39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9"/>
      <c r="S789" s="9"/>
      <c r="T789" s="9"/>
      <c r="U789" s="9"/>
      <c r="V789" s="24"/>
      <c r="W789" s="9"/>
      <c r="X789" s="9"/>
      <c r="Y789" s="9"/>
      <c r="Z789" s="9"/>
      <c r="AF789" s="323"/>
      <c r="AG789" s="324"/>
    </row>
    <row r="790" spans="1:33" s="4" customFormat="1" ht="21.75" customHeight="1">
      <c r="A790" s="30"/>
      <c r="B790" s="38"/>
      <c r="C790" s="38"/>
      <c r="D790" s="39"/>
      <c r="E790" s="24"/>
      <c r="F790" s="70"/>
      <c r="G790" s="66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9"/>
      <c r="S790" s="9"/>
      <c r="T790" s="9"/>
      <c r="U790" s="9"/>
      <c r="V790" s="24"/>
      <c r="W790" s="9"/>
      <c r="X790" s="9"/>
      <c r="Y790" s="9"/>
      <c r="Z790" s="9"/>
      <c r="AF790" s="323"/>
      <c r="AG790" s="324"/>
    </row>
    <row r="791" spans="1:33" s="4" customFormat="1" ht="21.75" customHeight="1">
      <c r="A791" s="30"/>
      <c r="B791" s="38"/>
      <c r="C791" s="38"/>
      <c r="D791" s="39"/>
      <c r="E791" s="24"/>
      <c r="F791" s="70"/>
      <c r="G791" s="66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9"/>
      <c r="S791" s="9"/>
      <c r="T791" s="9"/>
      <c r="U791" s="9"/>
      <c r="V791" s="24"/>
      <c r="W791" s="9"/>
      <c r="X791" s="9"/>
      <c r="Y791" s="9"/>
      <c r="Z791" s="9"/>
      <c r="AF791" s="323"/>
      <c r="AG791" s="324"/>
    </row>
    <row r="792" spans="1:33" s="4" customFormat="1" ht="21.75" customHeight="1">
      <c r="A792" s="30"/>
      <c r="B792" s="67"/>
      <c r="C792" s="68"/>
      <c r="D792" s="39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9"/>
      <c r="S792" s="9"/>
      <c r="T792" s="9"/>
      <c r="U792" s="9"/>
      <c r="V792" s="24"/>
      <c r="W792" s="9"/>
      <c r="X792" s="9"/>
      <c r="Y792" s="9"/>
      <c r="Z792" s="9"/>
      <c r="AF792" s="323"/>
      <c r="AG792" s="324"/>
    </row>
    <row r="793" spans="1:33" s="4" customFormat="1" ht="21.75" customHeight="1">
      <c r="A793" s="30"/>
      <c r="B793" s="38"/>
      <c r="C793" s="38"/>
      <c r="D793" s="39"/>
      <c r="E793" s="24"/>
      <c r="F793" s="70"/>
      <c r="G793" s="66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9"/>
      <c r="S793" s="9"/>
      <c r="T793" s="9"/>
      <c r="U793" s="9"/>
      <c r="V793" s="24"/>
      <c r="W793" s="9"/>
      <c r="X793" s="9"/>
      <c r="Y793" s="9"/>
      <c r="Z793" s="9"/>
      <c r="AF793" s="323"/>
      <c r="AG793" s="324"/>
    </row>
    <row r="794" spans="1:33" s="4" customFormat="1" ht="21.75" customHeight="1">
      <c r="A794" s="30"/>
      <c r="B794" s="38"/>
      <c r="C794" s="38"/>
      <c r="D794" s="39"/>
      <c r="E794" s="24"/>
      <c r="F794" s="70"/>
      <c r="G794" s="66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9"/>
      <c r="S794" s="9"/>
      <c r="T794" s="9"/>
      <c r="U794" s="9"/>
      <c r="V794" s="24"/>
      <c r="W794" s="9"/>
      <c r="X794" s="9"/>
      <c r="Y794" s="9"/>
      <c r="Z794" s="9"/>
      <c r="AF794" s="323"/>
      <c r="AG794" s="324"/>
    </row>
    <row r="795" spans="1:33" s="4" customFormat="1" ht="21.75" customHeight="1">
      <c r="A795" s="30"/>
      <c r="B795" s="291"/>
      <c r="C795" s="292"/>
      <c r="D795" s="39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9"/>
      <c r="S795" s="9"/>
      <c r="T795" s="9"/>
      <c r="U795" s="9"/>
      <c r="V795" s="24"/>
      <c r="W795" s="9"/>
      <c r="X795" s="9"/>
      <c r="Y795" s="9"/>
      <c r="Z795" s="9"/>
      <c r="AF795" s="323"/>
      <c r="AG795" s="324"/>
    </row>
    <row r="796" spans="1:33" s="4" customFormat="1" ht="21.75" customHeight="1">
      <c r="A796" s="30"/>
      <c r="B796" s="38"/>
      <c r="C796" s="38"/>
      <c r="D796" s="39"/>
      <c r="E796" s="24"/>
      <c r="F796" s="92"/>
      <c r="G796" s="66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9"/>
      <c r="S796" s="9"/>
      <c r="T796" s="9"/>
      <c r="U796" s="9"/>
      <c r="V796" s="24"/>
      <c r="W796" s="9"/>
      <c r="X796" s="9"/>
      <c r="Y796" s="9"/>
      <c r="Z796" s="9"/>
      <c r="AF796" s="323"/>
      <c r="AG796" s="324"/>
    </row>
    <row r="797" spans="1:33" s="4" customFormat="1" ht="21.75" customHeight="1">
      <c r="A797" s="30"/>
      <c r="B797" s="38"/>
      <c r="C797" s="38"/>
      <c r="D797" s="39"/>
      <c r="E797" s="24"/>
      <c r="F797" s="92"/>
      <c r="G797" s="66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9"/>
      <c r="S797" s="9"/>
      <c r="T797" s="9"/>
      <c r="U797" s="9"/>
      <c r="V797" s="24"/>
      <c r="W797" s="9"/>
      <c r="X797" s="9"/>
      <c r="Y797" s="9"/>
      <c r="Z797" s="9"/>
      <c r="AF797" s="323"/>
      <c r="AG797" s="324"/>
    </row>
    <row r="798" spans="1:33" s="4" customFormat="1" ht="21.75" customHeight="1">
      <c r="A798" s="30"/>
      <c r="B798" s="38"/>
      <c r="C798" s="38"/>
      <c r="D798" s="39"/>
      <c r="E798" s="24"/>
      <c r="F798" s="24"/>
      <c r="G798" s="24"/>
      <c r="H798" s="24"/>
      <c r="I798" s="24"/>
      <c r="J798" s="39"/>
      <c r="K798" s="24"/>
      <c r="L798" s="24"/>
      <c r="M798" s="24"/>
      <c r="N798" s="24"/>
      <c r="O798" s="24"/>
      <c r="P798" s="24"/>
      <c r="Q798" s="24"/>
      <c r="R798" s="9"/>
      <c r="S798" s="9"/>
      <c r="T798" s="9"/>
      <c r="U798" s="9"/>
      <c r="V798" s="24"/>
      <c r="W798" s="9"/>
      <c r="X798" s="9"/>
      <c r="Y798" s="9"/>
      <c r="Z798" s="9"/>
      <c r="AF798" s="323"/>
      <c r="AG798" s="324"/>
    </row>
    <row r="799" spans="1:33" s="4" customFormat="1" ht="21.75" customHeight="1">
      <c r="A799" s="30"/>
      <c r="B799" s="71"/>
      <c r="C799" s="72"/>
      <c r="D799" s="72"/>
      <c r="E799" s="72"/>
      <c r="F799" s="72"/>
      <c r="G799" s="73"/>
      <c r="H799" s="24"/>
      <c r="I799" s="24"/>
      <c r="J799" s="24"/>
      <c r="K799" s="24"/>
      <c r="L799" s="24"/>
      <c r="M799" s="24"/>
      <c r="N799" s="24"/>
      <c r="O799" s="24"/>
      <c r="P799" s="24"/>
      <c r="Q799" s="61"/>
      <c r="R799" s="24"/>
      <c r="S799" s="24"/>
      <c r="T799" s="24"/>
      <c r="U799" s="24"/>
      <c r="V799" s="24"/>
      <c r="W799" s="24"/>
      <c r="X799" s="24"/>
      <c r="Y799" s="9"/>
      <c r="Z799" s="9"/>
      <c r="AF799" s="323"/>
      <c r="AG799" s="324"/>
    </row>
    <row r="800" spans="1:33" s="4" customFormat="1" ht="21.75" customHeight="1">
      <c r="A800" s="30"/>
      <c r="B800" s="291"/>
      <c r="C800" s="292"/>
      <c r="D800" s="39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9"/>
      <c r="Z800" s="9"/>
      <c r="AF800" s="323"/>
      <c r="AG800" s="324"/>
    </row>
    <row r="801" spans="1:33" s="4" customFormat="1" ht="21.75" customHeight="1">
      <c r="A801" s="30"/>
      <c r="B801" s="38"/>
      <c r="C801" s="38"/>
      <c r="D801" s="39"/>
      <c r="E801" s="24"/>
      <c r="F801" s="70"/>
      <c r="G801" s="66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9"/>
      <c r="Z801" s="9"/>
      <c r="AF801" s="323"/>
      <c r="AG801" s="324"/>
    </row>
    <row r="802" spans="1:33" s="4" customFormat="1" ht="21.75" customHeight="1">
      <c r="A802" s="30"/>
      <c r="B802" s="38"/>
      <c r="C802" s="38"/>
      <c r="D802" s="39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9"/>
      <c r="Z802" s="9"/>
      <c r="AF802" s="323"/>
      <c r="AG802" s="324"/>
    </row>
    <row r="803" spans="1:33" s="4" customFormat="1" ht="21.75" customHeight="1">
      <c r="A803" s="30"/>
      <c r="B803" s="38"/>
      <c r="C803" s="38"/>
      <c r="D803" s="39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9"/>
      <c r="Z803" s="9"/>
      <c r="AF803" s="323"/>
      <c r="AG803" s="324"/>
    </row>
    <row r="804" spans="1:33" s="4" customFormat="1" ht="21.75" customHeight="1">
      <c r="A804" s="30"/>
      <c r="B804" s="38"/>
      <c r="C804" s="38"/>
      <c r="D804" s="39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9"/>
      <c r="Z804" s="9"/>
      <c r="AF804" s="323"/>
      <c r="AG804" s="324"/>
    </row>
    <row r="805" spans="1:33" s="4" customFormat="1" ht="21.75" customHeight="1">
      <c r="A805" s="30"/>
      <c r="B805" s="38"/>
      <c r="C805" s="38"/>
      <c r="D805" s="39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9"/>
      <c r="Z805" s="9"/>
      <c r="AF805" s="323"/>
      <c r="AG805" s="324"/>
    </row>
    <row r="806" spans="1:33" s="4" customFormat="1" ht="21.75" customHeight="1">
      <c r="A806" s="30"/>
      <c r="B806" s="38"/>
      <c r="C806" s="38"/>
      <c r="D806" s="39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9"/>
      <c r="Z806" s="9"/>
      <c r="AF806" s="323"/>
      <c r="AG806" s="324"/>
    </row>
    <row r="807" spans="1:33" s="4" customFormat="1" ht="21.75" customHeight="1">
      <c r="A807" s="30"/>
      <c r="B807" s="38"/>
      <c r="C807" s="38"/>
      <c r="D807" s="39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9"/>
      <c r="Z807" s="9"/>
      <c r="AF807" s="323"/>
      <c r="AG807" s="324"/>
    </row>
    <row r="808" spans="1:33" s="4" customFormat="1" ht="21.75" customHeight="1">
      <c r="A808" s="30"/>
      <c r="B808" s="38"/>
      <c r="C808" s="38"/>
      <c r="D808" s="39"/>
      <c r="E808" s="24"/>
      <c r="F808" s="70"/>
      <c r="G808" s="66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9"/>
      <c r="Z808" s="9"/>
      <c r="AF808" s="323"/>
      <c r="AG808" s="324"/>
    </row>
    <row r="809" spans="1:33" s="4" customFormat="1" ht="21.75" customHeight="1" thickBot="1">
      <c r="A809" s="30"/>
      <c r="B809" s="38"/>
      <c r="C809" s="38"/>
      <c r="D809" s="39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9"/>
      <c r="Z809" s="9"/>
      <c r="AF809" s="325"/>
      <c r="AG809" s="326"/>
    </row>
    <row r="810" spans="1:33" s="4" customFormat="1" ht="21.75" customHeight="1">
      <c r="A810" s="30"/>
      <c r="B810" s="38"/>
      <c r="C810" s="38"/>
      <c r="D810" s="39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9"/>
      <c r="Z810" s="9"/>
      <c r="AF810" s="377"/>
      <c r="AG810" s="338"/>
    </row>
    <row r="811" spans="1:33" s="4" customFormat="1" ht="21.75" customHeight="1">
      <c r="A811" s="30"/>
      <c r="B811" s="38"/>
      <c r="C811" s="38"/>
      <c r="D811" s="39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9"/>
      <c r="Z811" s="9"/>
      <c r="AF811" s="378"/>
      <c r="AG811" s="340"/>
    </row>
    <row r="812" spans="1:33" s="4" customFormat="1" ht="21.75" customHeight="1">
      <c r="A812" s="30"/>
      <c r="B812" s="38"/>
      <c r="C812" s="38"/>
      <c r="D812" s="39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9"/>
      <c r="Z812" s="9"/>
      <c r="AF812" s="378"/>
      <c r="AG812" s="340"/>
    </row>
    <row r="813" spans="1:33" s="4" customFormat="1" ht="21.75" customHeight="1">
      <c r="A813" s="30"/>
      <c r="B813" s="38"/>
      <c r="C813" s="38"/>
      <c r="D813" s="39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9"/>
      <c r="Z813" s="9"/>
      <c r="AF813" s="378"/>
      <c r="AG813" s="340"/>
    </row>
    <row r="814" spans="1:33" s="4" customFormat="1" ht="21.75" customHeight="1">
      <c r="A814" s="30"/>
      <c r="B814" s="38"/>
      <c r="C814" s="38"/>
      <c r="D814" s="39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9"/>
      <c r="Z814" s="9"/>
      <c r="AF814" s="378"/>
      <c r="AG814" s="340"/>
    </row>
    <row r="815" spans="1:33" s="4" customFormat="1" ht="21.75" customHeight="1">
      <c r="A815" s="30"/>
      <c r="B815" s="38"/>
      <c r="C815" s="38"/>
      <c r="D815" s="39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9"/>
      <c r="Z815" s="9"/>
      <c r="AF815" s="378"/>
      <c r="AG815" s="340"/>
    </row>
    <row r="816" spans="1:33" s="4" customFormat="1" ht="21.75" customHeight="1">
      <c r="A816" s="30"/>
      <c r="B816" s="38"/>
      <c r="C816" s="38"/>
      <c r="D816" s="39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9"/>
      <c r="Z816" s="9"/>
      <c r="AF816" s="378"/>
      <c r="AG816" s="340"/>
    </row>
    <row r="817" spans="1:33" s="4" customFormat="1" ht="21.75" customHeight="1">
      <c r="A817" s="30"/>
      <c r="B817" s="38"/>
      <c r="C817" s="38"/>
      <c r="D817" s="39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9"/>
      <c r="Z817" s="9"/>
      <c r="AF817" s="378"/>
      <c r="AG817" s="340"/>
    </row>
    <row r="818" spans="1:33" s="4" customFormat="1" ht="21.75" customHeight="1">
      <c r="A818" s="30"/>
      <c r="B818" s="38"/>
      <c r="C818" s="38"/>
      <c r="D818" s="39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9"/>
      <c r="Z818" s="9"/>
      <c r="AF818" s="378"/>
      <c r="AG818" s="340"/>
    </row>
    <row r="819" spans="1:33" s="4" customFormat="1" ht="21.75" customHeight="1">
      <c r="A819" s="30"/>
      <c r="B819" s="38"/>
      <c r="C819" s="38"/>
      <c r="D819" s="39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9"/>
      <c r="Z819" s="9"/>
      <c r="AF819" s="378"/>
      <c r="AG819" s="340"/>
    </row>
    <row r="820" spans="1:33" s="4" customFormat="1" ht="21.75" customHeight="1">
      <c r="A820" s="30"/>
      <c r="B820" s="38"/>
      <c r="C820" s="38"/>
      <c r="D820" s="39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9"/>
      <c r="Z820" s="9"/>
      <c r="AF820" s="378"/>
      <c r="AG820" s="340"/>
    </row>
    <row r="821" spans="1:33" s="4" customFormat="1" ht="21.75" customHeight="1">
      <c r="A821" s="30"/>
      <c r="B821" s="38"/>
      <c r="C821" s="38"/>
      <c r="D821" s="39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9"/>
      <c r="Z821" s="9"/>
      <c r="AF821" s="378"/>
      <c r="AG821" s="340"/>
    </row>
    <row r="822" spans="1:33" s="4" customFormat="1" ht="21.75" customHeight="1">
      <c r="A822" s="30"/>
      <c r="B822" s="38"/>
      <c r="C822" s="38"/>
      <c r="D822" s="39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9"/>
      <c r="Z822" s="9"/>
      <c r="AF822" s="378"/>
      <c r="AG822" s="340"/>
    </row>
    <row r="823" spans="1:33" s="4" customFormat="1" ht="21.75" customHeight="1">
      <c r="A823" s="30"/>
      <c r="B823" s="38"/>
      <c r="C823" s="38"/>
      <c r="D823" s="39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9"/>
      <c r="Z823" s="9"/>
      <c r="AF823" s="378"/>
      <c r="AG823" s="340"/>
    </row>
    <row r="824" spans="1:33" s="4" customFormat="1" ht="21.75" customHeight="1">
      <c r="A824" s="30"/>
      <c r="B824" s="38"/>
      <c r="C824" s="38"/>
      <c r="D824" s="39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9"/>
      <c r="Z824" s="9"/>
      <c r="AF824" s="378"/>
      <c r="AG824" s="340"/>
    </row>
    <row r="825" spans="1:33" s="4" customFormat="1" ht="21.75" customHeight="1" thickBot="1">
      <c r="A825" s="30"/>
      <c r="B825" s="38"/>
      <c r="C825" s="38"/>
      <c r="D825" s="39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9"/>
      <c r="Z825" s="9"/>
      <c r="AF825" s="379"/>
      <c r="AG825" s="380"/>
    </row>
    <row r="826" spans="2:33" s="1" customFormat="1" ht="46.5" customHeight="1">
      <c r="B826" s="126"/>
      <c r="C826" s="127"/>
      <c r="D826" s="127"/>
      <c r="E826" s="127"/>
      <c r="F826" s="127"/>
      <c r="G826" s="127"/>
      <c r="H826" s="127"/>
      <c r="I826" s="127"/>
      <c r="J826" s="127"/>
      <c r="K826" s="287"/>
      <c r="L826" s="287"/>
      <c r="M826" s="287"/>
      <c r="N826" s="287"/>
      <c r="O826" s="287"/>
      <c r="P826" s="287"/>
      <c r="Q826" s="287"/>
      <c r="R826" s="287"/>
      <c r="S826" s="287"/>
      <c r="T826" s="287"/>
      <c r="U826" s="287"/>
      <c r="V826" s="287"/>
      <c r="W826" s="287"/>
      <c r="X826" s="287"/>
      <c r="Y826" s="239"/>
      <c r="Z826" s="239"/>
      <c r="AF826" s="345"/>
      <c r="AG826" s="320"/>
    </row>
    <row r="827" spans="2:33" s="1" customFormat="1" ht="46.5" customHeight="1" thickBot="1">
      <c r="B827" s="128"/>
      <c r="C827" s="129"/>
      <c r="D827" s="129"/>
      <c r="E827" s="129"/>
      <c r="F827" s="129"/>
      <c r="G827" s="129"/>
      <c r="H827" s="129"/>
      <c r="I827" s="129"/>
      <c r="J827" s="129"/>
      <c r="K827" s="288"/>
      <c r="L827" s="288"/>
      <c r="M827" s="288"/>
      <c r="N827" s="288"/>
      <c r="O827" s="288"/>
      <c r="P827" s="288"/>
      <c r="Q827" s="288"/>
      <c r="R827" s="288"/>
      <c r="S827" s="288"/>
      <c r="T827" s="288"/>
      <c r="U827" s="288"/>
      <c r="V827" s="288"/>
      <c r="W827" s="288"/>
      <c r="X827" s="288"/>
      <c r="Y827" s="240"/>
      <c r="Z827" s="240"/>
      <c r="AF827" s="381"/>
      <c r="AG827" s="332"/>
    </row>
    <row r="828" spans="1:34" ht="36" customHeight="1">
      <c r="A828" s="10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78"/>
      <c r="Q828" s="49"/>
      <c r="R828" s="49"/>
      <c r="S828" s="49"/>
      <c r="T828" s="49"/>
      <c r="U828" s="49"/>
      <c r="V828" s="49"/>
      <c r="W828" s="49"/>
      <c r="X828" s="49"/>
      <c r="AH828" s="11"/>
    </row>
    <row r="829" spans="12:20" ht="15">
      <c r="L829" s="27"/>
      <c r="M829" s="28"/>
      <c r="T829"/>
    </row>
    <row r="830" spans="12:20" ht="15">
      <c r="L830" s="27"/>
      <c r="M830" s="28"/>
      <c r="T830"/>
    </row>
    <row r="831" spans="2:33" ht="15.75">
      <c r="B831" s="158"/>
      <c r="C831" s="131"/>
      <c r="D831" s="131"/>
      <c r="E831" s="131"/>
      <c r="F831" s="131"/>
      <c r="G831" s="26"/>
      <c r="H831" s="21"/>
      <c r="I831" s="21"/>
      <c r="J831" s="21"/>
      <c r="K831" s="21"/>
      <c r="L831" s="33"/>
      <c r="M831" s="32"/>
      <c r="N831" s="32"/>
      <c r="O831" s="34"/>
      <c r="P831" s="36"/>
      <c r="Q831" s="64"/>
      <c r="R831" s="34"/>
      <c r="S831" s="34"/>
      <c r="T831" s="34"/>
      <c r="U831" s="34"/>
      <c r="V831" s="64"/>
      <c r="W831" s="35"/>
      <c r="AB831" s="32"/>
      <c r="AD831" s="32"/>
      <c r="AE831" s="32"/>
      <c r="AF831" s="26"/>
      <c r="AG831" s="26"/>
    </row>
    <row r="832" spans="11:31" ht="15">
      <c r="K832" s="139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  <c r="Z832" s="122"/>
      <c r="AA832" s="122"/>
      <c r="AB832" s="122"/>
      <c r="AC832" s="122"/>
      <c r="AD832" s="122"/>
      <c r="AE832" s="122"/>
    </row>
    <row r="833" spans="11:31" ht="15">
      <c r="K833" s="139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  <c r="Z833" s="122"/>
      <c r="AA833" s="122"/>
      <c r="AB833" s="122"/>
      <c r="AC833" s="122"/>
      <c r="AD833" s="122"/>
      <c r="AE833" s="122"/>
    </row>
    <row r="835" spans="1:34" s="3" customFormat="1" ht="36" customHeight="1" thickBot="1">
      <c r="A835" s="12"/>
      <c r="B835" s="54"/>
      <c r="C835" s="55"/>
      <c r="D835" s="55"/>
      <c r="E835" s="55"/>
      <c r="F835" s="55"/>
      <c r="G835" s="55"/>
      <c r="H835" s="55"/>
      <c r="I835" s="55"/>
      <c r="J835" s="55"/>
      <c r="K835" s="86"/>
      <c r="L835" s="257"/>
      <c r="M835" s="257"/>
      <c r="N835" s="229"/>
      <c r="O835" s="229"/>
      <c r="P835" s="229"/>
      <c r="Q835" s="229"/>
      <c r="R835" s="229"/>
      <c r="S835" s="229"/>
      <c r="T835" s="229"/>
      <c r="U835" s="229"/>
      <c r="V835" s="99"/>
      <c r="W835" s="86"/>
      <c r="AB835" s="142"/>
      <c r="AD835" s="229"/>
      <c r="AE835" s="229"/>
      <c r="AF835" s="98"/>
      <c r="AG835" s="98"/>
      <c r="AH835" s="13"/>
    </row>
    <row r="836" spans="2:33" s="4" customFormat="1" ht="21.75" customHeight="1">
      <c r="B836" s="233"/>
      <c r="C836" s="235"/>
      <c r="D836" s="251"/>
      <c r="E836" s="251"/>
      <c r="F836" s="251"/>
      <c r="G836" s="254"/>
      <c r="H836" s="254"/>
      <c r="I836" s="251"/>
      <c r="J836" s="254"/>
      <c r="K836" s="254"/>
      <c r="L836" s="216"/>
      <c r="M836" s="217"/>
      <c r="N836" s="216"/>
      <c r="O836" s="217"/>
      <c r="P836" s="216"/>
      <c r="Q836" s="217"/>
      <c r="R836" s="216"/>
      <c r="S836" s="217"/>
      <c r="T836" s="216"/>
      <c r="U836" s="217"/>
      <c r="V836" s="163"/>
      <c r="W836" s="163"/>
      <c r="X836" s="163"/>
      <c r="Y836" s="163"/>
      <c r="Z836" s="163"/>
      <c r="AA836" s="163"/>
      <c r="AB836" s="163"/>
      <c r="AC836" s="163"/>
      <c r="AD836" s="216"/>
      <c r="AE836" s="217"/>
      <c r="AF836" s="282"/>
      <c r="AG836" s="282"/>
    </row>
    <row r="837" spans="2:33" s="4" customFormat="1" ht="27.75" customHeight="1">
      <c r="B837" s="293"/>
      <c r="C837" s="294"/>
      <c r="D837" s="252"/>
      <c r="E837" s="252"/>
      <c r="F837" s="252"/>
      <c r="G837" s="242"/>
      <c r="H837" s="242"/>
      <c r="I837" s="252"/>
      <c r="J837" s="255"/>
      <c r="K837" s="242"/>
      <c r="L837" s="220"/>
      <c r="M837" s="221"/>
      <c r="N837" s="218"/>
      <c r="O837" s="219"/>
      <c r="P837" s="218"/>
      <c r="Q837" s="219"/>
      <c r="R837" s="218"/>
      <c r="S837" s="219"/>
      <c r="T837" s="218"/>
      <c r="U837" s="219"/>
      <c r="V837" s="219"/>
      <c r="W837" s="219"/>
      <c r="X837" s="219"/>
      <c r="Y837" s="219"/>
      <c r="Z837" s="219"/>
      <c r="AA837" s="219"/>
      <c r="AB837" s="219"/>
      <c r="AC837" s="219"/>
      <c r="AD837" s="218"/>
      <c r="AE837" s="219"/>
      <c r="AF837" s="283"/>
      <c r="AG837" s="304"/>
    </row>
    <row r="838" spans="2:33" s="4" customFormat="1" ht="27.75" customHeight="1" thickBot="1">
      <c r="B838" s="293"/>
      <c r="C838" s="294"/>
      <c r="D838" s="252"/>
      <c r="E838" s="252"/>
      <c r="F838" s="252"/>
      <c r="G838" s="242"/>
      <c r="H838" s="242"/>
      <c r="I838" s="252"/>
      <c r="J838" s="255"/>
      <c r="K838" s="242"/>
      <c r="L838" s="220"/>
      <c r="M838" s="221"/>
      <c r="N838" s="220"/>
      <c r="O838" s="221"/>
      <c r="P838" s="220"/>
      <c r="Q838" s="221"/>
      <c r="R838" s="220"/>
      <c r="S838" s="221"/>
      <c r="T838" s="220"/>
      <c r="U838" s="221"/>
      <c r="V838" s="221"/>
      <c r="W838" s="221"/>
      <c r="X838" s="221"/>
      <c r="Y838" s="221"/>
      <c r="Z838" s="221"/>
      <c r="AA838" s="221"/>
      <c r="AB838" s="221"/>
      <c r="AC838" s="221"/>
      <c r="AD838" s="220"/>
      <c r="AE838" s="221"/>
      <c r="AF838" s="284"/>
      <c r="AG838" s="304"/>
    </row>
    <row r="839" spans="2:33" s="4" customFormat="1" ht="27.75" customHeight="1">
      <c r="B839" s="293"/>
      <c r="C839" s="294"/>
      <c r="D839" s="252"/>
      <c r="E839" s="252"/>
      <c r="F839" s="252"/>
      <c r="G839" s="242"/>
      <c r="H839" s="242"/>
      <c r="I839" s="252"/>
      <c r="J839" s="255"/>
      <c r="K839" s="242"/>
      <c r="L839" s="220"/>
      <c r="M839" s="221"/>
      <c r="N839" s="220"/>
      <c r="O839" s="221"/>
      <c r="P839" s="220"/>
      <c r="Q839" s="221"/>
      <c r="R839" s="220"/>
      <c r="S839" s="221"/>
      <c r="T839" s="220"/>
      <c r="U839" s="221"/>
      <c r="V839" s="221"/>
      <c r="W839" s="221"/>
      <c r="X839" s="221"/>
      <c r="Y839" s="221"/>
      <c r="Z839" s="221"/>
      <c r="AA839" s="221"/>
      <c r="AB839" s="221"/>
      <c r="AC839" s="221"/>
      <c r="AD839" s="220"/>
      <c r="AE839" s="221"/>
      <c r="AF839" s="269"/>
      <c r="AG839" s="270"/>
    </row>
    <row r="840" spans="2:33" s="4" customFormat="1" ht="27.75" customHeight="1">
      <c r="B840" s="293"/>
      <c r="C840" s="294"/>
      <c r="D840" s="252"/>
      <c r="E840" s="252"/>
      <c r="F840" s="252"/>
      <c r="G840" s="242"/>
      <c r="H840" s="242"/>
      <c r="I840" s="252"/>
      <c r="J840" s="255"/>
      <c r="K840" s="242"/>
      <c r="L840" s="220"/>
      <c r="M840" s="221"/>
      <c r="N840" s="220"/>
      <c r="O840" s="221"/>
      <c r="P840" s="220"/>
      <c r="Q840" s="221"/>
      <c r="R840" s="220"/>
      <c r="S840" s="221"/>
      <c r="T840" s="220"/>
      <c r="U840" s="221"/>
      <c r="V840" s="221"/>
      <c r="W840" s="221"/>
      <c r="X840" s="221"/>
      <c r="Y840" s="221"/>
      <c r="Z840" s="221"/>
      <c r="AA840" s="221"/>
      <c r="AB840" s="221"/>
      <c r="AC840" s="221"/>
      <c r="AD840" s="220"/>
      <c r="AE840" s="221"/>
      <c r="AF840" s="271"/>
      <c r="AG840" s="272"/>
    </row>
    <row r="841" spans="2:33" s="4" customFormat="1" ht="27.75" customHeight="1">
      <c r="B841" s="293"/>
      <c r="C841" s="294"/>
      <c r="D841" s="252"/>
      <c r="E841" s="252"/>
      <c r="F841" s="252"/>
      <c r="G841" s="242"/>
      <c r="H841" s="242"/>
      <c r="I841" s="252"/>
      <c r="J841" s="255"/>
      <c r="K841" s="242"/>
      <c r="L841" s="220"/>
      <c r="M841" s="221"/>
      <c r="N841" s="220"/>
      <c r="O841" s="221"/>
      <c r="P841" s="220"/>
      <c r="Q841" s="221"/>
      <c r="R841" s="220"/>
      <c r="S841" s="221"/>
      <c r="T841" s="220"/>
      <c r="U841" s="221"/>
      <c r="V841" s="221"/>
      <c r="W841" s="221"/>
      <c r="X841" s="221"/>
      <c r="Y841" s="221"/>
      <c r="Z841" s="221"/>
      <c r="AA841" s="221"/>
      <c r="AB841" s="221"/>
      <c r="AC841" s="221"/>
      <c r="AD841" s="220"/>
      <c r="AE841" s="221"/>
      <c r="AF841" s="271"/>
      <c r="AG841" s="272"/>
    </row>
    <row r="842" spans="2:33" s="4" customFormat="1" ht="27.75" customHeight="1">
      <c r="B842" s="293"/>
      <c r="C842" s="294"/>
      <c r="D842" s="252"/>
      <c r="E842" s="252"/>
      <c r="F842" s="252"/>
      <c r="G842" s="242"/>
      <c r="H842" s="242"/>
      <c r="I842" s="252"/>
      <c r="J842" s="255"/>
      <c r="K842" s="242"/>
      <c r="L842" s="220"/>
      <c r="M842" s="221"/>
      <c r="N842" s="220"/>
      <c r="O842" s="221"/>
      <c r="P842" s="220"/>
      <c r="Q842" s="221"/>
      <c r="R842" s="220"/>
      <c r="S842" s="221"/>
      <c r="T842" s="220"/>
      <c r="U842" s="221"/>
      <c r="V842" s="221"/>
      <c r="W842" s="221"/>
      <c r="X842" s="221"/>
      <c r="Y842" s="221"/>
      <c r="Z842" s="221"/>
      <c r="AA842" s="221"/>
      <c r="AB842" s="221"/>
      <c r="AC842" s="221"/>
      <c r="AD842" s="220"/>
      <c r="AE842" s="221"/>
      <c r="AF842" s="271"/>
      <c r="AG842" s="272"/>
    </row>
    <row r="843" spans="2:33" s="4" customFormat="1" ht="27.75" customHeight="1">
      <c r="B843" s="293"/>
      <c r="C843" s="294"/>
      <c r="D843" s="252"/>
      <c r="E843" s="252"/>
      <c r="F843" s="252"/>
      <c r="G843" s="242"/>
      <c r="H843" s="242"/>
      <c r="I843" s="252"/>
      <c r="J843" s="255"/>
      <c r="K843" s="242"/>
      <c r="L843" s="220"/>
      <c r="M843" s="221"/>
      <c r="N843" s="220"/>
      <c r="O843" s="221"/>
      <c r="P843" s="220"/>
      <c r="Q843" s="221"/>
      <c r="R843" s="220"/>
      <c r="S843" s="221"/>
      <c r="T843" s="220"/>
      <c r="U843" s="221"/>
      <c r="V843" s="221"/>
      <c r="W843" s="221"/>
      <c r="X843" s="221"/>
      <c r="Y843" s="221"/>
      <c r="Z843" s="221"/>
      <c r="AA843" s="221"/>
      <c r="AB843" s="221"/>
      <c r="AC843" s="221"/>
      <c r="AD843" s="220"/>
      <c r="AE843" s="221"/>
      <c r="AF843" s="271"/>
      <c r="AG843" s="272"/>
    </row>
    <row r="844" spans="2:33" s="5" customFormat="1" ht="27.75" customHeight="1">
      <c r="B844" s="295"/>
      <c r="C844" s="296"/>
      <c r="D844" s="253"/>
      <c r="E844" s="253"/>
      <c r="F844" s="253"/>
      <c r="G844" s="243"/>
      <c r="H844" s="243"/>
      <c r="I844" s="253"/>
      <c r="J844" s="256"/>
      <c r="K844" s="243"/>
      <c r="L844" s="222"/>
      <c r="M844" s="223"/>
      <c r="N844" s="222"/>
      <c r="O844" s="223"/>
      <c r="P844" s="222"/>
      <c r="Q844" s="223"/>
      <c r="R844" s="222"/>
      <c r="S844" s="223"/>
      <c r="T844" s="222"/>
      <c r="U844" s="223"/>
      <c r="V844" s="223"/>
      <c r="W844" s="223"/>
      <c r="X844" s="223"/>
      <c r="Y844" s="223"/>
      <c r="Z844" s="223"/>
      <c r="AA844" s="223"/>
      <c r="AB844" s="223"/>
      <c r="AC844" s="223"/>
      <c r="AD844" s="222"/>
      <c r="AE844" s="223"/>
      <c r="AF844" s="271"/>
      <c r="AG844" s="272"/>
    </row>
    <row r="845" spans="2:33" s="7" customFormat="1" ht="21.75" customHeight="1" thickBot="1">
      <c r="B845" s="56"/>
      <c r="C845" s="56"/>
      <c r="D845" s="57"/>
      <c r="E845" s="57"/>
      <c r="F845" s="57"/>
      <c r="G845" s="57"/>
      <c r="H845" s="57"/>
      <c r="I845" s="57"/>
      <c r="J845" s="57"/>
      <c r="K845" s="57"/>
      <c r="L845" s="208"/>
      <c r="M845" s="210"/>
      <c r="N845" s="208"/>
      <c r="O845" s="210"/>
      <c r="P845" s="208"/>
      <c r="Q845" s="210"/>
      <c r="R845" s="208"/>
      <c r="S845" s="210"/>
      <c r="T845" s="208"/>
      <c r="U845" s="210"/>
      <c r="V845" s="164"/>
      <c r="W845" s="164"/>
      <c r="X845" s="164"/>
      <c r="Y845" s="164"/>
      <c r="Z845" s="164"/>
      <c r="AA845" s="164"/>
      <c r="AB845" s="164"/>
      <c r="AC845" s="164"/>
      <c r="AD845" s="208"/>
      <c r="AE845" s="210"/>
      <c r="AF845" s="271"/>
      <c r="AG845" s="272"/>
    </row>
    <row r="846" spans="1:33" s="4" customFormat="1" ht="21.75" customHeight="1">
      <c r="A846" s="30"/>
      <c r="B846" s="37"/>
      <c r="C846" s="38"/>
      <c r="D846" s="39"/>
      <c r="E846" s="24"/>
      <c r="F846" s="66"/>
      <c r="G846" s="105"/>
      <c r="H846" s="105"/>
      <c r="I846" s="24"/>
      <c r="J846" s="24"/>
      <c r="K846" s="24"/>
      <c r="L846" s="227"/>
      <c r="M846" s="227"/>
      <c r="N846" s="227"/>
      <c r="O846" s="227"/>
      <c r="P846" s="227"/>
      <c r="Q846" s="227"/>
      <c r="R846" s="227"/>
      <c r="S846" s="227"/>
      <c r="T846" s="227"/>
      <c r="U846" s="227"/>
      <c r="V846" s="227"/>
      <c r="W846" s="227"/>
      <c r="X846" s="227"/>
      <c r="Y846" s="227"/>
      <c r="Z846" s="227"/>
      <c r="AA846" s="227"/>
      <c r="AB846" s="227"/>
      <c r="AC846" s="227"/>
      <c r="AD846" s="227"/>
      <c r="AE846" s="227"/>
      <c r="AF846" s="271"/>
      <c r="AG846" s="272"/>
    </row>
    <row r="847" spans="1:33" s="4" customFormat="1" ht="21.75" customHeight="1">
      <c r="A847" s="30"/>
      <c r="B847" s="230"/>
      <c r="C847" s="231"/>
      <c r="D847" s="231"/>
      <c r="E847" s="231"/>
      <c r="F847" s="231"/>
      <c r="G847" s="231"/>
      <c r="H847" s="231"/>
      <c r="I847" s="232"/>
      <c r="J847" s="24"/>
      <c r="K847" s="24"/>
      <c r="L847" s="228"/>
      <c r="M847" s="228"/>
      <c r="N847" s="228"/>
      <c r="O847" s="228"/>
      <c r="P847" s="228"/>
      <c r="Q847" s="228"/>
      <c r="R847" s="228"/>
      <c r="S847" s="228"/>
      <c r="T847" s="228"/>
      <c r="U847" s="228"/>
      <c r="V847" s="228"/>
      <c r="W847" s="228"/>
      <c r="X847" s="228"/>
      <c r="Y847" s="228"/>
      <c r="Z847" s="228"/>
      <c r="AA847" s="228"/>
      <c r="AB847" s="228"/>
      <c r="AC847" s="228"/>
      <c r="AD847" s="228"/>
      <c r="AE847" s="228"/>
      <c r="AF847" s="271"/>
      <c r="AG847" s="272"/>
    </row>
    <row r="848" spans="1:33" s="4" customFormat="1" ht="21.75" customHeight="1">
      <c r="A848" s="30"/>
      <c r="B848" s="67"/>
      <c r="C848" s="46"/>
      <c r="D848" s="39"/>
      <c r="E848" s="24"/>
      <c r="F848" s="24"/>
      <c r="G848" s="24"/>
      <c r="H848" s="24"/>
      <c r="I848" s="24"/>
      <c r="J848" s="24"/>
      <c r="K848" s="24"/>
      <c r="L848" s="24"/>
      <c r="M848" s="61"/>
      <c r="N848" s="61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71"/>
      <c r="AG848" s="272"/>
    </row>
    <row r="849" spans="1:33" s="4" customFormat="1" ht="21.75" customHeight="1">
      <c r="A849" s="30"/>
      <c r="B849" s="38"/>
      <c r="C849" s="38"/>
      <c r="D849" s="39"/>
      <c r="E849" s="24"/>
      <c r="F849" s="24"/>
      <c r="G849" s="105"/>
      <c r="H849" s="105"/>
      <c r="I849" s="24"/>
      <c r="J849" s="24"/>
      <c r="K849" s="24"/>
      <c r="L849" s="24"/>
      <c r="M849" s="61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71"/>
      <c r="AG849" s="272"/>
    </row>
    <row r="850" spans="1:33" s="4" customFormat="1" ht="21.75" customHeight="1">
      <c r="A850" s="30"/>
      <c r="B850" s="38"/>
      <c r="C850" s="38"/>
      <c r="D850" s="39"/>
      <c r="E850" s="24"/>
      <c r="F850" s="24"/>
      <c r="G850" s="105"/>
      <c r="H850" s="105"/>
      <c r="I850" s="24"/>
      <c r="J850" s="24"/>
      <c r="K850" s="24"/>
      <c r="L850" s="24"/>
      <c r="M850" s="61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71"/>
      <c r="AG850" s="272"/>
    </row>
    <row r="851" spans="1:33" s="4" customFormat="1" ht="21.75" customHeight="1">
      <c r="A851" s="30"/>
      <c r="B851" s="38"/>
      <c r="C851" s="38"/>
      <c r="D851" s="39"/>
      <c r="E851" s="24"/>
      <c r="F851" s="24"/>
      <c r="G851" s="24"/>
      <c r="H851" s="24"/>
      <c r="I851" s="24"/>
      <c r="J851" s="24"/>
      <c r="K851" s="24"/>
      <c r="L851" s="24"/>
      <c r="M851" s="61"/>
      <c r="N851" s="61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71"/>
      <c r="AG851" s="272"/>
    </row>
    <row r="852" spans="1:33" s="4" customFormat="1" ht="21.75" customHeight="1">
      <c r="A852" s="30"/>
      <c r="B852" s="141"/>
      <c r="C852" s="38"/>
      <c r="D852" s="39"/>
      <c r="E852" s="24"/>
      <c r="F852" s="24"/>
      <c r="G852" s="24"/>
      <c r="H852" s="24"/>
      <c r="I852" s="24"/>
      <c r="J852" s="24"/>
      <c r="K852" s="24"/>
      <c r="L852" s="24"/>
      <c r="M852" s="61"/>
      <c r="N852" s="61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71"/>
      <c r="AG852" s="272"/>
    </row>
    <row r="853" spans="1:33" s="4" customFormat="1" ht="21.75" customHeight="1">
      <c r="A853" s="30"/>
      <c r="B853" s="38"/>
      <c r="C853" s="46"/>
      <c r="D853" s="39"/>
      <c r="E853" s="24"/>
      <c r="F853" s="24"/>
      <c r="G853" s="66"/>
      <c r="H853" s="24"/>
      <c r="I853" s="24"/>
      <c r="J853" s="24"/>
      <c r="K853" s="24"/>
      <c r="L853" s="24"/>
      <c r="M853" s="61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71"/>
      <c r="AG853" s="272"/>
    </row>
    <row r="854" spans="1:33" s="4" customFormat="1" ht="21.75" customHeight="1">
      <c r="A854" s="30"/>
      <c r="B854" s="38"/>
      <c r="C854" s="46"/>
      <c r="D854" s="39"/>
      <c r="E854" s="24"/>
      <c r="F854" s="24"/>
      <c r="G854" s="105"/>
      <c r="H854" s="105"/>
      <c r="I854" s="24"/>
      <c r="J854" s="24"/>
      <c r="K854" s="24"/>
      <c r="L854" s="24"/>
      <c r="M854" s="61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71"/>
      <c r="AG854" s="272"/>
    </row>
    <row r="855" spans="1:33" s="4" customFormat="1" ht="21.75" customHeight="1">
      <c r="A855" s="30"/>
      <c r="B855" s="141"/>
      <c r="C855" s="38"/>
      <c r="D855" s="39"/>
      <c r="E855" s="24"/>
      <c r="F855" s="24"/>
      <c r="G855" s="24"/>
      <c r="H855" s="24"/>
      <c r="I855" s="24"/>
      <c r="J855" s="24"/>
      <c r="K855" s="24"/>
      <c r="L855" s="24"/>
      <c r="M855" s="61"/>
      <c r="N855" s="61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71"/>
      <c r="AG855" s="272"/>
    </row>
    <row r="856" spans="1:33" s="4" customFormat="1" ht="21.75" customHeight="1">
      <c r="A856" s="30"/>
      <c r="B856" s="38"/>
      <c r="C856" s="38"/>
      <c r="D856" s="39"/>
      <c r="E856" s="24"/>
      <c r="F856" s="24"/>
      <c r="G856" s="105"/>
      <c r="H856" s="105"/>
      <c r="I856" s="24"/>
      <c r="J856" s="24"/>
      <c r="K856" s="24"/>
      <c r="L856" s="24"/>
      <c r="M856" s="61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71"/>
      <c r="AG856" s="272"/>
    </row>
    <row r="857" spans="1:33" s="4" customFormat="1" ht="21.75" customHeight="1">
      <c r="A857" s="30"/>
      <c r="B857" s="38"/>
      <c r="C857" s="38"/>
      <c r="D857" s="39"/>
      <c r="E857" s="24"/>
      <c r="F857" s="24"/>
      <c r="G857" s="24"/>
      <c r="H857" s="24"/>
      <c r="I857" s="24"/>
      <c r="J857" s="24"/>
      <c r="K857" s="24"/>
      <c r="L857" s="24"/>
      <c r="M857" s="61"/>
      <c r="N857" s="61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71"/>
      <c r="AG857" s="272"/>
    </row>
    <row r="858" spans="1:33" s="4" customFormat="1" ht="21.75" customHeight="1">
      <c r="A858" s="30"/>
      <c r="B858" s="38"/>
      <c r="C858" s="38"/>
      <c r="D858" s="39"/>
      <c r="E858" s="24"/>
      <c r="F858" s="24"/>
      <c r="G858" s="105"/>
      <c r="H858" s="105"/>
      <c r="I858" s="24"/>
      <c r="J858" s="39"/>
      <c r="K858" s="24"/>
      <c r="L858" s="24"/>
      <c r="M858" s="61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71"/>
      <c r="AG858" s="272"/>
    </row>
    <row r="859" spans="1:33" s="16" customFormat="1" ht="21.75" customHeight="1">
      <c r="A859" s="30"/>
      <c r="B859" s="38"/>
      <c r="C859" s="38"/>
      <c r="D859" s="39"/>
      <c r="E859" s="24"/>
      <c r="F859" s="24"/>
      <c r="G859" s="105"/>
      <c r="H859" s="105"/>
      <c r="I859" s="24"/>
      <c r="J859" s="39"/>
      <c r="K859" s="24"/>
      <c r="L859" s="24"/>
      <c r="M859" s="61"/>
      <c r="N859" s="61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71"/>
      <c r="AG859" s="272"/>
    </row>
    <row r="860" spans="1:33" s="16" customFormat="1" ht="21.75" customHeight="1">
      <c r="A860" s="30"/>
      <c r="B860" s="38"/>
      <c r="C860" s="38"/>
      <c r="D860" s="39"/>
      <c r="E860" s="24"/>
      <c r="F860" s="24"/>
      <c r="G860" s="105"/>
      <c r="H860" s="105"/>
      <c r="I860" s="24"/>
      <c r="J860" s="39"/>
      <c r="K860" s="24"/>
      <c r="L860" s="24"/>
      <c r="M860" s="61"/>
      <c r="N860" s="61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71"/>
      <c r="AG860" s="272"/>
    </row>
    <row r="861" spans="1:33" s="16" customFormat="1" ht="21.75" customHeight="1">
      <c r="A861" s="30"/>
      <c r="B861" s="38"/>
      <c r="C861" s="38"/>
      <c r="D861" s="39"/>
      <c r="E861" s="24"/>
      <c r="F861" s="24"/>
      <c r="G861" s="24"/>
      <c r="H861" s="24"/>
      <c r="I861" s="24"/>
      <c r="J861" s="24"/>
      <c r="K861" s="24"/>
      <c r="L861" s="24"/>
      <c r="M861" s="61"/>
      <c r="N861" s="61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71"/>
      <c r="AG861" s="272"/>
    </row>
    <row r="862" spans="1:33" s="4" customFormat="1" ht="21.75" customHeight="1">
      <c r="A862" s="30"/>
      <c r="B862" s="38"/>
      <c r="C862" s="38"/>
      <c r="D862" s="39"/>
      <c r="E862" s="24"/>
      <c r="F862" s="24"/>
      <c r="G862" s="105"/>
      <c r="H862" s="105"/>
      <c r="I862" s="24"/>
      <c r="J862" s="39"/>
      <c r="K862" s="105"/>
      <c r="L862" s="24"/>
      <c r="M862" s="61"/>
      <c r="N862" s="61"/>
      <c r="O862" s="24"/>
      <c r="P862" s="24"/>
      <c r="Q862" s="24"/>
      <c r="R862" s="24"/>
      <c r="S862" s="24"/>
      <c r="T862" s="24"/>
      <c r="U862" s="24"/>
      <c r="V862" s="24"/>
      <c r="W862" s="105"/>
      <c r="X862" s="24"/>
      <c r="Y862" s="24"/>
      <c r="Z862" s="24"/>
      <c r="AA862" s="24"/>
      <c r="AB862" s="24"/>
      <c r="AC862" s="24"/>
      <c r="AD862" s="24"/>
      <c r="AE862" s="24"/>
      <c r="AF862" s="271"/>
      <c r="AG862" s="272"/>
    </row>
    <row r="863" spans="1:33" s="4" customFormat="1" ht="21.75" customHeight="1">
      <c r="A863" s="30"/>
      <c r="B863" s="141"/>
      <c r="C863" s="38"/>
      <c r="D863" s="39"/>
      <c r="E863" s="24"/>
      <c r="F863" s="24"/>
      <c r="G863" s="24"/>
      <c r="H863" s="24"/>
      <c r="I863" s="24"/>
      <c r="J863" s="24"/>
      <c r="K863" s="24"/>
      <c r="L863" s="24"/>
      <c r="M863" s="61"/>
      <c r="N863" s="61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71"/>
      <c r="AG863" s="272"/>
    </row>
    <row r="864" spans="1:33" s="4" customFormat="1" ht="21.75" customHeight="1">
      <c r="A864" s="30"/>
      <c r="B864" s="38"/>
      <c r="C864" s="38"/>
      <c r="D864" s="39"/>
      <c r="E864" s="24"/>
      <c r="F864" s="24"/>
      <c r="G864" s="105"/>
      <c r="H864" s="105"/>
      <c r="I864" s="24"/>
      <c r="J864" s="24"/>
      <c r="K864" s="24"/>
      <c r="L864" s="24"/>
      <c r="M864" s="61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71"/>
      <c r="AG864" s="272"/>
    </row>
    <row r="865" spans="1:33" s="4" customFormat="1" ht="21.75" customHeight="1">
      <c r="A865" s="30"/>
      <c r="B865" s="38"/>
      <c r="C865" s="38"/>
      <c r="D865" s="39"/>
      <c r="E865" s="24"/>
      <c r="F865" s="24"/>
      <c r="G865" s="66"/>
      <c r="H865" s="24"/>
      <c r="I865" s="24"/>
      <c r="J865" s="24"/>
      <c r="K865" s="24"/>
      <c r="L865" s="24"/>
      <c r="M865" s="61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71"/>
      <c r="AG865" s="272"/>
    </row>
    <row r="866" spans="1:33" s="4" customFormat="1" ht="21.75" customHeight="1">
      <c r="A866" s="30"/>
      <c r="B866" s="38"/>
      <c r="C866" s="38"/>
      <c r="D866" s="39"/>
      <c r="E866" s="24"/>
      <c r="F866" s="24"/>
      <c r="G866" s="105"/>
      <c r="H866" s="105"/>
      <c r="I866" s="24"/>
      <c r="J866" s="39"/>
      <c r="K866" s="24"/>
      <c r="L866" s="24"/>
      <c r="M866" s="61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71"/>
      <c r="AG866" s="272"/>
    </row>
    <row r="867" spans="1:33" s="4" customFormat="1" ht="21.75" customHeight="1">
      <c r="A867" s="30"/>
      <c r="B867" s="38"/>
      <c r="C867" s="38"/>
      <c r="D867" s="39"/>
      <c r="E867" s="24"/>
      <c r="F867" s="24"/>
      <c r="G867" s="24"/>
      <c r="H867" s="24"/>
      <c r="I867" s="24"/>
      <c r="J867" s="24"/>
      <c r="K867" s="24"/>
      <c r="L867" s="24"/>
      <c r="M867" s="61"/>
      <c r="N867" s="61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71"/>
      <c r="AG867" s="272"/>
    </row>
    <row r="868" spans="1:33" s="4" customFormat="1" ht="21.75" customHeight="1">
      <c r="A868" s="30"/>
      <c r="B868" s="38"/>
      <c r="C868" s="46"/>
      <c r="D868" s="39"/>
      <c r="E868" s="24"/>
      <c r="F868" s="24"/>
      <c r="G868" s="105"/>
      <c r="H868" s="105"/>
      <c r="I868" s="24"/>
      <c r="J868" s="24"/>
      <c r="K868" s="24"/>
      <c r="L868" s="24"/>
      <c r="M868" s="24"/>
      <c r="N868" s="61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71"/>
      <c r="AG868" s="272"/>
    </row>
    <row r="869" spans="1:33" s="4" customFormat="1" ht="21.75" customHeight="1">
      <c r="A869" s="30"/>
      <c r="B869" s="38"/>
      <c r="C869" s="38"/>
      <c r="D869" s="39"/>
      <c r="E869" s="24"/>
      <c r="F869" s="24"/>
      <c r="G869" s="66"/>
      <c r="H869" s="24"/>
      <c r="I869" s="24"/>
      <c r="J869" s="24"/>
      <c r="K869" s="24"/>
      <c r="L869" s="24"/>
      <c r="M869" s="24"/>
      <c r="N869" s="61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71"/>
      <c r="AG869" s="272"/>
    </row>
    <row r="870" spans="1:33" s="4" customFormat="1" ht="21.75" customHeight="1">
      <c r="A870" s="30"/>
      <c r="B870" s="38"/>
      <c r="C870" s="38"/>
      <c r="D870" s="39"/>
      <c r="E870" s="24"/>
      <c r="F870" s="24"/>
      <c r="G870" s="105"/>
      <c r="H870" s="105"/>
      <c r="I870" s="24"/>
      <c r="J870" s="24"/>
      <c r="K870" s="24"/>
      <c r="L870" s="24"/>
      <c r="M870" s="61"/>
      <c r="N870" s="61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71"/>
      <c r="AG870" s="272"/>
    </row>
    <row r="871" spans="1:33" s="4" customFormat="1" ht="21.75" customHeight="1">
      <c r="A871" s="30"/>
      <c r="B871" s="141"/>
      <c r="C871" s="38"/>
      <c r="D871" s="39"/>
      <c r="E871" s="24"/>
      <c r="F871" s="24"/>
      <c r="G871" s="24"/>
      <c r="H871" s="24"/>
      <c r="I871" s="24"/>
      <c r="J871" s="24"/>
      <c r="K871" s="24"/>
      <c r="L871" s="24"/>
      <c r="M871" s="61"/>
      <c r="N871" s="61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71"/>
      <c r="AG871" s="272"/>
    </row>
    <row r="872" spans="1:33" s="4" customFormat="1" ht="21.75" customHeight="1">
      <c r="A872" s="30"/>
      <c r="B872" s="230"/>
      <c r="C872" s="231"/>
      <c r="D872" s="231"/>
      <c r="E872" s="231"/>
      <c r="F872" s="231"/>
      <c r="G872" s="231"/>
      <c r="H872" s="231"/>
      <c r="I872" s="232"/>
      <c r="J872" s="24"/>
      <c r="K872" s="24"/>
      <c r="L872" s="24"/>
      <c r="M872" s="61"/>
      <c r="N872" s="61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71"/>
      <c r="AG872" s="272"/>
    </row>
    <row r="873" spans="1:33" s="4" customFormat="1" ht="21.75" customHeight="1">
      <c r="A873" s="30"/>
      <c r="B873" s="291"/>
      <c r="C873" s="292"/>
      <c r="D873" s="39"/>
      <c r="E873" s="24"/>
      <c r="F873" s="107"/>
      <c r="G873" s="90"/>
      <c r="H873" s="24"/>
      <c r="I873" s="24"/>
      <c r="J873" s="24"/>
      <c r="K873" s="24"/>
      <c r="L873" s="24"/>
      <c r="M873" s="61"/>
      <c r="N873" s="61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71"/>
      <c r="AG873" s="272"/>
    </row>
    <row r="874" spans="1:33" s="4" customFormat="1" ht="21.75" customHeight="1">
      <c r="A874" s="30"/>
      <c r="B874" s="38"/>
      <c r="C874" s="38"/>
      <c r="D874" s="39"/>
      <c r="E874" s="24"/>
      <c r="F874" s="66"/>
      <c r="G874" s="24"/>
      <c r="H874" s="24"/>
      <c r="I874" s="24"/>
      <c r="J874" s="24"/>
      <c r="K874" s="24"/>
      <c r="L874" s="24"/>
      <c r="M874" s="24"/>
      <c r="N874" s="61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71"/>
      <c r="AG874" s="272"/>
    </row>
    <row r="875" spans="1:33" s="4" customFormat="1" ht="21.75" customHeight="1">
      <c r="A875" s="30"/>
      <c r="B875" s="38"/>
      <c r="C875" s="46"/>
      <c r="D875" s="39"/>
      <c r="E875" s="24"/>
      <c r="F875" s="24"/>
      <c r="G875" s="24"/>
      <c r="H875" s="24"/>
      <c r="I875" s="24"/>
      <c r="J875" s="24"/>
      <c r="K875" s="24"/>
      <c r="L875" s="24"/>
      <c r="M875" s="24"/>
      <c r="N875" s="61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71"/>
      <c r="AG875" s="272"/>
    </row>
    <row r="876" spans="1:33" s="4" customFormat="1" ht="21.75" customHeight="1">
      <c r="A876" s="30"/>
      <c r="B876" s="38"/>
      <c r="C876" s="46"/>
      <c r="D876" s="39"/>
      <c r="E876" s="24"/>
      <c r="F876" s="39"/>
      <c r="G876" s="24"/>
      <c r="H876" s="24"/>
      <c r="I876" s="24"/>
      <c r="J876" s="24"/>
      <c r="K876" s="24"/>
      <c r="L876" s="24"/>
      <c r="M876" s="61"/>
      <c r="N876" s="61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71"/>
      <c r="AG876" s="272"/>
    </row>
    <row r="877" spans="1:33" s="4" customFormat="1" ht="21.75" customHeight="1">
      <c r="A877" s="30"/>
      <c r="B877" s="38"/>
      <c r="C877" s="38"/>
      <c r="D877" s="39"/>
      <c r="E877" s="24"/>
      <c r="F877" s="24"/>
      <c r="G877" s="24"/>
      <c r="H877" s="24"/>
      <c r="I877" s="24"/>
      <c r="J877" s="24"/>
      <c r="K877" s="24"/>
      <c r="L877" s="24"/>
      <c r="M877" s="61"/>
      <c r="N877" s="61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71"/>
      <c r="AG877" s="272"/>
    </row>
    <row r="878" spans="1:33" s="4" customFormat="1" ht="21.75" customHeight="1">
      <c r="A878" s="30"/>
      <c r="B878" s="38"/>
      <c r="C878" s="38"/>
      <c r="D878" s="39"/>
      <c r="E878" s="24"/>
      <c r="F878" s="24"/>
      <c r="G878" s="24"/>
      <c r="H878" s="24"/>
      <c r="I878" s="24"/>
      <c r="J878" s="24"/>
      <c r="K878" s="24"/>
      <c r="L878" s="24"/>
      <c r="M878" s="61"/>
      <c r="N878" s="61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71"/>
      <c r="AG878" s="272"/>
    </row>
    <row r="879" spans="1:33" s="4" customFormat="1" ht="21.75" customHeight="1">
      <c r="A879" s="30"/>
      <c r="B879" s="38"/>
      <c r="C879" s="38"/>
      <c r="D879" s="39"/>
      <c r="E879" s="24"/>
      <c r="F879" s="24"/>
      <c r="G879" s="24"/>
      <c r="H879" s="24"/>
      <c r="I879" s="24"/>
      <c r="J879" s="24"/>
      <c r="K879" s="24"/>
      <c r="L879" s="24"/>
      <c r="M879" s="61"/>
      <c r="N879" s="61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71"/>
      <c r="AG879" s="272"/>
    </row>
    <row r="880" spans="1:33" s="4" customFormat="1" ht="21.75" customHeight="1">
      <c r="A880" s="30"/>
      <c r="B880" s="38"/>
      <c r="C880" s="38"/>
      <c r="D880" s="39"/>
      <c r="E880" s="24"/>
      <c r="F880" s="24"/>
      <c r="G880" s="24"/>
      <c r="H880" s="24"/>
      <c r="I880" s="24"/>
      <c r="J880" s="24"/>
      <c r="K880" s="24"/>
      <c r="L880" s="24"/>
      <c r="M880" s="61"/>
      <c r="N880" s="61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71"/>
      <c r="AG880" s="272"/>
    </row>
    <row r="881" spans="1:33" s="4" customFormat="1" ht="21.75" customHeight="1">
      <c r="A881" s="30"/>
      <c r="B881" s="38"/>
      <c r="C881" s="38"/>
      <c r="D881" s="39"/>
      <c r="E881" s="24"/>
      <c r="F881" s="24"/>
      <c r="G881" s="24"/>
      <c r="H881" s="24"/>
      <c r="I881" s="24"/>
      <c r="J881" s="24"/>
      <c r="K881" s="24"/>
      <c r="L881" s="24"/>
      <c r="M881" s="61"/>
      <c r="N881" s="61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71"/>
      <c r="AG881" s="272"/>
    </row>
    <row r="882" spans="1:33" s="4" customFormat="1" ht="21.75" customHeight="1">
      <c r="A882" s="30"/>
      <c r="B882" s="38"/>
      <c r="C882" s="38"/>
      <c r="D882" s="39"/>
      <c r="E882" s="24"/>
      <c r="F882" s="24"/>
      <c r="G882" s="24"/>
      <c r="H882" s="24"/>
      <c r="I882" s="24"/>
      <c r="J882" s="24"/>
      <c r="K882" s="24"/>
      <c r="L882" s="24"/>
      <c r="M882" s="61"/>
      <c r="N882" s="61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71"/>
      <c r="AG882" s="272"/>
    </row>
    <row r="883" spans="1:33" s="4" customFormat="1" ht="21.75" customHeight="1" thickBot="1">
      <c r="A883" s="30"/>
      <c r="B883" s="38"/>
      <c r="C883" s="38"/>
      <c r="D883" s="39"/>
      <c r="E883" s="24"/>
      <c r="F883" s="24"/>
      <c r="G883" s="24"/>
      <c r="H883" s="24"/>
      <c r="I883" s="24"/>
      <c r="J883" s="24"/>
      <c r="K883" s="24"/>
      <c r="L883" s="24"/>
      <c r="M883" s="61"/>
      <c r="N883" s="61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81"/>
      <c r="AG883" s="275"/>
    </row>
    <row r="884" spans="1:33" s="4" customFormat="1" ht="21.75" customHeight="1">
      <c r="A884" s="30"/>
      <c r="B884" s="38"/>
      <c r="C884" s="38"/>
      <c r="D884" s="39"/>
      <c r="E884" s="24"/>
      <c r="F884" s="24"/>
      <c r="G884" s="24"/>
      <c r="H884" s="24"/>
      <c r="I884" s="24"/>
      <c r="J884" s="24"/>
      <c r="K884" s="24"/>
      <c r="L884" s="24"/>
      <c r="M884" s="61"/>
      <c r="N884" s="61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69"/>
      <c r="AG884" s="270"/>
    </row>
    <row r="885" spans="1:33" s="4" customFormat="1" ht="21.75" customHeight="1">
      <c r="A885" s="30"/>
      <c r="B885" s="38"/>
      <c r="C885" s="38"/>
      <c r="D885" s="39"/>
      <c r="E885" s="24"/>
      <c r="F885" s="24"/>
      <c r="G885" s="24"/>
      <c r="H885" s="24"/>
      <c r="I885" s="24"/>
      <c r="J885" s="24"/>
      <c r="K885" s="24"/>
      <c r="L885" s="24"/>
      <c r="M885" s="61"/>
      <c r="N885" s="61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71"/>
      <c r="AG885" s="272"/>
    </row>
    <row r="886" spans="1:33" s="4" customFormat="1" ht="21.75" customHeight="1">
      <c r="A886" s="30"/>
      <c r="B886" s="38"/>
      <c r="C886" s="38"/>
      <c r="D886" s="39"/>
      <c r="E886" s="24"/>
      <c r="F886" s="24"/>
      <c r="G886" s="24"/>
      <c r="H886" s="24"/>
      <c r="I886" s="24"/>
      <c r="J886" s="24"/>
      <c r="K886" s="24"/>
      <c r="L886" s="24"/>
      <c r="M886" s="61"/>
      <c r="N886" s="61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71"/>
      <c r="AG886" s="272"/>
    </row>
    <row r="887" spans="1:33" s="4" customFormat="1" ht="21.75" customHeight="1">
      <c r="A887" s="30"/>
      <c r="B887" s="38"/>
      <c r="C887" s="38"/>
      <c r="D887" s="39"/>
      <c r="E887" s="24"/>
      <c r="F887" s="66"/>
      <c r="G887" s="24"/>
      <c r="H887" s="24"/>
      <c r="I887" s="24"/>
      <c r="J887" s="24"/>
      <c r="K887" s="24"/>
      <c r="L887" s="24"/>
      <c r="M887" s="61"/>
      <c r="N887" s="61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71"/>
      <c r="AG887" s="272"/>
    </row>
    <row r="888" spans="1:33" s="4" customFormat="1" ht="21.75" customHeight="1">
      <c r="A888" s="30"/>
      <c r="B888" s="38"/>
      <c r="C888" s="38"/>
      <c r="D888" s="39"/>
      <c r="E888" s="24"/>
      <c r="F888" s="66"/>
      <c r="G888" s="24"/>
      <c r="H888" s="24"/>
      <c r="I888" s="24"/>
      <c r="J888" s="24"/>
      <c r="K888" s="24"/>
      <c r="L888" s="24"/>
      <c r="M888" s="61"/>
      <c r="N888" s="24"/>
      <c r="O888" s="61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71"/>
      <c r="AG888" s="272"/>
    </row>
    <row r="889" spans="1:33" s="4" customFormat="1" ht="21.75" customHeight="1">
      <c r="A889" s="30"/>
      <c r="B889" s="38"/>
      <c r="C889" s="38"/>
      <c r="D889" s="39"/>
      <c r="E889" s="24"/>
      <c r="F889" s="66"/>
      <c r="G889" s="24"/>
      <c r="H889" s="24"/>
      <c r="I889" s="24"/>
      <c r="J889" s="24"/>
      <c r="K889" s="24"/>
      <c r="L889" s="24"/>
      <c r="M889" s="61"/>
      <c r="N889" s="61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71"/>
      <c r="AG889" s="272"/>
    </row>
    <row r="890" spans="1:33" s="4" customFormat="1" ht="21.75" customHeight="1">
      <c r="A890" s="30"/>
      <c r="B890" s="38"/>
      <c r="C890" s="38"/>
      <c r="D890" s="39"/>
      <c r="E890" s="24"/>
      <c r="F890" s="66"/>
      <c r="G890" s="24"/>
      <c r="H890" s="24"/>
      <c r="I890" s="24"/>
      <c r="J890" s="24"/>
      <c r="K890" s="24"/>
      <c r="L890" s="24"/>
      <c r="M890" s="61"/>
      <c r="N890" s="61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71"/>
      <c r="AG890" s="272"/>
    </row>
    <row r="891" spans="1:33" s="4" customFormat="1" ht="21.75" customHeight="1">
      <c r="A891" s="30"/>
      <c r="B891" s="38"/>
      <c r="C891" s="38"/>
      <c r="D891" s="39"/>
      <c r="E891" s="24"/>
      <c r="F891" s="24"/>
      <c r="G891" s="24"/>
      <c r="H891" s="24"/>
      <c r="I891" s="24"/>
      <c r="J891" s="24"/>
      <c r="K891" s="24"/>
      <c r="L891" s="24"/>
      <c r="M891" s="61"/>
      <c r="N891" s="61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71"/>
      <c r="AG891" s="272"/>
    </row>
    <row r="892" spans="1:33" s="4" customFormat="1" ht="21.75" customHeight="1">
      <c r="A892" s="30"/>
      <c r="B892" s="38"/>
      <c r="C892" s="38"/>
      <c r="D892" s="39"/>
      <c r="E892" s="24"/>
      <c r="F892" s="66"/>
      <c r="G892" s="24"/>
      <c r="H892" s="24"/>
      <c r="I892" s="24"/>
      <c r="J892" s="24"/>
      <c r="K892" s="24"/>
      <c r="L892" s="24"/>
      <c r="M892" s="61"/>
      <c r="N892" s="61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71"/>
      <c r="AG892" s="272"/>
    </row>
    <row r="893" spans="1:33" s="4" customFormat="1" ht="21.75" customHeight="1">
      <c r="A893" s="30"/>
      <c r="B893" s="38"/>
      <c r="C893" s="38"/>
      <c r="D893" s="39"/>
      <c r="E893" s="24"/>
      <c r="F893" s="66"/>
      <c r="G893" s="24"/>
      <c r="H893" s="24"/>
      <c r="I893" s="24"/>
      <c r="J893" s="24"/>
      <c r="K893" s="24"/>
      <c r="L893" s="24"/>
      <c r="M893" s="61"/>
      <c r="N893" s="61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71"/>
      <c r="AG893" s="272"/>
    </row>
    <row r="894" spans="1:33" s="4" customFormat="1" ht="21.75" customHeight="1">
      <c r="A894" s="30"/>
      <c r="B894" s="38"/>
      <c r="C894" s="38"/>
      <c r="D894" s="39"/>
      <c r="E894" s="24"/>
      <c r="F894" s="66"/>
      <c r="G894" s="24"/>
      <c r="H894" s="24"/>
      <c r="I894" s="24"/>
      <c r="J894" s="24"/>
      <c r="K894" s="24"/>
      <c r="L894" s="24"/>
      <c r="M894" s="61"/>
      <c r="N894" s="61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71"/>
      <c r="AG894" s="272"/>
    </row>
    <row r="895" spans="1:33" s="4" customFormat="1" ht="21.75" customHeight="1">
      <c r="A895" s="30"/>
      <c r="B895" s="38"/>
      <c r="C895" s="38"/>
      <c r="D895" s="39"/>
      <c r="E895" s="24"/>
      <c r="F895" s="66"/>
      <c r="G895" s="24"/>
      <c r="H895" s="24"/>
      <c r="I895" s="24"/>
      <c r="J895" s="24"/>
      <c r="K895" s="24"/>
      <c r="L895" s="24"/>
      <c r="M895" s="61"/>
      <c r="N895" s="24"/>
      <c r="O895" s="61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71"/>
      <c r="AG895" s="272"/>
    </row>
    <row r="896" spans="1:33" s="4" customFormat="1" ht="21.75" customHeight="1">
      <c r="A896" s="30"/>
      <c r="B896" s="38"/>
      <c r="C896" s="38"/>
      <c r="D896" s="39"/>
      <c r="E896" s="24"/>
      <c r="F896" s="24"/>
      <c r="G896" s="24"/>
      <c r="H896" s="24"/>
      <c r="I896" s="24"/>
      <c r="J896" s="24"/>
      <c r="K896" s="24"/>
      <c r="L896" s="24"/>
      <c r="M896" s="61"/>
      <c r="N896" s="61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71"/>
      <c r="AG896" s="272"/>
    </row>
    <row r="897" spans="1:33" s="4" customFormat="1" ht="21.75" customHeight="1">
      <c r="A897" s="30"/>
      <c r="B897" s="38"/>
      <c r="C897" s="38"/>
      <c r="D897" s="39"/>
      <c r="E897" s="24"/>
      <c r="F897" s="24"/>
      <c r="G897" s="24"/>
      <c r="H897" s="24"/>
      <c r="I897" s="24"/>
      <c r="J897" s="24"/>
      <c r="K897" s="24"/>
      <c r="L897" s="24"/>
      <c r="M897" s="61"/>
      <c r="N897" s="61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73"/>
      <c r="AG897" s="272"/>
    </row>
    <row r="898" spans="1:33" s="4" customFormat="1" ht="21.75" customHeight="1">
      <c r="A898" s="30"/>
      <c r="B898" s="38"/>
      <c r="C898" s="38"/>
      <c r="D898" s="39"/>
      <c r="E898" s="24"/>
      <c r="F898" s="24"/>
      <c r="G898" s="24"/>
      <c r="H898" s="24"/>
      <c r="I898" s="24"/>
      <c r="J898" s="24"/>
      <c r="K898" s="24"/>
      <c r="L898" s="24"/>
      <c r="M898" s="61"/>
      <c r="N898" s="24"/>
      <c r="O898" s="61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73"/>
      <c r="AG898" s="272"/>
    </row>
    <row r="899" spans="1:33" s="4" customFormat="1" ht="21.75" customHeight="1" thickBot="1">
      <c r="A899" s="30"/>
      <c r="B899" s="38"/>
      <c r="C899" s="38"/>
      <c r="D899" s="39"/>
      <c r="E899" s="24"/>
      <c r="F899" s="24"/>
      <c r="G899" s="24"/>
      <c r="H899" s="24"/>
      <c r="I899" s="24"/>
      <c r="J899" s="24"/>
      <c r="K899" s="24"/>
      <c r="L899" s="24"/>
      <c r="M899" s="61"/>
      <c r="N899" s="24"/>
      <c r="O899" s="61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74"/>
      <c r="AG899" s="275"/>
    </row>
    <row r="900" spans="2:33" s="1" customFormat="1" ht="46.5" customHeight="1">
      <c r="B900" s="233"/>
      <c r="C900" s="234"/>
      <c r="D900" s="234"/>
      <c r="E900" s="234"/>
      <c r="F900" s="234"/>
      <c r="G900" s="234"/>
      <c r="H900" s="234"/>
      <c r="I900" s="234"/>
      <c r="J900" s="234"/>
      <c r="K900" s="234"/>
      <c r="L900" s="211"/>
      <c r="M900" s="211"/>
      <c r="N900" s="211"/>
      <c r="O900" s="211"/>
      <c r="P900" s="211"/>
      <c r="Q900" s="211"/>
      <c r="R900" s="211"/>
      <c r="S900" s="211"/>
      <c r="T900" s="211"/>
      <c r="U900" s="211"/>
      <c r="V900" s="211"/>
      <c r="W900" s="211"/>
      <c r="X900" s="211"/>
      <c r="Y900" s="211"/>
      <c r="Z900" s="211"/>
      <c r="AA900" s="211"/>
      <c r="AB900" s="211"/>
      <c r="AC900" s="211"/>
      <c r="AD900" s="211"/>
      <c r="AE900" s="211"/>
      <c r="AF900" s="279"/>
      <c r="AG900" s="280"/>
    </row>
    <row r="901" spans="2:33" s="1" customFormat="1" ht="46.5" customHeight="1" thickBot="1">
      <c r="B901" s="236"/>
      <c r="C901" s="237"/>
      <c r="D901" s="237"/>
      <c r="E901" s="237"/>
      <c r="F901" s="237"/>
      <c r="G901" s="237"/>
      <c r="H901" s="237"/>
      <c r="I901" s="237"/>
      <c r="J901" s="237"/>
      <c r="K901" s="237"/>
      <c r="L901" s="250"/>
      <c r="M901" s="250"/>
      <c r="N901" s="250"/>
      <c r="O901" s="250"/>
      <c r="P901" s="250"/>
      <c r="Q901" s="250"/>
      <c r="R901" s="250"/>
      <c r="S901" s="250"/>
      <c r="T901" s="250"/>
      <c r="U901" s="250"/>
      <c r="V901" s="212"/>
      <c r="W901" s="250"/>
      <c r="X901" s="212"/>
      <c r="Y901" s="212"/>
      <c r="Z901" s="212"/>
      <c r="AA901" s="212"/>
      <c r="AB901" s="212"/>
      <c r="AC901" s="212"/>
      <c r="AD901" s="212"/>
      <c r="AE901" s="212"/>
      <c r="AF901" s="276"/>
      <c r="AG901" s="277"/>
    </row>
    <row r="902" spans="1:34" ht="36" customHeight="1">
      <c r="A902" s="10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78"/>
      <c r="P902" s="49"/>
      <c r="Q902" s="49"/>
      <c r="R902" s="49"/>
      <c r="S902" s="49"/>
      <c r="T902" s="49"/>
      <c r="U902" s="49"/>
      <c r="V902" s="49"/>
      <c r="W902" s="49"/>
      <c r="AB902" s="49"/>
      <c r="AD902" s="49"/>
      <c r="AE902" s="49"/>
      <c r="AF902" s="49"/>
      <c r="AG902" s="49"/>
      <c r="AH902" s="11"/>
    </row>
    <row r="903" spans="2:33" ht="15"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79"/>
      <c r="O903" s="78"/>
      <c r="P903" s="49"/>
      <c r="Q903" s="49"/>
      <c r="R903" s="49"/>
      <c r="S903" s="49"/>
      <c r="T903" s="49"/>
      <c r="U903" s="49"/>
      <c r="V903" s="49"/>
      <c r="W903" s="49"/>
      <c r="AB903" s="49"/>
      <c r="AD903" s="49"/>
      <c r="AE903" s="49"/>
      <c r="AF903" s="49"/>
      <c r="AG903" s="49"/>
    </row>
    <row r="904" spans="2:33" ht="15"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79"/>
      <c r="O904" s="78"/>
      <c r="P904" s="49"/>
      <c r="Q904" s="49"/>
      <c r="R904" s="49"/>
      <c r="S904" s="49"/>
      <c r="T904" s="49"/>
      <c r="U904" s="49"/>
      <c r="V904" s="49"/>
      <c r="W904" s="49"/>
      <c r="AB904" s="49"/>
      <c r="AD904" s="49"/>
      <c r="AE904" s="49"/>
      <c r="AF904" s="49"/>
      <c r="AG904" s="49"/>
    </row>
    <row r="905" spans="2:33" ht="15.75">
      <c r="B905" s="153"/>
      <c r="C905" s="51"/>
      <c r="D905" s="51"/>
      <c r="E905" s="51"/>
      <c r="F905" s="51"/>
      <c r="G905" s="52"/>
      <c r="H905" s="53"/>
      <c r="I905" s="53"/>
      <c r="J905" s="53"/>
      <c r="K905" s="53"/>
      <c r="L905" s="80"/>
      <c r="M905" s="53"/>
      <c r="N905" s="93"/>
      <c r="O905" s="53"/>
      <c r="P905" s="101"/>
      <c r="Q905" s="101"/>
      <c r="R905" s="93"/>
      <c r="S905" s="93"/>
      <c r="T905" s="101"/>
      <c r="U905" s="101"/>
      <c r="V905" s="166"/>
      <c r="W905" s="80"/>
      <c r="Y905" s="101"/>
      <c r="AA905" s="101"/>
      <c r="AB905" s="101"/>
      <c r="AC905" s="101"/>
      <c r="AD905" s="101"/>
      <c r="AE905" s="101"/>
      <c r="AF905" s="52"/>
      <c r="AG905" s="52"/>
    </row>
    <row r="906" spans="2:33" ht="15.75">
      <c r="B906" s="50"/>
      <c r="C906" s="51"/>
      <c r="D906" s="51"/>
      <c r="E906" s="51"/>
      <c r="F906" s="51"/>
      <c r="G906" s="52"/>
      <c r="H906" s="53"/>
      <c r="I906" s="53"/>
      <c r="J906" s="53"/>
      <c r="K906" s="53"/>
      <c r="L906" s="80"/>
      <c r="M906" s="49"/>
      <c r="N906" s="96"/>
      <c r="O906" s="96"/>
      <c r="R906" s="96"/>
      <c r="S906" s="96"/>
      <c r="T906" s="49"/>
      <c r="U906" s="49"/>
      <c r="AB906" s="85"/>
      <c r="AD906" s="83"/>
      <c r="AE906" s="84"/>
      <c r="AF906" s="52"/>
      <c r="AG906" s="52"/>
    </row>
    <row r="907" spans="2:33" ht="15.75">
      <c r="B907" s="50"/>
      <c r="C907" s="51"/>
      <c r="D907" s="51"/>
      <c r="E907" s="51"/>
      <c r="F907" s="51"/>
      <c r="G907" s="52"/>
      <c r="H907" s="53"/>
      <c r="I907" s="53"/>
      <c r="J907" s="53"/>
      <c r="K907" s="170"/>
      <c r="L907" s="122"/>
      <c r="M907" s="122"/>
      <c r="N907" s="122"/>
      <c r="O907" s="122"/>
      <c r="P907" s="122"/>
      <c r="Q907" s="122"/>
      <c r="R907" s="122"/>
      <c r="S907" s="122"/>
      <c r="T907" s="122"/>
      <c r="U907" s="122"/>
      <c r="V907" s="122"/>
      <c r="W907" s="171"/>
      <c r="X907" s="122"/>
      <c r="Y907" s="122"/>
      <c r="Z907" s="122"/>
      <c r="AA907" s="122"/>
      <c r="AB907" s="122"/>
      <c r="AC907" s="122"/>
      <c r="AD907" s="122"/>
      <c r="AE907" s="122"/>
      <c r="AF907" s="52"/>
      <c r="AG907" s="52"/>
    </row>
    <row r="908" spans="2:33" ht="15.75">
      <c r="B908" s="50"/>
      <c r="C908" s="51"/>
      <c r="D908" s="51"/>
      <c r="E908" s="51"/>
      <c r="F908" s="51"/>
      <c r="G908" s="52"/>
      <c r="H908" s="53"/>
      <c r="I908" s="53"/>
      <c r="J908" s="53"/>
      <c r="K908" s="170"/>
      <c r="L908" s="122"/>
      <c r="M908" s="122"/>
      <c r="N908" s="122"/>
      <c r="O908" s="122"/>
      <c r="P908" s="122"/>
      <c r="Q908" s="122"/>
      <c r="R908" s="122"/>
      <c r="S908" s="122"/>
      <c r="T908" s="122"/>
      <c r="U908" s="122"/>
      <c r="V908" s="122"/>
      <c r="W908" s="171"/>
      <c r="X908" s="122"/>
      <c r="Y908" s="122"/>
      <c r="Z908" s="122"/>
      <c r="AA908" s="122"/>
      <c r="AB908" s="122"/>
      <c r="AC908" s="122"/>
      <c r="AD908" s="122"/>
      <c r="AE908" s="122"/>
      <c r="AF908" s="52"/>
      <c r="AG908" s="52"/>
    </row>
    <row r="909" spans="1:34" s="3" customFormat="1" ht="36" customHeight="1" thickBot="1">
      <c r="A909" s="12"/>
      <c r="B909" s="54"/>
      <c r="C909" s="55"/>
      <c r="D909" s="55"/>
      <c r="E909" s="55"/>
      <c r="F909" s="55"/>
      <c r="G909" s="55"/>
      <c r="H909" s="55"/>
      <c r="I909" s="55"/>
      <c r="J909" s="55"/>
      <c r="K909" s="86"/>
      <c r="L909" s="86"/>
      <c r="M909" s="259"/>
      <c r="N909" s="259"/>
      <c r="O909" s="259"/>
      <c r="P909" s="259"/>
      <c r="Q909" s="176"/>
      <c r="S909" s="176"/>
      <c r="U909" s="259"/>
      <c r="V909" s="259"/>
      <c r="W909" s="259"/>
      <c r="X909" s="259"/>
      <c r="Y909" s="99"/>
      <c r="Z909" s="176"/>
      <c r="AA909" s="229"/>
      <c r="AB909" s="229"/>
      <c r="AC909" s="257"/>
      <c r="AD909" s="257"/>
      <c r="AE909" s="99"/>
      <c r="AF909" s="98"/>
      <c r="AG909" s="98"/>
      <c r="AH909" s="13"/>
    </row>
    <row r="910" spans="2:35" s="4" customFormat="1" ht="21.75" customHeight="1">
      <c r="B910" s="233"/>
      <c r="C910" s="235"/>
      <c r="D910" s="251"/>
      <c r="E910" s="251"/>
      <c r="F910" s="251"/>
      <c r="G910" s="254"/>
      <c r="H910" s="254"/>
      <c r="I910" s="251"/>
      <c r="J910" s="254"/>
      <c r="K910" s="254"/>
      <c r="L910" s="254"/>
      <c r="M910" s="216"/>
      <c r="N910" s="217"/>
      <c r="O910" s="216"/>
      <c r="P910" s="217"/>
      <c r="Q910" s="216"/>
      <c r="R910" s="217"/>
      <c r="S910" s="216"/>
      <c r="T910" s="217"/>
      <c r="U910" s="216"/>
      <c r="V910" s="217"/>
      <c r="W910" s="216"/>
      <c r="X910" s="217"/>
      <c r="Y910" s="58"/>
      <c r="Z910" s="121"/>
      <c r="AA910" s="216"/>
      <c r="AB910" s="217"/>
      <c r="AC910" s="216"/>
      <c r="AD910" s="217"/>
      <c r="AE910" s="58"/>
      <c r="AF910" s="282"/>
      <c r="AG910" s="282"/>
      <c r="AI910" s="165"/>
    </row>
    <row r="911" spans="2:35" s="4" customFormat="1" ht="27.75" customHeight="1">
      <c r="B911" s="293"/>
      <c r="C911" s="294"/>
      <c r="D911" s="252"/>
      <c r="E911" s="252"/>
      <c r="F911" s="252"/>
      <c r="G911" s="242"/>
      <c r="H911" s="242"/>
      <c r="I911" s="252"/>
      <c r="J911" s="255"/>
      <c r="K911" s="255"/>
      <c r="L911" s="255"/>
      <c r="M911" s="218"/>
      <c r="N911" s="219"/>
      <c r="O911" s="218"/>
      <c r="P911" s="219"/>
      <c r="Q911" s="218"/>
      <c r="R911" s="219"/>
      <c r="S911" s="218"/>
      <c r="T911" s="219"/>
      <c r="U911" s="218"/>
      <c r="V911" s="219"/>
      <c r="W911" s="218"/>
      <c r="X911" s="219"/>
      <c r="Y911" s="241"/>
      <c r="Z911" s="218"/>
      <c r="AA911" s="218"/>
      <c r="AB911" s="219"/>
      <c r="AC911" s="218"/>
      <c r="AD911" s="219"/>
      <c r="AE911" s="241"/>
      <c r="AF911" s="283"/>
      <c r="AG911" s="304"/>
      <c r="AI911" s="278"/>
    </row>
    <row r="912" spans="2:35" s="4" customFormat="1" ht="27.75" customHeight="1" thickBot="1">
      <c r="B912" s="293"/>
      <c r="C912" s="294"/>
      <c r="D912" s="252"/>
      <c r="E912" s="252"/>
      <c r="F912" s="252"/>
      <c r="G912" s="242"/>
      <c r="H912" s="242"/>
      <c r="I912" s="252"/>
      <c r="J912" s="255"/>
      <c r="K912" s="255"/>
      <c r="L912" s="255"/>
      <c r="M912" s="220"/>
      <c r="N912" s="221"/>
      <c r="O912" s="220"/>
      <c r="P912" s="221"/>
      <c r="Q912" s="220"/>
      <c r="R912" s="221"/>
      <c r="S912" s="220"/>
      <c r="T912" s="221"/>
      <c r="U912" s="220"/>
      <c r="V912" s="221"/>
      <c r="W912" s="220"/>
      <c r="X912" s="221"/>
      <c r="Y912" s="242"/>
      <c r="Z912" s="220"/>
      <c r="AA912" s="220"/>
      <c r="AB912" s="221"/>
      <c r="AC912" s="220"/>
      <c r="AD912" s="221"/>
      <c r="AE912" s="242"/>
      <c r="AF912" s="284"/>
      <c r="AG912" s="304"/>
      <c r="AI912" s="278"/>
    </row>
    <row r="913" spans="2:35" s="4" customFormat="1" ht="27.75" customHeight="1">
      <c r="B913" s="293"/>
      <c r="C913" s="294"/>
      <c r="D913" s="252"/>
      <c r="E913" s="252"/>
      <c r="F913" s="252"/>
      <c r="G913" s="242"/>
      <c r="H913" s="242"/>
      <c r="I913" s="252"/>
      <c r="J913" s="255"/>
      <c r="K913" s="255"/>
      <c r="L913" s="255"/>
      <c r="M913" s="220"/>
      <c r="N913" s="221"/>
      <c r="O913" s="220"/>
      <c r="P913" s="221"/>
      <c r="Q913" s="220"/>
      <c r="R913" s="221"/>
      <c r="S913" s="220"/>
      <c r="T913" s="221"/>
      <c r="U913" s="220"/>
      <c r="V913" s="221"/>
      <c r="W913" s="220"/>
      <c r="X913" s="221"/>
      <c r="Y913" s="242"/>
      <c r="Z913" s="220"/>
      <c r="AA913" s="220"/>
      <c r="AB913" s="221"/>
      <c r="AC913" s="220"/>
      <c r="AD913" s="221"/>
      <c r="AE913" s="242"/>
      <c r="AF913" s="269"/>
      <c r="AG913" s="270"/>
      <c r="AI913" s="278"/>
    </row>
    <row r="914" spans="2:35" s="4" customFormat="1" ht="27.75" customHeight="1">
      <c r="B914" s="293"/>
      <c r="C914" s="294"/>
      <c r="D914" s="252"/>
      <c r="E914" s="252"/>
      <c r="F914" s="252"/>
      <c r="G914" s="242"/>
      <c r="H914" s="242"/>
      <c r="I914" s="252"/>
      <c r="J914" s="255"/>
      <c r="K914" s="255"/>
      <c r="L914" s="255"/>
      <c r="M914" s="220"/>
      <c r="N914" s="221"/>
      <c r="O914" s="220"/>
      <c r="P914" s="221"/>
      <c r="Q914" s="220"/>
      <c r="R914" s="221"/>
      <c r="S914" s="220"/>
      <c r="T914" s="221"/>
      <c r="U914" s="220"/>
      <c r="V914" s="221"/>
      <c r="W914" s="220"/>
      <c r="X914" s="221"/>
      <c r="Y914" s="242"/>
      <c r="Z914" s="220"/>
      <c r="AA914" s="220"/>
      <c r="AB914" s="221"/>
      <c r="AC914" s="220"/>
      <c r="AD914" s="221"/>
      <c r="AE914" s="242"/>
      <c r="AF914" s="271"/>
      <c r="AG914" s="272"/>
      <c r="AI914" s="278"/>
    </row>
    <row r="915" spans="2:35" s="4" customFormat="1" ht="27.75" customHeight="1">
      <c r="B915" s="293"/>
      <c r="C915" s="294"/>
      <c r="D915" s="252"/>
      <c r="E915" s="252"/>
      <c r="F915" s="252"/>
      <c r="G915" s="242"/>
      <c r="H915" s="242"/>
      <c r="I915" s="252"/>
      <c r="J915" s="255"/>
      <c r="K915" s="255"/>
      <c r="L915" s="255"/>
      <c r="M915" s="220"/>
      <c r="N915" s="221"/>
      <c r="O915" s="220"/>
      <c r="P915" s="221"/>
      <c r="Q915" s="220"/>
      <c r="R915" s="221"/>
      <c r="S915" s="220"/>
      <c r="T915" s="221"/>
      <c r="U915" s="220"/>
      <c r="V915" s="221"/>
      <c r="W915" s="220"/>
      <c r="X915" s="221"/>
      <c r="Y915" s="242"/>
      <c r="Z915" s="220"/>
      <c r="AA915" s="220"/>
      <c r="AB915" s="221"/>
      <c r="AC915" s="220"/>
      <c r="AD915" s="221"/>
      <c r="AE915" s="242"/>
      <c r="AF915" s="271"/>
      <c r="AG915" s="272"/>
      <c r="AI915" s="278"/>
    </row>
    <row r="916" spans="2:35" s="4" customFormat="1" ht="27.75" customHeight="1">
      <c r="B916" s="293"/>
      <c r="C916" s="294"/>
      <c r="D916" s="252"/>
      <c r="E916" s="252"/>
      <c r="F916" s="252"/>
      <c r="G916" s="242"/>
      <c r="H916" s="242"/>
      <c r="I916" s="252"/>
      <c r="J916" s="255"/>
      <c r="K916" s="255"/>
      <c r="L916" s="255"/>
      <c r="M916" s="220"/>
      <c r="N916" s="221"/>
      <c r="O916" s="220"/>
      <c r="P916" s="221"/>
      <c r="Q916" s="220"/>
      <c r="R916" s="221"/>
      <c r="S916" s="220"/>
      <c r="T916" s="221"/>
      <c r="U916" s="220"/>
      <c r="V916" s="221"/>
      <c r="W916" s="220"/>
      <c r="X916" s="221"/>
      <c r="Y916" s="242"/>
      <c r="Z916" s="220"/>
      <c r="AA916" s="220"/>
      <c r="AB916" s="221"/>
      <c r="AC916" s="220"/>
      <c r="AD916" s="221"/>
      <c r="AE916" s="242"/>
      <c r="AF916" s="271"/>
      <c r="AG916" s="272"/>
      <c r="AI916" s="278"/>
    </row>
    <row r="917" spans="2:35" s="4" customFormat="1" ht="27.75" customHeight="1">
      <c r="B917" s="293"/>
      <c r="C917" s="294"/>
      <c r="D917" s="252"/>
      <c r="E917" s="252"/>
      <c r="F917" s="252"/>
      <c r="G917" s="242"/>
      <c r="H917" s="242"/>
      <c r="I917" s="252"/>
      <c r="J917" s="255"/>
      <c r="K917" s="255"/>
      <c r="L917" s="255"/>
      <c r="M917" s="220"/>
      <c r="N917" s="221"/>
      <c r="O917" s="220"/>
      <c r="P917" s="221"/>
      <c r="Q917" s="220"/>
      <c r="R917" s="221"/>
      <c r="S917" s="220"/>
      <c r="T917" s="221"/>
      <c r="U917" s="220"/>
      <c r="V917" s="221"/>
      <c r="W917" s="220"/>
      <c r="X917" s="221"/>
      <c r="Y917" s="242"/>
      <c r="Z917" s="220"/>
      <c r="AA917" s="220"/>
      <c r="AB917" s="221"/>
      <c r="AC917" s="220"/>
      <c r="AD917" s="221"/>
      <c r="AE917" s="242"/>
      <c r="AF917" s="271"/>
      <c r="AG917" s="272"/>
      <c r="AI917" s="278"/>
    </row>
    <row r="918" spans="2:35" s="5" customFormat="1" ht="27.75" customHeight="1">
      <c r="B918" s="295"/>
      <c r="C918" s="296"/>
      <c r="D918" s="253"/>
      <c r="E918" s="253"/>
      <c r="F918" s="253"/>
      <c r="G918" s="243"/>
      <c r="H918" s="243"/>
      <c r="I918" s="253"/>
      <c r="J918" s="256"/>
      <c r="K918" s="256"/>
      <c r="L918" s="256"/>
      <c r="M918" s="222"/>
      <c r="N918" s="223"/>
      <c r="O918" s="222"/>
      <c r="P918" s="223"/>
      <c r="Q918" s="222"/>
      <c r="R918" s="223"/>
      <c r="S918" s="222"/>
      <c r="T918" s="223"/>
      <c r="U918" s="222"/>
      <c r="V918" s="223"/>
      <c r="W918" s="222"/>
      <c r="X918" s="223"/>
      <c r="Y918" s="243"/>
      <c r="Z918" s="222"/>
      <c r="AA918" s="222"/>
      <c r="AB918" s="223"/>
      <c r="AC918" s="222"/>
      <c r="AD918" s="223"/>
      <c r="AE918" s="243"/>
      <c r="AF918" s="271"/>
      <c r="AG918" s="272"/>
      <c r="AI918" s="278"/>
    </row>
    <row r="919" spans="2:35" s="7" customFormat="1" ht="21.75" customHeight="1" thickBot="1">
      <c r="B919" s="56"/>
      <c r="C919" s="56"/>
      <c r="D919" s="57"/>
      <c r="E919" s="57"/>
      <c r="F919" s="57"/>
      <c r="G919" s="57"/>
      <c r="H919" s="57"/>
      <c r="I919" s="57"/>
      <c r="J919" s="57"/>
      <c r="K919" s="57"/>
      <c r="L919" s="57"/>
      <c r="M919" s="208"/>
      <c r="N919" s="210"/>
      <c r="O919" s="208"/>
      <c r="P919" s="210"/>
      <c r="Q919" s="208"/>
      <c r="R919" s="210"/>
      <c r="S919" s="208"/>
      <c r="T919" s="210"/>
      <c r="U919" s="208"/>
      <c r="V919" s="210"/>
      <c r="W919" s="208"/>
      <c r="X919" s="210"/>
      <c r="Y919" s="57"/>
      <c r="Z919" s="120"/>
      <c r="AA919" s="208"/>
      <c r="AB919" s="210"/>
      <c r="AC919" s="208"/>
      <c r="AD919" s="210"/>
      <c r="AE919" s="57"/>
      <c r="AF919" s="271"/>
      <c r="AG919" s="272"/>
      <c r="AI919" s="165"/>
    </row>
    <row r="920" spans="1:35" s="4" customFormat="1" ht="21.75" customHeight="1">
      <c r="A920" s="30"/>
      <c r="B920" s="37"/>
      <c r="C920" s="38"/>
      <c r="D920" s="39"/>
      <c r="E920" s="24"/>
      <c r="F920" s="66"/>
      <c r="G920" s="105"/>
      <c r="H920" s="105"/>
      <c r="I920" s="24"/>
      <c r="J920" s="24"/>
      <c r="K920" s="24"/>
      <c r="L920" s="24"/>
      <c r="M920" s="227"/>
      <c r="N920" s="263"/>
      <c r="O920" s="227"/>
      <c r="P920" s="263"/>
      <c r="Q920" s="227"/>
      <c r="R920" s="263"/>
      <c r="S920" s="227"/>
      <c r="T920" s="263"/>
      <c r="U920" s="227"/>
      <c r="V920" s="263"/>
      <c r="W920" s="227"/>
      <c r="X920" s="263"/>
      <c r="Y920" s="263"/>
      <c r="Z920" s="227"/>
      <c r="AA920" s="227"/>
      <c r="AB920" s="263"/>
      <c r="AC920" s="227"/>
      <c r="AD920" s="263"/>
      <c r="AE920" s="227"/>
      <c r="AF920" s="271"/>
      <c r="AG920" s="272"/>
      <c r="AI920" s="267"/>
    </row>
    <row r="921" spans="1:35" s="4" customFormat="1" ht="21.75" customHeight="1">
      <c r="A921" s="30"/>
      <c r="B921" s="230"/>
      <c r="C921" s="231"/>
      <c r="D921" s="231"/>
      <c r="E921" s="231"/>
      <c r="F921" s="231"/>
      <c r="G921" s="231"/>
      <c r="H921" s="231"/>
      <c r="I921" s="232"/>
      <c r="J921" s="24"/>
      <c r="K921" s="24"/>
      <c r="L921" s="24"/>
      <c r="M921" s="228"/>
      <c r="N921" s="264"/>
      <c r="O921" s="228"/>
      <c r="P921" s="264"/>
      <c r="Q921" s="228"/>
      <c r="R921" s="264"/>
      <c r="S921" s="228"/>
      <c r="T921" s="264"/>
      <c r="U921" s="228"/>
      <c r="V921" s="264"/>
      <c r="W921" s="228"/>
      <c r="X921" s="264"/>
      <c r="Y921" s="264"/>
      <c r="Z921" s="228"/>
      <c r="AA921" s="228"/>
      <c r="AB921" s="264"/>
      <c r="AC921" s="228"/>
      <c r="AD921" s="264"/>
      <c r="AE921" s="228"/>
      <c r="AF921" s="271"/>
      <c r="AG921" s="272"/>
      <c r="AI921" s="267"/>
    </row>
    <row r="922" spans="1:35" s="4" customFormat="1" ht="21.75" customHeight="1">
      <c r="A922" s="30"/>
      <c r="B922" s="67"/>
      <c r="C922" s="68"/>
      <c r="D922" s="39"/>
      <c r="E922" s="24"/>
      <c r="F922" s="24"/>
      <c r="G922" s="24"/>
      <c r="H922" s="61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39"/>
      <c r="Y922" s="24"/>
      <c r="Z922" s="24"/>
      <c r="AA922" s="24"/>
      <c r="AB922" s="24"/>
      <c r="AC922" s="24"/>
      <c r="AD922" s="24"/>
      <c r="AE922" s="24"/>
      <c r="AF922" s="271"/>
      <c r="AG922" s="272"/>
      <c r="AI922" s="78"/>
    </row>
    <row r="923" spans="1:35" s="4" customFormat="1" ht="21.75" customHeight="1">
      <c r="A923" s="30"/>
      <c r="B923" s="40"/>
      <c r="C923" s="41"/>
      <c r="D923" s="39"/>
      <c r="E923" s="24"/>
      <c r="F923" s="66"/>
      <c r="G923" s="105"/>
      <c r="H923" s="61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39"/>
      <c r="Y923" s="24"/>
      <c r="Z923" s="24"/>
      <c r="AA923" s="24"/>
      <c r="AB923" s="24"/>
      <c r="AC923" s="24"/>
      <c r="AD923" s="24"/>
      <c r="AE923" s="24"/>
      <c r="AF923" s="271"/>
      <c r="AG923" s="272"/>
      <c r="AI923" s="78"/>
    </row>
    <row r="924" spans="1:35" s="4" customFormat="1" ht="21.75" customHeight="1">
      <c r="A924" s="30"/>
      <c r="B924" s="37"/>
      <c r="C924" s="38"/>
      <c r="D924" s="39"/>
      <c r="E924" s="24"/>
      <c r="F924" s="66"/>
      <c r="G924" s="105"/>
      <c r="H924" s="105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71"/>
      <c r="AG924" s="272"/>
      <c r="AI924" s="78"/>
    </row>
    <row r="925" spans="1:35" s="4" customFormat="1" ht="21.75" customHeight="1">
      <c r="A925" s="30"/>
      <c r="B925" s="37"/>
      <c r="C925" s="38"/>
      <c r="D925" s="39"/>
      <c r="E925" s="24"/>
      <c r="F925" s="66"/>
      <c r="G925" s="105"/>
      <c r="H925" s="105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71"/>
      <c r="AG925" s="272"/>
      <c r="AI925" s="78"/>
    </row>
    <row r="926" spans="1:35" s="4" customFormat="1" ht="21.75" customHeight="1">
      <c r="A926" s="30"/>
      <c r="B926" s="37"/>
      <c r="C926" s="38"/>
      <c r="D926" s="39"/>
      <c r="E926" s="24"/>
      <c r="F926" s="66"/>
      <c r="G926" s="39"/>
      <c r="H926" s="61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71"/>
      <c r="AG926" s="272"/>
      <c r="AI926" s="78"/>
    </row>
    <row r="927" spans="1:35" s="4" customFormat="1" ht="21.75" customHeight="1">
      <c r="A927" s="30"/>
      <c r="B927" s="37"/>
      <c r="C927" s="38"/>
      <c r="D927" s="39"/>
      <c r="E927" s="24"/>
      <c r="F927" s="66"/>
      <c r="G927" s="105"/>
      <c r="H927" s="61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71"/>
      <c r="AG927" s="272"/>
      <c r="AI927" s="78"/>
    </row>
    <row r="928" spans="1:35" s="4" customFormat="1" ht="21.75" customHeight="1">
      <c r="A928" s="30"/>
      <c r="B928" s="37"/>
      <c r="C928" s="38"/>
      <c r="D928" s="39"/>
      <c r="E928" s="24"/>
      <c r="F928" s="66"/>
      <c r="G928" s="105"/>
      <c r="H928" s="61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71"/>
      <c r="AG928" s="272"/>
      <c r="AI928" s="78"/>
    </row>
    <row r="929" spans="1:35" s="4" customFormat="1" ht="21.75" customHeight="1">
      <c r="A929" s="30"/>
      <c r="B929" s="37"/>
      <c r="C929" s="38"/>
      <c r="D929" s="39"/>
      <c r="E929" s="24"/>
      <c r="F929" s="66"/>
      <c r="G929" s="105"/>
      <c r="H929" s="105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71"/>
      <c r="AG929" s="272"/>
      <c r="AI929" s="78"/>
    </row>
    <row r="930" spans="1:35" s="4" customFormat="1" ht="21.75" customHeight="1">
      <c r="A930" s="30"/>
      <c r="B930" s="37"/>
      <c r="C930" s="38"/>
      <c r="D930" s="39"/>
      <c r="E930" s="24"/>
      <c r="F930" s="66"/>
      <c r="G930" s="105"/>
      <c r="H930" s="61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71"/>
      <c r="AG930" s="272"/>
      <c r="AI930" s="78"/>
    </row>
    <row r="931" spans="1:35" s="4" customFormat="1" ht="21.75" customHeight="1">
      <c r="A931" s="30"/>
      <c r="B931" s="37"/>
      <c r="C931" s="38"/>
      <c r="D931" s="39"/>
      <c r="E931" s="24"/>
      <c r="F931" s="213"/>
      <c r="G931" s="214"/>
      <c r="H931" s="214"/>
      <c r="I931" s="215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71"/>
      <c r="AG931" s="272"/>
      <c r="AI931" s="78"/>
    </row>
    <row r="932" spans="1:35" s="4" customFormat="1" ht="21.75" customHeight="1">
      <c r="A932" s="30"/>
      <c r="B932" s="37"/>
      <c r="C932" s="38"/>
      <c r="D932" s="39"/>
      <c r="E932" s="24"/>
      <c r="F932" s="92"/>
      <c r="G932" s="24"/>
      <c r="H932" s="61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71"/>
      <c r="AG932" s="272"/>
      <c r="AI932" s="78"/>
    </row>
    <row r="933" spans="1:35" s="4" customFormat="1" ht="21.75" customHeight="1">
      <c r="A933" s="30"/>
      <c r="B933" s="37"/>
      <c r="C933" s="38"/>
      <c r="D933" s="39"/>
      <c r="E933" s="24"/>
      <c r="F933" s="66"/>
      <c r="G933" s="39"/>
      <c r="H933" s="61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71"/>
      <c r="AG933" s="272"/>
      <c r="AI933" s="78"/>
    </row>
    <row r="934" spans="1:35" s="16" customFormat="1" ht="21.75" customHeight="1">
      <c r="A934" s="30"/>
      <c r="B934" s="37"/>
      <c r="C934" s="38"/>
      <c r="D934" s="39"/>
      <c r="E934" s="24"/>
      <c r="F934" s="66"/>
      <c r="G934" s="105"/>
      <c r="H934" s="105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71"/>
      <c r="AG934" s="272"/>
      <c r="AI934" s="78"/>
    </row>
    <row r="935" spans="1:35" s="16" customFormat="1" ht="21.75" customHeight="1">
      <c r="A935" s="30"/>
      <c r="B935" s="40"/>
      <c r="C935" s="41"/>
      <c r="D935" s="39"/>
      <c r="E935" s="24"/>
      <c r="F935" s="66"/>
      <c r="G935" s="105"/>
      <c r="H935" s="61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71"/>
      <c r="AG935" s="272"/>
      <c r="AI935" s="78"/>
    </row>
    <row r="936" spans="1:35" s="16" customFormat="1" ht="21.75" customHeight="1">
      <c r="A936" s="30"/>
      <c r="B936" s="37"/>
      <c r="C936" s="38"/>
      <c r="D936" s="39"/>
      <c r="E936" s="24"/>
      <c r="F936" s="66"/>
      <c r="G936" s="105"/>
      <c r="H936" s="105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71"/>
      <c r="AG936" s="272"/>
      <c r="AI936" s="78"/>
    </row>
    <row r="937" spans="1:35" s="16" customFormat="1" ht="21.75" customHeight="1">
      <c r="A937" s="30"/>
      <c r="B937" s="37"/>
      <c r="C937" s="38"/>
      <c r="D937" s="39"/>
      <c r="E937" s="24"/>
      <c r="F937" s="66"/>
      <c r="G937" s="104"/>
      <c r="H937" s="10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71"/>
      <c r="AG937" s="272"/>
      <c r="AI937" s="78"/>
    </row>
    <row r="938" spans="1:35" s="16" customFormat="1" ht="21.75" customHeight="1">
      <c r="A938" s="30"/>
      <c r="B938" s="37"/>
      <c r="C938" s="38"/>
      <c r="D938" s="39"/>
      <c r="E938" s="24"/>
      <c r="F938" s="213"/>
      <c r="G938" s="214"/>
      <c r="H938" s="214"/>
      <c r="I938" s="215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71"/>
      <c r="AG938" s="272"/>
      <c r="AI938" s="78"/>
    </row>
    <row r="939" spans="1:35" s="16" customFormat="1" ht="21.75" customHeight="1">
      <c r="A939" s="30"/>
      <c r="B939" s="37"/>
      <c r="C939" s="38"/>
      <c r="D939" s="39"/>
      <c r="E939" s="24"/>
      <c r="F939" s="66"/>
      <c r="G939" s="105"/>
      <c r="H939" s="61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71"/>
      <c r="AG939" s="272"/>
      <c r="AI939" s="78"/>
    </row>
    <row r="940" spans="1:35" s="4" customFormat="1" ht="21.75" customHeight="1">
      <c r="A940" s="30"/>
      <c r="B940" s="37"/>
      <c r="C940" s="38"/>
      <c r="D940" s="39"/>
      <c r="E940" s="24"/>
      <c r="F940" s="66"/>
      <c r="G940" s="105"/>
      <c r="H940" s="105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71"/>
      <c r="AG940" s="272"/>
      <c r="AI940" s="78"/>
    </row>
    <row r="941" spans="1:35" s="4" customFormat="1" ht="21.75" customHeight="1">
      <c r="A941" s="30"/>
      <c r="B941" s="37"/>
      <c r="C941" s="38"/>
      <c r="D941" s="39"/>
      <c r="E941" s="24"/>
      <c r="F941" s="66"/>
      <c r="G941" s="24"/>
      <c r="H941" s="61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71"/>
      <c r="AG941" s="272"/>
      <c r="AI941" s="78"/>
    </row>
    <row r="942" spans="1:35" s="4" customFormat="1" ht="21.75" customHeight="1">
      <c r="A942" s="30"/>
      <c r="B942" s="37"/>
      <c r="C942" s="38"/>
      <c r="D942" s="39"/>
      <c r="E942" s="24"/>
      <c r="F942" s="66"/>
      <c r="G942" s="105"/>
      <c r="H942" s="61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71"/>
      <c r="AG942" s="272"/>
      <c r="AI942" s="78"/>
    </row>
    <row r="943" spans="1:35" s="4" customFormat="1" ht="21.75" customHeight="1">
      <c r="A943" s="30"/>
      <c r="B943" s="37"/>
      <c r="C943" s="38"/>
      <c r="D943" s="39"/>
      <c r="E943" s="24"/>
      <c r="F943" s="66"/>
      <c r="G943" s="105"/>
      <c r="H943" s="61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71"/>
      <c r="AG943" s="272"/>
      <c r="AI943" s="78"/>
    </row>
    <row r="944" spans="1:35" s="4" customFormat="1" ht="21.75" customHeight="1">
      <c r="A944" s="30"/>
      <c r="B944" s="38"/>
      <c r="C944" s="38"/>
      <c r="D944" s="39"/>
      <c r="E944" s="24"/>
      <c r="F944" s="66"/>
      <c r="G944" s="105"/>
      <c r="H944" s="61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71"/>
      <c r="AG944" s="272"/>
      <c r="AI944" s="78"/>
    </row>
    <row r="945" spans="1:35" s="4" customFormat="1" ht="21.75" customHeight="1">
      <c r="A945" s="30"/>
      <c r="B945" s="37"/>
      <c r="C945" s="38"/>
      <c r="D945" s="39"/>
      <c r="E945" s="24"/>
      <c r="F945" s="66"/>
      <c r="G945" s="105"/>
      <c r="H945" s="61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71"/>
      <c r="AG945" s="272"/>
      <c r="AI945" s="78"/>
    </row>
    <row r="946" spans="1:35" s="4" customFormat="1" ht="21.75" customHeight="1">
      <c r="A946" s="30"/>
      <c r="B946" s="230"/>
      <c r="C946" s="231"/>
      <c r="D946" s="231"/>
      <c r="E946" s="231"/>
      <c r="F946" s="231"/>
      <c r="G946" s="231"/>
      <c r="H946" s="231"/>
      <c r="I946" s="232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71"/>
      <c r="AG946" s="272"/>
      <c r="AI946" s="78"/>
    </row>
    <row r="947" spans="1:35" s="4" customFormat="1" ht="21.75" customHeight="1">
      <c r="A947" s="30"/>
      <c r="B947" s="67"/>
      <c r="C947" s="46"/>
      <c r="D947" s="39"/>
      <c r="E947" s="104"/>
      <c r="F947" s="107"/>
      <c r="G947" s="24"/>
      <c r="H947" s="61"/>
      <c r="I947" s="90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71"/>
      <c r="AG947" s="272"/>
      <c r="AI947" s="78"/>
    </row>
    <row r="948" spans="1:35" s="4" customFormat="1" ht="21.75" customHeight="1">
      <c r="A948" s="30"/>
      <c r="B948" s="37"/>
      <c r="C948" s="38"/>
      <c r="D948" s="24"/>
      <c r="E948" s="24"/>
      <c r="F948" s="66"/>
      <c r="G948" s="105"/>
      <c r="H948" s="61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71"/>
      <c r="AG948" s="272"/>
      <c r="AI948" s="78"/>
    </row>
    <row r="949" spans="1:35" s="4" customFormat="1" ht="21.75" customHeight="1">
      <c r="A949" s="30"/>
      <c r="B949" s="37"/>
      <c r="C949" s="38"/>
      <c r="D949" s="24"/>
      <c r="E949" s="24"/>
      <c r="F949" s="66"/>
      <c r="G949" s="105"/>
      <c r="H949" s="61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71"/>
      <c r="AG949" s="272"/>
      <c r="AI949" s="78"/>
    </row>
    <row r="950" spans="1:35" s="4" customFormat="1" ht="21.75" customHeight="1">
      <c r="A950" s="30"/>
      <c r="B950" s="37"/>
      <c r="C950" s="38"/>
      <c r="D950" s="39"/>
      <c r="E950" s="24"/>
      <c r="F950" s="213"/>
      <c r="G950" s="214"/>
      <c r="H950" s="214"/>
      <c r="I950" s="215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71"/>
      <c r="AG950" s="272"/>
      <c r="AI950" s="78"/>
    </row>
    <row r="951" spans="1:35" s="4" customFormat="1" ht="21.75" customHeight="1">
      <c r="A951" s="30"/>
      <c r="B951" s="115"/>
      <c r="C951" s="116"/>
      <c r="D951" s="39"/>
      <c r="E951" s="24"/>
      <c r="F951" s="213"/>
      <c r="G951" s="214"/>
      <c r="H951" s="214"/>
      <c r="I951" s="215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75"/>
      <c r="Y951" s="24"/>
      <c r="Z951" s="24"/>
      <c r="AA951" s="24"/>
      <c r="AB951" s="24"/>
      <c r="AC951" s="24"/>
      <c r="AD951" s="24"/>
      <c r="AE951" s="24"/>
      <c r="AF951" s="271"/>
      <c r="AG951" s="272"/>
      <c r="AI951" s="78"/>
    </row>
    <row r="952" spans="1:35" s="4" customFormat="1" ht="21.75" customHeight="1">
      <c r="A952" s="30"/>
      <c r="B952" s="102"/>
      <c r="C952" s="103"/>
      <c r="D952" s="39"/>
      <c r="E952" s="24"/>
      <c r="F952" s="213"/>
      <c r="G952" s="214"/>
      <c r="H952" s="214"/>
      <c r="I952" s="215"/>
      <c r="J952" s="74"/>
      <c r="K952" s="24"/>
      <c r="L952" s="24"/>
      <c r="M952" s="24"/>
      <c r="N952" s="24"/>
      <c r="O952" s="24"/>
      <c r="P952" s="24"/>
      <c r="Q952" s="24"/>
      <c r="R952" s="74"/>
      <c r="S952" s="24"/>
      <c r="T952" s="74"/>
      <c r="U952" s="24"/>
      <c r="V952" s="24"/>
      <c r="W952" s="24"/>
      <c r="X952" s="24"/>
      <c r="Y952" s="24"/>
      <c r="Z952" s="24"/>
      <c r="AA952" s="24"/>
      <c r="AB952" s="74"/>
      <c r="AC952" s="24"/>
      <c r="AD952" s="24"/>
      <c r="AE952" s="74"/>
      <c r="AF952" s="271"/>
      <c r="AG952" s="272"/>
      <c r="AI952" s="78"/>
    </row>
    <row r="953" spans="1:35" s="4" customFormat="1" ht="21.75" customHeight="1">
      <c r="A953" s="30"/>
      <c r="B953" s="38"/>
      <c r="C953" s="38"/>
      <c r="D953" s="39"/>
      <c r="E953" s="24"/>
      <c r="F953" s="66"/>
      <c r="G953" s="105"/>
      <c r="H953" s="105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71"/>
      <c r="AG953" s="272"/>
      <c r="AI953" s="78"/>
    </row>
    <row r="954" spans="1:35" s="4" customFormat="1" ht="21.75" customHeight="1">
      <c r="A954" s="30"/>
      <c r="B954" s="38"/>
      <c r="C954" s="38"/>
      <c r="D954" s="39"/>
      <c r="E954" s="24"/>
      <c r="F954" s="66"/>
      <c r="G954" s="105"/>
      <c r="H954" s="105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71"/>
      <c r="AG954" s="272"/>
      <c r="AI954" s="78"/>
    </row>
    <row r="955" spans="1:35" s="4" customFormat="1" ht="21.75" customHeight="1">
      <c r="A955" s="30"/>
      <c r="B955" s="37"/>
      <c r="C955" s="38"/>
      <c r="D955" s="39"/>
      <c r="E955" s="24"/>
      <c r="F955" s="66"/>
      <c r="G955" s="105"/>
      <c r="H955" s="105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71"/>
      <c r="AG955" s="272"/>
      <c r="AI955" s="78"/>
    </row>
    <row r="956" spans="1:35" s="4" customFormat="1" ht="21.75" customHeight="1">
      <c r="A956" s="30"/>
      <c r="B956" s="37"/>
      <c r="C956" s="38"/>
      <c r="D956" s="39"/>
      <c r="E956" s="24"/>
      <c r="F956" s="66"/>
      <c r="G956" s="105"/>
      <c r="H956" s="105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71"/>
      <c r="AG956" s="272"/>
      <c r="AI956" s="78"/>
    </row>
    <row r="957" spans="1:35" s="4" customFormat="1" ht="21.75" customHeight="1" thickBot="1">
      <c r="A957" s="30"/>
      <c r="B957" s="38"/>
      <c r="C957" s="38"/>
      <c r="D957" s="39"/>
      <c r="E957" s="24"/>
      <c r="F957" s="66"/>
      <c r="G957" s="66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81"/>
      <c r="AG957" s="275"/>
      <c r="AI957" s="78"/>
    </row>
    <row r="958" spans="1:35" s="4" customFormat="1" ht="21.75" customHeight="1">
      <c r="A958" s="30"/>
      <c r="B958" s="38"/>
      <c r="C958" s="38"/>
      <c r="D958" s="39"/>
      <c r="E958" s="24"/>
      <c r="F958" s="66"/>
      <c r="G958" s="105"/>
      <c r="H958" s="105"/>
      <c r="I958" s="24"/>
      <c r="J958" s="7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69"/>
      <c r="AG958" s="270"/>
      <c r="AI958" s="78"/>
    </row>
    <row r="959" spans="1:35" s="4" customFormat="1" ht="21.75" customHeight="1">
      <c r="A959" s="30"/>
      <c r="B959" s="37"/>
      <c r="C959" s="38"/>
      <c r="D959" s="39"/>
      <c r="E959" s="24"/>
      <c r="F959" s="66"/>
      <c r="G959" s="105"/>
      <c r="H959" s="105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71"/>
      <c r="AG959" s="272"/>
      <c r="AI959" s="78"/>
    </row>
    <row r="960" spans="1:35" s="4" customFormat="1" ht="21.75" customHeight="1">
      <c r="A960" s="30"/>
      <c r="B960" s="37"/>
      <c r="C960" s="38"/>
      <c r="D960" s="39"/>
      <c r="E960" s="24"/>
      <c r="F960" s="66"/>
      <c r="G960" s="105"/>
      <c r="H960" s="105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71"/>
      <c r="AG960" s="272"/>
      <c r="AI960" s="78"/>
    </row>
    <row r="961" spans="1:35" s="4" customFormat="1" ht="21.75" customHeight="1">
      <c r="A961" s="30"/>
      <c r="B961" s="37"/>
      <c r="C961" s="38"/>
      <c r="D961" s="39"/>
      <c r="E961" s="24"/>
      <c r="F961" s="213"/>
      <c r="G961" s="214"/>
      <c r="H961" s="214"/>
      <c r="I961" s="215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71"/>
      <c r="AG961" s="272"/>
      <c r="AI961" s="78"/>
    </row>
    <row r="962" spans="1:35" s="4" customFormat="1" ht="21.75" customHeight="1">
      <c r="A962" s="30"/>
      <c r="B962" s="37"/>
      <c r="C962" s="38"/>
      <c r="D962" s="39"/>
      <c r="E962" s="24"/>
      <c r="F962" s="213"/>
      <c r="G962" s="214"/>
      <c r="H962" s="214"/>
      <c r="I962" s="215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71"/>
      <c r="AG962" s="272"/>
      <c r="AI962" s="78"/>
    </row>
    <row r="963" spans="1:35" s="4" customFormat="1" ht="21.75" customHeight="1">
      <c r="A963" s="30"/>
      <c r="B963" s="37"/>
      <c r="C963" s="38"/>
      <c r="D963" s="39"/>
      <c r="E963" s="24"/>
      <c r="F963" s="213"/>
      <c r="G963" s="214"/>
      <c r="H963" s="214"/>
      <c r="I963" s="215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71"/>
      <c r="AG963" s="272"/>
      <c r="AI963" s="78"/>
    </row>
    <row r="964" spans="1:35" s="4" customFormat="1" ht="21.75" customHeight="1">
      <c r="A964" s="30"/>
      <c r="B964" s="37"/>
      <c r="C964" s="38"/>
      <c r="D964" s="39"/>
      <c r="E964" s="24"/>
      <c r="F964" s="66"/>
      <c r="G964" s="105"/>
      <c r="H964" s="105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71"/>
      <c r="AG964" s="272"/>
      <c r="AI964" s="78"/>
    </row>
    <row r="965" spans="1:35" s="4" customFormat="1" ht="21.75" customHeight="1">
      <c r="A965" s="30"/>
      <c r="B965" s="38"/>
      <c r="C965" s="38"/>
      <c r="D965" s="39"/>
      <c r="E965" s="24"/>
      <c r="F965" s="66"/>
      <c r="G965" s="105"/>
      <c r="H965" s="105"/>
      <c r="I965" s="24"/>
      <c r="J965" s="24"/>
      <c r="K965" s="24"/>
      <c r="L965" s="24"/>
      <c r="M965" s="24"/>
      <c r="N965" s="24"/>
      <c r="O965" s="24"/>
      <c r="P965" s="24"/>
      <c r="Q965" s="24"/>
      <c r="R965" s="74"/>
      <c r="S965" s="24"/>
      <c r="T965" s="74"/>
      <c r="U965" s="24"/>
      <c r="V965" s="24"/>
      <c r="W965" s="24"/>
      <c r="X965" s="24"/>
      <c r="Y965" s="24"/>
      <c r="Z965" s="24"/>
      <c r="AA965" s="24"/>
      <c r="AB965" s="24"/>
      <c r="AC965" s="74"/>
      <c r="AD965" s="74"/>
      <c r="AE965" s="74"/>
      <c r="AF965" s="271"/>
      <c r="AG965" s="272"/>
      <c r="AI965" s="78"/>
    </row>
    <row r="966" spans="1:35" s="4" customFormat="1" ht="21.75" customHeight="1">
      <c r="A966" s="30"/>
      <c r="B966" s="37"/>
      <c r="C966" s="38"/>
      <c r="D966" s="39"/>
      <c r="E966" s="24"/>
      <c r="F966" s="66"/>
      <c r="G966" s="105"/>
      <c r="H966" s="105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71"/>
      <c r="AG966" s="272"/>
      <c r="AI966" s="78"/>
    </row>
    <row r="967" spans="1:35" s="4" customFormat="1" ht="21.75" customHeight="1">
      <c r="A967" s="30"/>
      <c r="B967" s="37"/>
      <c r="C967" s="37"/>
      <c r="D967" s="39"/>
      <c r="E967" s="24"/>
      <c r="F967" s="66"/>
      <c r="G967" s="105"/>
      <c r="H967" s="105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71"/>
      <c r="AG967" s="272"/>
      <c r="AI967" s="78"/>
    </row>
    <row r="968" spans="1:35" s="4" customFormat="1" ht="21.75" customHeight="1">
      <c r="A968" s="30"/>
      <c r="B968" s="38"/>
      <c r="C968" s="103"/>
      <c r="D968" s="39"/>
      <c r="E968" s="24"/>
      <c r="F968" s="24"/>
      <c r="G968" s="105"/>
      <c r="H968" s="117"/>
      <c r="I968" s="24"/>
      <c r="J968" s="7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71"/>
      <c r="AG968" s="272"/>
      <c r="AI968" s="78"/>
    </row>
    <row r="969" spans="1:35" s="4" customFormat="1" ht="21.75" customHeight="1">
      <c r="A969" s="30"/>
      <c r="B969" s="37"/>
      <c r="C969" s="38"/>
      <c r="D969" s="39"/>
      <c r="E969" s="24"/>
      <c r="F969" s="66"/>
      <c r="G969" s="107"/>
      <c r="H969" s="10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71"/>
      <c r="AG969" s="272"/>
      <c r="AI969" s="78"/>
    </row>
    <row r="970" spans="1:35" s="4" customFormat="1" ht="21.75" customHeight="1">
      <c r="A970" s="30"/>
      <c r="B970" s="37"/>
      <c r="C970" s="38"/>
      <c r="D970" s="39"/>
      <c r="E970" s="24"/>
      <c r="F970" s="66"/>
      <c r="G970" s="105"/>
      <c r="H970" s="105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71"/>
      <c r="AG970" s="272"/>
      <c r="AI970" s="78"/>
    </row>
    <row r="971" spans="1:35" s="4" customFormat="1" ht="21.75" customHeight="1">
      <c r="A971" s="30"/>
      <c r="B971" s="38"/>
      <c r="C971" s="38"/>
      <c r="D971" s="39"/>
      <c r="E971" s="24"/>
      <c r="F971" s="66"/>
      <c r="G971" s="105"/>
      <c r="H971" s="105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73"/>
      <c r="AG971" s="272"/>
      <c r="AI971" s="78"/>
    </row>
    <row r="972" spans="1:35" s="4" customFormat="1" ht="21.75" customHeight="1">
      <c r="A972" s="30"/>
      <c r="B972" s="38"/>
      <c r="C972" s="38"/>
      <c r="D972" s="39"/>
      <c r="E972" s="24"/>
      <c r="F972" s="66"/>
      <c r="G972" s="66"/>
      <c r="H972" s="24"/>
      <c r="I972" s="24"/>
      <c r="J972" s="7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73"/>
      <c r="AG972" s="272"/>
      <c r="AI972" s="78"/>
    </row>
    <row r="973" spans="1:35" s="4" customFormat="1" ht="21.75" customHeight="1" thickBot="1">
      <c r="A973" s="30"/>
      <c r="B973" s="37"/>
      <c r="C973" s="38"/>
      <c r="D973" s="39"/>
      <c r="E973" s="24"/>
      <c r="F973" s="213"/>
      <c r="G973" s="214"/>
      <c r="H973" s="214"/>
      <c r="I973" s="215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74"/>
      <c r="AG973" s="275"/>
      <c r="AI973" s="78"/>
    </row>
    <row r="974" spans="2:35" s="1" customFormat="1" ht="46.5" customHeight="1">
      <c r="B974" s="233"/>
      <c r="C974" s="234"/>
      <c r="D974" s="234"/>
      <c r="E974" s="234"/>
      <c r="F974" s="234"/>
      <c r="G974" s="234"/>
      <c r="H974" s="234"/>
      <c r="I974" s="234"/>
      <c r="J974" s="234"/>
      <c r="K974" s="234"/>
      <c r="L974" s="235"/>
      <c r="M974" s="211"/>
      <c r="N974" s="211"/>
      <c r="O974" s="211"/>
      <c r="P974" s="211"/>
      <c r="Q974" s="211"/>
      <c r="R974" s="211"/>
      <c r="S974" s="211"/>
      <c r="T974" s="211"/>
      <c r="U974" s="211"/>
      <c r="V974" s="211"/>
      <c r="W974" s="211"/>
      <c r="X974" s="211"/>
      <c r="Y974" s="211"/>
      <c r="Z974" s="211"/>
      <c r="AA974" s="211"/>
      <c r="AB974" s="211"/>
      <c r="AC974" s="211"/>
      <c r="AD974" s="211"/>
      <c r="AE974" s="211"/>
      <c r="AF974" s="279"/>
      <c r="AG974" s="280"/>
      <c r="AI974" s="268"/>
    </row>
    <row r="975" spans="2:35" s="1" customFormat="1" ht="46.5" customHeight="1" thickBot="1">
      <c r="B975" s="236"/>
      <c r="C975" s="237"/>
      <c r="D975" s="237"/>
      <c r="E975" s="237"/>
      <c r="F975" s="237"/>
      <c r="G975" s="237"/>
      <c r="H975" s="237"/>
      <c r="I975" s="237"/>
      <c r="J975" s="237"/>
      <c r="K975" s="237"/>
      <c r="L975" s="238"/>
      <c r="M975" s="250"/>
      <c r="N975" s="250"/>
      <c r="O975" s="250"/>
      <c r="P975" s="250"/>
      <c r="Q975" s="250"/>
      <c r="R975" s="250"/>
      <c r="S975" s="250"/>
      <c r="T975" s="250"/>
      <c r="U975" s="250"/>
      <c r="V975" s="250"/>
      <c r="W975" s="250"/>
      <c r="X975" s="250"/>
      <c r="Y975" s="212"/>
      <c r="Z975" s="212"/>
      <c r="AA975" s="212"/>
      <c r="AB975" s="212"/>
      <c r="AC975" s="212"/>
      <c r="AD975" s="212"/>
      <c r="AE975" s="212"/>
      <c r="AF975" s="276"/>
      <c r="AG975" s="277"/>
      <c r="AI975" s="268"/>
    </row>
    <row r="976" spans="1:34" ht="36" customHeight="1">
      <c r="A976" s="10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78"/>
      <c r="Q976" s="49"/>
      <c r="S976" s="49"/>
      <c r="T976"/>
      <c r="U976" s="49"/>
      <c r="V976" s="49"/>
      <c r="W976" s="49"/>
      <c r="X976" s="49"/>
      <c r="Y976" s="49"/>
      <c r="Z976" s="49"/>
      <c r="AA976" s="49"/>
      <c r="AB976" s="49"/>
      <c r="AF976" s="49"/>
      <c r="AG976" s="49"/>
      <c r="AH976" s="11"/>
    </row>
    <row r="977" spans="2:33" ht="15"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79"/>
      <c r="P977" s="78"/>
      <c r="Q977" s="49"/>
      <c r="S977" s="49"/>
      <c r="T977"/>
      <c r="U977" s="49"/>
      <c r="V977" s="49"/>
      <c r="W977" s="49"/>
      <c r="X977" s="49"/>
      <c r="Y977" s="49"/>
      <c r="Z977" s="49"/>
      <c r="AA977" s="49"/>
      <c r="AB977" s="49"/>
      <c r="AF977" s="49"/>
      <c r="AG977" s="49"/>
    </row>
    <row r="978" spans="2:33" ht="15"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79"/>
      <c r="P978" s="78"/>
      <c r="Q978" s="49"/>
      <c r="S978" s="49"/>
      <c r="T978"/>
      <c r="U978" s="49"/>
      <c r="V978" s="49"/>
      <c r="W978" s="49"/>
      <c r="X978" s="49"/>
      <c r="Y978" s="49"/>
      <c r="Z978" s="49"/>
      <c r="AA978" s="49"/>
      <c r="AB978" s="49"/>
      <c r="AF978" s="49"/>
      <c r="AG978" s="49"/>
    </row>
    <row r="979" spans="2:33" ht="15.75">
      <c r="B979" s="224"/>
      <c r="C979" s="225"/>
      <c r="D979" s="225"/>
      <c r="E979" s="225"/>
      <c r="F979" s="225"/>
      <c r="G979" s="226"/>
      <c r="H979" s="53"/>
      <c r="I979" s="53"/>
      <c r="J979" s="53"/>
      <c r="K979" s="53"/>
      <c r="L979" s="138"/>
      <c r="M979" s="138"/>
      <c r="N979" s="138"/>
      <c r="O979" s="93"/>
      <c r="P979" s="53"/>
      <c r="Q979" s="53"/>
      <c r="R979" s="53"/>
      <c r="S979" s="53"/>
      <c r="T979" s="53"/>
      <c r="U979" s="53"/>
      <c r="V979" s="53"/>
      <c r="W979" s="94"/>
      <c r="X979" s="94"/>
      <c r="Y979" s="101"/>
      <c r="Z979" s="83"/>
      <c r="AA979" s="53"/>
      <c r="AB979" s="84"/>
      <c r="AF979" s="52"/>
      <c r="AG979" s="52"/>
    </row>
    <row r="980" spans="2:33" ht="15.75">
      <c r="B980" s="50"/>
      <c r="C980" s="51"/>
      <c r="D980" s="51"/>
      <c r="E980" s="51"/>
      <c r="F980" s="51"/>
      <c r="G980" s="52"/>
      <c r="H980" s="53"/>
      <c r="I980" s="53"/>
      <c r="J980" s="53"/>
      <c r="K980" s="53"/>
      <c r="L980" s="80"/>
      <c r="M980" s="80"/>
      <c r="N980" s="49"/>
      <c r="O980" s="96"/>
      <c r="P980" s="53"/>
      <c r="Q980" s="53"/>
      <c r="R980" s="53"/>
      <c r="S980" s="85"/>
      <c r="T980"/>
      <c r="U980" s="49"/>
      <c r="V980" s="49"/>
      <c r="W980" s="49"/>
      <c r="X980" s="49"/>
      <c r="Y980" s="49"/>
      <c r="Z980" s="83"/>
      <c r="AA980" s="84"/>
      <c r="AF980" s="52"/>
      <c r="AG980" s="52"/>
    </row>
    <row r="981" spans="2:33" ht="15.75">
      <c r="B981" s="50"/>
      <c r="C981" s="51"/>
      <c r="D981" s="51"/>
      <c r="E981" s="51"/>
      <c r="F981" s="51"/>
      <c r="G981" s="52"/>
      <c r="H981" s="53"/>
      <c r="I981" s="53"/>
      <c r="J981" s="53"/>
      <c r="K981" s="53"/>
      <c r="L981" s="80"/>
      <c r="M981" s="80"/>
      <c r="N981" s="49"/>
      <c r="O981" s="96"/>
      <c r="P981" s="49"/>
      <c r="Q981" s="49"/>
      <c r="R981" s="49"/>
      <c r="S981" s="85"/>
      <c r="T981" s="49"/>
      <c r="U981" s="49"/>
      <c r="V981" s="49"/>
      <c r="W981" s="49"/>
      <c r="X981" s="49"/>
      <c r="Y981" s="83"/>
      <c r="Z981" s="84"/>
      <c r="AF981" s="52"/>
      <c r="AG981" s="52"/>
    </row>
    <row r="982" spans="2:33" ht="15.75">
      <c r="B982" s="50"/>
      <c r="C982" s="51"/>
      <c r="D982" s="51"/>
      <c r="E982" s="51"/>
      <c r="F982" s="51"/>
      <c r="G982" s="52"/>
      <c r="H982" s="53"/>
      <c r="I982" s="53"/>
      <c r="J982" s="53"/>
      <c r="K982" s="53"/>
      <c r="L982" s="80"/>
      <c r="M982" s="80"/>
      <c r="N982" s="49"/>
      <c r="O982" s="49"/>
      <c r="P982" s="49"/>
      <c r="Q982" s="49"/>
      <c r="R982" s="49"/>
      <c r="S982" s="49"/>
      <c r="T982" s="85"/>
      <c r="U982" s="49"/>
      <c r="V982" s="49"/>
      <c r="W982" s="49"/>
      <c r="X982" s="49"/>
      <c r="Y982" s="83"/>
      <c r="Z982" s="84"/>
      <c r="AF982" s="52"/>
      <c r="AG982" s="52"/>
    </row>
    <row r="983" spans="2:33" ht="15.75">
      <c r="B983" s="50"/>
      <c r="C983" s="51"/>
      <c r="D983" s="51"/>
      <c r="E983" s="51"/>
      <c r="F983" s="51"/>
      <c r="G983" s="52"/>
      <c r="H983" s="53"/>
      <c r="I983" s="53"/>
      <c r="J983" s="53"/>
      <c r="K983" s="53"/>
      <c r="L983" s="80"/>
      <c r="M983" s="80"/>
      <c r="N983" s="80"/>
      <c r="O983" s="81"/>
      <c r="P983" s="78"/>
      <c r="Q983" s="80"/>
      <c r="R983" s="82"/>
      <c r="S983" s="83"/>
      <c r="T983" s="84"/>
      <c r="U983" s="82"/>
      <c r="V983" s="82"/>
      <c r="W983" s="82"/>
      <c r="X983" s="82"/>
      <c r="Y983" s="83"/>
      <c r="Z983" s="84"/>
      <c r="AF983" s="52"/>
      <c r="AG983" s="52"/>
    </row>
    <row r="984" spans="1:38" s="3" customFormat="1" ht="36" customHeight="1" thickBot="1">
      <c r="A984" s="12"/>
      <c r="B984" s="54" t="s">
        <v>33</v>
      </c>
      <c r="C984" s="55"/>
      <c r="D984" s="55"/>
      <c r="E984" s="55"/>
      <c r="F984" s="55"/>
      <c r="G984" s="55"/>
      <c r="H984" s="55"/>
      <c r="I984" s="55"/>
      <c r="J984" s="55"/>
      <c r="K984" s="86"/>
      <c r="L984" s="86"/>
      <c r="M984" s="99">
        <v>27</v>
      </c>
      <c r="N984" s="99">
        <v>44</v>
      </c>
      <c r="O984" s="229">
        <v>7</v>
      </c>
      <c r="P984" s="229"/>
      <c r="Q984" s="229"/>
      <c r="R984" s="229">
        <v>11</v>
      </c>
      <c r="S984" s="229"/>
      <c r="T984" s="177"/>
      <c r="U984" s="382">
        <v>2</v>
      </c>
      <c r="V984" s="382"/>
      <c r="X984" s="382">
        <v>19</v>
      </c>
      <c r="Y984" s="382"/>
      <c r="AA984" s="229">
        <v>9</v>
      </c>
      <c r="AB984" s="229"/>
      <c r="AC984" s="178"/>
      <c r="AD984" s="382">
        <v>10</v>
      </c>
      <c r="AE984" s="382"/>
      <c r="AF984" s="98"/>
      <c r="AG984" s="99">
        <v>36</v>
      </c>
      <c r="AH984" s="174">
        <v>13</v>
      </c>
      <c r="AI984" s="99">
        <v>43</v>
      </c>
      <c r="AL984" s="13"/>
    </row>
    <row r="985" spans="2:37" s="4" customFormat="1" ht="21.75" customHeight="1">
      <c r="B985" s="233" t="s">
        <v>0</v>
      </c>
      <c r="C985" s="235"/>
      <c r="D985" s="251" t="s">
        <v>3</v>
      </c>
      <c r="E985" s="251" t="s">
        <v>4</v>
      </c>
      <c r="F985" s="251" t="s">
        <v>5</v>
      </c>
      <c r="G985" s="254" t="s">
        <v>43</v>
      </c>
      <c r="H985" s="254" t="s">
        <v>45</v>
      </c>
      <c r="I985" s="251" t="s">
        <v>6</v>
      </c>
      <c r="J985" s="254" t="s">
        <v>26</v>
      </c>
      <c r="K985" s="254" t="s">
        <v>67</v>
      </c>
      <c r="L985" s="254" t="s">
        <v>82</v>
      </c>
      <c r="M985" s="58">
        <v>254</v>
      </c>
      <c r="N985" s="58">
        <v>302</v>
      </c>
      <c r="O985" s="216">
        <v>304</v>
      </c>
      <c r="P985" s="336"/>
      <c r="Q985" s="217"/>
      <c r="R985" s="216">
        <v>305</v>
      </c>
      <c r="S985" s="336"/>
      <c r="T985" s="217"/>
      <c r="U985" s="216">
        <v>407</v>
      </c>
      <c r="V985" s="336"/>
      <c r="W985" s="217"/>
      <c r="X985" s="216">
        <v>407</v>
      </c>
      <c r="Y985" s="336"/>
      <c r="Z985" s="217"/>
      <c r="AA985" s="216">
        <v>441</v>
      </c>
      <c r="AB985" s="336"/>
      <c r="AC985" s="217"/>
      <c r="AD985" s="216">
        <v>441</v>
      </c>
      <c r="AE985" s="336"/>
      <c r="AF985" s="217"/>
      <c r="AG985" s="58">
        <v>452</v>
      </c>
      <c r="AH985" s="121">
        <v>609</v>
      </c>
      <c r="AI985" s="58">
        <v>609</v>
      </c>
      <c r="AJ985" s="282" t="s">
        <v>38</v>
      </c>
      <c r="AK985" s="282" t="s">
        <v>58</v>
      </c>
    </row>
    <row r="986" spans="2:37" s="4" customFormat="1" ht="27.75" customHeight="1">
      <c r="B986" s="293"/>
      <c r="C986" s="294"/>
      <c r="D986" s="252"/>
      <c r="E986" s="252"/>
      <c r="F986" s="252"/>
      <c r="G986" s="242"/>
      <c r="H986" s="242"/>
      <c r="I986" s="252"/>
      <c r="J986" s="255"/>
      <c r="K986" s="255"/>
      <c r="L986" s="242"/>
      <c r="M986" s="241" t="s">
        <v>133</v>
      </c>
      <c r="N986" s="241" t="s">
        <v>90</v>
      </c>
      <c r="O986" s="218" t="s">
        <v>121</v>
      </c>
      <c r="P986" s="341"/>
      <c r="Q986" s="219"/>
      <c r="R986" s="220" t="s">
        <v>142</v>
      </c>
      <c r="S986" s="278"/>
      <c r="T986" s="221"/>
      <c r="U986" s="220" t="s">
        <v>95</v>
      </c>
      <c r="V986" s="278"/>
      <c r="W986" s="221"/>
      <c r="X986" s="220" t="s">
        <v>98</v>
      </c>
      <c r="Y986" s="278"/>
      <c r="Z986" s="221"/>
      <c r="AA986" s="220" t="s">
        <v>148</v>
      </c>
      <c r="AB986" s="278"/>
      <c r="AC986" s="221"/>
      <c r="AD986" s="220" t="s">
        <v>56</v>
      </c>
      <c r="AE986" s="278"/>
      <c r="AF986" s="221"/>
      <c r="AG986" s="241" t="s">
        <v>143</v>
      </c>
      <c r="AH986" s="241" t="s">
        <v>151</v>
      </c>
      <c r="AI986" s="241" t="s">
        <v>145</v>
      </c>
      <c r="AJ986" s="283"/>
      <c r="AK986" s="304"/>
    </row>
    <row r="987" spans="2:37" s="4" customFormat="1" ht="27.75" customHeight="1" thickBot="1">
      <c r="B987" s="293"/>
      <c r="C987" s="294"/>
      <c r="D987" s="252"/>
      <c r="E987" s="252"/>
      <c r="F987" s="252"/>
      <c r="G987" s="242"/>
      <c r="H987" s="242"/>
      <c r="I987" s="252"/>
      <c r="J987" s="255"/>
      <c r="K987" s="255"/>
      <c r="L987" s="242"/>
      <c r="M987" s="255"/>
      <c r="N987" s="255"/>
      <c r="O987" s="220"/>
      <c r="P987" s="278"/>
      <c r="Q987" s="221"/>
      <c r="R987" s="220"/>
      <c r="S987" s="278"/>
      <c r="T987" s="221"/>
      <c r="U987" s="220"/>
      <c r="V987" s="278"/>
      <c r="W987" s="221"/>
      <c r="X987" s="220"/>
      <c r="Y987" s="278"/>
      <c r="Z987" s="221"/>
      <c r="AA987" s="220"/>
      <c r="AB987" s="278"/>
      <c r="AC987" s="221"/>
      <c r="AD987" s="220"/>
      <c r="AE987" s="278"/>
      <c r="AF987" s="221"/>
      <c r="AG987" s="242"/>
      <c r="AH987" s="242"/>
      <c r="AI987" s="242"/>
      <c r="AJ987" s="284"/>
      <c r="AK987" s="304"/>
    </row>
    <row r="988" spans="2:37" s="4" customFormat="1" ht="27.75" customHeight="1">
      <c r="B988" s="293"/>
      <c r="C988" s="294"/>
      <c r="D988" s="252"/>
      <c r="E988" s="252"/>
      <c r="F988" s="252"/>
      <c r="G988" s="242"/>
      <c r="H988" s="242"/>
      <c r="I988" s="252"/>
      <c r="J988" s="255"/>
      <c r="K988" s="255"/>
      <c r="L988" s="242"/>
      <c r="M988" s="255"/>
      <c r="N988" s="255"/>
      <c r="O988" s="220"/>
      <c r="P988" s="278"/>
      <c r="Q988" s="221"/>
      <c r="R988" s="220"/>
      <c r="S988" s="278"/>
      <c r="T988" s="221"/>
      <c r="U988" s="220"/>
      <c r="V988" s="278"/>
      <c r="W988" s="221"/>
      <c r="X988" s="220"/>
      <c r="Y988" s="278"/>
      <c r="Z988" s="221"/>
      <c r="AA988" s="220"/>
      <c r="AB988" s="278"/>
      <c r="AC988" s="221"/>
      <c r="AD988" s="220"/>
      <c r="AE988" s="278"/>
      <c r="AF988" s="221"/>
      <c r="AG988" s="242"/>
      <c r="AH988" s="242"/>
      <c r="AI988" s="242"/>
      <c r="AJ988" s="269" t="s">
        <v>8</v>
      </c>
      <c r="AK988" s="270"/>
    </row>
    <row r="989" spans="2:37" s="4" customFormat="1" ht="27.75" customHeight="1">
      <c r="B989" s="293"/>
      <c r="C989" s="294"/>
      <c r="D989" s="252"/>
      <c r="E989" s="252"/>
      <c r="F989" s="252"/>
      <c r="G989" s="242"/>
      <c r="H989" s="242"/>
      <c r="I989" s="252"/>
      <c r="J989" s="255"/>
      <c r="K989" s="255"/>
      <c r="L989" s="242"/>
      <c r="M989" s="255"/>
      <c r="N989" s="255"/>
      <c r="O989" s="220"/>
      <c r="P989" s="278"/>
      <c r="Q989" s="221"/>
      <c r="R989" s="220"/>
      <c r="S989" s="278"/>
      <c r="T989" s="221"/>
      <c r="U989" s="220"/>
      <c r="V989" s="278"/>
      <c r="W989" s="221"/>
      <c r="X989" s="220"/>
      <c r="Y989" s="278"/>
      <c r="Z989" s="221"/>
      <c r="AA989" s="220"/>
      <c r="AB989" s="278"/>
      <c r="AC989" s="221"/>
      <c r="AD989" s="220"/>
      <c r="AE989" s="278"/>
      <c r="AF989" s="221"/>
      <c r="AG989" s="242"/>
      <c r="AH989" s="242"/>
      <c r="AI989" s="242"/>
      <c r="AJ989" s="271"/>
      <c r="AK989" s="272"/>
    </row>
    <row r="990" spans="2:37" s="4" customFormat="1" ht="27.75" customHeight="1">
      <c r="B990" s="293"/>
      <c r="C990" s="294"/>
      <c r="D990" s="252"/>
      <c r="E990" s="252"/>
      <c r="F990" s="252"/>
      <c r="G990" s="242"/>
      <c r="H990" s="242"/>
      <c r="I990" s="252"/>
      <c r="J990" s="255"/>
      <c r="K990" s="255"/>
      <c r="L990" s="242"/>
      <c r="M990" s="255"/>
      <c r="N990" s="255"/>
      <c r="O990" s="220"/>
      <c r="P990" s="278"/>
      <c r="Q990" s="221"/>
      <c r="R990" s="220"/>
      <c r="S990" s="278"/>
      <c r="T990" s="221"/>
      <c r="U990" s="220"/>
      <c r="V990" s="278"/>
      <c r="W990" s="221"/>
      <c r="X990" s="220"/>
      <c r="Y990" s="278"/>
      <c r="Z990" s="221"/>
      <c r="AA990" s="220"/>
      <c r="AB990" s="278"/>
      <c r="AC990" s="221"/>
      <c r="AD990" s="220"/>
      <c r="AE990" s="278"/>
      <c r="AF990" s="221"/>
      <c r="AG990" s="242"/>
      <c r="AH990" s="242"/>
      <c r="AI990" s="242"/>
      <c r="AJ990" s="271"/>
      <c r="AK990" s="272"/>
    </row>
    <row r="991" spans="2:37" s="4" customFormat="1" ht="27.75" customHeight="1">
      <c r="B991" s="293"/>
      <c r="C991" s="294"/>
      <c r="D991" s="252"/>
      <c r="E991" s="252"/>
      <c r="F991" s="252"/>
      <c r="G991" s="242"/>
      <c r="H991" s="242"/>
      <c r="I991" s="252"/>
      <c r="J991" s="255"/>
      <c r="K991" s="255"/>
      <c r="L991" s="242"/>
      <c r="M991" s="255"/>
      <c r="N991" s="255"/>
      <c r="O991" s="220"/>
      <c r="P991" s="278"/>
      <c r="Q991" s="221"/>
      <c r="R991" s="220"/>
      <c r="S991" s="278"/>
      <c r="T991" s="221"/>
      <c r="U991" s="220"/>
      <c r="V991" s="278"/>
      <c r="W991" s="221"/>
      <c r="X991" s="220"/>
      <c r="Y991" s="278"/>
      <c r="Z991" s="221"/>
      <c r="AA991" s="220"/>
      <c r="AB991" s="278"/>
      <c r="AC991" s="221"/>
      <c r="AD991" s="220"/>
      <c r="AE991" s="278"/>
      <c r="AF991" s="221"/>
      <c r="AG991" s="242"/>
      <c r="AH991" s="242"/>
      <c r="AI991" s="242"/>
      <c r="AJ991" s="271"/>
      <c r="AK991" s="272"/>
    </row>
    <row r="992" spans="2:37" s="4" customFormat="1" ht="27.75" customHeight="1">
      <c r="B992" s="293"/>
      <c r="C992" s="294"/>
      <c r="D992" s="252"/>
      <c r="E992" s="252"/>
      <c r="F992" s="252"/>
      <c r="G992" s="242"/>
      <c r="H992" s="242"/>
      <c r="I992" s="252"/>
      <c r="J992" s="255"/>
      <c r="K992" s="255"/>
      <c r="L992" s="242"/>
      <c r="M992" s="255"/>
      <c r="N992" s="255"/>
      <c r="O992" s="220"/>
      <c r="P992" s="278"/>
      <c r="Q992" s="221"/>
      <c r="R992" s="220"/>
      <c r="S992" s="278"/>
      <c r="T992" s="221"/>
      <c r="U992" s="220"/>
      <c r="V992" s="278"/>
      <c r="W992" s="221"/>
      <c r="X992" s="220"/>
      <c r="Y992" s="278"/>
      <c r="Z992" s="221"/>
      <c r="AA992" s="220"/>
      <c r="AB992" s="278"/>
      <c r="AC992" s="221"/>
      <c r="AD992" s="220"/>
      <c r="AE992" s="278"/>
      <c r="AF992" s="221"/>
      <c r="AG992" s="242"/>
      <c r="AH992" s="242"/>
      <c r="AI992" s="242"/>
      <c r="AJ992" s="271"/>
      <c r="AK992" s="272"/>
    </row>
    <row r="993" spans="2:37" s="5" customFormat="1" ht="27.75" customHeight="1">
      <c r="B993" s="295"/>
      <c r="C993" s="296"/>
      <c r="D993" s="253"/>
      <c r="E993" s="253"/>
      <c r="F993" s="253"/>
      <c r="G993" s="243"/>
      <c r="H993" s="243"/>
      <c r="I993" s="253"/>
      <c r="J993" s="256"/>
      <c r="K993" s="256"/>
      <c r="L993" s="243"/>
      <c r="M993" s="256"/>
      <c r="N993" s="256"/>
      <c r="O993" s="222"/>
      <c r="P993" s="342"/>
      <c r="Q993" s="223"/>
      <c r="R993" s="220"/>
      <c r="S993" s="278"/>
      <c r="T993" s="221"/>
      <c r="U993" s="220"/>
      <c r="V993" s="278"/>
      <c r="W993" s="221"/>
      <c r="X993" s="220"/>
      <c r="Y993" s="278"/>
      <c r="Z993" s="221"/>
      <c r="AA993" s="220"/>
      <c r="AB993" s="278"/>
      <c r="AC993" s="221"/>
      <c r="AD993" s="220"/>
      <c r="AE993" s="278"/>
      <c r="AF993" s="221"/>
      <c r="AG993" s="243"/>
      <c r="AH993" s="243"/>
      <c r="AI993" s="243"/>
      <c r="AJ993" s="271"/>
      <c r="AK993" s="272"/>
    </row>
    <row r="994" spans="2:37" s="7" customFormat="1" ht="21.75" customHeight="1" thickBot="1">
      <c r="B994" s="56" t="s">
        <v>1</v>
      </c>
      <c r="C994" s="56" t="s">
        <v>2</v>
      </c>
      <c r="D994" s="57"/>
      <c r="E994" s="57" t="s">
        <v>14</v>
      </c>
      <c r="F994" s="57" t="s">
        <v>14</v>
      </c>
      <c r="G994" s="57"/>
      <c r="H994" s="57"/>
      <c r="I994" s="57" t="s">
        <v>21</v>
      </c>
      <c r="J994" s="57" t="s">
        <v>21</v>
      </c>
      <c r="K994" s="57" t="s">
        <v>21</v>
      </c>
      <c r="L994" s="57" t="s">
        <v>21</v>
      </c>
      <c r="M994" s="57" t="s">
        <v>40</v>
      </c>
      <c r="N994" s="57" t="s">
        <v>20</v>
      </c>
      <c r="O994" s="208" t="s">
        <v>20</v>
      </c>
      <c r="P994" s="209"/>
      <c r="Q994" s="210"/>
      <c r="R994" s="208" t="s">
        <v>40</v>
      </c>
      <c r="S994" s="209"/>
      <c r="T994" s="210"/>
      <c r="U994" s="208" t="s">
        <v>22</v>
      </c>
      <c r="V994" s="209"/>
      <c r="W994" s="210"/>
      <c r="X994" s="208" t="s">
        <v>22</v>
      </c>
      <c r="Y994" s="209"/>
      <c r="Z994" s="210"/>
      <c r="AA994" s="208" t="s">
        <v>20</v>
      </c>
      <c r="AB994" s="209"/>
      <c r="AC994" s="210"/>
      <c r="AD994" s="208" t="s">
        <v>20</v>
      </c>
      <c r="AE994" s="209"/>
      <c r="AF994" s="210"/>
      <c r="AG994" s="57" t="s">
        <v>40</v>
      </c>
      <c r="AH994" s="120" t="s">
        <v>14</v>
      </c>
      <c r="AI994" s="57" t="s">
        <v>14</v>
      </c>
      <c r="AJ994" s="271"/>
      <c r="AK994" s="272"/>
    </row>
    <row r="995" spans="1:37" s="4" customFormat="1" ht="21.75" customHeight="1">
      <c r="A995" s="30">
        <v>1</v>
      </c>
      <c r="B995" s="37"/>
      <c r="C995" s="38"/>
      <c r="D995" s="39"/>
      <c r="E995" s="24"/>
      <c r="F995" s="66"/>
      <c r="G995" s="105"/>
      <c r="H995" s="105"/>
      <c r="I995" s="24"/>
      <c r="J995" s="24"/>
      <c r="K995" s="24"/>
      <c r="L995" s="24"/>
      <c r="M995" s="227" t="s">
        <v>59</v>
      </c>
      <c r="N995" s="227" t="s">
        <v>59</v>
      </c>
      <c r="O995" s="227" t="s">
        <v>59</v>
      </c>
      <c r="P995" s="356" t="s">
        <v>123</v>
      </c>
      <c r="Q995" s="263" t="s">
        <v>124</v>
      </c>
      <c r="R995" s="227" t="s">
        <v>59</v>
      </c>
      <c r="S995" s="356" t="s">
        <v>123</v>
      </c>
      <c r="T995" s="263" t="s">
        <v>124</v>
      </c>
      <c r="U995" s="227" t="s">
        <v>59</v>
      </c>
      <c r="V995" s="356" t="s">
        <v>123</v>
      </c>
      <c r="W995" s="263" t="s">
        <v>124</v>
      </c>
      <c r="X995" s="227" t="s">
        <v>59</v>
      </c>
      <c r="Y995" s="356" t="s">
        <v>123</v>
      </c>
      <c r="Z995" s="263" t="s">
        <v>124</v>
      </c>
      <c r="AA995" s="227" t="s">
        <v>59</v>
      </c>
      <c r="AB995" s="356" t="s">
        <v>123</v>
      </c>
      <c r="AC995" s="263" t="s">
        <v>124</v>
      </c>
      <c r="AD995" s="227" t="s">
        <v>59</v>
      </c>
      <c r="AE995" s="356" t="s">
        <v>123</v>
      </c>
      <c r="AF995" s="263" t="s">
        <v>124</v>
      </c>
      <c r="AG995" s="227" t="s">
        <v>59</v>
      </c>
      <c r="AH995" s="263" t="s">
        <v>125</v>
      </c>
      <c r="AI995" s="227" t="s">
        <v>59</v>
      </c>
      <c r="AJ995" s="271"/>
      <c r="AK995" s="272"/>
    </row>
    <row r="996" spans="1:37" s="4" customFormat="1" ht="21.75" customHeight="1">
      <c r="A996" s="30">
        <v>2</v>
      </c>
      <c r="B996" s="230" t="s">
        <v>57</v>
      </c>
      <c r="C996" s="231"/>
      <c r="D996" s="231"/>
      <c r="E996" s="231"/>
      <c r="F996" s="231"/>
      <c r="G996" s="231"/>
      <c r="H996" s="231"/>
      <c r="I996" s="232"/>
      <c r="J996" s="24"/>
      <c r="K996" s="24"/>
      <c r="L996" s="24"/>
      <c r="M996" s="228"/>
      <c r="N996" s="228"/>
      <c r="O996" s="228"/>
      <c r="P996" s="357"/>
      <c r="Q996" s="264"/>
      <c r="R996" s="228"/>
      <c r="S996" s="357"/>
      <c r="T996" s="264"/>
      <c r="U996" s="228"/>
      <c r="V996" s="357"/>
      <c r="W996" s="264"/>
      <c r="X996" s="228"/>
      <c r="Y996" s="357"/>
      <c r="Z996" s="264"/>
      <c r="AA996" s="228"/>
      <c r="AB996" s="357"/>
      <c r="AC996" s="264"/>
      <c r="AD996" s="228"/>
      <c r="AE996" s="357"/>
      <c r="AF996" s="264"/>
      <c r="AG996" s="228"/>
      <c r="AH996" s="264"/>
      <c r="AI996" s="228"/>
      <c r="AJ996" s="271"/>
      <c r="AK996" s="272"/>
    </row>
    <row r="997" spans="1:37" s="4" customFormat="1" ht="21.75" customHeight="1">
      <c r="A997" s="30">
        <v>3</v>
      </c>
      <c r="B997" s="67" t="s">
        <v>49</v>
      </c>
      <c r="C997" s="46"/>
      <c r="D997" s="39"/>
      <c r="E997" s="104"/>
      <c r="F997" s="107"/>
      <c r="G997" s="24"/>
      <c r="H997" s="61"/>
      <c r="I997" s="90"/>
      <c r="J997" s="24"/>
      <c r="K997" s="24"/>
      <c r="L997" s="24"/>
      <c r="M997" s="24"/>
      <c r="N997" s="24"/>
      <c r="O997" s="24"/>
      <c r="P997" s="61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71"/>
      <c r="AK997" s="272"/>
    </row>
    <row r="998" spans="1:37" s="4" customFormat="1" ht="21.75" customHeight="1">
      <c r="A998" s="30">
        <v>4</v>
      </c>
      <c r="B998" s="38">
        <v>15250</v>
      </c>
      <c r="C998" s="38">
        <v>15257.34</v>
      </c>
      <c r="D998" s="39" t="s">
        <v>17</v>
      </c>
      <c r="E998" s="24">
        <f>C998-B998</f>
        <v>7.3400000000001455</v>
      </c>
      <c r="F998" s="66">
        <f>ROUND((26.1326+26.2851)/2,2)</f>
        <v>26.21</v>
      </c>
      <c r="G998" s="24"/>
      <c r="H998" s="24"/>
      <c r="I998" s="24">
        <f>IF(G998=0,ROUND($E998*$F998,2),ROUND($E998*$F998*$G998,2))</f>
        <v>192.38</v>
      </c>
      <c r="J998" s="24"/>
      <c r="K998" s="24"/>
      <c r="L998" s="24"/>
      <c r="M998" s="24">
        <f>ROUND(($I998/9),2)</f>
        <v>21.38</v>
      </c>
      <c r="N998" s="24"/>
      <c r="O998" s="24"/>
      <c r="P998" s="24"/>
      <c r="Q998" s="24"/>
      <c r="R998" s="24"/>
      <c r="S998" s="24"/>
      <c r="T998" s="24"/>
      <c r="U998" s="24">
        <f>ROUND((($I998/9)*U$1055),2)</f>
        <v>1.82</v>
      </c>
      <c r="V998" s="24"/>
      <c r="W998" s="24"/>
      <c r="X998" s="24"/>
      <c r="Y998" s="24"/>
      <c r="Z998" s="24"/>
      <c r="AA998" s="24">
        <f>ROUND(($I998*(AA$1054/12))/27,2)</f>
        <v>0.74</v>
      </c>
      <c r="AB998" s="24"/>
      <c r="AC998" s="24"/>
      <c r="AD998" s="24"/>
      <c r="AE998" s="24"/>
      <c r="AF998" s="24"/>
      <c r="AG998" s="24"/>
      <c r="AH998" s="24"/>
      <c r="AI998" s="24"/>
      <c r="AJ998" s="271"/>
      <c r="AK998" s="272"/>
    </row>
    <row r="999" spans="1:37" s="4" customFormat="1" ht="21.75" customHeight="1">
      <c r="A999" s="30">
        <v>5</v>
      </c>
      <c r="B999" s="38">
        <f>C998</f>
        <v>15257.34</v>
      </c>
      <c r="C999" s="38">
        <v>15339.21</v>
      </c>
      <c r="D999" s="39" t="s">
        <v>17</v>
      </c>
      <c r="E999" s="24">
        <f>C999-B999</f>
        <v>81.86999999999898</v>
      </c>
      <c r="F999" s="66">
        <f>ROUND((26.2851+26.4445)/2,2)</f>
        <v>26.36</v>
      </c>
      <c r="G999" s="66"/>
      <c r="H999" s="24"/>
      <c r="I999" s="24">
        <f>IF(G999=0,ROUND($E999*$F999,2),ROUND($E999*$F999*$G999,2))</f>
        <v>2158.09</v>
      </c>
      <c r="J999" s="24"/>
      <c r="K999" s="24"/>
      <c r="L999" s="24"/>
      <c r="M999" s="24">
        <f>ROUND(($I999/9),2)</f>
        <v>239.79</v>
      </c>
      <c r="N999" s="24"/>
      <c r="O999" s="24"/>
      <c r="P999" s="61"/>
      <c r="Q999" s="24"/>
      <c r="R999" s="24"/>
      <c r="S999" s="24"/>
      <c r="T999" s="24"/>
      <c r="U999" s="24">
        <f>ROUND((($I999/9)*U$1055),2)</f>
        <v>20.38</v>
      </c>
      <c r="V999" s="24"/>
      <c r="W999" s="24"/>
      <c r="X999" s="24"/>
      <c r="Y999" s="24"/>
      <c r="Z999" s="24"/>
      <c r="AA999" s="24">
        <f>ROUND(($I999*(AA$1054/12))/27,2)</f>
        <v>8.33</v>
      </c>
      <c r="AB999" s="24"/>
      <c r="AC999" s="24"/>
      <c r="AD999" s="24"/>
      <c r="AE999" s="24"/>
      <c r="AF999" s="24"/>
      <c r="AG999" s="24"/>
      <c r="AH999" s="24"/>
      <c r="AI999" s="24"/>
      <c r="AJ999" s="271"/>
      <c r="AK999" s="272"/>
    </row>
    <row r="1000" spans="1:37" s="4" customFormat="1" ht="21.75" customHeight="1">
      <c r="A1000" s="30">
        <v>6</v>
      </c>
      <c r="B1000" s="38">
        <f>C999</f>
        <v>15339.21</v>
      </c>
      <c r="C1000" s="38">
        <v>15520.64</v>
      </c>
      <c r="D1000" s="39" t="s">
        <v>17</v>
      </c>
      <c r="E1000" s="24">
        <f>C1000-B1000</f>
        <v>181.4300000000003</v>
      </c>
      <c r="F1000" s="66">
        <f>ROUND((26.4445+26.9414)/2,2)</f>
        <v>26.69</v>
      </c>
      <c r="G1000" s="66"/>
      <c r="H1000" s="24"/>
      <c r="I1000" s="24">
        <f>IF(G1000=0,ROUND($E1000*$F1000,2),ROUND($E1000*$F1000*$G1000,2))</f>
        <v>4842.37</v>
      </c>
      <c r="J1000" s="24"/>
      <c r="K1000" s="24"/>
      <c r="L1000" s="24"/>
      <c r="M1000" s="24">
        <f>ROUND(($I1000/9),2)</f>
        <v>538.04</v>
      </c>
      <c r="N1000" s="24"/>
      <c r="O1000" s="24"/>
      <c r="P1000" s="61"/>
      <c r="Q1000" s="24"/>
      <c r="R1000" s="24"/>
      <c r="S1000" s="24"/>
      <c r="T1000" s="24"/>
      <c r="U1000" s="24">
        <f>ROUND((($I1000/9)*U$1055),2)</f>
        <v>45.73</v>
      </c>
      <c r="V1000" s="24"/>
      <c r="W1000" s="24"/>
      <c r="X1000" s="24"/>
      <c r="Y1000" s="24"/>
      <c r="Z1000" s="24"/>
      <c r="AA1000" s="24">
        <f>ROUND(($I1000*(AA$1054/12))/27,2)</f>
        <v>18.68</v>
      </c>
      <c r="AB1000" s="24"/>
      <c r="AC1000" s="24"/>
      <c r="AD1000" s="24"/>
      <c r="AE1000" s="24"/>
      <c r="AF1000" s="24"/>
      <c r="AG1000" s="24"/>
      <c r="AH1000" s="24"/>
      <c r="AI1000" s="24"/>
      <c r="AJ1000" s="271"/>
      <c r="AK1000" s="272"/>
    </row>
    <row r="1001" spans="1:37" s="4" customFormat="1" ht="21.75" customHeight="1">
      <c r="A1001" s="30">
        <v>7</v>
      </c>
      <c r="B1001" s="38">
        <v>15250</v>
      </c>
      <c r="C1001" s="38">
        <v>15520.64</v>
      </c>
      <c r="D1001" s="39" t="s">
        <v>16</v>
      </c>
      <c r="E1001" s="24">
        <f>C1001-B1001</f>
        <v>270.6399999999994</v>
      </c>
      <c r="F1001" s="66">
        <f>ROUND((26.5829+25.6647)/2,2)</f>
        <v>26.12</v>
      </c>
      <c r="G1001" s="66"/>
      <c r="H1001" s="24"/>
      <c r="I1001" s="24">
        <f>IF(G1001=0,ROUND($E1001*$F1001,2),ROUND($E1001*$F1001*$G1001,2))</f>
        <v>7069.12</v>
      </c>
      <c r="J1001" s="24"/>
      <c r="K1001" s="24"/>
      <c r="L1001" s="24"/>
      <c r="M1001" s="24">
        <f>ROUND(($I1001/9),2)</f>
        <v>785.46</v>
      </c>
      <c r="N1001" s="24"/>
      <c r="O1001" s="24"/>
      <c r="P1001" s="61"/>
      <c r="Q1001" s="24"/>
      <c r="R1001" s="24"/>
      <c r="S1001" s="24"/>
      <c r="T1001" s="24"/>
      <c r="U1001" s="24">
        <f>ROUND((($I1001/9)*U$1055),2)</f>
        <v>66.76</v>
      </c>
      <c r="V1001" s="24"/>
      <c r="W1001" s="24"/>
      <c r="X1001" s="24"/>
      <c r="Y1001" s="24"/>
      <c r="Z1001" s="24"/>
      <c r="AA1001" s="24">
        <f>ROUND(($I1001*(AA$1054/12))/27,2)</f>
        <v>27.27</v>
      </c>
      <c r="AB1001" s="24"/>
      <c r="AC1001" s="24"/>
      <c r="AD1001" s="24"/>
      <c r="AE1001" s="24"/>
      <c r="AF1001" s="24"/>
      <c r="AG1001" s="24"/>
      <c r="AH1001" s="24"/>
      <c r="AI1001" s="24"/>
      <c r="AJ1001" s="271"/>
      <c r="AK1001" s="272"/>
    </row>
    <row r="1002" spans="1:37" s="4" customFormat="1" ht="21.75" customHeight="1">
      <c r="A1002" s="30">
        <v>8</v>
      </c>
      <c r="B1002" s="38"/>
      <c r="C1002" s="38"/>
      <c r="D1002" s="39"/>
      <c r="E1002" s="24"/>
      <c r="F1002" s="24"/>
      <c r="G1002" s="66"/>
      <c r="H1002" s="24"/>
      <c r="I1002" s="45"/>
      <c r="J1002" s="39"/>
      <c r="K1002" s="24"/>
      <c r="L1002" s="24"/>
      <c r="M1002" s="24"/>
      <c r="N1002" s="24"/>
      <c r="O1002" s="24"/>
      <c r="P1002" s="61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71"/>
      <c r="AK1002" s="272"/>
    </row>
    <row r="1003" spans="1:37" s="4" customFormat="1" ht="21.75" customHeight="1">
      <c r="A1003" s="30">
        <v>9</v>
      </c>
      <c r="B1003" s="230" t="s">
        <v>65</v>
      </c>
      <c r="C1003" s="231"/>
      <c r="D1003" s="231"/>
      <c r="E1003" s="231"/>
      <c r="F1003" s="231"/>
      <c r="G1003" s="231"/>
      <c r="H1003" s="231"/>
      <c r="I1003" s="232"/>
      <c r="J1003" s="24"/>
      <c r="K1003" s="24"/>
      <c r="L1003" s="39"/>
      <c r="M1003" s="39"/>
      <c r="N1003" s="76"/>
      <c r="O1003" s="125"/>
      <c r="P1003" s="24"/>
      <c r="Q1003" s="76"/>
      <c r="R1003" s="125"/>
      <c r="S1003" s="76"/>
      <c r="T1003" s="76"/>
      <c r="U1003" s="125"/>
      <c r="V1003" s="24"/>
      <c r="W1003" s="24"/>
      <c r="X1003" s="76"/>
      <c r="Y1003" s="24"/>
      <c r="Z1003" s="24"/>
      <c r="AA1003" s="125"/>
      <c r="AB1003" s="24"/>
      <c r="AC1003" s="24"/>
      <c r="AD1003" s="125"/>
      <c r="AE1003" s="24"/>
      <c r="AF1003" s="24"/>
      <c r="AG1003" s="76"/>
      <c r="AH1003" s="125"/>
      <c r="AI1003" s="124"/>
      <c r="AJ1003" s="271"/>
      <c r="AK1003" s="272"/>
    </row>
    <row r="1004" spans="1:37" s="4" customFormat="1" ht="21.75" customHeight="1">
      <c r="A1004" s="30">
        <v>10</v>
      </c>
      <c r="B1004" s="67" t="s">
        <v>55</v>
      </c>
      <c r="C1004" s="46"/>
      <c r="D1004" s="39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61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71"/>
      <c r="AK1004" s="272"/>
    </row>
    <row r="1005" spans="1:37" s="4" customFormat="1" ht="21.75" customHeight="1">
      <c r="A1005" s="30">
        <v>11</v>
      </c>
      <c r="B1005" s="38">
        <v>1958.05</v>
      </c>
      <c r="C1005" s="38">
        <v>1962</v>
      </c>
      <c r="D1005" s="39" t="s">
        <v>17</v>
      </c>
      <c r="E1005" s="24">
        <f aca="true" t="shared" si="0" ref="E1005:E1011">C1005-B1005</f>
        <v>3.9500000000000455</v>
      </c>
      <c r="F1005" s="66">
        <f>ROUND((0+7.8871)/2,2)</f>
        <v>3.94</v>
      </c>
      <c r="G1005" s="24"/>
      <c r="H1005" s="24"/>
      <c r="I1005" s="24">
        <f>IF(G1005=0,ROUND($E1005*$F1005,2),ROUND($E1005*$F1005*$G1005,2))</f>
        <v>15.56</v>
      </c>
      <c r="J1005" s="24"/>
      <c r="K1005" s="24">
        <f aca="true" t="shared" si="1" ref="K1005:K1011">IF($H1005=0,ROUND($E1005*(K$1054/12),2),ROUND($E1005*$H1005*(K$1054/12),2))</f>
        <v>3.95</v>
      </c>
      <c r="L1005" s="24"/>
      <c r="M1005" s="24"/>
      <c r="N1005" s="24"/>
      <c r="O1005" s="24">
        <f aca="true" t="shared" si="2" ref="O1005:O1011">ROUND((($I1005+K1005)*(O$1054/12))/27,2)</f>
        <v>0.36</v>
      </c>
      <c r="P1005" s="24"/>
      <c r="Q1005" s="24"/>
      <c r="R1005" s="24">
        <f>ROUND(($I1005/9),2)</f>
        <v>1.73</v>
      </c>
      <c r="S1005" s="24"/>
      <c r="T1005" s="24"/>
      <c r="U1005" s="24">
        <f aca="true" t="shared" si="3" ref="U1005:U1011">ROUND((($I1005/9)*U$1054),2)</f>
        <v>0.1</v>
      </c>
      <c r="V1005" s="24"/>
      <c r="W1005" s="24"/>
      <c r="X1005" s="24">
        <f aca="true" t="shared" si="4" ref="X1005:X1011">ROUND((($I1005/9)*X$1054),2)</f>
        <v>0.12</v>
      </c>
      <c r="Y1005" s="24"/>
      <c r="Z1005" s="24"/>
      <c r="AA1005" s="24">
        <f aca="true" t="shared" si="5" ref="AA1005:AA1011">ROUND(($I1005*(AA$1054/12))/27,2)</f>
        <v>0.06</v>
      </c>
      <c r="AB1005" s="24"/>
      <c r="AC1005" s="24"/>
      <c r="AD1005" s="24">
        <f aca="true" t="shared" si="6" ref="AD1005:AD1011">ROUND(($I1005*(AD$1054/12))/27,2)</f>
        <v>0.08</v>
      </c>
      <c r="AE1005" s="24"/>
      <c r="AF1005" s="24"/>
      <c r="AG1005" s="24"/>
      <c r="AH1005" s="24">
        <f aca="true" t="shared" si="7" ref="AH1005:AH1011">IF($H1005=0,$E1005,ROUND($E1005*$H1005,2))</f>
        <v>3.9500000000000455</v>
      </c>
      <c r="AI1005" s="24"/>
      <c r="AJ1005" s="271"/>
      <c r="AK1005" s="272"/>
    </row>
    <row r="1006" spans="1:37" s="4" customFormat="1" ht="21.75" customHeight="1">
      <c r="A1006" s="30">
        <v>12</v>
      </c>
      <c r="B1006" s="38">
        <f aca="true" t="shared" si="8" ref="B1006:B1011">C1005</f>
        <v>1962</v>
      </c>
      <c r="C1006" s="38">
        <v>1966.62</v>
      </c>
      <c r="D1006" s="39" t="s">
        <v>17</v>
      </c>
      <c r="E1006" s="24">
        <f t="shared" si="0"/>
        <v>4.619999999999891</v>
      </c>
      <c r="F1006" s="66">
        <f>ROUND((7.8871+12.5113)/2,2)</f>
        <v>10.2</v>
      </c>
      <c r="G1006" s="24"/>
      <c r="H1006" s="24"/>
      <c r="I1006" s="24">
        <f aca="true" t="shared" si="9" ref="I1006:I1011">IF(G1006=0,ROUND($E1006*$F1006,2),ROUND($E1006*$F1006*$G1006,2))</f>
        <v>47.12</v>
      </c>
      <c r="J1006" s="24"/>
      <c r="K1006" s="24">
        <f t="shared" si="1"/>
        <v>4.62</v>
      </c>
      <c r="L1006" s="24"/>
      <c r="M1006" s="24"/>
      <c r="N1006" s="24"/>
      <c r="O1006" s="24">
        <f t="shared" si="2"/>
        <v>0.96</v>
      </c>
      <c r="P1006" s="61"/>
      <c r="Q1006" s="24"/>
      <c r="R1006" s="24">
        <f aca="true" t="shared" si="10" ref="R1006:R1017">ROUND(($I1006/9),2)</f>
        <v>5.24</v>
      </c>
      <c r="S1006" s="24"/>
      <c r="T1006" s="24"/>
      <c r="U1006" s="24">
        <f t="shared" si="3"/>
        <v>0.29</v>
      </c>
      <c r="V1006" s="24"/>
      <c r="W1006" s="24"/>
      <c r="X1006" s="24">
        <f t="shared" si="4"/>
        <v>0.37</v>
      </c>
      <c r="Y1006" s="24"/>
      <c r="Z1006" s="24"/>
      <c r="AA1006" s="24">
        <f t="shared" si="5"/>
        <v>0.18</v>
      </c>
      <c r="AB1006" s="24"/>
      <c r="AC1006" s="24"/>
      <c r="AD1006" s="24">
        <f t="shared" si="6"/>
        <v>0.25</v>
      </c>
      <c r="AE1006" s="24"/>
      <c r="AF1006" s="24"/>
      <c r="AG1006" s="24"/>
      <c r="AH1006" s="24">
        <f t="shared" si="7"/>
        <v>4.619999999999891</v>
      </c>
      <c r="AI1006" s="24"/>
      <c r="AJ1006" s="271"/>
      <c r="AK1006" s="272"/>
    </row>
    <row r="1007" spans="1:37" s="4" customFormat="1" ht="21.75" customHeight="1">
      <c r="A1007" s="30">
        <v>13</v>
      </c>
      <c r="B1007" s="38">
        <f t="shared" si="8"/>
        <v>1966.62</v>
      </c>
      <c r="C1007" s="38">
        <v>1987.23</v>
      </c>
      <c r="D1007" s="39" t="s">
        <v>17</v>
      </c>
      <c r="E1007" s="24">
        <f t="shared" si="0"/>
        <v>20.610000000000127</v>
      </c>
      <c r="F1007" s="66">
        <f>ROUND((12.5113+16.7673)/2,2)</f>
        <v>14.64</v>
      </c>
      <c r="G1007" s="24"/>
      <c r="H1007" s="24"/>
      <c r="I1007" s="24">
        <f t="shared" si="9"/>
        <v>301.73</v>
      </c>
      <c r="J1007" s="24"/>
      <c r="K1007" s="24">
        <f t="shared" si="1"/>
        <v>20.61</v>
      </c>
      <c r="L1007" s="24"/>
      <c r="M1007" s="24"/>
      <c r="N1007" s="24"/>
      <c r="O1007" s="24">
        <f t="shared" si="2"/>
        <v>5.97</v>
      </c>
      <c r="P1007" s="61"/>
      <c r="Q1007" s="24"/>
      <c r="R1007" s="24">
        <f t="shared" si="10"/>
        <v>33.53</v>
      </c>
      <c r="S1007" s="24"/>
      <c r="T1007" s="24"/>
      <c r="U1007" s="24">
        <f t="shared" si="3"/>
        <v>1.84</v>
      </c>
      <c r="V1007" s="24"/>
      <c r="W1007" s="24"/>
      <c r="X1007" s="24">
        <f t="shared" si="4"/>
        <v>2.35</v>
      </c>
      <c r="Y1007" s="24"/>
      <c r="Z1007" s="24"/>
      <c r="AA1007" s="24">
        <f t="shared" si="5"/>
        <v>1.16</v>
      </c>
      <c r="AB1007" s="24"/>
      <c r="AC1007" s="24"/>
      <c r="AD1007" s="24">
        <f t="shared" si="6"/>
        <v>1.63</v>
      </c>
      <c r="AE1007" s="24"/>
      <c r="AF1007" s="24"/>
      <c r="AG1007" s="24"/>
      <c r="AH1007" s="24">
        <f t="shared" si="7"/>
        <v>20.610000000000127</v>
      </c>
      <c r="AI1007" s="24"/>
      <c r="AJ1007" s="271"/>
      <c r="AK1007" s="272"/>
    </row>
    <row r="1008" spans="1:37" s="4" customFormat="1" ht="21.75" customHeight="1">
      <c r="A1008" s="30">
        <v>14</v>
      </c>
      <c r="B1008" s="38">
        <f t="shared" si="8"/>
        <v>1987.23</v>
      </c>
      <c r="C1008" s="38">
        <v>2200</v>
      </c>
      <c r="D1008" s="39" t="s">
        <v>17</v>
      </c>
      <c r="E1008" s="24">
        <f t="shared" si="0"/>
        <v>212.76999999999998</v>
      </c>
      <c r="F1008" s="66">
        <v>31</v>
      </c>
      <c r="G1008" s="24"/>
      <c r="H1008" s="24"/>
      <c r="I1008" s="24">
        <f t="shared" si="9"/>
        <v>6595.87</v>
      </c>
      <c r="J1008" s="24"/>
      <c r="K1008" s="24">
        <f t="shared" si="1"/>
        <v>212.77</v>
      </c>
      <c r="L1008" s="24"/>
      <c r="M1008" s="24"/>
      <c r="N1008" s="24"/>
      <c r="O1008" s="24">
        <f t="shared" si="2"/>
        <v>126.09</v>
      </c>
      <c r="P1008" s="61"/>
      <c r="Q1008" s="24"/>
      <c r="R1008" s="24">
        <f t="shared" si="10"/>
        <v>732.87</v>
      </c>
      <c r="S1008" s="24"/>
      <c r="T1008" s="24"/>
      <c r="U1008" s="24">
        <f t="shared" si="3"/>
        <v>40.31</v>
      </c>
      <c r="V1008" s="24"/>
      <c r="W1008" s="24"/>
      <c r="X1008" s="24">
        <f t="shared" si="4"/>
        <v>51.3</v>
      </c>
      <c r="Y1008" s="24"/>
      <c r="Z1008" s="24"/>
      <c r="AA1008" s="24">
        <f t="shared" si="5"/>
        <v>25.45</v>
      </c>
      <c r="AB1008" s="24"/>
      <c r="AC1008" s="24"/>
      <c r="AD1008" s="24">
        <f t="shared" si="6"/>
        <v>35.63</v>
      </c>
      <c r="AE1008" s="24"/>
      <c r="AF1008" s="24"/>
      <c r="AG1008" s="24"/>
      <c r="AH1008" s="24">
        <f t="shared" si="7"/>
        <v>212.76999999999998</v>
      </c>
      <c r="AI1008" s="24"/>
      <c r="AJ1008" s="271"/>
      <c r="AK1008" s="272"/>
    </row>
    <row r="1009" spans="1:37" s="16" customFormat="1" ht="21.75" customHeight="1">
      <c r="A1009" s="30">
        <v>15</v>
      </c>
      <c r="B1009" s="38">
        <f t="shared" si="8"/>
        <v>2200</v>
      </c>
      <c r="C1009" s="38">
        <v>2240</v>
      </c>
      <c r="D1009" s="39" t="s">
        <v>17</v>
      </c>
      <c r="E1009" s="24">
        <f t="shared" si="0"/>
        <v>40</v>
      </c>
      <c r="F1009" s="66">
        <f>ROUND((31+30)/2,2)</f>
        <v>30.5</v>
      </c>
      <c r="G1009" s="24"/>
      <c r="H1009" s="24"/>
      <c r="I1009" s="24">
        <f t="shared" si="9"/>
        <v>1220</v>
      </c>
      <c r="J1009" s="24"/>
      <c r="K1009" s="24">
        <f t="shared" si="1"/>
        <v>40</v>
      </c>
      <c r="L1009" s="24"/>
      <c r="M1009" s="24"/>
      <c r="N1009" s="24"/>
      <c r="O1009" s="24">
        <f t="shared" si="2"/>
        <v>23.33</v>
      </c>
      <c r="P1009" s="61"/>
      <c r="Q1009" s="24"/>
      <c r="R1009" s="24">
        <f t="shared" si="10"/>
        <v>135.56</v>
      </c>
      <c r="S1009" s="24"/>
      <c r="T1009" s="24"/>
      <c r="U1009" s="24">
        <f t="shared" si="3"/>
        <v>7.46</v>
      </c>
      <c r="V1009" s="24"/>
      <c r="W1009" s="24"/>
      <c r="X1009" s="24">
        <f t="shared" si="4"/>
        <v>9.49</v>
      </c>
      <c r="Y1009" s="24"/>
      <c r="Z1009" s="24"/>
      <c r="AA1009" s="24">
        <f t="shared" si="5"/>
        <v>4.71</v>
      </c>
      <c r="AB1009" s="24"/>
      <c r="AC1009" s="24"/>
      <c r="AD1009" s="24">
        <f t="shared" si="6"/>
        <v>6.59</v>
      </c>
      <c r="AE1009" s="24"/>
      <c r="AF1009" s="24"/>
      <c r="AG1009" s="24"/>
      <c r="AH1009" s="24">
        <f t="shared" si="7"/>
        <v>40</v>
      </c>
      <c r="AI1009" s="24"/>
      <c r="AJ1009" s="271"/>
      <c r="AK1009" s="272"/>
    </row>
    <row r="1010" spans="1:37" s="16" customFormat="1" ht="21.75" customHeight="1">
      <c r="A1010" s="30">
        <v>16</v>
      </c>
      <c r="B1010" s="38">
        <f t="shared" si="8"/>
        <v>2240</v>
      </c>
      <c r="C1010" s="38">
        <v>2300</v>
      </c>
      <c r="D1010" s="39" t="s">
        <v>17</v>
      </c>
      <c r="E1010" s="24">
        <f t="shared" si="0"/>
        <v>60</v>
      </c>
      <c r="F1010" s="66">
        <v>30</v>
      </c>
      <c r="G1010" s="24"/>
      <c r="H1010" s="24"/>
      <c r="I1010" s="24">
        <f t="shared" si="9"/>
        <v>1800</v>
      </c>
      <c r="J1010" s="24"/>
      <c r="K1010" s="24">
        <f t="shared" si="1"/>
        <v>60</v>
      </c>
      <c r="L1010" s="24"/>
      <c r="M1010" s="24"/>
      <c r="N1010" s="24"/>
      <c r="O1010" s="24">
        <f t="shared" si="2"/>
        <v>34.44</v>
      </c>
      <c r="P1010" s="61"/>
      <c r="Q1010" s="24"/>
      <c r="R1010" s="24">
        <f t="shared" si="10"/>
        <v>200</v>
      </c>
      <c r="S1010" s="24"/>
      <c r="T1010" s="24"/>
      <c r="U1010" s="24">
        <f t="shared" si="3"/>
        <v>11</v>
      </c>
      <c r="V1010" s="24"/>
      <c r="W1010" s="24"/>
      <c r="X1010" s="24">
        <f t="shared" si="4"/>
        <v>14</v>
      </c>
      <c r="Y1010" s="24"/>
      <c r="Z1010" s="24"/>
      <c r="AA1010" s="24">
        <f t="shared" si="5"/>
        <v>6.94</v>
      </c>
      <c r="AB1010" s="24"/>
      <c r="AC1010" s="24"/>
      <c r="AD1010" s="24">
        <f t="shared" si="6"/>
        <v>9.72</v>
      </c>
      <c r="AE1010" s="24"/>
      <c r="AF1010" s="24"/>
      <c r="AG1010" s="24"/>
      <c r="AH1010" s="24">
        <f t="shared" si="7"/>
        <v>60</v>
      </c>
      <c r="AI1010" s="24"/>
      <c r="AJ1010" s="271"/>
      <c r="AK1010" s="272"/>
    </row>
    <row r="1011" spans="1:37" s="16" customFormat="1" ht="21.75" customHeight="1">
      <c r="A1011" s="30">
        <v>17</v>
      </c>
      <c r="B1011" s="38">
        <f t="shared" si="8"/>
        <v>2300</v>
      </c>
      <c r="C1011" s="38">
        <v>2315</v>
      </c>
      <c r="D1011" s="39" t="s">
        <v>17</v>
      </c>
      <c r="E1011" s="24">
        <f t="shared" si="0"/>
        <v>15</v>
      </c>
      <c r="F1011" s="66">
        <f>ROUND((31+28.6212)/2,2)</f>
        <v>29.81</v>
      </c>
      <c r="G1011" s="24"/>
      <c r="H1011" s="24"/>
      <c r="I1011" s="24">
        <f t="shared" si="9"/>
        <v>447.15</v>
      </c>
      <c r="J1011" s="24"/>
      <c r="K1011" s="24">
        <f t="shared" si="1"/>
        <v>15</v>
      </c>
      <c r="L1011" s="24"/>
      <c r="M1011" s="24"/>
      <c r="N1011" s="24"/>
      <c r="O1011" s="24">
        <f t="shared" si="2"/>
        <v>8.56</v>
      </c>
      <c r="P1011" s="61"/>
      <c r="Q1011" s="24"/>
      <c r="R1011" s="24">
        <f t="shared" si="10"/>
        <v>49.68</v>
      </c>
      <c r="S1011" s="24"/>
      <c r="T1011" s="24"/>
      <c r="U1011" s="24">
        <f t="shared" si="3"/>
        <v>2.73</v>
      </c>
      <c r="V1011" s="24"/>
      <c r="W1011" s="24"/>
      <c r="X1011" s="24">
        <f t="shared" si="4"/>
        <v>3.48</v>
      </c>
      <c r="Y1011" s="24"/>
      <c r="Z1011" s="24"/>
      <c r="AA1011" s="24">
        <f t="shared" si="5"/>
        <v>1.73</v>
      </c>
      <c r="AB1011" s="24"/>
      <c r="AC1011" s="24"/>
      <c r="AD1011" s="24">
        <f t="shared" si="6"/>
        <v>2.42</v>
      </c>
      <c r="AE1011" s="24"/>
      <c r="AF1011" s="24"/>
      <c r="AG1011" s="24"/>
      <c r="AH1011" s="24">
        <f t="shared" si="7"/>
        <v>15</v>
      </c>
      <c r="AI1011" s="24"/>
      <c r="AJ1011" s="271"/>
      <c r="AK1011" s="272"/>
    </row>
    <row r="1012" spans="1:37" s="16" customFormat="1" ht="21.75" customHeight="1">
      <c r="A1012" s="30">
        <v>18</v>
      </c>
      <c r="B1012" s="38"/>
      <c r="C1012" s="46"/>
      <c r="D1012" s="39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61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71"/>
      <c r="AK1012" s="272"/>
    </row>
    <row r="1013" spans="1:37" s="4" customFormat="1" ht="21.75" customHeight="1">
      <c r="A1013" s="30">
        <v>19</v>
      </c>
      <c r="B1013" s="38">
        <v>1985.9</v>
      </c>
      <c r="C1013" s="38">
        <v>1987.23</v>
      </c>
      <c r="D1013" s="39" t="s">
        <v>16</v>
      </c>
      <c r="E1013" s="24">
        <f>C1013-B1013</f>
        <v>1.3299999999999272</v>
      </c>
      <c r="F1013" s="66">
        <f>ROUND((0+6.8667)/2,2)</f>
        <v>3.43</v>
      </c>
      <c r="G1013" s="24"/>
      <c r="H1013" s="24"/>
      <c r="I1013" s="24">
        <f>IF(G1013=0,ROUND($E1013*$F1013,2),ROUND($E1013*$F1013*$G1013,2))</f>
        <v>4.56</v>
      </c>
      <c r="J1013" s="24"/>
      <c r="K1013" s="24">
        <f>IF($H1013=0,ROUND($E1013*(K$1054/12),2),ROUND($E1013*$H1013*(K$1054/12),2))</f>
        <v>1.33</v>
      </c>
      <c r="L1013" s="24"/>
      <c r="M1013" s="24"/>
      <c r="N1013" s="24"/>
      <c r="O1013" s="24">
        <f>ROUND((($I1013+K1013)*(O$1054/12))/27,2)</f>
        <v>0.11</v>
      </c>
      <c r="P1013" s="61"/>
      <c r="Q1013" s="24"/>
      <c r="R1013" s="24">
        <f t="shared" si="10"/>
        <v>0.51</v>
      </c>
      <c r="S1013" s="24"/>
      <c r="T1013" s="24"/>
      <c r="U1013" s="24">
        <f>ROUND((($I1013/9)*U$1054),2)</f>
        <v>0.03</v>
      </c>
      <c r="V1013" s="24"/>
      <c r="W1013" s="24"/>
      <c r="X1013" s="24">
        <f>ROUND((($I1013/9)*X$1054),2)</f>
        <v>0.04</v>
      </c>
      <c r="Y1013" s="24"/>
      <c r="Z1013" s="24"/>
      <c r="AA1013" s="24">
        <f>ROUND(($I1013*(AA$1054/12))/27,2)</f>
        <v>0.02</v>
      </c>
      <c r="AB1013" s="24"/>
      <c r="AC1013" s="24"/>
      <c r="AD1013" s="24">
        <f>ROUND(($I1013*(AD$1054/12))/27,2)</f>
        <v>0.02</v>
      </c>
      <c r="AE1013" s="24"/>
      <c r="AF1013" s="24"/>
      <c r="AG1013" s="24"/>
      <c r="AH1013" s="24">
        <f>IF($H1013=0,$E1013,ROUND($E1013*$H1013,2))</f>
        <v>1.3299999999999272</v>
      </c>
      <c r="AI1013" s="24"/>
      <c r="AJ1013" s="271"/>
      <c r="AK1013" s="272"/>
    </row>
    <row r="1014" spans="1:37" s="4" customFormat="1" ht="21.75" customHeight="1">
      <c r="A1014" s="30">
        <v>20</v>
      </c>
      <c r="B1014" s="38">
        <f>C1013</f>
        <v>1987.23</v>
      </c>
      <c r="C1014" s="46">
        <v>2045</v>
      </c>
      <c r="D1014" s="39" t="s">
        <v>16</v>
      </c>
      <c r="E1014" s="24">
        <f>C1014-B1014</f>
        <v>57.76999999999998</v>
      </c>
      <c r="F1014" s="66">
        <v>17</v>
      </c>
      <c r="G1014" s="24"/>
      <c r="H1014" s="24"/>
      <c r="I1014" s="24">
        <f>IF(G1014=0,ROUND($E1014*$F1014,2),ROUND($E1014*$F1014*$G1014,2))</f>
        <v>982.09</v>
      </c>
      <c r="J1014" s="24"/>
      <c r="K1014" s="24">
        <f>IF($H1014=0,ROUND($E1014*(K$1054/12),2),ROUND($E1014*$H1014*(K$1054/12),2))</f>
        <v>57.77</v>
      </c>
      <c r="L1014" s="24"/>
      <c r="M1014" s="24"/>
      <c r="N1014" s="24"/>
      <c r="O1014" s="24">
        <f>ROUND((($I1014+K1014)*(O$1054/12))/27,2)</f>
        <v>19.26</v>
      </c>
      <c r="P1014" s="61"/>
      <c r="Q1014" s="24"/>
      <c r="R1014" s="24">
        <f t="shared" si="10"/>
        <v>109.12</v>
      </c>
      <c r="S1014" s="24"/>
      <c r="T1014" s="24"/>
      <c r="U1014" s="24">
        <f>ROUND((($I1014/9)*U$1054),2)</f>
        <v>6</v>
      </c>
      <c r="V1014" s="24"/>
      <c r="W1014" s="24"/>
      <c r="X1014" s="24">
        <f>ROUND((($I1014/9)*X$1054),2)</f>
        <v>7.64</v>
      </c>
      <c r="Y1014" s="24"/>
      <c r="Z1014" s="24"/>
      <c r="AA1014" s="24">
        <f>ROUND(($I1014*(AA$1054/12))/27,2)</f>
        <v>3.79</v>
      </c>
      <c r="AB1014" s="24"/>
      <c r="AC1014" s="24"/>
      <c r="AD1014" s="24">
        <f>ROUND(($I1014*(AD$1054/12))/27,2)</f>
        <v>5.3</v>
      </c>
      <c r="AE1014" s="24"/>
      <c r="AF1014" s="24"/>
      <c r="AG1014" s="24"/>
      <c r="AH1014" s="24">
        <f>IF($H1014=0,$E1014,ROUND($E1014*$H1014,2))</f>
        <v>57.76999999999998</v>
      </c>
      <c r="AI1014" s="24"/>
      <c r="AJ1014" s="271"/>
      <c r="AK1014" s="272"/>
    </row>
    <row r="1015" spans="1:37" s="4" customFormat="1" ht="21.75" customHeight="1">
      <c r="A1015" s="30">
        <v>21</v>
      </c>
      <c r="B1015" s="38">
        <f>C1014</f>
        <v>2045</v>
      </c>
      <c r="C1015" s="38">
        <v>2053</v>
      </c>
      <c r="D1015" s="39" t="s">
        <v>16</v>
      </c>
      <c r="E1015" s="24">
        <f>C1015-B1015</f>
        <v>8</v>
      </c>
      <c r="F1015" s="66">
        <f>ROUND((17+25)/2,2)</f>
        <v>21</v>
      </c>
      <c r="G1015" s="24"/>
      <c r="H1015" s="24"/>
      <c r="I1015" s="24">
        <f>IF(G1015=0,ROUND($E1015*$F1015,2),ROUND($E1015*$F1015*$G1015,2))</f>
        <v>168</v>
      </c>
      <c r="J1015" s="24"/>
      <c r="K1015" s="24">
        <f>IF($H1015=0,ROUND($E1015*(K$1054/12),2),ROUND($E1015*$H1015*(K$1054/12),2))</f>
        <v>8</v>
      </c>
      <c r="L1015" s="24"/>
      <c r="M1015" s="24"/>
      <c r="N1015" s="24"/>
      <c r="O1015" s="24">
        <f>ROUND((($I1015+K1015)*(O$1054/12))/27,2)</f>
        <v>3.26</v>
      </c>
      <c r="P1015" s="61"/>
      <c r="Q1015" s="24"/>
      <c r="R1015" s="24">
        <f t="shared" si="10"/>
        <v>18.67</v>
      </c>
      <c r="S1015" s="24"/>
      <c r="T1015" s="24"/>
      <c r="U1015" s="24">
        <f>ROUND((($I1015/9)*U$1054),2)</f>
        <v>1.03</v>
      </c>
      <c r="V1015" s="24"/>
      <c r="W1015" s="24"/>
      <c r="X1015" s="24">
        <f>ROUND((($I1015/9)*X$1054),2)</f>
        <v>1.31</v>
      </c>
      <c r="Y1015" s="24"/>
      <c r="Z1015" s="24"/>
      <c r="AA1015" s="24">
        <f>ROUND(($I1015*(AA$1054/12))/27,2)</f>
        <v>0.65</v>
      </c>
      <c r="AB1015" s="24"/>
      <c r="AC1015" s="24"/>
      <c r="AD1015" s="24">
        <f>ROUND(($I1015*(AD$1054/12))/27,2)</f>
        <v>0.91</v>
      </c>
      <c r="AE1015" s="24"/>
      <c r="AF1015" s="24"/>
      <c r="AG1015" s="24"/>
      <c r="AH1015" s="24">
        <f>IF($H1015=0,$E1015,ROUND($E1015*$H1015,2))</f>
        <v>8</v>
      </c>
      <c r="AI1015" s="24"/>
      <c r="AJ1015" s="271"/>
      <c r="AK1015" s="272"/>
    </row>
    <row r="1016" spans="1:37" s="4" customFormat="1" ht="21.75" customHeight="1">
      <c r="A1016" s="30">
        <v>22</v>
      </c>
      <c r="B1016" s="38">
        <f>C1015</f>
        <v>2053</v>
      </c>
      <c r="C1016" s="46">
        <v>2300</v>
      </c>
      <c r="D1016" s="39" t="s">
        <v>16</v>
      </c>
      <c r="E1016" s="24">
        <f>C1016-B1016</f>
        <v>247</v>
      </c>
      <c r="F1016" s="66">
        <v>25</v>
      </c>
      <c r="G1016" s="24"/>
      <c r="H1016" s="24"/>
      <c r="I1016" s="24">
        <f>IF(G1016=0,ROUND($E1016*$F1016,2),ROUND($E1016*$F1016*$G1016,2))</f>
        <v>6175</v>
      </c>
      <c r="J1016" s="24"/>
      <c r="K1016" s="24">
        <f>IF($H1016=0,ROUND($E1016*(K$1054/12),2),ROUND($E1016*$H1016*(K$1054/12),2))</f>
        <v>247</v>
      </c>
      <c r="L1016" s="24"/>
      <c r="M1016" s="24"/>
      <c r="N1016" s="24"/>
      <c r="O1016" s="24">
        <f>ROUND((($I1016+K1016)*(O$1054/12))/27,2)</f>
        <v>118.93</v>
      </c>
      <c r="P1016" s="61"/>
      <c r="Q1016" s="24"/>
      <c r="R1016" s="24">
        <f t="shared" si="10"/>
        <v>686.11</v>
      </c>
      <c r="S1016" s="24"/>
      <c r="T1016" s="24"/>
      <c r="U1016" s="24">
        <f>ROUND((($I1016/9)*U$1054),2)</f>
        <v>37.74</v>
      </c>
      <c r="V1016" s="24"/>
      <c r="W1016" s="24"/>
      <c r="X1016" s="24">
        <f>ROUND((($I1016/9)*X$1054),2)</f>
        <v>48.03</v>
      </c>
      <c r="Y1016" s="24"/>
      <c r="Z1016" s="24"/>
      <c r="AA1016" s="24">
        <f>ROUND(($I1016*(AA$1054/12))/27,2)</f>
        <v>23.82</v>
      </c>
      <c r="AB1016" s="24"/>
      <c r="AC1016" s="24"/>
      <c r="AD1016" s="24">
        <f>ROUND(($I1016*(AD$1054/12))/27,2)</f>
        <v>33.35</v>
      </c>
      <c r="AE1016" s="24"/>
      <c r="AF1016" s="24"/>
      <c r="AG1016" s="24"/>
      <c r="AH1016" s="24">
        <f>IF($H1016=0,$E1016,ROUND($E1016*$H1016,2))</f>
        <v>247</v>
      </c>
      <c r="AI1016" s="24"/>
      <c r="AJ1016" s="271"/>
      <c r="AK1016" s="272"/>
    </row>
    <row r="1017" spans="1:37" s="4" customFormat="1" ht="21.75" customHeight="1">
      <c r="A1017" s="30">
        <v>23</v>
      </c>
      <c r="B1017" s="38">
        <f>C1016</f>
        <v>2300</v>
      </c>
      <c r="C1017" s="46">
        <v>2315</v>
      </c>
      <c r="D1017" s="39" t="s">
        <v>16</v>
      </c>
      <c r="E1017" s="24">
        <f>C1017-B1017</f>
        <v>15</v>
      </c>
      <c r="F1017" s="66">
        <f>ROUND((25+18.6789)/2,2)</f>
        <v>21.84</v>
      </c>
      <c r="G1017" s="24"/>
      <c r="H1017" s="24"/>
      <c r="I1017" s="24">
        <f>IF(G1017=0,ROUND($E1017*$F1017,2),ROUND($E1017*$F1017*$G1017,2))</f>
        <v>327.6</v>
      </c>
      <c r="J1017" s="24"/>
      <c r="K1017" s="24">
        <f>IF($H1017=0,ROUND($E1017*(K$1054/12),2),ROUND($E1017*$H1017*(K$1054/12),2))</f>
        <v>15</v>
      </c>
      <c r="L1017" s="24"/>
      <c r="M1017" s="24"/>
      <c r="N1017" s="24"/>
      <c r="O1017" s="24">
        <f>ROUND((($I1017+K1017)*(O$1054/12))/27,2)</f>
        <v>6.34</v>
      </c>
      <c r="P1017" s="61"/>
      <c r="Q1017" s="24"/>
      <c r="R1017" s="24">
        <f t="shared" si="10"/>
        <v>36.4</v>
      </c>
      <c r="S1017" s="24"/>
      <c r="T1017" s="24"/>
      <c r="U1017" s="24">
        <f>ROUND((($I1017/9)*U$1054),2)</f>
        <v>2</v>
      </c>
      <c r="V1017" s="24"/>
      <c r="W1017" s="24"/>
      <c r="X1017" s="24">
        <f>ROUND((($I1017/9)*X$1054),2)</f>
        <v>2.55</v>
      </c>
      <c r="Y1017" s="24"/>
      <c r="Z1017" s="24"/>
      <c r="AA1017" s="24">
        <f>ROUND(($I1017*(AA$1054/12))/27,2)</f>
        <v>1.26</v>
      </c>
      <c r="AB1017" s="24"/>
      <c r="AC1017" s="24"/>
      <c r="AD1017" s="24">
        <f>ROUND(($I1017*(AD$1054/12))/27,2)</f>
        <v>1.77</v>
      </c>
      <c r="AE1017" s="24"/>
      <c r="AF1017" s="24"/>
      <c r="AG1017" s="24"/>
      <c r="AH1017" s="24">
        <f>IF($H1017=0,$E1017,ROUND($E1017*$H1017,2))</f>
        <v>15</v>
      </c>
      <c r="AI1017" s="24"/>
      <c r="AJ1017" s="271"/>
      <c r="AK1017" s="272"/>
    </row>
    <row r="1018" spans="1:37" s="4" customFormat="1" ht="21.75" customHeight="1">
      <c r="A1018" s="30">
        <v>24</v>
      </c>
      <c r="B1018" s="38"/>
      <c r="C1018" s="38"/>
      <c r="D1018" s="39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61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71"/>
      <c r="AK1018" s="272"/>
    </row>
    <row r="1019" spans="1:37" s="4" customFormat="1" ht="21.75" customHeight="1">
      <c r="A1019" s="30">
        <v>25</v>
      </c>
      <c r="B1019" s="230" t="s">
        <v>66</v>
      </c>
      <c r="C1019" s="231"/>
      <c r="D1019" s="231"/>
      <c r="E1019" s="231"/>
      <c r="F1019" s="231"/>
      <c r="G1019" s="231"/>
      <c r="H1019" s="231"/>
      <c r="I1019" s="232"/>
      <c r="J1019" s="24"/>
      <c r="K1019" s="24"/>
      <c r="L1019" s="24"/>
      <c r="M1019" s="24"/>
      <c r="N1019" s="24"/>
      <c r="O1019" s="24"/>
      <c r="P1019" s="61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71"/>
      <c r="AK1019" s="272"/>
    </row>
    <row r="1020" spans="1:37" s="4" customFormat="1" ht="21.75" customHeight="1">
      <c r="A1020" s="30">
        <v>26</v>
      </c>
      <c r="B1020" s="67" t="s">
        <v>55</v>
      </c>
      <c r="C1020" s="46"/>
      <c r="D1020" s="39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61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71"/>
      <c r="AK1020" s="272"/>
    </row>
    <row r="1021" spans="1:37" s="4" customFormat="1" ht="21.75" customHeight="1">
      <c r="A1021" s="30">
        <v>27</v>
      </c>
      <c r="B1021" s="38">
        <v>1149.86</v>
      </c>
      <c r="C1021" s="38">
        <v>1150.86</v>
      </c>
      <c r="D1021" s="39" t="s">
        <v>17</v>
      </c>
      <c r="E1021" s="24">
        <f>C1021-B1021</f>
        <v>1</v>
      </c>
      <c r="F1021" s="66">
        <f>ROUND((26.8522+26.9019)/2,2)</f>
        <v>26.88</v>
      </c>
      <c r="G1021" s="24"/>
      <c r="H1021" s="24"/>
      <c r="I1021" s="24">
        <f>IF(G1021=0,ROUND($E1021*$F1021,2),ROUND($E1021*$F1021*$G1021,2))</f>
        <v>26.88</v>
      </c>
      <c r="J1021" s="24"/>
      <c r="K1021" s="24"/>
      <c r="L1021" s="24"/>
      <c r="M1021" s="24"/>
      <c r="N1021" s="24"/>
      <c r="O1021" s="24"/>
      <c r="P1021" s="24"/>
      <c r="Q1021" s="24">
        <f>ROUND((($I1021+$K1021)*(Q$1054/12))/27,2)</f>
        <v>0.5</v>
      </c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>
        <f>ROUND(($I1021/9),2)</f>
        <v>2.99</v>
      </c>
      <c r="AH1021" s="24">
        <f>IF($H1021=0,$E1021,ROUND($E1021*$H1021,2))</f>
        <v>1</v>
      </c>
      <c r="AI1021" s="24"/>
      <c r="AJ1021" s="271"/>
      <c r="AK1021" s="272"/>
    </row>
    <row r="1022" spans="1:37" s="4" customFormat="1" ht="21.75" customHeight="1">
      <c r="A1022" s="30">
        <v>28</v>
      </c>
      <c r="B1022" s="38">
        <v>1168.38</v>
      </c>
      <c r="C1022" s="38">
        <v>1233.37</v>
      </c>
      <c r="D1022" s="39" t="s">
        <v>17</v>
      </c>
      <c r="E1022" s="213" t="s">
        <v>13</v>
      </c>
      <c r="F1022" s="214"/>
      <c r="G1022" s="214"/>
      <c r="H1022" s="214"/>
      <c r="I1022" s="215"/>
      <c r="J1022" s="24">
        <v>2408.88</v>
      </c>
      <c r="K1022" s="24"/>
      <c r="L1022" s="24"/>
      <c r="M1022" s="24"/>
      <c r="N1022" s="24"/>
      <c r="O1022" s="24"/>
      <c r="P1022" s="24"/>
      <c r="Q1022" s="24">
        <f>ROUND((($J1022+$K1022)*(Q$1054/12))/27,2)</f>
        <v>44.61</v>
      </c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>
        <f>ROUND(($J1022/9),2)</f>
        <v>267.65</v>
      </c>
      <c r="AH1022" s="24"/>
      <c r="AI1022" s="24"/>
      <c r="AJ1022" s="271"/>
      <c r="AK1022" s="272"/>
    </row>
    <row r="1023" spans="1:37" s="4" customFormat="1" ht="21.75" customHeight="1">
      <c r="A1023" s="30">
        <v>29</v>
      </c>
      <c r="B1023" s="38">
        <v>1252.78</v>
      </c>
      <c r="C1023" s="38">
        <v>1253.78</v>
      </c>
      <c r="D1023" s="39" t="s">
        <v>17</v>
      </c>
      <c r="E1023" s="24">
        <f>C1023-B1023</f>
        <v>1</v>
      </c>
      <c r="F1023" s="66">
        <v>24.69</v>
      </c>
      <c r="G1023" s="24"/>
      <c r="H1023" s="24"/>
      <c r="I1023" s="24">
        <f>IF(G1023=0,ROUND($E1023*$F1023,2),ROUND($E1023*$F1023*$G1023,2))</f>
        <v>24.69</v>
      </c>
      <c r="J1023" s="24"/>
      <c r="K1023" s="24"/>
      <c r="L1023" s="24"/>
      <c r="M1023" s="24"/>
      <c r="N1023" s="24"/>
      <c r="O1023" s="24"/>
      <c r="P1023" s="24"/>
      <c r="Q1023" s="24">
        <f>ROUND((($I1023+$K1023)*(Q$1054/12))/27,2)</f>
        <v>0.46</v>
      </c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>
        <f>ROUND(($I1023/9),2)</f>
        <v>2.74</v>
      </c>
      <c r="AH1023" s="24">
        <f>IF($H1023=0,$E1023,ROUND($E1023*$H1023,2))</f>
        <v>1</v>
      </c>
      <c r="AI1023" s="24"/>
      <c r="AJ1023" s="271"/>
      <c r="AK1023" s="272"/>
    </row>
    <row r="1024" spans="1:37" s="4" customFormat="1" ht="21.75" customHeight="1">
      <c r="A1024" s="30">
        <v>30</v>
      </c>
      <c r="B1024" s="38"/>
      <c r="C1024" s="38"/>
      <c r="D1024" s="39"/>
      <c r="E1024" s="24"/>
      <c r="F1024" s="66"/>
      <c r="G1024" s="66"/>
      <c r="H1024" s="24"/>
      <c r="I1024" s="24"/>
      <c r="J1024" s="7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71"/>
      <c r="AK1024" s="272"/>
    </row>
    <row r="1025" spans="1:37" s="4" customFormat="1" ht="21.75" customHeight="1">
      <c r="A1025" s="30">
        <v>31</v>
      </c>
      <c r="B1025" s="38">
        <v>1149.86</v>
      </c>
      <c r="C1025" s="38">
        <v>1150.86</v>
      </c>
      <c r="D1025" s="39" t="s">
        <v>16</v>
      </c>
      <c r="E1025" s="24">
        <f>C1025-B1025</f>
        <v>1</v>
      </c>
      <c r="F1025" s="66">
        <v>18.82</v>
      </c>
      <c r="G1025" s="24"/>
      <c r="H1025" s="24"/>
      <c r="I1025" s="24">
        <f>IF(G1025=0,ROUND($E1025*$F1025,2),ROUND($E1025*$F1025*$G1025,2))</f>
        <v>18.82</v>
      </c>
      <c r="J1025" s="24"/>
      <c r="K1025" s="24"/>
      <c r="L1025" s="24"/>
      <c r="M1025" s="24"/>
      <c r="N1025" s="24"/>
      <c r="O1025" s="24"/>
      <c r="P1025" s="24"/>
      <c r="Q1025" s="24">
        <f>ROUND((($I1025+$K1025)*(Q$1054/12))/27,2)</f>
        <v>0.35</v>
      </c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>
        <f>ROUND(($I1025/9),2)</f>
        <v>2.09</v>
      </c>
      <c r="AH1025" s="24">
        <f>IF($H1025=0,$E1025,ROUND($E1025*$H1025,2))</f>
        <v>1</v>
      </c>
      <c r="AI1025" s="24"/>
      <c r="AJ1025" s="271"/>
      <c r="AK1025" s="272"/>
    </row>
    <row r="1026" spans="1:37" s="4" customFormat="1" ht="21.75" customHeight="1">
      <c r="A1026" s="30">
        <v>32</v>
      </c>
      <c r="B1026" s="38">
        <v>1168.38</v>
      </c>
      <c r="C1026" s="38">
        <v>1233.37</v>
      </c>
      <c r="D1026" s="39" t="s">
        <v>16</v>
      </c>
      <c r="E1026" s="213" t="s">
        <v>13</v>
      </c>
      <c r="F1026" s="214"/>
      <c r="G1026" s="214"/>
      <c r="H1026" s="214"/>
      <c r="I1026" s="215"/>
      <c r="J1026" s="24">
        <v>1961.03</v>
      </c>
      <c r="K1026" s="24"/>
      <c r="L1026" s="24"/>
      <c r="M1026" s="24"/>
      <c r="N1026" s="24"/>
      <c r="O1026" s="24"/>
      <c r="P1026" s="24"/>
      <c r="Q1026" s="24">
        <f>ROUND((($J1026+$K1026)*(Q$1054/12))/27,2)</f>
        <v>36.32</v>
      </c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>
        <f>ROUND(($J1026/9),2)</f>
        <v>217.89</v>
      </c>
      <c r="AH1026" s="24"/>
      <c r="AI1026" s="24"/>
      <c r="AJ1026" s="271"/>
      <c r="AK1026" s="272"/>
    </row>
    <row r="1027" spans="1:37" s="4" customFormat="1" ht="21.75" customHeight="1">
      <c r="A1027" s="30">
        <v>33</v>
      </c>
      <c r="B1027" s="38">
        <v>1252.78</v>
      </c>
      <c r="C1027" s="38">
        <v>1253.78</v>
      </c>
      <c r="D1027" s="39" t="s">
        <v>16</v>
      </c>
      <c r="E1027" s="24">
        <f>C1027-B1027</f>
        <v>1</v>
      </c>
      <c r="F1027" s="66">
        <v>21.75</v>
      </c>
      <c r="G1027" s="24"/>
      <c r="H1027" s="24"/>
      <c r="I1027" s="24">
        <f>IF(G1027=0,ROUND($E1027*$F1027,2),ROUND($E1027*$F1027*$G1027,2))</f>
        <v>21.75</v>
      </c>
      <c r="J1027" s="24"/>
      <c r="K1027" s="24"/>
      <c r="L1027" s="24"/>
      <c r="M1027" s="24"/>
      <c r="N1027" s="24"/>
      <c r="O1027" s="24"/>
      <c r="P1027" s="24"/>
      <c r="Q1027" s="24">
        <f>ROUND((($I1027+$K1027)*(Q$1054/12))/27,2)</f>
        <v>0.4</v>
      </c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>
        <f>ROUND(($I1027/9),2)</f>
        <v>2.42</v>
      </c>
      <c r="AH1027" s="24">
        <f>IF($H1027=0,$E1027,ROUND($E1027*$H1027,2))</f>
        <v>1</v>
      </c>
      <c r="AI1027" s="24"/>
      <c r="AJ1027" s="271"/>
      <c r="AK1027" s="272"/>
    </row>
    <row r="1028" spans="1:37" s="4" customFormat="1" ht="21.75" customHeight="1">
      <c r="A1028" s="30">
        <v>34</v>
      </c>
      <c r="B1028" s="38"/>
      <c r="C1028" s="38"/>
      <c r="D1028" s="39"/>
      <c r="E1028" s="24"/>
      <c r="F1028" s="24"/>
      <c r="G1028" s="24"/>
      <c r="H1028" s="24"/>
      <c r="I1028" s="45"/>
      <c r="J1028" s="39"/>
      <c r="K1028" s="24"/>
      <c r="L1028" s="24"/>
      <c r="M1028" s="24"/>
      <c r="N1028" s="24"/>
      <c r="O1028" s="24"/>
      <c r="P1028" s="61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71"/>
      <c r="AK1028" s="272"/>
    </row>
    <row r="1029" spans="1:37" s="4" customFormat="1" ht="21.75" customHeight="1">
      <c r="A1029" s="30">
        <v>35</v>
      </c>
      <c r="B1029" s="67" t="s">
        <v>49</v>
      </c>
      <c r="C1029" s="46"/>
      <c r="D1029" s="39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61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71"/>
      <c r="AK1029" s="272"/>
    </row>
    <row r="1030" spans="1:37" s="4" customFormat="1" ht="21.75" customHeight="1">
      <c r="A1030" s="30">
        <v>36</v>
      </c>
      <c r="B1030" s="38">
        <v>1253.78</v>
      </c>
      <c r="C1030" s="38">
        <v>1285.7</v>
      </c>
      <c r="D1030" s="39" t="s">
        <v>17</v>
      </c>
      <c r="E1030" s="24">
        <f>C1030-B1030</f>
        <v>31.920000000000073</v>
      </c>
      <c r="F1030" s="66">
        <f>ROUND((24.6899+25.1079)/2,2)</f>
        <v>24.9</v>
      </c>
      <c r="G1030" s="24"/>
      <c r="H1030" s="24"/>
      <c r="I1030" s="24">
        <f>IF(G1030=0,ROUND($E1030*$F1030,2),ROUND($E1030*$F1030*$G1030,2))</f>
        <v>794.81</v>
      </c>
      <c r="J1030" s="24"/>
      <c r="K1030" s="24"/>
      <c r="L1030" s="24"/>
      <c r="M1030" s="24">
        <f>ROUND(($I1030/9),2)</f>
        <v>88.31</v>
      </c>
      <c r="N1030" s="24"/>
      <c r="O1030" s="24"/>
      <c r="P1030" s="24"/>
      <c r="Q1030" s="24"/>
      <c r="R1030" s="24"/>
      <c r="S1030" s="24"/>
      <c r="T1030" s="24"/>
      <c r="U1030" s="24">
        <f>ROUND((($I1030/9)*U$1055),2)</f>
        <v>7.51</v>
      </c>
      <c r="V1030" s="24"/>
      <c r="W1030" s="24"/>
      <c r="X1030" s="24"/>
      <c r="Y1030" s="24"/>
      <c r="Z1030" s="24"/>
      <c r="AA1030" s="24">
        <f>ROUND(($I1030*(AA$1054/12))/27,2)</f>
        <v>3.07</v>
      </c>
      <c r="AB1030" s="24"/>
      <c r="AC1030" s="24"/>
      <c r="AD1030" s="24"/>
      <c r="AE1030" s="24"/>
      <c r="AF1030" s="24"/>
      <c r="AG1030" s="24"/>
      <c r="AH1030" s="24"/>
      <c r="AI1030" s="24"/>
      <c r="AJ1030" s="271"/>
      <c r="AK1030" s="272"/>
    </row>
    <row r="1031" spans="1:37" s="4" customFormat="1" ht="21.75" customHeight="1">
      <c r="A1031" s="30">
        <v>37</v>
      </c>
      <c r="B1031" s="38">
        <f>C1030</f>
        <v>1285.7</v>
      </c>
      <c r="C1031" s="38">
        <v>1457.28</v>
      </c>
      <c r="D1031" s="39" t="s">
        <v>17</v>
      </c>
      <c r="E1031" s="24">
        <f>C1031-B1031</f>
        <v>171.57999999999993</v>
      </c>
      <c r="F1031" s="66">
        <f>ROUND((25.1079+24.36)/2,2)</f>
        <v>24.73</v>
      </c>
      <c r="G1031" s="24"/>
      <c r="H1031" s="24"/>
      <c r="I1031" s="24">
        <f>IF(G1031=0,ROUND($E1031*$F1031,2),ROUND($E1031*$F1031*$G1031,2))</f>
        <v>4243.17</v>
      </c>
      <c r="J1031" s="24"/>
      <c r="K1031" s="24"/>
      <c r="L1031" s="24"/>
      <c r="M1031" s="24">
        <f>ROUND(($I1031/9),2)</f>
        <v>471.46</v>
      </c>
      <c r="N1031" s="24"/>
      <c r="O1031" s="24"/>
      <c r="P1031" s="24"/>
      <c r="Q1031" s="24"/>
      <c r="R1031" s="24"/>
      <c r="S1031" s="24"/>
      <c r="T1031" s="24"/>
      <c r="U1031" s="24">
        <f>ROUND((($I1031/9)*U$1055),2)</f>
        <v>40.07</v>
      </c>
      <c r="V1031" s="24"/>
      <c r="W1031" s="24"/>
      <c r="X1031" s="24"/>
      <c r="Y1031" s="24"/>
      <c r="Z1031" s="24"/>
      <c r="AA1031" s="24">
        <f>ROUND(($I1031*(AA$1054/12))/27,2)</f>
        <v>16.37</v>
      </c>
      <c r="AB1031" s="24"/>
      <c r="AC1031" s="24"/>
      <c r="AD1031" s="24"/>
      <c r="AE1031" s="24"/>
      <c r="AF1031" s="24"/>
      <c r="AG1031" s="24"/>
      <c r="AH1031" s="24"/>
      <c r="AI1031" s="24"/>
      <c r="AJ1031" s="271"/>
      <c r="AK1031" s="272"/>
    </row>
    <row r="1032" spans="1:37" s="4" customFormat="1" ht="21.75" customHeight="1" thickBot="1">
      <c r="A1032" s="30">
        <v>38</v>
      </c>
      <c r="B1032" s="38">
        <f>C1031</f>
        <v>1457.28</v>
      </c>
      <c r="C1032" s="38">
        <v>1633.38</v>
      </c>
      <c r="D1032" s="39" t="s">
        <v>17</v>
      </c>
      <c r="E1032" s="24">
        <f>C1032-B1032</f>
        <v>176.10000000000014</v>
      </c>
      <c r="F1032" s="66">
        <f>ROUND((24.36+24.273)/2,2)</f>
        <v>24.32</v>
      </c>
      <c r="G1032" s="24"/>
      <c r="H1032" s="24"/>
      <c r="I1032" s="24">
        <f>IF(G1032=0,ROUND($E1032*$F1032,2),ROUND($E1032*$F1032*$G1032,2))</f>
        <v>4282.75</v>
      </c>
      <c r="J1032" s="24"/>
      <c r="K1032" s="24"/>
      <c r="L1032" s="24"/>
      <c r="M1032" s="24">
        <f>ROUND(($I1032/9),2)</f>
        <v>475.86</v>
      </c>
      <c r="N1032" s="24"/>
      <c r="O1032" s="24"/>
      <c r="P1032" s="24"/>
      <c r="Q1032" s="24"/>
      <c r="R1032" s="24"/>
      <c r="S1032" s="24"/>
      <c r="T1032" s="24"/>
      <c r="U1032" s="24">
        <f>ROUND((($I1032/9)*U$1055),2)</f>
        <v>40.45</v>
      </c>
      <c r="V1032" s="24"/>
      <c r="W1032" s="24"/>
      <c r="X1032" s="24"/>
      <c r="Y1032" s="24"/>
      <c r="Z1032" s="24"/>
      <c r="AA1032" s="24">
        <f>ROUND(($I1032*(AA$1054/12))/27,2)</f>
        <v>16.52</v>
      </c>
      <c r="AB1032" s="24"/>
      <c r="AC1032" s="24"/>
      <c r="AD1032" s="24"/>
      <c r="AE1032" s="24"/>
      <c r="AF1032" s="24"/>
      <c r="AG1032" s="24"/>
      <c r="AH1032" s="24"/>
      <c r="AI1032" s="24"/>
      <c r="AJ1032" s="281"/>
      <c r="AK1032" s="275"/>
    </row>
    <row r="1033" spans="1:37" s="4" customFormat="1" ht="21.75" customHeight="1">
      <c r="A1033" s="30">
        <v>39</v>
      </c>
      <c r="B1033" s="38">
        <f>C1032</f>
        <v>1633.38</v>
      </c>
      <c r="C1033" s="38">
        <v>1640.67</v>
      </c>
      <c r="D1033" s="39" t="s">
        <v>17</v>
      </c>
      <c r="E1033" s="24">
        <f>C1033-B1033</f>
        <v>7.289999999999964</v>
      </c>
      <c r="F1033" s="66">
        <f>ROUND((24.273+26.6665)/2,2)</f>
        <v>25.47</v>
      </c>
      <c r="G1033" s="24"/>
      <c r="H1033" s="24"/>
      <c r="I1033" s="24">
        <f>IF(G1033=0,ROUND($E1033*$F1033,2),ROUND($E1033*$F1033*$G1033,2))</f>
        <v>185.68</v>
      </c>
      <c r="J1033" s="24"/>
      <c r="K1033" s="24"/>
      <c r="L1033" s="24"/>
      <c r="M1033" s="24">
        <f>ROUND(($I1033/9),2)</f>
        <v>20.63</v>
      </c>
      <c r="N1033" s="24"/>
      <c r="O1033" s="24"/>
      <c r="P1033" s="24"/>
      <c r="Q1033" s="24"/>
      <c r="R1033" s="24"/>
      <c r="S1033" s="24"/>
      <c r="T1033" s="24"/>
      <c r="U1033" s="24">
        <f>ROUND((($I1033/9)*U$1055),2)</f>
        <v>1.75</v>
      </c>
      <c r="V1033" s="24"/>
      <c r="W1033" s="24"/>
      <c r="X1033" s="24"/>
      <c r="Y1033" s="24"/>
      <c r="Z1033" s="24"/>
      <c r="AA1033" s="24">
        <f>ROUND(($I1033*(AA$1054/12))/27,2)</f>
        <v>0.72</v>
      </c>
      <c r="AB1033" s="24"/>
      <c r="AC1033" s="24"/>
      <c r="AD1033" s="24"/>
      <c r="AE1033" s="24"/>
      <c r="AF1033" s="24"/>
      <c r="AG1033" s="24"/>
      <c r="AH1033" s="24"/>
      <c r="AI1033" s="24"/>
      <c r="AJ1033" s="269" t="s">
        <v>39</v>
      </c>
      <c r="AK1033" s="270"/>
    </row>
    <row r="1034" spans="1:37" s="4" customFormat="1" ht="21.75" customHeight="1">
      <c r="A1034" s="30">
        <v>40</v>
      </c>
      <c r="B1034" s="38">
        <v>1253.78</v>
      </c>
      <c r="C1034" s="38">
        <v>1640.67</v>
      </c>
      <c r="D1034" s="39" t="s">
        <v>16</v>
      </c>
      <c r="E1034" s="24">
        <f>C1034-B1034</f>
        <v>386.8900000000001</v>
      </c>
      <c r="F1034" s="66">
        <f>ROUND((21.7385+22.648)/2,2)</f>
        <v>22.19</v>
      </c>
      <c r="G1034" s="24"/>
      <c r="H1034" s="24"/>
      <c r="I1034" s="24">
        <f>IF(G1034=0,ROUND($E1034*$F1034,2),ROUND($E1034*$F1034*$G1034,2))</f>
        <v>8585.09</v>
      </c>
      <c r="J1034" s="24"/>
      <c r="K1034" s="24"/>
      <c r="L1034" s="24"/>
      <c r="M1034" s="24">
        <f>ROUND(($I1034/9),2)</f>
        <v>953.9</v>
      </c>
      <c r="N1034" s="24"/>
      <c r="O1034" s="24"/>
      <c r="P1034" s="24"/>
      <c r="Q1034" s="24"/>
      <c r="R1034" s="24"/>
      <c r="S1034" s="24"/>
      <c r="T1034" s="24"/>
      <c r="U1034" s="24">
        <f>ROUND((($I1034/9)*U$1055),2)</f>
        <v>81.08</v>
      </c>
      <c r="V1034" s="24"/>
      <c r="W1034" s="24"/>
      <c r="X1034" s="24"/>
      <c r="Y1034" s="24"/>
      <c r="Z1034" s="24"/>
      <c r="AA1034" s="24">
        <f>ROUND(($I1034*(AA$1054/12))/27,2)</f>
        <v>33.12</v>
      </c>
      <c r="AB1034" s="24"/>
      <c r="AC1034" s="24"/>
      <c r="AD1034" s="24"/>
      <c r="AE1034" s="24"/>
      <c r="AF1034" s="24"/>
      <c r="AG1034" s="24"/>
      <c r="AH1034" s="24"/>
      <c r="AI1034" s="24"/>
      <c r="AJ1034" s="271"/>
      <c r="AK1034" s="272"/>
    </row>
    <row r="1035" spans="1:37" s="4" customFormat="1" ht="21.75" customHeight="1">
      <c r="A1035" s="30">
        <v>41</v>
      </c>
      <c r="B1035" s="38"/>
      <c r="C1035" s="38"/>
      <c r="D1035" s="39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61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71"/>
      <c r="AK1035" s="272"/>
    </row>
    <row r="1036" spans="1:37" s="4" customFormat="1" ht="21.75" customHeight="1">
      <c r="A1036" s="30">
        <v>42</v>
      </c>
      <c r="B1036" s="230" t="s">
        <v>68</v>
      </c>
      <c r="C1036" s="231"/>
      <c r="D1036" s="231"/>
      <c r="E1036" s="231"/>
      <c r="F1036" s="231"/>
      <c r="G1036" s="231"/>
      <c r="H1036" s="231"/>
      <c r="I1036" s="232"/>
      <c r="J1036" s="24"/>
      <c r="K1036" s="24"/>
      <c r="L1036" s="24"/>
      <c r="M1036" s="24"/>
      <c r="N1036" s="24"/>
      <c r="O1036" s="24"/>
      <c r="P1036" s="61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71"/>
      <c r="AK1036" s="272"/>
    </row>
    <row r="1037" spans="1:37" s="4" customFormat="1" ht="21.75" customHeight="1">
      <c r="A1037" s="30">
        <v>43</v>
      </c>
      <c r="B1037" s="67" t="s">
        <v>55</v>
      </c>
      <c r="C1037" s="46"/>
      <c r="D1037" s="39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61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71"/>
      <c r="AK1037" s="272"/>
    </row>
    <row r="1038" spans="1:37" s="4" customFormat="1" ht="21.75" customHeight="1">
      <c r="A1038" s="30">
        <v>44</v>
      </c>
      <c r="B1038" s="38">
        <v>565.7</v>
      </c>
      <c r="C1038" s="38">
        <v>613.55</v>
      </c>
      <c r="D1038" s="39" t="s">
        <v>17</v>
      </c>
      <c r="E1038" s="24">
        <f>C1038-B1038</f>
        <v>47.84999999999991</v>
      </c>
      <c r="F1038" s="66">
        <f>ROUND((3.5556+3.6969)/2,2)</f>
        <v>3.63</v>
      </c>
      <c r="G1038" s="24"/>
      <c r="H1038" s="24"/>
      <c r="I1038" s="24">
        <f>IF(G1038=0,ROUND($E1038*$F1038,2),ROUND($E1038*$F1038*$G1038,2))</f>
        <v>173.7</v>
      </c>
      <c r="J1038" s="24"/>
      <c r="K1038" s="24"/>
      <c r="L1038" s="24">
        <f>IF($H1038=0,ROUND($E1038*(L$1054/12),2),ROUND($E1038*$H1038*(L$1054/12),2))</f>
        <v>143.55</v>
      </c>
      <c r="M1038" s="24"/>
      <c r="N1038" s="24">
        <f>ROUND((($I1038)*(N$1054/12))/27,2)</f>
        <v>4.29</v>
      </c>
      <c r="O1038" s="24">
        <f>ROUND((($I1038+L1038)*(O$1054/12))/27,2)</f>
        <v>5.88</v>
      </c>
      <c r="P1038" s="61"/>
      <c r="Q1038" s="24"/>
      <c r="R1038" s="24"/>
      <c r="S1038" s="24"/>
      <c r="T1038" s="24"/>
      <c r="U1038" s="24">
        <f>ROUND((($I1038/9)*U$1054)*2,2)</f>
        <v>2.12</v>
      </c>
      <c r="V1038" s="24"/>
      <c r="W1038" s="24"/>
      <c r="X1038" s="24"/>
      <c r="Y1038" s="24"/>
      <c r="Z1038" s="24"/>
      <c r="AA1038" s="24">
        <f>ROUND(($I1038*(AA$1054/12))/27,2)</f>
        <v>0.67</v>
      </c>
      <c r="AB1038" s="24"/>
      <c r="AC1038" s="24"/>
      <c r="AD1038" s="24">
        <f>ROUND(($I1038*(AD$1054/12))/27,2)</f>
        <v>0.94</v>
      </c>
      <c r="AE1038" s="24"/>
      <c r="AF1038" s="24"/>
      <c r="AG1038" s="24"/>
      <c r="AH1038" s="24"/>
      <c r="AI1038" s="24">
        <f>IF($H1038=0,$E1038,ROUND($E1038*$H1038,2))</f>
        <v>47.84999999999991</v>
      </c>
      <c r="AJ1038" s="271"/>
      <c r="AK1038" s="272"/>
    </row>
    <row r="1039" spans="1:37" s="4" customFormat="1" ht="21.75" customHeight="1">
      <c r="A1039" s="30">
        <v>45</v>
      </c>
      <c r="B1039" s="38">
        <v>561.73</v>
      </c>
      <c r="C1039" s="38">
        <v>612.28</v>
      </c>
      <c r="D1039" s="39" t="s">
        <v>16</v>
      </c>
      <c r="E1039" s="24">
        <f>C1039-B1039</f>
        <v>50.549999999999955</v>
      </c>
      <c r="F1039" s="66">
        <f>ROUND((3.5014+3.8709)/2,2)</f>
        <v>3.69</v>
      </c>
      <c r="G1039" s="66"/>
      <c r="H1039" s="24"/>
      <c r="I1039" s="24">
        <f>IF(G1039=0,ROUND($E1039*$F1039,2),ROUND($E1039*$F1039*$G1039,2))</f>
        <v>186.53</v>
      </c>
      <c r="J1039" s="24"/>
      <c r="K1039" s="24"/>
      <c r="L1039" s="24">
        <f>IF($H1039=0,ROUND($E1039*(L$1054/12),2),ROUND($E1039*$H1039*(L$1054/12),2))</f>
        <v>151.65</v>
      </c>
      <c r="M1039" s="24"/>
      <c r="N1039" s="24">
        <f>ROUND((($I1039)*(N$1054/12))/27,2)</f>
        <v>4.61</v>
      </c>
      <c r="O1039" s="24">
        <f>ROUND((($I1039+L1039)*(O$1054/12))/27,2)</f>
        <v>6.26</v>
      </c>
      <c r="P1039" s="61"/>
      <c r="Q1039" s="24"/>
      <c r="R1039" s="24"/>
      <c r="S1039" s="24"/>
      <c r="T1039" s="24"/>
      <c r="U1039" s="24">
        <f>ROUND((($I1039/9)*U$1054)*2,2)</f>
        <v>2.28</v>
      </c>
      <c r="V1039" s="24"/>
      <c r="W1039" s="24"/>
      <c r="X1039" s="24"/>
      <c r="Y1039" s="24"/>
      <c r="Z1039" s="24"/>
      <c r="AA1039" s="24">
        <f>ROUND(($I1039*(AA$1054/12))/27,2)</f>
        <v>0.72</v>
      </c>
      <c r="AB1039" s="24"/>
      <c r="AC1039" s="24"/>
      <c r="AD1039" s="24">
        <f>ROUND(($I1039*(AD$1054/12))/27,2)</f>
        <v>1.01</v>
      </c>
      <c r="AE1039" s="24"/>
      <c r="AF1039" s="24"/>
      <c r="AG1039" s="24"/>
      <c r="AH1039" s="24"/>
      <c r="AI1039" s="24">
        <f>IF($H1039=0,$E1039,ROUND($E1039*$H1039,2))</f>
        <v>50.549999999999955</v>
      </c>
      <c r="AJ1039" s="271"/>
      <c r="AK1039" s="272"/>
    </row>
    <row r="1040" spans="1:37" s="4" customFormat="1" ht="21.75" customHeight="1">
      <c r="A1040" s="30">
        <v>46</v>
      </c>
      <c r="B1040" s="67"/>
      <c r="C1040" s="103"/>
      <c r="D1040" s="39"/>
      <c r="E1040" s="24"/>
      <c r="F1040" s="66"/>
      <c r="G1040" s="66"/>
      <c r="H1040" s="24"/>
      <c r="I1040" s="24"/>
      <c r="J1040" s="7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74"/>
      <c r="AJ1040" s="271"/>
      <c r="AK1040" s="272"/>
    </row>
    <row r="1041" spans="1:37" s="4" customFormat="1" ht="21.75" customHeight="1">
      <c r="A1041" s="30">
        <v>47</v>
      </c>
      <c r="B1041" s="230" t="s">
        <v>137</v>
      </c>
      <c r="C1041" s="231"/>
      <c r="D1041" s="231"/>
      <c r="E1041" s="231"/>
      <c r="F1041" s="231"/>
      <c r="G1041" s="231"/>
      <c r="H1041" s="231"/>
      <c r="I1041" s="232"/>
      <c r="J1041" s="24"/>
      <c r="K1041" s="24"/>
      <c r="L1041" s="24"/>
      <c r="M1041" s="24"/>
      <c r="N1041" s="24"/>
      <c r="O1041" s="24"/>
      <c r="P1041" s="61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71"/>
      <c r="AK1041" s="272"/>
    </row>
    <row r="1042" spans="1:37" s="4" customFormat="1" ht="21.75" customHeight="1">
      <c r="A1042" s="30">
        <v>48</v>
      </c>
      <c r="B1042" s="67" t="s">
        <v>65</v>
      </c>
      <c r="C1042" s="46"/>
      <c r="D1042" s="39"/>
      <c r="E1042" s="24"/>
      <c r="F1042" s="66"/>
      <c r="G1042" s="66"/>
      <c r="H1042" s="24"/>
      <c r="I1042" s="24"/>
      <c r="J1042" s="24"/>
      <c r="K1042" s="24"/>
      <c r="L1042" s="24"/>
      <c r="M1042" s="24"/>
      <c r="N1042" s="24"/>
      <c r="O1042" s="24"/>
      <c r="P1042" s="61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71"/>
      <c r="AK1042" s="272"/>
    </row>
    <row r="1043" spans="1:37" s="4" customFormat="1" ht="21.75" customHeight="1">
      <c r="A1043" s="30">
        <v>49</v>
      </c>
      <c r="B1043" s="38">
        <v>1963.11</v>
      </c>
      <c r="C1043" s="38">
        <v>2315</v>
      </c>
      <c r="D1043" s="39" t="s">
        <v>17</v>
      </c>
      <c r="E1043" s="24">
        <f>C1043-B1043</f>
        <v>351.8900000000001</v>
      </c>
      <c r="F1043" s="66">
        <v>2</v>
      </c>
      <c r="G1043" s="24"/>
      <c r="H1043" s="24"/>
      <c r="I1043" s="24">
        <f>IF(G1043=0,ROUND($E1043*$F1043,2),ROUND($E1043*$F1043*$G1043,2))</f>
        <v>703.78</v>
      </c>
      <c r="J1043" s="39"/>
      <c r="K1043" s="24"/>
      <c r="L1043" s="24"/>
      <c r="M1043" s="24"/>
      <c r="N1043" s="24"/>
      <c r="O1043" s="24">
        <f>-ROUND((($I1043+K1043)*(O$1054/12))/27,2)</f>
        <v>-13.03</v>
      </c>
      <c r="P1043" s="24">
        <f>ROUND((($I1043+L1043)*(P$1054/12))/27,2)</f>
        <v>13.03</v>
      </c>
      <c r="Q1043" s="24"/>
      <c r="R1043" s="24">
        <f>-ROUND(($I1043/9),2)</f>
        <v>-78.2</v>
      </c>
      <c r="S1043" s="24">
        <f>ROUND(($I1043/9),2)</f>
        <v>78.2</v>
      </c>
      <c r="T1043" s="24"/>
      <c r="U1043" s="24">
        <f>-ROUND((($I1043/9)*U$1054),2)</f>
        <v>-4.3</v>
      </c>
      <c r="V1043" s="24">
        <f>ROUND((($I1043/9)*V$1054),2)</f>
        <v>4.3</v>
      </c>
      <c r="W1043" s="24"/>
      <c r="X1043" s="24">
        <f>-ROUND((($I1043/9)*X$1054),2)</f>
        <v>-5.47</v>
      </c>
      <c r="Y1043" s="24">
        <f>ROUND((($I1043/9)*Y$1054),2)</f>
        <v>5.47</v>
      </c>
      <c r="Z1043" s="24"/>
      <c r="AA1043" s="24">
        <f>-ROUND(($I1043*(AA$1054/12))/27,2)</f>
        <v>-2.72</v>
      </c>
      <c r="AB1043" s="24">
        <f>ROUND(($I1043*(AB$1054/12))/27,2)</f>
        <v>2.72</v>
      </c>
      <c r="AC1043" s="24"/>
      <c r="AD1043" s="24">
        <f>-ROUND(($I1043*(AD$1054/12))/27,2)</f>
        <v>-3.8</v>
      </c>
      <c r="AE1043" s="24">
        <f>ROUND(($I1043*(AE$1054/12))/27,2)</f>
        <v>3.8</v>
      </c>
      <c r="AF1043" s="24"/>
      <c r="AG1043" s="24"/>
      <c r="AH1043" s="24"/>
      <c r="AI1043" s="24"/>
      <c r="AJ1043" s="271"/>
      <c r="AK1043" s="272"/>
    </row>
    <row r="1044" spans="1:37" s="4" customFormat="1" ht="21.75" customHeight="1">
      <c r="A1044" s="30">
        <v>50</v>
      </c>
      <c r="B1044" s="38"/>
      <c r="C1044" s="38"/>
      <c r="D1044" s="39"/>
      <c r="E1044" s="24"/>
      <c r="F1044" s="104"/>
      <c r="G1044" s="107"/>
      <c r="H1044" s="24"/>
      <c r="I1044" s="24"/>
      <c r="J1044" s="24"/>
      <c r="K1044" s="24"/>
      <c r="L1044" s="24"/>
      <c r="M1044" s="24"/>
      <c r="N1044" s="24"/>
      <c r="O1044" s="24"/>
      <c r="P1044" s="61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71"/>
      <c r="AK1044" s="272"/>
    </row>
    <row r="1045" spans="1:37" s="4" customFormat="1" ht="21.75" customHeight="1">
      <c r="A1045" s="30">
        <v>51</v>
      </c>
      <c r="B1045" s="67" t="s">
        <v>53</v>
      </c>
      <c r="C1045" s="46"/>
      <c r="D1045" s="39"/>
      <c r="E1045" s="24"/>
      <c r="F1045" s="66"/>
      <c r="G1045" s="105"/>
      <c r="H1045" s="105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71"/>
      <c r="AK1045" s="272"/>
    </row>
    <row r="1046" spans="1:37" s="4" customFormat="1" ht="21.75" customHeight="1">
      <c r="A1046" s="30">
        <v>52</v>
      </c>
      <c r="B1046" s="38">
        <v>20366.42</v>
      </c>
      <c r="C1046" s="38">
        <v>20402.12</v>
      </c>
      <c r="D1046" s="39" t="s">
        <v>17</v>
      </c>
      <c r="E1046" s="24">
        <f>C1046-B1046</f>
        <v>35.70000000000073</v>
      </c>
      <c r="F1046" s="66">
        <v>2</v>
      </c>
      <c r="G1046" s="24"/>
      <c r="H1046" s="24"/>
      <c r="I1046" s="24">
        <f>IF(G1046=0,ROUND($E1046*$F1046,2),ROUND($E1046*$F1046*$G1046,2))</f>
        <v>71.4</v>
      </c>
      <c r="J1046" s="24"/>
      <c r="K1046" s="24"/>
      <c r="L1046" s="24"/>
      <c r="M1046" s="24"/>
      <c r="N1046" s="24"/>
      <c r="O1046" s="24">
        <f>-ROUND((($I1046+K1046)*(O$1054/12))/27,2)</f>
        <v>-1.32</v>
      </c>
      <c r="P1046" s="24">
        <f>ROUND((($I1046+L1046)*(P$1054/12))/27,2)</f>
        <v>1.32</v>
      </c>
      <c r="Q1046" s="24"/>
      <c r="R1046" s="24">
        <f>-ROUND(($I1046/9),2)</f>
        <v>-7.93</v>
      </c>
      <c r="S1046" s="24">
        <f>ROUND(($I1046/9),2)</f>
        <v>7.93</v>
      </c>
      <c r="T1046" s="24"/>
      <c r="U1046" s="24">
        <f>-ROUND((($I1046/9)*U$1054),2)</f>
        <v>-0.44</v>
      </c>
      <c r="V1046" s="24">
        <f>ROUND((($I1046/9)*V$1054),2)</f>
        <v>0.44</v>
      </c>
      <c r="W1046" s="24"/>
      <c r="X1046" s="24">
        <f>-ROUND((($I1046/9)*X$1054),2)</f>
        <v>-0.56</v>
      </c>
      <c r="Y1046" s="24">
        <f>ROUND((($I1046/9)*Y$1054),2)</f>
        <v>0.56</v>
      </c>
      <c r="Z1046" s="24"/>
      <c r="AA1046" s="24">
        <f>-ROUND(($I1046*(AA$1054/12))/27,2)</f>
        <v>-0.28</v>
      </c>
      <c r="AB1046" s="24">
        <f>ROUND(($I1046*(AB$1054/12))/27,2)</f>
        <v>0.28</v>
      </c>
      <c r="AC1046" s="24"/>
      <c r="AD1046" s="24">
        <f>-ROUND(($I1046*(AD$1054/12))/27,2)</f>
        <v>-0.39</v>
      </c>
      <c r="AE1046" s="24">
        <f>ROUND(($I1046*(AE$1054/12))/27,2)</f>
        <v>0.39</v>
      </c>
      <c r="AF1046" s="24"/>
      <c r="AG1046" s="24"/>
      <c r="AH1046" s="24"/>
      <c r="AI1046" s="24"/>
      <c r="AJ1046" s="273"/>
      <c r="AK1046" s="272"/>
    </row>
    <row r="1047" spans="1:37" s="4" customFormat="1" ht="21.75" customHeight="1">
      <c r="A1047" s="30">
        <v>53</v>
      </c>
      <c r="B1047" s="38">
        <f>C1046</f>
        <v>20402.12</v>
      </c>
      <c r="C1047" s="38">
        <v>20739.28</v>
      </c>
      <c r="D1047" s="39" t="s">
        <v>17</v>
      </c>
      <c r="E1047" s="24">
        <f>C1047-B1047</f>
        <v>337.15999999999985</v>
      </c>
      <c r="F1047" s="66">
        <v>2</v>
      </c>
      <c r="G1047" s="24"/>
      <c r="H1047" s="24"/>
      <c r="I1047" s="24">
        <f>IF(G1047=0,ROUND($E1047*$F1047,2),ROUND($E1047*$F1047*$G1047,2))</f>
        <v>674.32</v>
      </c>
      <c r="J1047" s="74"/>
      <c r="K1047" s="24"/>
      <c r="L1047" s="24"/>
      <c r="M1047" s="24"/>
      <c r="N1047" s="24"/>
      <c r="O1047" s="24"/>
      <c r="P1047" s="24">
        <f>ROUND((($I1047+L1047)*(P$1054/12))/27,2)</f>
        <v>12.49</v>
      </c>
      <c r="Q1047" s="24">
        <f>-ROUND((($I1047+M1047)*(Q$1054/12))/27,2)</f>
        <v>-12.49</v>
      </c>
      <c r="R1047" s="24"/>
      <c r="S1047" s="24">
        <f>ROUND(($I1047/9),2)</f>
        <v>74.92</v>
      </c>
      <c r="T1047" s="24">
        <f>-ROUND(($I1047/9),2)</f>
        <v>-74.92</v>
      </c>
      <c r="U1047" s="24"/>
      <c r="V1047" s="24">
        <f>ROUND((($I1047/9)*V$1054),2)</f>
        <v>4.12</v>
      </c>
      <c r="W1047" s="24">
        <f>-ROUND((($I1047/9)*W$1054),2)</f>
        <v>-4.12</v>
      </c>
      <c r="X1047" s="24"/>
      <c r="Y1047" s="24">
        <f>ROUND((($I1047/9)*Y$1054),2)</f>
        <v>5.24</v>
      </c>
      <c r="Z1047" s="24">
        <f>-ROUND((($I1047/9)*Z$1054),2)</f>
        <v>-5.24</v>
      </c>
      <c r="AA1047" s="24"/>
      <c r="AB1047" s="24">
        <f>ROUND(($I1047*(AB$1054/12))/27,2)</f>
        <v>2.6</v>
      </c>
      <c r="AC1047" s="24">
        <f>-ROUND(($I1047*(AC$1054/12))/27,2)</f>
        <v>-2.6</v>
      </c>
      <c r="AD1047" s="24"/>
      <c r="AE1047" s="24">
        <f>ROUND(($I1047*(AE$1054/12))/27,2)</f>
        <v>3.64</v>
      </c>
      <c r="AF1047" s="24">
        <f>-ROUND(($I1047*(AF$1054/12))/27,2)</f>
        <v>-3.64</v>
      </c>
      <c r="AG1047" s="24"/>
      <c r="AH1047" s="24"/>
      <c r="AI1047" s="24"/>
      <c r="AJ1047" s="273"/>
      <c r="AK1047" s="272"/>
    </row>
    <row r="1048" spans="1:37" s="4" customFormat="1" ht="21.75" customHeight="1" thickBot="1">
      <c r="A1048" s="30">
        <v>54</v>
      </c>
      <c r="B1048" s="38"/>
      <c r="C1048" s="38"/>
      <c r="D1048" s="39"/>
      <c r="E1048" s="24"/>
      <c r="F1048" s="66"/>
      <c r="G1048" s="66"/>
      <c r="H1048" s="24"/>
      <c r="I1048" s="24"/>
      <c r="J1048" s="7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74"/>
      <c r="AK1048" s="275"/>
    </row>
    <row r="1049" spans="2:37" s="1" customFormat="1" ht="46.5" customHeight="1">
      <c r="B1049" s="233" t="s">
        <v>15</v>
      </c>
      <c r="C1049" s="234"/>
      <c r="D1049" s="234"/>
      <c r="E1049" s="234"/>
      <c r="F1049" s="234"/>
      <c r="G1049" s="234"/>
      <c r="H1049" s="234"/>
      <c r="I1049" s="234"/>
      <c r="J1049" s="234"/>
      <c r="K1049" s="234"/>
      <c r="L1049" s="234"/>
      <c r="M1049" s="211">
        <f aca="true" t="shared" si="11" ref="M1049:AI1049">IF(SUM(M995:M1048)=0," ",ROUNDUP(SUM(M995:M1048),0))</f>
        <v>3595</v>
      </c>
      <c r="N1049" s="211">
        <f t="shared" si="11"/>
        <v>9</v>
      </c>
      <c r="O1049" s="211">
        <f t="shared" si="11"/>
        <v>346</v>
      </c>
      <c r="P1049" s="211">
        <f t="shared" si="11"/>
        <v>27</v>
      </c>
      <c r="Q1049" s="211">
        <f t="shared" si="11"/>
        <v>71</v>
      </c>
      <c r="R1049" s="211">
        <f t="shared" si="11"/>
        <v>1924</v>
      </c>
      <c r="S1049" s="211">
        <f t="shared" si="11"/>
        <v>162</v>
      </c>
      <c r="T1049" s="211">
        <f t="shared" si="11"/>
        <v>-75</v>
      </c>
      <c r="U1049" s="211">
        <f t="shared" si="11"/>
        <v>416</v>
      </c>
      <c r="V1049" s="211">
        <f t="shared" si="11"/>
        <v>9</v>
      </c>
      <c r="W1049" s="211">
        <f t="shared" si="11"/>
        <v>-5</v>
      </c>
      <c r="X1049" s="211">
        <f t="shared" si="11"/>
        <v>135</v>
      </c>
      <c r="Y1049" s="211">
        <f t="shared" si="11"/>
        <v>12</v>
      </c>
      <c r="Z1049" s="211">
        <f t="shared" si="11"/>
        <v>-6</v>
      </c>
      <c r="AA1049" s="211">
        <f t="shared" si="11"/>
        <v>193</v>
      </c>
      <c r="AB1049" s="211">
        <f t="shared" si="11"/>
        <v>6</v>
      </c>
      <c r="AC1049" s="211">
        <f t="shared" si="11"/>
        <v>-3</v>
      </c>
      <c r="AD1049" s="211">
        <f t="shared" si="11"/>
        <v>96</v>
      </c>
      <c r="AE1049" s="211">
        <f t="shared" si="11"/>
        <v>8</v>
      </c>
      <c r="AF1049" s="211">
        <f t="shared" si="11"/>
        <v>-4</v>
      </c>
      <c r="AG1049" s="211">
        <f t="shared" si="11"/>
        <v>496</v>
      </c>
      <c r="AH1049" s="211">
        <f t="shared" si="11"/>
        <v>691</v>
      </c>
      <c r="AI1049" s="211">
        <f t="shared" si="11"/>
        <v>99</v>
      </c>
      <c r="AJ1049" s="279">
        <v>15</v>
      </c>
      <c r="AK1049" s="280"/>
    </row>
    <row r="1050" spans="2:37" s="1" customFormat="1" ht="46.5" customHeight="1" thickBot="1">
      <c r="B1050" s="236"/>
      <c r="C1050" s="237"/>
      <c r="D1050" s="237"/>
      <c r="E1050" s="237"/>
      <c r="F1050" s="237"/>
      <c r="G1050" s="237"/>
      <c r="H1050" s="237"/>
      <c r="I1050" s="237"/>
      <c r="J1050" s="237"/>
      <c r="K1050" s="237"/>
      <c r="L1050" s="237"/>
      <c r="M1050" s="250"/>
      <c r="N1050" s="250"/>
      <c r="O1050" s="250"/>
      <c r="P1050" s="250"/>
      <c r="Q1050" s="250"/>
      <c r="R1050" s="250"/>
      <c r="S1050" s="212"/>
      <c r="T1050" s="212"/>
      <c r="U1050" s="250"/>
      <c r="V1050" s="212"/>
      <c r="W1050" s="212"/>
      <c r="X1050" s="250"/>
      <c r="Y1050" s="212"/>
      <c r="Z1050" s="212"/>
      <c r="AA1050" s="250"/>
      <c r="AB1050" s="212"/>
      <c r="AC1050" s="212"/>
      <c r="AD1050" s="250"/>
      <c r="AE1050" s="212"/>
      <c r="AF1050" s="212"/>
      <c r="AG1050" s="212"/>
      <c r="AH1050" s="212"/>
      <c r="AI1050" s="212"/>
      <c r="AJ1050" s="276">
        <v>18</v>
      </c>
      <c r="AK1050" s="277"/>
    </row>
    <row r="1051" spans="1:38" ht="36" customHeight="1">
      <c r="A1051" s="10"/>
      <c r="B1051" s="49"/>
      <c r="C1051" s="49"/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/>
      <c r="U1051" s="49"/>
      <c r="X1051" s="49"/>
      <c r="AA1051" s="49"/>
      <c r="AC1051" s="49"/>
      <c r="AD1051" s="49"/>
      <c r="AF1051" s="49"/>
      <c r="AG1051" s="78"/>
      <c r="AH1051" s="49"/>
      <c r="AL1051" s="11"/>
    </row>
    <row r="1052" spans="2:34" ht="15">
      <c r="B1052" s="49"/>
      <c r="C1052" s="49"/>
      <c r="D1052" s="49"/>
      <c r="E1052" s="49"/>
      <c r="F1052" s="49"/>
      <c r="G1052" s="49"/>
      <c r="H1052" s="49"/>
      <c r="I1052" s="159"/>
      <c r="J1052" s="49"/>
      <c r="K1052" s="49"/>
      <c r="L1052" s="49"/>
      <c r="M1052" s="49"/>
      <c r="N1052" s="49"/>
      <c r="O1052" s="79"/>
      <c r="P1052" s="49"/>
      <c r="Q1052" s="49"/>
      <c r="R1052" s="49"/>
      <c r="S1052" s="49"/>
      <c r="T1052"/>
      <c r="U1052" s="49"/>
      <c r="X1052" s="49"/>
      <c r="AA1052" s="49"/>
      <c r="AC1052" s="49"/>
      <c r="AD1052" s="49"/>
      <c r="AF1052" s="49"/>
      <c r="AG1052" s="78"/>
      <c r="AH1052" s="49"/>
    </row>
    <row r="1053" spans="2:34" ht="15">
      <c r="B1053" s="49"/>
      <c r="C1053" s="49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79"/>
      <c r="P1053" s="49"/>
      <c r="Q1053" s="49"/>
      <c r="R1053" s="49"/>
      <c r="S1053" s="49"/>
      <c r="T1053"/>
      <c r="U1053" s="49"/>
      <c r="X1053" s="49"/>
      <c r="AA1053" s="49"/>
      <c r="AC1053" s="49"/>
      <c r="AD1053" s="49"/>
      <c r="AF1053" s="49"/>
      <c r="AG1053" s="78"/>
      <c r="AH1053" s="49"/>
    </row>
    <row r="1054" spans="2:34" ht="15.75">
      <c r="B1054" s="224" t="s">
        <v>7</v>
      </c>
      <c r="C1054" s="225"/>
      <c r="D1054" s="225"/>
      <c r="E1054" s="225"/>
      <c r="F1054" s="225"/>
      <c r="G1054" s="226"/>
      <c r="H1054" s="53"/>
      <c r="I1054" s="53"/>
      <c r="J1054" s="53"/>
      <c r="K1054" s="138">
        <v>12</v>
      </c>
      <c r="L1054" s="138">
        <v>36</v>
      </c>
      <c r="M1054" s="138"/>
      <c r="N1054" s="53">
        <v>8</v>
      </c>
      <c r="O1054" s="93">
        <v>6</v>
      </c>
      <c r="P1054" s="138">
        <v>6</v>
      </c>
      <c r="Q1054" s="93">
        <v>6</v>
      </c>
      <c r="R1054" s="53"/>
      <c r="S1054" s="53"/>
      <c r="T1054"/>
      <c r="U1054" s="94">
        <v>0.055</v>
      </c>
      <c r="V1054" s="94">
        <v>0.055</v>
      </c>
      <c r="W1054" s="94">
        <v>0.055</v>
      </c>
      <c r="X1054" s="53">
        <v>0.07</v>
      </c>
      <c r="Y1054" s="53">
        <v>0.07</v>
      </c>
      <c r="Z1054" s="53">
        <v>0.07</v>
      </c>
      <c r="AA1054" s="53">
        <v>1.25</v>
      </c>
      <c r="AB1054" s="53">
        <v>1.25</v>
      </c>
      <c r="AC1054" s="53">
        <v>1.25</v>
      </c>
      <c r="AD1054" s="101">
        <v>1.75</v>
      </c>
      <c r="AE1054" s="53">
        <v>1.75</v>
      </c>
      <c r="AF1054" s="53">
        <v>1.75</v>
      </c>
      <c r="AG1054" s="53"/>
      <c r="AH1054" s="83"/>
    </row>
    <row r="1055" spans="2:36" ht="15.75">
      <c r="B1055" s="50"/>
      <c r="C1055" s="51"/>
      <c r="D1055" s="51"/>
      <c r="E1055" s="51"/>
      <c r="F1055" s="51"/>
      <c r="G1055" s="52"/>
      <c r="H1055" s="53"/>
      <c r="I1055" s="53"/>
      <c r="J1055" s="53"/>
      <c r="K1055" s="53"/>
      <c r="L1055" s="80"/>
      <c r="M1055" s="80"/>
      <c r="N1055" s="49"/>
      <c r="O1055" s="96"/>
      <c r="P1055" s="53"/>
      <c r="Q1055" s="49"/>
      <c r="R1055" s="53"/>
      <c r="S1055" s="49"/>
      <c r="T1055"/>
      <c r="U1055" s="53">
        <v>0.085</v>
      </c>
      <c r="V1055" s="53">
        <v>0.085</v>
      </c>
      <c r="W1055" s="53">
        <v>0.085</v>
      </c>
      <c r="X1055" s="85"/>
      <c r="AA1055" s="49"/>
      <c r="AC1055" s="49"/>
      <c r="AE1055" s="49"/>
      <c r="AF1055" s="83"/>
      <c r="AG1055" s="84"/>
      <c r="AI1055" s="52"/>
      <c r="AJ1055" s="52"/>
    </row>
    <row r="1056" spans="2:35" ht="15.75">
      <c r="B1056" s="50"/>
      <c r="C1056" s="51"/>
      <c r="D1056" s="51"/>
      <c r="E1056" s="51"/>
      <c r="F1056" s="51"/>
      <c r="G1056" s="52"/>
      <c r="H1056" s="53"/>
      <c r="I1056" s="53"/>
      <c r="J1056" s="53"/>
      <c r="K1056" s="53"/>
      <c r="L1056" s="80"/>
      <c r="M1056" s="80"/>
      <c r="N1056" s="49"/>
      <c r="O1056" s="96"/>
      <c r="P1056" s="49"/>
      <c r="Q1056" s="49"/>
      <c r="R1056" s="49"/>
      <c r="T1056"/>
      <c r="U1056" s="85"/>
      <c r="W1056" s="49"/>
      <c r="Z1056" s="49"/>
      <c r="AA1056" s="49"/>
      <c r="AB1056" s="49"/>
      <c r="AC1056" s="49"/>
      <c r="AD1056" s="83"/>
      <c r="AE1056" s="84"/>
      <c r="AH1056" s="52"/>
      <c r="AI1056" s="52"/>
    </row>
  </sheetData>
  <sheetProtection/>
  <mergeCells count="1264">
    <mergeCell ref="W995:W996"/>
    <mergeCell ref="T995:T996"/>
    <mergeCell ref="Z1049:Z1050"/>
    <mergeCell ref="R1049:R1050"/>
    <mergeCell ref="S1049:S1050"/>
    <mergeCell ref="U1049:U1050"/>
    <mergeCell ref="V1049:V1050"/>
    <mergeCell ref="AA986:AC993"/>
    <mergeCell ref="AA985:AC985"/>
    <mergeCell ref="U985:W985"/>
    <mergeCell ref="R985:T985"/>
    <mergeCell ref="R986:T993"/>
    <mergeCell ref="R994:T994"/>
    <mergeCell ref="X986:Z993"/>
    <mergeCell ref="X994:Z994"/>
    <mergeCell ref="U994:W994"/>
    <mergeCell ref="U986:W993"/>
    <mergeCell ref="AI1049:AI1050"/>
    <mergeCell ref="AJ1049:AK1049"/>
    <mergeCell ref="AJ1050:AK1050"/>
    <mergeCell ref="B1054:G1054"/>
    <mergeCell ref="X985:Z985"/>
    <mergeCell ref="AF1049:AF1050"/>
    <mergeCell ref="AD986:AF993"/>
    <mergeCell ref="AD994:AF994"/>
    <mergeCell ref="AA994:AC994"/>
    <mergeCell ref="AE995:AE996"/>
    <mergeCell ref="AA1049:AA1050"/>
    <mergeCell ref="AB1049:AB1050"/>
    <mergeCell ref="AD1049:AD1050"/>
    <mergeCell ref="AE1049:AE1050"/>
    <mergeCell ref="AG1049:AG1050"/>
    <mergeCell ref="T1049:T1050"/>
    <mergeCell ref="W1049:W1050"/>
    <mergeCell ref="AH1049:AH1050"/>
    <mergeCell ref="AC1049:AC1050"/>
    <mergeCell ref="X1049:X1050"/>
    <mergeCell ref="Y1049:Y1050"/>
    <mergeCell ref="B1049:L1050"/>
    <mergeCell ref="M1049:M1050"/>
    <mergeCell ref="N1049:N1050"/>
    <mergeCell ref="O1049:O1050"/>
    <mergeCell ref="P1049:P1050"/>
    <mergeCell ref="Q1049:Q1050"/>
    <mergeCell ref="B1019:I1019"/>
    <mergeCell ref="E1022:I1022"/>
    <mergeCell ref="E1026:I1026"/>
    <mergeCell ref="AJ1033:AK1048"/>
    <mergeCell ref="B1036:I1036"/>
    <mergeCell ref="B1041:I1041"/>
    <mergeCell ref="B996:I996"/>
    <mergeCell ref="B1003:I1003"/>
    <mergeCell ref="X995:X996"/>
    <mergeCell ref="Y995:Y996"/>
    <mergeCell ref="AA995:AA996"/>
    <mergeCell ref="AB995:AB996"/>
    <mergeCell ref="M995:M996"/>
    <mergeCell ref="N995:N996"/>
    <mergeCell ref="O995:O996"/>
    <mergeCell ref="P995:P996"/>
    <mergeCell ref="Q995:Q996"/>
    <mergeCell ref="R995:R996"/>
    <mergeCell ref="S995:S996"/>
    <mergeCell ref="U995:U996"/>
    <mergeCell ref="V995:V996"/>
    <mergeCell ref="AG986:AG993"/>
    <mergeCell ref="O994:Q994"/>
    <mergeCell ref="AF995:AF996"/>
    <mergeCell ref="AC995:AC996"/>
    <mergeCell ref="Z995:Z996"/>
    <mergeCell ref="AI986:AI993"/>
    <mergeCell ref="AJ988:AK1032"/>
    <mergeCell ref="AG995:AG996"/>
    <mergeCell ref="AH995:AH996"/>
    <mergeCell ref="AI995:AI996"/>
    <mergeCell ref="AD995:AD996"/>
    <mergeCell ref="AH986:AH993"/>
    <mergeCell ref="AJ985:AJ987"/>
    <mergeCell ref="AK985:AK987"/>
    <mergeCell ref="AD985:AF985"/>
    <mergeCell ref="I985:I993"/>
    <mergeCell ref="J985:J993"/>
    <mergeCell ref="K985:K993"/>
    <mergeCell ref="L985:L993"/>
    <mergeCell ref="O985:Q985"/>
    <mergeCell ref="M986:M993"/>
    <mergeCell ref="N986:N993"/>
    <mergeCell ref="O986:Q993"/>
    <mergeCell ref="B985:C993"/>
    <mergeCell ref="D985:D993"/>
    <mergeCell ref="E985:E993"/>
    <mergeCell ref="F985:F993"/>
    <mergeCell ref="G985:G993"/>
    <mergeCell ref="H985:H993"/>
    <mergeCell ref="O984:Q984"/>
    <mergeCell ref="R984:S984"/>
    <mergeCell ref="U984:V984"/>
    <mergeCell ref="X984:Y984"/>
    <mergeCell ref="AA984:AB984"/>
    <mergeCell ref="AD984:AE984"/>
    <mergeCell ref="AD974:AD975"/>
    <mergeCell ref="AE974:AE975"/>
    <mergeCell ref="AF974:AG974"/>
    <mergeCell ref="AI974:AI975"/>
    <mergeCell ref="AF975:AG975"/>
    <mergeCell ref="B979:G979"/>
    <mergeCell ref="X974:X975"/>
    <mergeCell ref="Y974:Y975"/>
    <mergeCell ref="Z974:Z975"/>
    <mergeCell ref="AA974:AA975"/>
    <mergeCell ref="AB974:AB975"/>
    <mergeCell ref="AC974:AC975"/>
    <mergeCell ref="R974:R975"/>
    <mergeCell ref="S974:S975"/>
    <mergeCell ref="T974:T975"/>
    <mergeCell ref="U974:U975"/>
    <mergeCell ref="V974:V975"/>
    <mergeCell ref="W974:W975"/>
    <mergeCell ref="B974:L975"/>
    <mergeCell ref="M974:M975"/>
    <mergeCell ref="N974:N975"/>
    <mergeCell ref="O974:O975"/>
    <mergeCell ref="P974:P975"/>
    <mergeCell ref="Q974:Q975"/>
    <mergeCell ref="F950:I950"/>
    <mergeCell ref="F951:I951"/>
    <mergeCell ref="F952:I952"/>
    <mergeCell ref="AF958:AG973"/>
    <mergeCell ref="F961:I961"/>
    <mergeCell ref="F962:I962"/>
    <mergeCell ref="F963:I963"/>
    <mergeCell ref="F973:I973"/>
    <mergeCell ref="AE920:AE921"/>
    <mergeCell ref="AI920:AI921"/>
    <mergeCell ref="B921:I921"/>
    <mergeCell ref="F931:I931"/>
    <mergeCell ref="F938:I938"/>
    <mergeCell ref="B946:I946"/>
    <mergeCell ref="Y920:Y921"/>
    <mergeCell ref="Z920:Z921"/>
    <mergeCell ref="AA920:AA921"/>
    <mergeCell ref="AB920:AB921"/>
    <mergeCell ref="AC920:AC921"/>
    <mergeCell ref="AD920:AD921"/>
    <mergeCell ref="S920:S921"/>
    <mergeCell ref="T920:T921"/>
    <mergeCell ref="U920:U921"/>
    <mergeCell ref="V920:V921"/>
    <mergeCell ref="W920:W921"/>
    <mergeCell ref="X920:X921"/>
    <mergeCell ref="M920:M921"/>
    <mergeCell ref="N920:N921"/>
    <mergeCell ref="O920:O921"/>
    <mergeCell ref="P920:P921"/>
    <mergeCell ref="Q920:Q921"/>
    <mergeCell ref="R920:R921"/>
    <mergeCell ref="AI911:AI918"/>
    <mergeCell ref="AF913:AG957"/>
    <mergeCell ref="M919:N919"/>
    <mergeCell ref="O919:P919"/>
    <mergeCell ref="Q919:R919"/>
    <mergeCell ref="S919:T919"/>
    <mergeCell ref="U919:V919"/>
    <mergeCell ref="W919:X919"/>
    <mergeCell ref="AA919:AB919"/>
    <mergeCell ref="AC919:AD919"/>
    <mergeCell ref="W911:X918"/>
    <mergeCell ref="Y911:Y918"/>
    <mergeCell ref="Z911:Z918"/>
    <mergeCell ref="AA911:AB918"/>
    <mergeCell ref="AC911:AD918"/>
    <mergeCell ref="AE911:AE918"/>
    <mergeCell ref="W910:X910"/>
    <mergeCell ref="AA910:AB910"/>
    <mergeCell ref="AC910:AD910"/>
    <mergeCell ref="AF910:AF912"/>
    <mergeCell ref="AG910:AG912"/>
    <mergeCell ref="M911:N918"/>
    <mergeCell ref="O911:P918"/>
    <mergeCell ref="Q911:R918"/>
    <mergeCell ref="S911:T918"/>
    <mergeCell ref="U911:V918"/>
    <mergeCell ref="L910:L918"/>
    <mergeCell ref="M910:N910"/>
    <mergeCell ref="O910:P910"/>
    <mergeCell ref="Q910:R910"/>
    <mergeCell ref="S910:T910"/>
    <mergeCell ref="U910:V910"/>
    <mergeCell ref="AC909:AD909"/>
    <mergeCell ref="B910:C918"/>
    <mergeCell ref="D910:D918"/>
    <mergeCell ref="E910:E918"/>
    <mergeCell ref="F910:F918"/>
    <mergeCell ref="G910:G918"/>
    <mergeCell ref="H910:H918"/>
    <mergeCell ref="I910:I918"/>
    <mergeCell ref="J910:J918"/>
    <mergeCell ref="K910:K918"/>
    <mergeCell ref="AC900:AC901"/>
    <mergeCell ref="AD900:AD901"/>
    <mergeCell ref="AE900:AE901"/>
    <mergeCell ref="AF900:AG900"/>
    <mergeCell ref="AF901:AG901"/>
    <mergeCell ref="M909:N909"/>
    <mergeCell ref="O909:P909"/>
    <mergeCell ref="U909:V909"/>
    <mergeCell ref="W909:X909"/>
    <mergeCell ref="AA909:AB909"/>
    <mergeCell ref="W900:W901"/>
    <mergeCell ref="X900:X901"/>
    <mergeCell ref="Y900:Y901"/>
    <mergeCell ref="Z900:Z901"/>
    <mergeCell ref="AA900:AA901"/>
    <mergeCell ref="AB900:AB901"/>
    <mergeCell ref="Q900:Q901"/>
    <mergeCell ref="R900:R901"/>
    <mergeCell ref="S900:S901"/>
    <mergeCell ref="T900:T901"/>
    <mergeCell ref="U900:U901"/>
    <mergeCell ref="V900:V901"/>
    <mergeCell ref="B900:K901"/>
    <mergeCell ref="L900:L901"/>
    <mergeCell ref="M900:M901"/>
    <mergeCell ref="N900:N901"/>
    <mergeCell ref="O900:O901"/>
    <mergeCell ref="P900:P901"/>
    <mergeCell ref="AD846:AD847"/>
    <mergeCell ref="AE846:AE847"/>
    <mergeCell ref="B847:I847"/>
    <mergeCell ref="B872:I872"/>
    <mergeCell ref="B873:C873"/>
    <mergeCell ref="AF884:AG899"/>
    <mergeCell ref="X846:X847"/>
    <mergeCell ref="Y846:Y847"/>
    <mergeCell ref="Z846:Z847"/>
    <mergeCell ref="AA846:AA847"/>
    <mergeCell ref="AB846:AB847"/>
    <mergeCell ref="AC846:AC847"/>
    <mergeCell ref="R846:R847"/>
    <mergeCell ref="S846:S847"/>
    <mergeCell ref="T846:T847"/>
    <mergeCell ref="U846:U847"/>
    <mergeCell ref="V846:V847"/>
    <mergeCell ref="W846:W847"/>
    <mergeCell ref="L846:L847"/>
    <mergeCell ref="M846:M847"/>
    <mergeCell ref="N846:N847"/>
    <mergeCell ref="O846:O847"/>
    <mergeCell ref="P846:P847"/>
    <mergeCell ref="Q846:Q847"/>
    <mergeCell ref="AB837:AB844"/>
    <mergeCell ref="AC837:AC844"/>
    <mergeCell ref="AD837:AE844"/>
    <mergeCell ref="AF839:AG883"/>
    <mergeCell ref="L845:M845"/>
    <mergeCell ref="N845:O845"/>
    <mergeCell ref="P845:Q845"/>
    <mergeCell ref="R845:S845"/>
    <mergeCell ref="T845:U845"/>
    <mergeCell ref="AD845:AE845"/>
    <mergeCell ref="V837:V844"/>
    <mergeCell ref="W837:W844"/>
    <mergeCell ref="X837:X844"/>
    <mergeCell ref="Y837:Y844"/>
    <mergeCell ref="Z837:Z844"/>
    <mergeCell ref="AA837:AA844"/>
    <mergeCell ref="R836:S836"/>
    <mergeCell ref="T836:U836"/>
    <mergeCell ref="AD836:AE836"/>
    <mergeCell ref="AF836:AF838"/>
    <mergeCell ref="AG836:AG838"/>
    <mergeCell ref="L837:M844"/>
    <mergeCell ref="N837:O844"/>
    <mergeCell ref="P837:Q844"/>
    <mergeCell ref="R837:S844"/>
    <mergeCell ref="T837:U844"/>
    <mergeCell ref="I836:I844"/>
    <mergeCell ref="J836:J844"/>
    <mergeCell ref="K836:K844"/>
    <mergeCell ref="L836:M836"/>
    <mergeCell ref="N836:O836"/>
    <mergeCell ref="P836:Q836"/>
    <mergeCell ref="B836:C844"/>
    <mergeCell ref="D836:D844"/>
    <mergeCell ref="E836:E844"/>
    <mergeCell ref="F836:F844"/>
    <mergeCell ref="G836:G844"/>
    <mergeCell ref="H836:H844"/>
    <mergeCell ref="L835:M835"/>
    <mergeCell ref="N835:O835"/>
    <mergeCell ref="P835:Q835"/>
    <mergeCell ref="R835:S835"/>
    <mergeCell ref="T835:U835"/>
    <mergeCell ref="AD835:AE835"/>
    <mergeCell ref="W826:W827"/>
    <mergeCell ref="X826:X827"/>
    <mergeCell ref="Y826:Y827"/>
    <mergeCell ref="AF810:AG825"/>
    <mergeCell ref="Z826:Z827"/>
    <mergeCell ref="AF826:AG826"/>
    <mergeCell ref="AF827:AG827"/>
    <mergeCell ref="N826:N827"/>
    <mergeCell ref="O826:O827"/>
    <mergeCell ref="P826:P827"/>
    <mergeCell ref="U826:U827"/>
    <mergeCell ref="V826:V827"/>
    <mergeCell ref="T826:T827"/>
    <mergeCell ref="S826:S827"/>
    <mergeCell ref="Z763:Z770"/>
    <mergeCell ref="AF765:AG809"/>
    <mergeCell ref="B772:C772"/>
    <mergeCell ref="B774:C774"/>
    <mergeCell ref="B795:C795"/>
    <mergeCell ref="B800:C800"/>
    <mergeCell ref="AG762:AG764"/>
    <mergeCell ref="S763:S770"/>
    <mergeCell ref="T763:T770"/>
    <mergeCell ref="U763:U770"/>
    <mergeCell ref="K826:K827"/>
    <mergeCell ref="L826:L827"/>
    <mergeCell ref="O763:O770"/>
    <mergeCell ref="P763:P770"/>
    <mergeCell ref="Q763:Q770"/>
    <mergeCell ref="R763:R770"/>
    <mergeCell ref="Q826:Q827"/>
    <mergeCell ref="R826:R827"/>
    <mergeCell ref="N763:N770"/>
    <mergeCell ref="M826:M827"/>
    <mergeCell ref="H762:H770"/>
    <mergeCell ref="I762:I770"/>
    <mergeCell ref="J762:J770"/>
    <mergeCell ref="K762:K770"/>
    <mergeCell ref="L762:L770"/>
    <mergeCell ref="M763:M770"/>
    <mergeCell ref="AF762:AF764"/>
    <mergeCell ref="V763:V770"/>
    <mergeCell ref="W763:W770"/>
    <mergeCell ref="X763:X770"/>
    <mergeCell ref="Y763:Y770"/>
    <mergeCell ref="AC752:AC753"/>
    <mergeCell ref="AD752:AD753"/>
    <mergeCell ref="AE752:AE753"/>
    <mergeCell ref="AF752:AG752"/>
    <mergeCell ref="AF753:AG753"/>
    <mergeCell ref="B762:C770"/>
    <mergeCell ref="D762:D770"/>
    <mergeCell ref="E762:E770"/>
    <mergeCell ref="F762:F770"/>
    <mergeCell ref="G762:G770"/>
    <mergeCell ref="W752:W753"/>
    <mergeCell ref="V752:V753"/>
    <mergeCell ref="B752:K753"/>
    <mergeCell ref="L752:L753"/>
    <mergeCell ref="M752:M753"/>
    <mergeCell ref="Z752:Z753"/>
    <mergeCell ref="AA752:AA753"/>
    <mergeCell ref="AB752:AB753"/>
    <mergeCell ref="Q752:Q753"/>
    <mergeCell ref="R752:R753"/>
    <mergeCell ref="S752:S753"/>
    <mergeCell ref="T752:T753"/>
    <mergeCell ref="U752:U753"/>
    <mergeCell ref="N752:N753"/>
    <mergeCell ref="O752:O753"/>
    <mergeCell ref="P752:P753"/>
    <mergeCell ref="X710:Y715"/>
    <mergeCell ref="Z717:AA719"/>
    <mergeCell ref="AB721:AC724"/>
    <mergeCell ref="AB726:AC726"/>
    <mergeCell ref="AB728:AC728"/>
    <mergeCell ref="X752:X753"/>
    <mergeCell ref="Y752:Y753"/>
    <mergeCell ref="AF736:AG751"/>
    <mergeCell ref="AC698:AC699"/>
    <mergeCell ref="AD698:AD699"/>
    <mergeCell ref="AE698:AE699"/>
    <mergeCell ref="B699:I699"/>
    <mergeCell ref="V700:W700"/>
    <mergeCell ref="V701:W704"/>
    <mergeCell ref="W698:W699"/>
    <mergeCell ref="X698:X699"/>
    <mergeCell ref="Y698:Y699"/>
    <mergeCell ref="Z698:Z699"/>
    <mergeCell ref="AA698:AA699"/>
    <mergeCell ref="AB698:AB699"/>
    <mergeCell ref="Q698:Q699"/>
    <mergeCell ref="R698:R699"/>
    <mergeCell ref="S698:S699"/>
    <mergeCell ref="T698:T699"/>
    <mergeCell ref="U698:U699"/>
    <mergeCell ref="V698:V699"/>
    <mergeCell ref="V697:W697"/>
    <mergeCell ref="X697:Y697"/>
    <mergeCell ref="Z697:AA697"/>
    <mergeCell ref="AB697:AC697"/>
    <mergeCell ref="AD697:AE697"/>
    <mergeCell ref="L698:L699"/>
    <mergeCell ref="M698:M699"/>
    <mergeCell ref="N698:N699"/>
    <mergeCell ref="O698:O699"/>
    <mergeCell ref="P698:P699"/>
    <mergeCell ref="X689:Y696"/>
    <mergeCell ref="Z689:AA696"/>
    <mergeCell ref="AB689:AC696"/>
    <mergeCell ref="AD689:AE696"/>
    <mergeCell ref="AF691:AG735"/>
    <mergeCell ref="L697:M697"/>
    <mergeCell ref="N697:O697"/>
    <mergeCell ref="P697:Q697"/>
    <mergeCell ref="R697:S697"/>
    <mergeCell ref="T697:U697"/>
    <mergeCell ref="AB688:AC688"/>
    <mergeCell ref="AD688:AE688"/>
    <mergeCell ref="AF688:AF690"/>
    <mergeCell ref="AG688:AG690"/>
    <mergeCell ref="L689:M696"/>
    <mergeCell ref="N689:O696"/>
    <mergeCell ref="P689:Q696"/>
    <mergeCell ref="R689:S696"/>
    <mergeCell ref="T689:U696"/>
    <mergeCell ref="V689:W696"/>
    <mergeCell ref="P688:Q688"/>
    <mergeCell ref="R688:S688"/>
    <mergeCell ref="T688:U688"/>
    <mergeCell ref="V688:W688"/>
    <mergeCell ref="X688:Y688"/>
    <mergeCell ref="Z688:AA688"/>
    <mergeCell ref="H688:H696"/>
    <mergeCell ref="I688:I696"/>
    <mergeCell ref="J688:J696"/>
    <mergeCell ref="K688:K696"/>
    <mergeCell ref="L688:M688"/>
    <mergeCell ref="N688:O688"/>
    <mergeCell ref="L687:M687"/>
    <mergeCell ref="N687:O687"/>
    <mergeCell ref="P687:Q687"/>
    <mergeCell ref="R687:S687"/>
    <mergeCell ref="T687:U687"/>
    <mergeCell ref="B688:C696"/>
    <mergeCell ref="D688:D696"/>
    <mergeCell ref="E688:E696"/>
    <mergeCell ref="F688:F696"/>
    <mergeCell ref="G688:G696"/>
    <mergeCell ref="AB675:AB676"/>
    <mergeCell ref="AC675:AC676"/>
    <mergeCell ref="AD675:AD676"/>
    <mergeCell ref="AE675:AE676"/>
    <mergeCell ref="AF675:AG675"/>
    <mergeCell ref="AF676:AG676"/>
    <mergeCell ref="V675:V676"/>
    <mergeCell ref="W675:W676"/>
    <mergeCell ref="X675:X676"/>
    <mergeCell ref="Y675:Y676"/>
    <mergeCell ref="Z675:Z676"/>
    <mergeCell ref="AA675:AA676"/>
    <mergeCell ref="P675:P676"/>
    <mergeCell ref="Q675:Q676"/>
    <mergeCell ref="R675:R676"/>
    <mergeCell ref="S675:S676"/>
    <mergeCell ref="T675:T676"/>
    <mergeCell ref="U675:U676"/>
    <mergeCell ref="F649:I649"/>
    <mergeCell ref="AF659:AG674"/>
    <mergeCell ref="B672:C672"/>
    <mergeCell ref="F672:I672"/>
    <mergeCell ref="B675:J676"/>
    <mergeCell ref="K675:K676"/>
    <mergeCell ref="L675:L676"/>
    <mergeCell ref="M675:M676"/>
    <mergeCell ref="N675:N676"/>
    <mergeCell ref="O675:O676"/>
    <mergeCell ref="Z621:Z622"/>
    <mergeCell ref="AA621:AA622"/>
    <mergeCell ref="AB621:AB622"/>
    <mergeCell ref="AC621:AC622"/>
    <mergeCell ref="AD621:AD622"/>
    <mergeCell ref="AE621:AE622"/>
    <mergeCell ref="T621:T622"/>
    <mergeCell ref="U621:U622"/>
    <mergeCell ref="V621:V622"/>
    <mergeCell ref="W621:W622"/>
    <mergeCell ref="X621:X622"/>
    <mergeCell ref="Y621:Y622"/>
    <mergeCell ref="B621:C621"/>
    <mergeCell ref="K621:K622"/>
    <mergeCell ref="L621:L622"/>
    <mergeCell ref="M621:M622"/>
    <mergeCell ref="N621:N622"/>
    <mergeCell ref="O621:O622"/>
    <mergeCell ref="B622:I622"/>
    <mergeCell ref="AC612:AC619"/>
    <mergeCell ref="AD612:AD619"/>
    <mergeCell ref="AE612:AE619"/>
    <mergeCell ref="AF614:AG658"/>
    <mergeCell ref="M620:N620"/>
    <mergeCell ref="O620:P620"/>
    <mergeCell ref="P621:P622"/>
    <mergeCell ref="Q621:Q622"/>
    <mergeCell ref="R621:R622"/>
    <mergeCell ref="S621:S622"/>
    <mergeCell ref="W612:W619"/>
    <mergeCell ref="X612:X619"/>
    <mergeCell ref="Y612:Y619"/>
    <mergeCell ref="Z612:Z619"/>
    <mergeCell ref="AA612:AA619"/>
    <mergeCell ref="AB612:AB619"/>
    <mergeCell ref="Q612:Q619"/>
    <mergeCell ref="R612:R619"/>
    <mergeCell ref="S612:S619"/>
    <mergeCell ref="T612:T619"/>
    <mergeCell ref="U612:U619"/>
    <mergeCell ref="V612:V619"/>
    <mergeCell ref="I611:I619"/>
    <mergeCell ref="J611:J619"/>
    <mergeCell ref="M611:N611"/>
    <mergeCell ref="O611:P611"/>
    <mergeCell ref="AF611:AF613"/>
    <mergeCell ref="AG611:AG613"/>
    <mergeCell ref="K612:K619"/>
    <mergeCell ref="L612:L619"/>
    <mergeCell ref="M612:N619"/>
    <mergeCell ref="O612:P619"/>
    <mergeCell ref="B611:C619"/>
    <mergeCell ref="D611:D619"/>
    <mergeCell ref="E611:E619"/>
    <mergeCell ref="F611:F619"/>
    <mergeCell ref="G611:G619"/>
    <mergeCell ref="H611:H619"/>
    <mergeCell ref="AD599:AD600"/>
    <mergeCell ref="AE599:AE600"/>
    <mergeCell ref="AF599:AG599"/>
    <mergeCell ref="AF600:AG600"/>
    <mergeCell ref="M610:N610"/>
    <mergeCell ref="O610:P610"/>
    <mergeCell ref="X599:X600"/>
    <mergeCell ref="Y599:Y600"/>
    <mergeCell ref="Z599:Z600"/>
    <mergeCell ref="AA599:AA600"/>
    <mergeCell ref="AB599:AB600"/>
    <mergeCell ref="AC599:AC600"/>
    <mergeCell ref="R599:R600"/>
    <mergeCell ref="S599:S600"/>
    <mergeCell ref="T599:T600"/>
    <mergeCell ref="U599:U600"/>
    <mergeCell ref="V599:V600"/>
    <mergeCell ref="W599:W600"/>
    <mergeCell ref="AF583:AG598"/>
    <mergeCell ref="F594:I594"/>
    <mergeCell ref="B599:J600"/>
    <mergeCell ref="K599:K600"/>
    <mergeCell ref="L599:L600"/>
    <mergeCell ref="M599:M600"/>
    <mergeCell ref="N599:N600"/>
    <mergeCell ref="O599:O600"/>
    <mergeCell ref="P599:P600"/>
    <mergeCell ref="Q599:Q600"/>
    <mergeCell ref="B546:I546"/>
    <mergeCell ref="E548:I548"/>
    <mergeCell ref="E549:I549"/>
    <mergeCell ref="E550:I550"/>
    <mergeCell ref="E558:I558"/>
    <mergeCell ref="B564:I564"/>
    <mergeCell ref="W545:W546"/>
    <mergeCell ref="X545:X546"/>
    <mergeCell ref="Y545:Y546"/>
    <mergeCell ref="Z545:Z546"/>
    <mergeCell ref="AA545:AA546"/>
    <mergeCell ref="AB545:AB546"/>
    <mergeCell ref="Q545:Q546"/>
    <mergeCell ref="R545:R546"/>
    <mergeCell ref="S545:S546"/>
    <mergeCell ref="T545:T546"/>
    <mergeCell ref="U545:U546"/>
    <mergeCell ref="V545:V546"/>
    <mergeCell ref="M544:N544"/>
    <mergeCell ref="O544:P544"/>
    <mergeCell ref="Q544:R544"/>
    <mergeCell ref="B545:C545"/>
    <mergeCell ref="K545:K546"/>
    <mergeCell ref="L545:L546"/>
    <mergeCell ref="M545:M546"/>
    <mergeCell ref="N545:N546"/>
    <mergeCell ref="O545:O546"/>
    <mergeCell ref="P545:P546"/>
    <mergeCell ref="AC536:AC543"/>
    <mergeCell ref="AD536:AD543"/>
    <mergeCell ref="AE536:AE543"/>
    <mergeCell ref="AF538:AG582"/>
    <mergeCell ref="AC545:AC546"/>
    <mergeCell ref="AD545:AD546"/>
    <mergeCell ref="AE545:AE546"/>
    <mergeCell ref="AG535:AG537"/>
    <mergeCell ref="AF535:AF537"/>
    <mergeCell ref="S536:S543"/>
    <mergeCell ref="AA536:AA543"/>
    <mergeCell ref="AB536:AB543"/>
    <mergeCell ref="T536:T543"/>
    <mergeCell ref="U536:U543"/>
    <mergeCell ref="V536:V543"/>
    <mergeCell ref="W536:W543"/>
    <mergeCell ref="X536:X543"/>
    <mergeCell ref="Y536:Y543"/>
    <mergeCell ref="Z536:Z543"/>
    <mergeCell ref="J535:J543"/>
    <mergeCell ref="M535:N535"/>
    <mergeCell ref="O535:P535"/>
    <mergeCell ref="Q535:R535"/>
    <mergeCell ref="K536:K543"/>
    <mergeCell ref="L536:L543"/>
    <mergeCell ref="M536:N543"/>
    <mergeCell ref="O536:P543"/>
    <mergeCell ref="Q536:R543"/>
    <mergeCell ref="B535:C543"/>
    <mergeCell ref="D535:D543"/>
    <mergeCell ref="E535:E543"/>
    <mergeCell ref="F535:F543"/>
    <mergeCell ref="G535:G543"/>
    <mergeCell ref="H535:H543"/>
    <mergeCell ref="I535:I543"/>
    <mergeCell ref="AF522:AG522"/>
    <mergeCell ref="AF523:AG523"/>
    <mergeCell ref="B527:G527"/>
    <mergeCell ref="K529:N529"/>
    <mergeCell ref="K530:N530"/>
    <mergeCell ref="M534:N534"/>
    <mergeCell ref="O534:P534"/>
    <mergeCell ref="Q534:R534"/>
    <mergeCell ref="Z522:Z523"/>
    <mergeCell ref="AA522:AA523"/>
    <mergeCell ref="AB522:AB523"/>
    <mergeCell ref="AC522:AC523"/>
    <mergeCell ref="AD522:AD523"/>
    <mergeCell ref="AE522:AE523"/>
    <mergeCell ref="T522:T523"/>
    <mergeCell ref="U522:U523"/>
    <mergeCell ref="V522:V523"/>
    <mergeCell ref="W522:W523"/>
    <mergeCell ref="X522:X523"/>
    <mergeCell ref="Y522:Y523"/>
    <mergeCell ref="B522:N523"/>
    <mergeCell ref="O522:O523"/>
    <mergeCell ref="P522:P523"/>
    <mergeCell ref="Q522:Q523"/>
    <mergeCell ref="R522:R523"/>
    <mergeCell ref="S522:S523"/>
    <mergeCell ref="B500:H500"/>
    <mergeCell ref="E502:I502"/>
    <mergeCell ref="E505:I505"/>
    <mergeCell ref="AF506:AG521"/>
    <mergeCell ref="E508:I508"/>
    <mergeCell ref="E511:I511"/>
    <mergeCell ref="E514:I514"/>
    <mergeCell ref="E515:I515"/>
    <mergeCell ref="E518:I518"/>
    <mergeCell ref="AF461:AG505"/>
    <mergeCell ref="B475:I475"/>
    <mergeCell ref="B480:C480"/>
    <mergeCell ref="E480:I480"/>
    <mergeCell ref="B482:C482"/>
    <mergeCell ref="B498:C498"/>
    <mergeCell ref="F498:I498"/>
    <mergeCell ref="AB468:AB469"/>
    <mergeCell ref="AC468:AC469"/>
    <mergeCell ref="AD468:AD469"/>
    <mergeCell ref="AE468:AE469"/>
    <mergeCell ref="B469:I469"/>
    <mergeCell ref="B470:C470"/>
    <mergeCell ref="V468:V469"/>
    <mergeCell ref="W468:W469"/>
    <mergeCell ref="X468:X469"/>
    <mergeCell ref="Y468:Y469"/>
    <mergeCell ref="Z468:Z469"/>
    <mergeCell ref="AA468:AA469"/>
    <mergeCell ref="P468:P469"/>
    <mergeCell ref="Q468:Q469"/>
    <mergeCell ref="R468:R469"/>
    <mergeCell ref="S468:S469"/>
    <mergeCell ref="T468:T469"/>
    <mergeCell ref="U468:U469"/>
    <mergeCell ref="O467:P467"/>
    <mergeCell ref="Q467:R467"/>
    <mergeCell ref="S467:T467"/>
    <mergeCell ref="U467:V467"/>
    <mergeCell ref="W467:X467"/>
    <mergeCell ref="Y467:Z467"/>
    <mergeCell ref="AA467:AB467"/>
    <mergeCell ref="AC467:AD467"/>
    <mergeCell ref="O468:O469"/>
    <mergeCell ref="AG458:AG460"/>
    <mergeCell ref="O459:P466"/>
    <mergeCell ref="Q459:R466"/>
    <mergeCell ref="S459:T466"/>
    <mergeCell ref="U459:V466"/>
    <mergeCell ref="W459:X466"/>
    <mergeCell ref="Y459:Z466"/>
    <mergeCell ref="AA459:AB466"/>
    <mergeCell ref="AC459:AD466"/>
    <mergeCell ref="AE459:AE466"/>
    <mergeCell ref="U458:V458"/>
    <mergeCell ref="W458:X458"/>
    <mergeCell ref="Y458:Z458"/>
    <mergeCell ref="AA458:AB458"/>
    <mergeCell ref="AC458:AD458"/>
    <mergeCell ref="I458:I466"/>
    <mergeCell ref="J458:J466"/>
    <mergeCell ref="K458:K466"/>
    <mergeCell ref="AF458:AF460"/>
    <mergeCell ref="L458:L466"/>
    <mergeCell ref="M458:M466"/>
    <mergeCell ref="N458:N466"/>
    <mergeCell ref="O458:P458"/>
    <mergeCell ref="Q458:R458"/>
    <mergeCell ref="S458:T458"/>
    <mergeCell ref="B458:C466"/>
    <mergeCell ref="D458:D466"/>
    <mergeCell ref="E458:E466"/>
    <mergeCell ref="F458:F466"/>
    <mergeCell ref="G458:G466"/>
    <mergeCell ref="H458:H466"/>
    <mergeCell ref="AF445:AG445"/>
    <mergeCell ref="AF446:AG446"/>
    <mergeCell ref="B450:G450"/>
    <mergeCell ref="O457:P457"/>
    <mergeCell ref="Q457:R457"/>
    <mergeCell ref="S457:T457"/>
    <mergeCell ref="U457:V457"/>
    <mergeCell ref="Y457:Z457"/>
    <mergeCell ref="AC457:AD457"/>
    <mergeCell ref="Z445:Z446"/>
    <mergeCell ref="AA445:AA446"/>
    <mergeCell ref="AB445:AB446"/>
    <mergeCell ref="AC445:AC446"/>
    <mergeCell ref="AD445:AD446"/>
    <mergeCell ref="AE445:AE446"/>
    <mergeCell ref="T445:T446"/>
    <mergeCell ref="U445:U446"/>
    <mergeCell ref="V445:V446"/>
    <mergeCell ref="W445:W446"/>
    <mergeCell ref="X445:X446"/>
    <mergeCell ref="Y445:Y446"/>
    <mergeCell ref="B445:N446"/>
    <mergeCell ref="O445:O446"/>
    <mergeCell ref="P445:P446"/>
    <mergeCell ref="Q445:Q446"/>
    <mergeCell ref="R445:R446"/>
    <mergeCell ref="S445:S446"/>
    <mergeCell ref="F429:I429"/>
    <mergeCell ref="X391:X392"/>
    <mergeCell ref="Y391:Y392"/>
    <mergeCell ref="Z391:Z392"/>
    <mergeCell ref="AA391:AA392"/>
    <mergeCell ref="AF429:AG444"/>
    <mergeCell ref="F434:I434"/>
    <mergeCell ref="U391:U392"/>
    <mergeCell ref="AD391:AD392"/>
    <mergeCell ref="AE391:AE392"/>
    <mergeCell ref="B392:I392"/>
    <mergeCell ref="B393:C393"/>
    <mergeCell ref="F403:I403"/>
    <mergeCell ref="O391:O392"/>
    <mergeCell ref="P391:P392"/>
    <mergeCell ref="Q391:Q392"/>
    <mergeCell ref="R391:R392"/>
    <mergeCell ref="S391:S392"/>
    <mergeCell ref="T391:T392"/>
    <mergeCell ref="V391:V392"/>
    <mergeCell ref="W391:W392"/>
    <mergeCell ref="AC382:AC389"/>
    <mergeCell ref="AD382:AD389"/>
    <mergeCell ref="AE382:AE389"/>
    <mergeCell ref="AF384:AG428"/>
    <mergeCell ref="AB391:AB392"/>
    <mergeCell ref="AC391:AC392"/>
    <mergeCell ref="AA390:AB390"/>
    <mergeCell ref="O390:P390"/>
    <mergeCell ref="Q390:R390"/>
    <mergeCell ref="S390:T390"/>
    <mergeCell ref="U390:V390"/>
    <mergeCell ref="W390:X390"/>
    <mergeCell ref="Y390:Z390"/>
    <mergeCell ref="AA381:AB381"/>
    <mergeCell ref="AF381:AF383"/>
    <mergeCell ref="AG381:AG383"/>
    <mergeCell ref="O382:P389"/>
    <mergeCell ref="Q382:R389"/>
    <mergeCell ref="S382:T389"/>
    <mergeCell ref="U382:V389"/>
    <mergeCell ref="W382:X389"/>
    <mergeCell ref="Y382:Z389"/>
    <mergeCell ref="AA382:AB389"/>
    <mergeCell ref="O381:P381"/>
    <mergeCell ref="Q381:R381"/>
    <mergeCell ref="S381:T381"/>
    <mergeCell ref="U381:V381"/>
    <mergeCell ref="W381:X381"/>
    <mergeCell ref="Y381:Z381"/>
    <mergeCell ref="I381:I389"/>
    <mergeCell ref="J381:J389"/>
    <mergeCell ref="K381:K389"/>
    <mergeCell ref="L381:L389"/>
    <mergeCell ref="M381:M389"/>
    <mergeCell ref="N381:N389"/>
    <mergeCell ref="B381:C389"/>
    <mergeCell ref="D381:D389"/>
    <mergeCell ref="E381:E389"/>
    <mergeCell ref="F381:F389"/>
    <mergeCell ref="G381:G389"/>
    <mergeCell ref="H381:H389"/>
    <mergeCell ref="B373:G373"/>
    <mergeCell ref="O380:P380"/>
    <mergeCell ref="Q380:R380"/>
    <mergeCell ref="S380:T380"/>
    <mergeCell ref="U380:V380"/>
    <mergeCell ref="Y380:Z380"/>
    <mergeCell ref="AB368:AB369"/>
    <mergeCell ref="AC368:AC369"/>
    <mergeCell ref="AD368:AD369"/>
    <mergeCell ref="AE368:AE369"/>
    <mergeCell ref="AF368:AG368"/>
    <mergeCell ref="AF369:AG369"/>
    <mergeCell ref="V368:V369"/>
    <mergeCell ref="W368:W369"/>
    <mergeCell ref="X368:X369"/>
    <mergeCell ref="Y368:Y369"/>
    <mergeCell ref="Z368:Z369"/>
    <mergeCell ref="AA368:AA369"/>
    <mergeCell ref="B327:I327"/>
    <mergeCell ref="AF352:AG367"/>
    <mergeCell ref="B368:N369"/>
    <mergeCell ref="O368:O369"/>
    <mergeCell ref="P368:P369"/>
    <mergeCell ref="Q368:Q369"/>
    <mergeCell ref="R368:R369"/>
    <mergeCell ref="S368:S369"/>
    <mergeCell ref="T368:T369"/>
    <mergeCell ref="U368:U369"/>
    <mergeCell ref="AA314:AA315"/>
    <mergeCell ref="AB314:AB315"/>
    <mergeCell ref="AC314:AC315"/>
    <mergeCell ref="AD314:AD315"/>
    <mergeCell ref="AE314:AE315"/>
    <mergeCell ref="B315:I315"/>
    <mergeCell ref="U314:U315"/>
    <mergeCell ref="V314:V315"/>
    <mergeCell ref="W314:W315"/>
    <mergeCell ref="X314:X315"/>
    <mergeCell ref="Y314:Y315"/>
    <mergeCell ref="Z314:Z315"/>
    <mergeCell ref="O314:O315"/>
    <mergeCell ref="P314:P315"/>
    <mergeCell ref="Q314:Q315"/>
    <mergeCell ref="R314:R315"/>
    <mergeCell ref="S314:S315"/>
    <mergeCell ref="T314:T315"/>
    <mergeCell ref="AE305:AE312"/>
    <mergeCell ref="AF307:AG351"/>
    <mergeCell ref="O313:P313"/>
    <mergeCell ref="Q313:R313"/>
    <mergeCell ref="S313:T313"/>
    <mergeCell ref="U313:V313"/>
    <mergeCell ref="W313:X313"/>
    <mergeCell ref="Y313:Z313"/>
    <mergeCell ref="AA313:AB313"/>
    <mergeCell ref="AC313:AD313"/>
    <mergeCell ref="AF304:AF306"/>
    <mergeCell ref="AG304:AG306"/>
    <mergeCell ref="O305:P312"/>
    <mergeCell ref="Q305:R312"/>
    <mergeCell ref="S305:T312"/>
    <mergeCell ref="U305:V312"/>
    <mergeCell ref="W305:X312"/>
    <mergeCell ref="Y305:Z312"/>
    <mergeCell ref="AA305:AB312"/>
    <mergeCell ref="AC305:AD312"/>
    <mergeCell ref="S304:T304"/>
    <mergeCell ref="U304:V304"/>
    <mergeCell ref="W304:X304"/>
    <mergeCell ref="Y304:Z304"/>
    <mergeCell ref="AA304:AB304"/>
    <mergeCell ref="AC304:AD304"/>
    <mergeCell ref="K304:K312"/>
    <mergeCell ref="L304:L312"/>
    <mergeCell ref="M304:M312"/>
    <mergeCell ref="N304:N312"/>
    <mergeCell ref="O304:P304"/>
    <mergeCell ref="Q304:R304"/>
    <mergeCell ref="Y303:Z303"/>
    <mergeCell ref="AC303:AD303"/>
    <mergeCell ref="B304:C312"/>
    <mergeCell ref="D304:D312"/>
    <mergeCell ref="E304:E312"/>
    <mergeCell ref="F304:F312"/>
    <mergeCell ref="G304:G312"/>
    <mergeCell ref="H304:H312"/>
    <mergeCell ref="I304:I312"/>
    <mergeCell ref="J304:J312"/>
    <mergeCell ref="B295:G295"/>
    <mergeCell ref="K297:N297"/>
    <mergeCell ref="O303:P303"/>
    <mergeCell ref="Q303:R303"/>
    <mergeCell ref="S303:T303"/>
    <mergeCell ref="U303:V303"/>
    <mergeCell ref="AB290:AB291"/>
    <mergeCell ref="AC290:AC291"/>
    <mergeCell ref="AD290:AD291"/>
    <mergeCell ref="AE290:AE291"/>
    <mergeCell ref="AF290:AG290"/>
    <mergeCell ref="AF291:AG291"/>
    <mergeCell ref="V290:V291"/>
    <mergeCell ref="W290:W291"/>
    <mergeCell ref="X290:X291"/>
    <mergeCell ref="Y290:Y291"/>
    <mergeCell ref="Z290:Z291"/>
    <mergeCell ref="AA290:AA291"/>
    <mergeCell ref="B274:I274"/>
    <mergeCell ref="AF274:AG289"/>
    <mergeCell ref="B290:N291"/>
    <mergeCell ref="O290:O291"/>
    <mergeCell ref="P290:P291"/>
    <mergeCell ref="Q290:Q291"/>
    <mergeCell ref="R290:R291"/>
    <mergeCell ref="S290:S291"/>
    <mergeCell ref="T290:T291"/>
    <mergeCell ref="U290:U291"/>
    <mergeCell ref="AB236:AB237"/>
    <mergeCell ref="AC236:AC237"/>
    <mergeCell ref="AD236:AD237"/>
    <mergeCell ref="AE236:AE237"/>
    <mergeCell ref="B237:I237"/>
    <mergeCell ref="B250:I250"/>
    <mergeCell ref="V236:V237"/>
    <mergeCell ref="W236:W237"/>
    <mergeCell ref="X236:X237"/>
    <mergeCell ref="Y236:Y237"/>
    <mergeCell ref="Z236:Z237"/>
    <mergeCell ref="AA236:AA237"/>
    <mergeCell ref="P236:P237"/>
    <mergeCell ref="Q236:Q237"/>
    <mergeCell ref="R236:R237"/>
    <mergeCell ref="S236:S237"/>
    <mergeCell ref="T236:T237"/>
    <mergeCell ref="U236:U237"/>
    <mergeCell ref="AF229:AG273"/>
    <mergeCell ref="O235:P235"/>
    <mergeCell ref="Q235:R235"/>
    <mergeCell ref="S235:T235"/>
    <mergeCell ref="U235:V235"/>
    <mergeCell ref="W235:X235"/>
    <mergeCell ref="Y235:Z235"/>
    <mergeCell ref="AA235:AB235"/>
    <mergeCell ref="AC235:AD235"/>
    <mergeCell ref="O236:O237"/>
    <mergeCell ref="AG226:AG228"/>
    <mergeCell ref="O227:P234"/>
    <mergeCell ref="Q227:R234"/>
    <mergeCell ref="S227:T234"/>
    <mergeCell ref="U227:V234"/>
    <mergeCell ref="W227:X234"/>
    <mergeCell ref="Y227:Z234"/>
    <mergeCell ref="AA227:AB234"/>
    <mergeCell ref="AC227:AD234"/>
    <mergeCell ref="AE227:AE234"/>
    <mergeCell ref="U226:V226"/>
    <mergeCell ref="W226:X226"/>
    <mergeCell ref="Y226:Z226"/>
    <mergeCell ref="AA226:AB226"/>
    <mergeCell ref="AC226:AD226"/>
    <mergeCell ref="AF226:AF228"/>
    <mergeCell ref="L226:L234"/>
    <mergeCell ref="M226:M234"/>
    <mergeCell ref="N226:N234"/>
    <mergeCell ref="O226:P226"/>
    <mergeCell ref="Q226:R226"/>
    <mergeCell ref="S226:T226"/>
    <mergeCell ref="AC225:AD225"/>
    <mergeCell ref="B226:C234"/>
    <mergeCell ref="D226:D234"/>
    <mergeCell ref="E226:E234"/>
    <mergeCell ref="F226:F234"/>
    <mergeCell ref="G226:G234"/>
    <mergeCell ref="H226:H234"/>
    <mergeCell ref="I226:I234"/>
    <mergeCell ref="J226:J234"/>
    <mergeCell ref="K226:K234"/>
    <mergeCell ref="AF215:AG215"/>
    <mergeCell ref="AF216:AG216"/>
    <mergeCell ref="B220:G220"/>
    <mergeCell ref="K222:N222"/>
    <mergeCell ref="K223:N223"/>
    <mergeCell ref="O225:P225"/>
    <mergeCell ref="Q225:R225"/>
    <mergeCell ref="S225:T225"/>
    <mergeCell ref="U225:V225"/>
    <mergeCell ref="Y225:Z225"/>
    <mergeCell ref="Z215:Z216"/>
    <mergeCell ref="AA215:AA216"/>
    <mergeCell ref="AB215:AB216"/>
    <mergeCell ref="AC215:AC216"/>
    <mergeCell ref="AD215:AD216"/>
    <mergeCell ref="AE215:AE216"/>
    <mergeCell ref="T215:T216"/>
    <mergeCell ref="U215:U216"/>
    <mergeCell ref="V215:V216"/>
    <mergeCell ref="W215:W216"/>
    <mergeCell ref="X215:X216"/>
    <mergeCell ref="Y215:Y216"/>
    <mergeCell ref="F173:I173"/>
    <mergeCell ref="E174:I174"/>
    <mergeCell ref="B176:I176"/>
    <mergeCell ref="AF199:AG214"/>
    <mergeCell ref="B215:N216"/>
    <mergeCell ref="O215:O216"/>
    <mergeCell ref="P215:P216"/>
    <mergeCell ref="Q215:Q216"/>
    <mergeCell ref="R215:R216"/>
    <mergeCell ref="S215:S216"/>
    <mergeCell ref="AB161:AB162"/>
    <mergeCell ref="AC161:AC162"/>
    <mergeCell ref="AD161:AD162"/>
    <mergeCell ref="AE161:AE162"/>
    <mergeCell ref="B162:I162"/>
    <mergeCell ref="B171:I171"/>
    <mergeCell ref="V161:V162"/>
    <mergeCell ref="W161:W162"/>
    <mergeCell ref="X161:X162"/>
    <mergeCell ref="Y161:Y162"/>
    <mergeCell ref="Z161:Z162"/>
    <mergeCell ref="AA161:AA162"/>
    <mergeCell ref="P161:P162"/>
    <mergeCell ref="Q161:Q162"/>
    <mergeCell ref="R161:R162"/>
    <mergeCell ref="S161:S162"/>
    <mergeCell ref="T161:T162"/>
    <mergeCell ref="U161:U162"/>
    <mergeCell ref="AF154:AG198"/>
    <mergeCell ref="O160:P160"/>
    <mergeCell ref="Q160:R160"/>
    <mergeCell ref="S160:T160"/>
    <mergeCell ref="U160:V160"/>
    <mergeCell ref="W160:X160"/>
    <mergeCell ref="Y160:Z160"/>
    <mergeCell ref="AA160:AB160"/>
    <mergeCell ref="AC160:AD160"/>
    <mergeCell ref="O161:O162"/>
    <mergeCell ref="AG151:AG153"/>
    <mergeCell ref="O152:P159"/>
    <mergeCell ref="Q152:R159"/>
    <mergeCell ref="S152:T159"/>
    <mergeCell ref="U152:V159"/>
    <mergeCell ref="W152:X159"/>
    <mergeCell ref="Y152:Z159"/>
    <mergeCell ref="AA152:AB159"/>
    <mergeCell ref="AC152:AD159"/>
    <mergeCell ref="AE152:AE159"/>
    <mergeCell ref="U151:V151"/>
    <mergeCell ref="W151:X151"/>
    <mergeCell ref="Y151:Z151"/>
    <mergeCell ref="AA151:AB151"/>
    <mergeCell ref="AC151:AD151"/>
    <mergeCell ref="AF151:AF153"/>
    <mergeCell ref="L151:L159"/>
    <mergeCell ref="M151:M159"/>
    <mergeCell ref="N151:N159"/>
    <mergeCell ref="O151:P151"/>
    <mergeCell ref="Q151:R151"/>
    <mergeCell ref="S151:T151"/>
    <mergeCell ref="AC150:AD150"/>
    <mergeCell ref="B151:C159"/>
    <mergeCell ref="D151:D159"/>
    <mergeCell ref="E151:E159"/>
    <mergeCell ref="F151:F159"/>
    <mergeCell ref="G151:G159"/>
    <mergeCell ref="H151:H159"/>
    <mergeCell ref="I151:I159"/>
    <mergeCell ref="J151:J159"/>
    <mergeCell ref="K151:K159"/>
    <mergeCell ref="K148:N148"/>
    <mergeCell ref="O150:P150"/>
    <mergeCell ref="Q150:R150"/>
    <mergeCell ref="S150:T150"/>
    <mergeCell ref="U150:V150"/>
    <mergeCell ref="Y150:Z150"/>
    <mergeCell ref="AE140:AE141"/>
    <mergeCell ref="AF140:AG140"/>
    <mergeCell ref="AF141:AG141"/>
    <mergeCell ref="B145:G145"/>
    <mergeCell ref="W140:W141"/>
    <mergeCell ref="X140:X141"/>
    <mergeCell ref="Y140:Y141"/>
    <mergeCell ref="Z140:Z141"/>
    <mergeCell ref="U140:U141"/>
    <mergeCell ref="V140:V141"/>
    <mergeCell ref="AF124:AG139"/>
    <mergeCell ref="B140:N141"/>
    <mergeCell ref="O140:O141"/>
    <mergeCell ref="P140:P141"/>
    <mergeCell ref="Q140:Q141"/>
    <mergeCell ref="R140:R141"/>
    <mergeCell ref="S140:S141"/>
    <mergeCell ref="T140:T141"/>
    <mergeCell ref="AC140:AC141"/>
    <mergeCell ref="AD140:AD141"/>
    <mergeCell ref="B87:I87"/>
    <mergeCell ref="F110:I110"/>
    <mergeCell ref="F116:I116"/>
    <mergeCell ref="W86:W87"/>
    <mergeCell ref="X86:X87"/>
    <mergeCell ref="O86:O87"/>
    <mergeCell ref="P86:P87"/>
    <mergeCell ref="Q86:Q87"/>
    <mergeCell ref="R86:R87"/>
    <mergeCell ref="AD86:AD87"/>
    <mergeCell ref="AA140:AA141"/>
    <mergeCell ref="AB140:AB141"/>
    <mergeCell ref="S86:S87"/>
    <mergeCell ref="T86:T87"/>
    <mergeCell ref="U86:U87"/>
    <mergeCell ref="V86:V87"/>
    <mergeCell ref="Y86:Y87"/>
    <mergeCell ref="Z86:Z87"/>
    <mergeCell ref="AA77:AB84"/>
    <mergeCell ref="AC77:AD84"/>
    <mergeCell ref="AA85:AB85"/>
    <mergeCell ref="AC85:AD85"/>
    <mergeCell ref="AE77:AE84"/>
    <mergeCell ref="AF79:AG123"/>
    <mergeCell ref="AA86:AA87"/>
    <mergeCell ref="AB86:AB87"/>
    <mergeCell ref="AE86:AE87"/>
    <mergeCell ref="AC86:AC87"/>
    <mergeCell ref="O85:P85"/>
    <mergeCell ref="Q85:R85"/>
    <mergeCell ref="S85:T85"/>
    <mergeCell ref="U85:V85"/>
    <mergeCell ref="W85:X85"/>
    <mergeCell ref="Y85:Z85"/>
    <mergeCell ref="AA76:AB76"/>
    <mergeCell ref="AC76:AD76"/>
    <mergeCell ref="AF76:AF78"/>
    <mergeCell ref="AG76:AG78"/>
    <mergeCell ref="O77:P84"/>
    <mergeCell ref="Q77:R84"/>
    <mergeCell ref="S77:T84"/>
    <mergeCell ref="U77:V84"/>
    <mergeCell ref="W77:X84"/>
    <mergeCell ref="Y77:Z84"/>
    <mergeCell ref="O76:P76"/>
    <mergeCell ref="Q76:R76"/>
    <mergeCell ref="S76:T76"/>
    <mergeCell ref="U76:V76"/>
    <mergeCell ref="W76:X76"/>
    <mergeCell ref="Y76:Z76"/>
    <mergeCell ref="I76:I84"/>
    <mergeCell ref="J76:J84"/>
    <mergeCell ref="K76:K84"/>
    <mergeCell ref="L76:L84"/>
    <mergeCell ref="M76:M84"/>
    <mergeCell ref="N76:N84"/>
    <mergeCell ref="B76:C84"/>
    <mergeCell ref="D76:D84"/>
    <mergeCell ref="E76:E84"/>
    <mergeCell ref="F76:F84"/>
    <mergeCell ref="G76:G84"/>
    <mergeCell ref="H76:H84"/>
    <mergeCell ref="AF67:AG67"/>
    <mergeCell ref="AF68:AG68"/>
    <mergeCell ref="B72:G72"/>
    <mergeCell ref="K74:N74"/>
    <mergeCell ref="O75:P75"/>
    <mergeCell ref="Q75:R75"/>
    <mergeCell ref="S75:T75"/>
    <mergeCell ref="U75:V75"/>
    <mergeCell ref="Y75:Z75"/>
    <mergeCell ref="AC75:AD75"/>
    <mergeCell ref="Z67:Z68"/>
    <mergeCell ref="AA67:AA68"/>
    <mergeCell ref="AB67:AB68"/>
    <mergeCell ref="AC67:AC68"/>
    <mergeCell ref="AD67:AD68"/>
    <mergeCell ref="AE67:AE68"/>
    <mergeCell ref="T67:T68"/>
    <mergeCell ref="U67:U68"/>
    <mergeCell ref="V67:V68"/>
    <mergeCell ref="W67:W68"/>
    <mergeCell ref="X67:X68"/>
    <mergeCell ref="Y67:Y68"/>
    <mergeCell ref="B67:N68"/>
    <mergeCell ref="O67:O68"/>
    <mergeCell ref="P67:P68"/>
    <mergeCell ref="Q67:Q68"/>
    <mergeCell ref="R67:R68"/>
    <mergeCell ref="S67:S68"/>
    <mergeCell ref="E24:I24"/>
    <mergeCell ref="E34:I34"/>
    <mergeCell ref="E44:I44"/>
    <mergeCell ref="AF51:AG66"/>
    <mergeCell ref="J58:J61"/>
    <mergeCell ref="F65:I65"/>
    <mergeCell ref="AA13:AA14"/>
    <mergeCell ref="AB13:AB14"/>
    <mergeCell ref="AC13:AC14"/>
    <mergeCell ref="AD13:AD14"/>
    <mergeCell ref="AE13:AE14"/>
    <mergeCell ref="B14:I14"/>
    <mergeCell ref="U13:U14"/>
    <mergeCell ref="V13:V14"/>
    <mergeCell ref="W13:W14"/>
    <mergeCell ref="X13:X14"/>
    <mergeCell ref="Y13:Y14"/>
    <mergeCell ref="Z13:Z14"/>
    <mergeCell ref="O13:O14"/>
    <mergeCell ref="P13:P14"/>
    <mergeCell ref="Q13:Q14"/>
    <mergeCell ref="R13:R14"/>
    <mergeCell ref="S13:S14"/>
    <mergeCell ref="T13:T14"/>
    <mergeCell ref="AE4:AE11"/>
    <mergeCell ref="AF6:AG50"/>
    <mergeCell ref="O12:P12"/>
    <mergeCell ref="Q12:R12"/>
    <mergeCell ref="S12:T12"/>
    <mergeCell ref="U12:V12"/>
    <mergeCell ref="W12:X12"/>
    <mergeCell ref="Y12:Z12"/>
    <mergeCell ref="AA12:AB12"/>
    <mergeCell ref="AC12:AD12"/>
    <mergeCell ref="AF3:AF5"/>
    <mergeCell ref="AG3:AG5"/>
    <mergeCell ref="O4:P11"/>
    <mergeCell ref="Q4:R11"/>
    <mergeCell ref="S4:T11"/>
    <mergeCell ref="U4:V11"/>
    <mergeCell ref="W4:X11"/>
    <mergeCell ref="Y4:Z11"/>
    <mergeCell ref="AA4:AB11"/>
    <mergeCell ref="AC4:AD11"/>
    <mergeCell ref="S3:T3"/>
    <mergeCell ref="U3:V3"/>
    <mergeCell ref="W3:X3"/>
    <mergeCell ref="Y3:Z3"/>
    <mergeCell ref="AA3:AB3"/>
    <mergeCell ref="AC3:AD3"/>
    <mergeCell ref="K3:K11"/>
    <mergeCell ref="L3:L11"/>
    <mergeCell ref="M3:M11"/>
    <mergeCell ref="N3:N11"/>
    <mergeCell ref="O3:P3"/>
    <mergeCell ref="Q3:R3"/>
    <mergeCell ref="AA2:AB2"/>
    <mergeCell ref="AC2:AD2"/>
    <mergeCell ref="B3:C11"/>
    <mergeCell ref="D3:D11"/>
    <mergeCell ref="E3:E11"/>
    <mergeCell ref="F3:F11"/>
    <mergeCell ref="G3:G11"/>
    <mergeCell ref="H3:H11"/>
    <mergeCell ref="I3:I11"/>
    <mergeCell ref="J3:J11"/>
    <mergeCell ref="O2:P2"/>
    <mergeCell ref="Q2:R2"/>
    <mergeCell ref="S2:T2"/>
    <mergeCell ref="U2:V2"/>
    <mergeCell ref="W2:X2"/>
    <mergeCell ref="Y2:Z2"/>
  </mergeCells>
  <printOptions horizontalCentered="1" verticalCentered="1"/>
  <pageMargins left="0.8" right="0" top="0" bottom="0" header="0" footer="0"/>
  <pageSetup fitToHeight="1" fitToWidth="1" horizontalDpi="600" verticalDpi="600" orientation="landscape" paperSize="3" scale="41" r:id="rId2"/>
  <rowBreaks count="1" manualBreakCount="1">
    <brk id="8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(PAVEMENT) CALCS.</dc:title>
  <dc:subject/>
  <dc:creator>ATR</dc:creator>
  <cp:keywords/>
  <dc:description/>
  <cp:lastModifiedBy>Luzier, Chris</cp:lastModifiedBy>
  <cp:lastPrinted>2020-01-22T18:47:43Z</cp:lastPrinted>
  <dcterms:created xsi:type="dcterms:W3CDTF">2000-02-18T16:47:28Z</dcterms:created>
  <dcterms:modified xsi:type="dcterms:W3CDTF">2020-01-22T18:47:47Z</dcterms:modified>
  <cp:category/>
  <cp:version/>
  <cp:contentType/>
  <cp:contentStatus/>
</cp:coreProperties>
</file>