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ward4\appdata\local\bentley\projectwise\workingdir\ohiodot-pw.bentley.com_ohiodot-pw-02\christopher.howard@dot.ohio.gov\d0378855\"/>
    </mc:Choice>
  </mc:AlternateContent>
  <xr:revisionPtr revIDLastSave="0" documentId="13_ncr:1_{200C45B5-2DFF-4FF0-8CF8-BB4E3C46CC17}" xr6:coauthVersionLast="45" xr6:coauthVersionMax="45" xr10:uidLastSave="{00000000-0000-0000-0000-000000000000}"/>
  <bookViews>
    <workbookView xWindow="2730" yWindow="990" windowWidth="25530" windowHeight="14565" xr2:uid="{3A94C9D2-882B-460D-8D1A-85F692E749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P95" i="1" l="1"/>
  <c r="J68" i="1" l="1"/>
  <c r="J70" i="1"/>
  <c r="J73" i="1"/>
  <c r="J72" i="1"/>
  <c r="J66" i="1"/>
  <c r="J64" i="1"/>
  <c r="J62" i="1"/>
  <c r="J60" i="1"/>
  <c r="J58" i="1"/>
  <c r="J56" i="1"/>
  <c r="J54" i="1"/>
  <c r="C51" i="1"/>
  <c r="G165" i="1" l="1"/>
  <c r="G166" i="1" s="1"/>
  <c r="D158" i="1" l="1"/>
  <c r="E143" i="1"/>
  <c r="AB138" i="1"/>
  <c r="AB141" i="1" s="1"/>
  <c r="Z134" i="1"/>
  <c r="AA130" i="1"/>
  <c r="AA82" i="1"/>
  <c r="AA83" i="1"/>
  <c r="Z88" i="1" s="1"/>
  <c r="Z87" i="1" s="1"/>
  <c r="AB91" i="1"/>
  <c r="AB115" i="1"/>
  <c r="Z111" i="1"/>
  <c r="Z112" i="1" s="1"/>
  <c r="M119" i="1"/>
  <c r="N113" i="1"/>
  <c r="N114" i="1" s="1"/>
  <c r="I78" i="1"/>
  <c r="I77" i="1"/>
  <c r="BG121" i="1"/>
  <c r="BG122" i="1" s="1"/>
  <c r="BG123" i="1" s="1"/>
  <c r="AX121" i="1"/>
  <c r="AX122" i="1" s="1"/>
  <c r="AX123" i="1" s="1"/>
  <c r="I119" i="1"/>
  <c r="I118" i="1"/>
  <c r="BG114" i="1"/>
  <c r="AX114" i="1"/>
  <c r="AX102" i="1" s="1"/>
  <c r="AX103" i="1" s="1"/>
  <c r="AX104" i="1" s="1"/>
  <c r="AX106" i="1" s="1"/>
  <c r="I113" i="1"/>
  <c r="I114" i="1" s="1"/>
  <c r="BI111" i="1"/>
  <c r="AZ111" i="1"/>
  <c r="BS108" i="1"/>
  <c r="BS110" i="1" s="1"/>
  <c r="BS111" i="1" s="1"/>
  <c r="N85" i="1" s="1"/>
  <c r="AA107" i="1"/>
  <c r="I103" i="1"/>
  <c r="I104" i="1" s="1"/>
  <c r="BO102" i="1"/>
  <c r="BG96" i="1"/>
  <c r="AX96" i="1"/>
  <c r="BI93" i="1"/>
  <c r="AZ93" i="1"/>
  <c r="J93" i="1"/>
  <c r="J95" i="1" s="1"/>
  <c r="AI92" i="1"/>
  <c r="AP90" i="1"/>
  <c r="AP88" i="1"/>
  <c r="U88" i="1"/>
  <c r="T88" i="1"/>
  <c r="S88" i="1"/>
  <c r="J88" i="1"/>
  <c r="BO87" i="1"/>
  <c r="BO86" i="1"/>
  <c r="AJ85" i="1"/>
  <c r="AI89" i="1" s="1"/>
  <c r="AL83" i="1"/>
  <c r="AJ92" i="1" s="1"/>
  <c r="AK83" i="1"/>
  <c r="J83" i="1"/>
  <c r="F81" i="1" s="1"/>
  <c r="U78" i="1"/>
  <c r="U81" i="1" s="1"/>
  <c r="U82" i="1" s="1"/>
  <c r="Q78" i="1"/>
  <c r="Q81" i="1" s="1"/>
  <c r="Q82" i="1" s="1"/>
  <c r="M78" i="1"/>
  <c r="M81" i="1" s="1"/>
  <c r="M82" i="1" s="1"/>
  <c r="Q76" i="1"/>
  <c r="I122" i="1" l="1"/>
  <c r="I123" i="1" s="1"/>
  <c r="T90" i="1"/>
  <c r="T91" i="1" s="1"/>
  <c r="AX109" i="1"/>
  <c r="BO88" i="1"/>
  <c r="BO90" i="1" s="1"/>
  <c r="BO91" i="1" s="1"/>
  <c r="N84" i="1" s="1"/>
  <c r="BG109" i="1"/>
  <c r="AC134" i="1"/>
  <c r="AB142" i="1" s="1"/>
  <c r="AB147" i="1" s="1"/>
  <c r="AB148" i="1" s="1"/>
  <c r="AX91" i="1"/>
  <c r="Z135" i="1"/>
  <c r="AD88" i="1"/>
  <c r="AB93" i="1" s="1"/>
  <c r="AB95" i="1" s="1"/>
  <c r="AB96" i="1" s="1"/>
  <c r="AC111" i="1"/>
  <c r="AB118" i="1" s="1"/>
  <c r="I81" i="1"/>
  <c r="I82" i="1" s="1"/>
  <c r="J84" i="1" s="1"/>
  <c r="J86" i="1" s="1"/>
  <c r="BG102" i="1"/>
  <c r="BG103" i="1" s="1"/>
  <c r="BG104" i="1" s="1"/>
  <c r="BG106" i="1" s="1"/>
  <c r="AX84" i="1"/>
  <c r="AX85" i="1" s="1"/>
  <c r="AX86" i="1" s="1"/>
  <c r="AX88" i="1" s="1"/>
  <c r="J90" i="1"/>
  <c r="BG84" i="1"/>
  <c r="BG85" i="1" s="1"/>
  <c r="BG86" i="1" s="1"/>
  <c r="BG88" i="1" s="1"/>
  <c r="AB117" i="1"/>
  <c r="AN85" i="1"/>
  <c r="AJ88" i="1" s="1"/>
  <c r="AL85" i="1"/>
  <c r="AH89" i="1" s="1"/>
  <c r="BG91" i="1"/>
  <c r="BC105" i="1" l="1"/>
  <c r="F77" i="1"/>
  <c r="F82" i="1" s="1"/>
  <c r="AB149" i="1"/>
  <c r="AB150" i="1" s="1"/>
  <c r="AB119" i="1"/>
  <c r="AB120" i="1" s="1"/>
  <c r="AB121" i="1"/>
  <c r="AB122" i="1" s="1"/>
  <c r="AM88" i="1"/>
  <c r="AK95" i="1"/>
  <c r="F78" i="1" l="1"/>
  <c r="F80" i="1"/>
  <c r="F79" i="1"/>
  <c r="AK98" i="1"/>
  <c r="AK102" i="1"/>
  <c r="AK106" i="1" s="1"/>
  <c r="AK112" i="1" s="1"/>
  <c r="C47" i="1" l="1"/>
  <c r="C38" i="1"/>
  <c r="C32" i="1"/>
  <c r="C25" i="1"/>
  <c r="C26" i="1"/>
  <c r="C40" i="1" l="1"/>
  <c r="C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choward4</author>
  </authors>
  <commentList>
    <comment ref="F81" authorId="0" shapeId="0" xr:uid="{F37F07A0-C91C-4118-ADD6-5F9B716D33E9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  <comment ref="F82" authorId="0" shapeId="0" xr:uid="{1E8F008A-B151-408D-8A40-B87C53687B34}">
      <text>
        <r>
          <rPr>
            <b/>
            <sz val="9"/>
            <color indexed="81"/>
            <rFont val="Tahoma"/>
            <family val="2"/>
          </rPr>
          <t>choward4:</t>
        </r>
        <r>
          <rPr>
            <sz val="9"/>
            <color indexed="81"/>
            <rFont val="Tahoma"/>
            <family val="2"/>
          </rPr>
          <t xml:space="preserve">
Calculated Value</t>
        </r>
      </text>
    </comment>
  </commentList>
</comments>
</file>

<file path=xl/sharedStrings.xml><?xml version="1.0" encoding="utf-8"?>
<sst xmlns="http://schemas.openxmlformats.org/spreadsheetml/2006/main" count="476" uniqueCount="190">
  <si>
    <t>HAM-71-7.31  STRUCTURAL QUANTITIES</t>
  </si>
  <si>
    <t>ITEM 202 - PORTIONS OF STRUCTURE REMOVED, OVER 20' SPAN, APP</t>
  </si>
  <si>
    <t>LUMP</t>
  </si>
  <si>
    <t>ITEM 510 - DOWEL HOLES USING NON-SHRINK, NON-METALLIC GROUT</t>
  </si>
  <si>
    <t>EACH</t>
  </si>
  <si>
    <t xml:space="preserve">#6 LONGITUDINAL DECK REBAR = </t>
  </si>
  <si>
    <t xml:space="preserve">#6 TRANSVERSE DECK REBAR SPA. @ 7.75" = </t>
  </si>
  <si>
    <t xml:space="preserve">#7 TRANSVERSE DECK REBAR SPA. @ 7.75" = </t>
  </si>
  <si>
    <t>DECK CONCRETE</t>
  </si>
  <si>
    <t xml:space="preserve">LENGTH = </t>
  </si>
  <si>
    <t xml:space="preserve">WIDTH = </t>
  </si>
  <si>
    <t xml:space="preserve">THICKNESS = </t>
  </si>
  <si>
    <t>FT</t>
  </si>
  <si>
    <t>FT (AVG)</t>
  </si>
  <si>
    <t>DECK SIDEWALK</t>
  </si>
  <si>
    <t>CONCRETE PARAPET</t>
  </si>
  <si>
    <t>HEIGHT =</t>
  </si>
  <si>
    <t>CF</t>
  </si>
  <si>
    <t xml:space="preserve">TOTAL VOLUME = </t>
  </si>
  <si>
    <t>CY</t>
  </si>
  <si>
    <t>ITEM 202 - CONDUIT REMOVED</t>
  </si>
  <si>
    <t>ITEM 625 - 3.5" CONDUIT</t>
  </si>
  <si>
    <t>TOTAL =</t>
  </si>
  <si>
    <t>Endspan</t>
  </si>
  <si>
    <t>V1</t>
  </si>
  <si>
    <t>V2</t>
  </si>
  <si>
    <t>Midspan</t>
  </si>
  <si>
    <t>00050</t>
  </si>
  <si>
    <t>SURFACE PREPARATION OF EXISTING STRUCTURAL STEEL</t>
  </si>
  <si>
    <t>SQ FT</t>
  </si>
  <si>
    <t>surface area: (2D-3Bf-Tw)</t>
  </si>
  <si>
    <t>in</t>
  </si>
  <si>
    <r>
      <t>2D+3W-2t</t>
    </r>
    <r>
      <rPr>
        <vertAlign val="subscript"/>
        <sz val="11"/>
        <color theme="1"/>
        <rFont val="Calibri"/>
        <family val="2"/>
        <scheme val="minor"/>
      </rPr>
      <t>w</t>
    </r>
  </si>
  <si>
    <t>surface area:</t>
  </si>
  <si>
    <t>00056</t>
  </si>
  <si>
    <t>FIELD PAINTING OF EXISTING STRUCTURAL STEEL, PRIME COAT</t>
  </si>
  <si>
    <t>ft</t>
  </si>
  <si>
    <t>72" PL. Girder Straight  (18" Wide Flange) Flange thickness: 1.75</t>
  </si>
  <si>
    <t>72" PL. Girder Straight  (18" Wide Flange) Flange thickness: 2.125" MIN, 2.5" MAX</t>
  </si>
  <si>
    <t>72" PL. Girder Straight  (18" Wide Flange) Flange thickness: 1.25" MIN, 1.50" MAX</t>
  </si>
  <si>
    <t>Rear Abutment End Crossframes for Beams 1-7</t>
  </si>
  <si>
    <t>00060</t>
  </si>
  <si>
    <t>FIELD PAINTING OF EXISTING STRUCTURAL STEEL, INTERMEDIATE COAT</t>
  </si>
  <si>
    <t>length:</t>
  </si>
  <si>
    <t>L4x4x5/16</t>
  </si>
  <si>
    <t xml:space="preserve"> lb per ft</t>
  </si>
  <si>
    <t>00066</t>
  </si>
  <si>
    <t>FIELD PAINTING OF EXISTING STRUCTURAL STEEL, FINISH COAT</t>
  </si>
  <si>
    <t>designation:</t>
  </si>
  <si>
    <t>End Span</t>
  </si>
  <si>
    <t>Abutment end crossframe</t>
  </si>
  <si>
    <t>00504</t>
  </si>
  <si>
    <t>GRINDING FINS, TEARS, SLIVERS ON EXISTING STRUCTURAL STEEL</t>
  </si>
  <si>
    <t>MANHOURS</t>
  </si>
  <si>
    <t>area:</t>
  </si>
  <si>
    <t>sq ft</t>
  </si>
  <si>
    <t>C=</t>
  </si>
  <si>
    <t>Info Unverified - Do Not Use</t>
  </si>
  <si>
    <t>FINAL INSPECTION REPAIR</t>
  </si>
  <si>
    <t>area + 10%:</t>
  </si>
  <si>
    <t>W30x132</t>
  </si>
  <si>
    <t>Girder Spacing =</t>
  </si>
  <si>
    <t>C</t>
  </si>
  <si>
    <t>C/3</t>
  </si>
  <si>
    <t>C/6</t>
  </si>
  <si>
    <r>
      <t>t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=</t>
    </r>
  </si>
  <si>
    <t>Span=</t>
  </si>
  <si>
    <t>Total Beam Length =</t>
  </si>
  <si>
    <t>Beam Web Ht=</t>
  </si>
  <si>
    <t>Total Area per beam</t>
  </si>
  <si>
    <t>Internal Hinges</t>
  </si>
  <si>
    <t>Sq Ft</t>
  </si>
  <si>
    <t>Girder Ht=</t>
  </si>
  <si>
    <t>Length</t>
  </si>
  <si>
    <t>Total # of Beams</t>
  </si>
  <si>
    <t>Scuppers</t>
  </si>
  <si>
    <t>Bearings</t>
  </si>
  <si>
    <t>Slider-Expan.</t>
  </si>
  <si>
    <t>Fixed</t>
  </si>
  <si>
    <t>Elastomeric</t>
  </si>
  <si>
    <t xml:space="preserve">L4x4x5/16" Paint Area = </t>
  </si>
  <si>
    <t>Hinge(x2)</t>
  </si>
  <si>
    <t>Total Paint Area</t>
  </si>
  <si>
    <t>Painted Area (SF)</t>
  </si>
  <si>
    <t>Incl. Gusset Pl. =&gt; =</t>
  </si>
  <si>
    <t>top/bottom</t>
  </si>
  <si>
    <t>Area</t>
  </si>
  <si>
    <t>sq in</t>
  </si>
  <si>
    <t>Quantity</t>
  </si>
  <si>
    <t>Ft</t>
  </si>
  <si>
    <t>Side</t>
  </si>
  <si>
    <t>Vert. Stiffener surf. area:</t>
  </si>
  <si>
    <t>Total Area (SF)</t>
  </si>
  <si>
    <t>Total Painted Area</t>
  </si>
  <si>
    <t>Total surface</t>
  </si>
  <si>
    <t># of Stiffeners</t>
  </si>
  <si>
    <t>Each</t>
  </si>
  <si>
    <t>Area =</t>
  </si>
  <si>
    <t>Total</t>
  </si>
  <si>
    <t>Total Painted Hinges</t>
  </si>
  <si>
    <t>Stiffener edge included with web painting</t>
  </si>
  <si>
    <t>Add 10%</t>
  </si>
  <si>
    <t>Abut. &amp; Pier Brg. Stiff. surf. area:</t>
  </si>
  <si>
    <t xml:space="preserve"> Total L3x3x3/8" X-Frame member length =</t>
  </si>
  <si>
    <t>Painting</t>
  </si>
  <si>
    <t>length=</t>
  </si>
  <si>
    <t>9.93+(2*4.3033)+(2*3.2096)</t>
  </si>
  <si>
    <t>Paint area per End Crossframe</t>
  </si>
  <si>
    <t>Area + 10%</t>
  </si>
  <si>
    <t>Abutment End Crossframes</t>
  </si>
  <si>
    <t>Paint area per =</t>
  </si>
  <si>
    <t>End Crossframe</t>
  </si>
  <si>
    <t>End Crossframes</t>
  </si>
  <si>
    <t>Steel Weight for end Crossframes</t>
  </si>
  <si>
    <t>quantity:</t>
  </si>
  <si>
    <t>Pounds</t>
  </si>
  <si>
    <t>area + 10%: for Gusset Plates</t>
  </si>
  <si>
    <t>Beam Ht =</t>
  </si>
  <si>
    <t>Add 10% for gusset plates</t>
  </si>
  <si>
    <t>surface area Diag:</t>
  </si>
  <si>
    <t>surface area Hor:</t>
  </si>
  <si>
    <t>length Diag:</t>
  </si>
  <si>
    <t># of End Crossframes</t>
  </si>
  <si>
    <t>length Hor:</t>
  </si>
  <si>
    <t>Total Area</t>
  </si>
  <si>
    <t>Int. 3 Leg X-frame</t>
  </si>
  <si>
    <t>Total Weight of End Crossframe Structural Steel</t>
  </si>
  <si>
    <t>Lateral Crossframes</t>
  </si>
  <si>
    <t>Tot. Hor. Length</t>
  </si>
  <si>
    <t>Tot. Diagonal Length</t>
  </si>
  <si>
    <t xml:space="preserve">Total Paint Area = </t>
  </si>
  <si>
    <t xml:space="preserve">Total Length = </t>
  </si>
  <si>
    <t>Steel Wt =</t>
  </si>
  <si>
    <t>LB</t>
  </si>
  <si>
    <t xml:space="preserve">W36x231 Straight  (16.5" Flange) Web thickness 0.75" </t>
  </si>
  <si>
    <t>Intermediate Bridge Crossframes F1</t>
  </si>
  <si>
    <t>Int. 4 Leg X-frame</t>
  </si>
  <si>
    <t>Touch-up Areas for old crossframes</t>
  </si>
  <si>
    <t>sf</t>
  </si>
  <si>
    <t>6 sf per old x-frame</t>
  </si>
  <si>
    <t>W36x231</t>
  </si>
  <si>
    <t>L3x3x5/16</t>
  </si>
  <si>
    <t>Intermediate Bridge Crossframes F2</t>
  </si>
  <si>
    <t>1 EACH</t>
  </si>
  <si>
    <t>Item 513 – ASTM A572 Grade 50 Splice Plate 11”x ½” x 1’-2 ¼ “</t>
  </si>
  <si>
    <t>2 EACH</t>
  </si>
  <si>
    <t>Item 513 – ASTM A572 Grade 50 Splice Plate 4 ½” x 5/16” x 1’-2 ¼ “</t>
  </si>
  <si>
    <t>Item 513 – ASTM A572 Grade 50 Splice Plate 4 ½” x ½” x 1’-2 ¼ “</t>
  </si>
  <si>
    <t>Item 513 – ASTM A572 Grade 50 Splice Plate 16”x 9/16” x 2’-6”</t>
  </si>
  <si>
    <t>Item 513 – ASTM A572 Grade 50 Splice Plate 6 ½” x 9/16” x 2’-6”</t>
  </si>
  <si>
    <t>Painting of splice plates is included with beam painting (add'l 10%)</t>
  </si>
  <si>
    <t>ITEM 202 - PORTION OF STRUCTURE REMOVED, AS PER PLAN (MAIN MEMBERS)</t>
  </si>
  <si>
    <t>ITEM 202 - PORTION OF STRUCTURE REMOVED, AS PER PLAN (SECONDARY MEMBERS)</t>
  </si>
  <si>
    <t>ITEM 513 - STRUCTURAL STEEL MISC., REPAIR OF DAMAGED MAIN OR SECONDARY MEMBER, FILLET WELDING</t>
  </si>
  <si>
    <t>ITEM 514 - FIELD PAINTING OF DAMAGED STRUCTURAL STEEL, AS PER PLAN (TWO COAT)</t>
  </si>
  <si>
    <t>ITEM 516 - JACKING &amp; TEMPORARY SUPPORT OF STRUCTURE, AS PER PLAN</t>
  </si>
  <si>
    <t xml:space="preserve">LENGTH PER F1 CROSS FRAME = </t>
  </si>
  <si>
    <t xml:space="preserve">LENGTH PER F2 CROSS FRAME = </t>
  </si>
  <si>
    <t xml:space="preserve"># OF CROSSFRAMES = </t>
  </si>
  <si>
    <t>TOTAL LENGTH =</t>
  </si>
  <si>
    <t>ITEM 849 - DAMAGE ASSESSMENT</t>
  </si>
  <si>
    <t>ITEM 849 - SURFACE PREP</t>
  </si>
  <si>
    <t>ITEM 849 - REPAIRING DAMAGED MEMBERS BY GRINDING</t>
  </si>
  <si>
    <t xml:space="preserve">DAMAGE AREA 1 = </t>
  </si>
  <si>
    <t xml:space="preserve">DAMAGE AREA 2 = </t>
  </si>
  <si>
    <t xml:space="preserve">DAMAGE AREA 3 = </t>
  </si>
  <si>
    <t xml:space="preserve">OLD CROSSFRAMES = </t>
  </si>
  <si>
    <t>HOURS</t>
  </si>
  <si>
    <t>ITEM 849 - STRAIGHTENING DAMAGED MEMBERS</t>
  </si>
  <si>
    <t>ITEM 512 - SEALING CONCRETE DECK WITH HMWM RESIN</t>
  </si>
  <si>
    <t>SF</t>
  </si>
  <si>
    <t>SY</t>
  </si>
  <si>
    <t>ITEM 513 - STRUCTURAL STEEL, LEVEL UF</t>
  </si>
  <si>
    <t>ITEM 511 - CLASS QC2 CONCRETE WITH QC/QA, SUPERSTRUCTURE</t>
  </si>
  <si>
    <t>W36x231 BEAM =</t>
  </si>
  <si>
    <t>Lb</t>
  </si>
  <si>
    <t>14 EACH</t>
  </si>
  <si>
    <t>9 EACH</t>
  </si>
  <si>
    <t>Item 513 – ASTM A572 Grade 50 L3”x3”x5/16” Cross Frame Struts (9.10’ Long, 6.1 Lb/Ft)</t>
  </si>
  <si>
    <t>Item 513 – ASTM A572 Grade 50 L3”x3”x5/16” Cross Frame Diagonals (9.50' Long, 6.1 Lb/Ft)</t>
  </si>
  <si>
    <t>198 EACH</t>
  </si>
  <si>
    <t>1" DIAM A325 BOLTS (80 BOLTS FS#1 + 118 BOLTS FS#2)</t>
  </si>
  <si>
    <t>48 EACH</t>
  </si>
  <si>
    <t>NEW 12"LONG ANCHOR BOLTS FOR RAILING POSTS</t>
  </si>
  <si>
    <t>NEW 7" LONG MAX ANCHOR BOLTS FOR VANDAL BASE PLATES</t>
  </si>
  <si>
    <t>RAILING &amp; VANDAL FENCE</t>
  </si>
  <si>
    <t>ITEM 513 - STRUCTURAL STEEL, LEVEL 4 (Provide plate girder if W36X231 not available)</t>
  </si>
  <si>
    <t>ITEM 607 - VANDAL FENCE REMOVED AND RESET</t>
  </si>
  <si>
    <t>ITEM 517 - RAILING MISC.: BRIDGE RAILING REMOVED AND RESET</t>
  </si>
  <si>
    <t>75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</si>
</sst>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0" fillId="0" borderId="1" xfId="0" applyFont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" fontId="0" fillId="2" borderId="0" xfId="0" applyNumberFormat="1" applyFill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3" borderId="8" xfId="0" applyFill="1" applyBorder="1"/>
    <xf numFmtId="0" fontId="0" fillId="3" borderId="0" xfId="0" applyFill="1"/>
    <xf numFmtId="164" fontId="0" fillId="3" borderId="0" xfId="0" applyNumberFormat="1" applyFill="1"/>
    <xf numFmtId="0" fontId="0" fillId="3" borderId="9" xfId="0" applyFill="1" applyBorder="1"/>
    <xf numFmtId="0" fontId="0" fillId="0" borderId="0" xfId="0" applyAlignment="1">
      <alignment horizontal="left" vertical="center"/>
    </xf>
    <xf numFmtId="1" fontId="0" fillId="4" borderId="0" xfId="0" applyNumberFormat="1" applyFill="1" applyAlignment="1">
      <alignment horizontal="center" vertical="center"/>
    </xf>
    <xf numFmtId="0" fontId="0" fillId="0" borderId="2" xfId="0" applyBorder="1"/>
    <xf numFmtId="1" fontId="0" fillId="2" borderId="2" xfId="0" applyNumberFormat="1" applyFill="1" applyBorder="1"/>
    <xf numFmtId="1" fontId="0" fillId="2" borderId="3" xfId="0" applyNumberForma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6" borderId="17" xfId="0" applyFont="1" applyFill="1" applyBorder="1"/>
    <xf numFmtId="0" fontId="4" fillId="6" borderId="11" xfId="0" applyFont="1" applyFill="1" applyBorder="1"/>
    <xf numFmtId="1" fontId="4" fillId="6" borderId="3" xfId="0" applyNumberFormat="1" applyFont="1" applyFill="1" applyBorder="1"/>
    <xf numFmtId="0" fontId="4" fillId="6" borderId="18" xfId="0" applyFont="1" applyFill="1" applyBorder="1"/>
    <xf numFmtId="2" fontId="0" fillId="2" borderId="0" xfId="0" applyNumberFormat="1" applyFill="1"/>
    <xf numFmtId="0" fontId="0" fillId="0" borderId="5" xfId="0" applyBorder="1"/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0" fillId="5" borderId="8" xfId="0" applyFill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0" xfId="0" applyBorder="1"/>
    <xf numFmtId="0" fontId="0" fillId="2" borderId="21" xfId="0" applyFill="1" applyBorder="1"/>
    <xf numFmtId="0" fontId="0" fillId="0" borderId="22" xfId="0" applyBorder="1"/>
    <xf numFmtId="0" fontId="0" fillId="5" borderId="8" xfId="0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5" borderId="8" xfId="0" applyFill="1" applyBorder="1"/>
    <xf numFmtId="0" fontId="0" fillId="0" borderId="23" xfId="0" applyBorder="1"/>
    <xf numFmtId="0" fontId="0" fillId="0" borderId="24" xfId="0" applyBorder="1"/>
    <xf numFmtId="9" fontId="0" fillId="0" borderId="1" xfId="0" applyNumberFormat="1" applyBorder="1"/>
    <xf numFmtId="0" fontId="0" fillId="2" borderId="1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1" fontId="0" fillId="5" borderId="28" xfId="0" applyNumberFormat="1" applyFill="1" applyBorder="1"/>
    <xf numFmtId="0" fontId="0" fillId="3" borderId="8" xfId="0" applyFill="1" applyBorder="1" applyAlignment="1">
      <alignment horizontal="left"/>
    </xf>
    <xf numFmtId="2" fontId="0" fillId="3" borderId="0" xfId="0" applyNumberFormat="1" applyFill="1"/>
    <xf numFmtId="0" fontId="0" fillId="5" borderId="1" xfId="0" applyFill="1" applyBorder="1"/>
    <xf numFmtId="0" fontId="0" fillId="3" borderId="23" xfId="0" applyFill="1" applyBorder="1"/>
    <xf numFmtId="0" fontId="0" fillId="3" borderId="1" xfId="0" applyFill="1" applyBorder="1"/>
    <xf numFmtId="0" fontId="0" fillId="3" borderId="24" xfId="0" applyFill="1" applyBorder="1"/>
    <xf numFmtId="164" fontId="0" fillId="0" borderId="3" xfId="0" applyNumberFormat="1" applyBorder="1"/>
    <xf numFmtId="0" fontId="1" fillId="0" borderId="6" xfId="0" applyFont="1" applyBorder="1"/>
    <xf numFmtId="0" fontId="0" fillId="0" borderId="10" xfId="0" applyBorder="1"/>
    <xf numFmtId="0" fontId="0" fillId="0" borderId="3" xfId="0" applyBorder="1" applyAlignment="1">
      <alignment wrapText="1"/>
    </xf>
    <xf numFmtId="164" fontId="0" fillId="0" borderId="0" xfId="0" applyNumberFormat="1"/>
    <xf numFmtId="1" fontId="0" fillId="0" borderId="0" xfId="0" applyNumberFormat="1"/>
    <xf numFmtId="0" fontId="0" fillId="0" borderId="8" xfId="0" applyBorder="1" applyAlignment="1">
      <alignment wrapText="1"/>
    </xf>
    <xf numFmtId="2" fontId="0" fillId="2" borderId="3" xfId="0" applyNumberFormat="1" applyFill="1" applyBorder="1"/>
    <xf numFmtId="0" fontId="0" fillId="0" borderId="8" xfId="0" applyBorder="1" applyAlignment="1">
      <alignment horizontal="left"/>
    </xf>
    <xf numFmtId="164" fontId="0" fillId="0" borderId="1" xfId="0" applyNumberFormat="1" applyBorder="1"/>
    <xf numFmtId="0" fontId="0" fillId="2" borderId="0" xfId="0" applyFill="1" applyAlignment="1">
      <alignment horizontal="right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2" fontId="0" fillId="0" borderId="1" xfId="0" applyNumberFormat="1" applyBorder="1"/>
    <xf numFmtId="0" fontId="8" fillId="0" borderId="0" xfId="0" applyFont="1"/>
    <xf numFmtId="0" fontId="1" fillId="0" borderId="12" xfId="0" applyFont="1" applyBorder="1"/>
    <xf numFmtId="0" fontId="0" fillId="0" borderId="0" xfId="0" applyFont="1" applyBorder="1"/>
    <xf numFmtId="2" fontId="0" fillId="0" borderId="1" xfId="0" applyNumberFormat="1" applyFont="1" applyBorder="1"/>
    <xf numFmtId="0" fontId="0" fillId="0" borderId="0" xfId="0" applyFont="1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165" fontId="0" fillId="3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165" fontId="0" fillId="3" borderId="0" xfId="0" applyNumberFormat="1" applyFill="1" applyAlignment="1">
      <alignment horizontal="right" vertical="center"/>
    </xf>
    <xf numFmtId="0" fontId="0" fillId="3" borderId="2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0" xfId="0" applyFill="1" applyBorder="1"/>
    <xf numFmtId="0" fontId="1" fillId="3" borderId="12" xfId="0" applyFont="1" applyFill="1" applyBorder="1" applyAlignment="1">
      <alignment wrapText="1"/>
    </xf>
    <xf numFmtId="0" fontId="0" fillId="3" borderId="12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247650</xdr:colOff>
      <xdr:row>85</xdr:row>
      <xdr:rowOff>9525</xdr:rowOff>
    </xdr:from>
    <xdr:to>
      <xdr:col>29</xdr:col>
      <xdr:colOff>0</xdr:colOff>
      <xdr:row>89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2D0D679-0D1F-4921-A4A8-AE89578333EA}"/>
            </a:ext>
          </a:extLst>
        </xdr:cNvPr>
        <xdr:cNvCxnSpPr/>
      </xdr:nvCxnSpPr>
      <xdr:spPr>
        <a:xfrm>
          <a:off x="33023175" y="62979300"/>
          <a:ext cx="1352550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85</xdr:row>
      <xdr:rowOff>9525</xdr:rowOff>
    </xdr:from>
    <xdr:to>
      <xdr:col>27</xdr:col>
      <xdr:colOff>238125</xdr:colOff>
      <xdr:row>89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FB25A8D-35D8-4629-9744-12F9918114E7}"/>
            </a:ext>
          </a:extLst>
        </xdr:cNvPr>
        <xdr:cNvCxnSpPr/>
      </xdr:nvCxnSpPr>
      <xdr:spPr>
        <a:xfrm flipV="1">
          <a:off x="31984950" y="62979300"/>
          <a:ext cx="1028700" cy="781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89</xdr:row>
      <xdr:rowOff>47625</xdr:rowOff>
    </xdr:from>
    <xdr:to>
      <xdr:col>29</xdr:col>
      <xdr:colOff>0</xdr:colOff>
      <xdr:row>89</xdr:row>
      <xdr:rowOff>57151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1F90560-533F-474A-BC7E-6EFD96AE6A05}"/>
            </a:ext>
          </a:extLst>
        </xdr:cNvPr>
        <xdr:cNvCxnSpPr/>
      </xdr:nvCxnSpPr>
      <xdr:spPr>
        <a:xfrm flipH="1" flipV="1">
          <a:off x="31975425" y="63788925"/>
          <a:ext cx="2400300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219075</xdr:colOff>
      <xdr:row>86</xdr:row>
      <xdr:rowOff>57150</xdr:rowOff>
    </xdr:from>
    <xdr:to>
      <xdr:col>35</xdr:col>
      <xdr:colOff>47625</xdr:colOff>
      <xdr:row>90</xdr:row>
      <xdr:rowOff>152399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E7DAE3CE-0AB8-478B-94D4-A5EAB721FDDC}"/>
            </a:ext>
          </a:extLst>
        </xdr:cNvPr>
        <xdr:cNvSpPr/>
      </xdr:nvSpPr>
      <xdr:spPr>
        <a:xfrm flipH="1">
          <a:off x="36747450" y="63226950"/>
          <a:ext cx="1276350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60511</xdr:colOff>
      <xdr:row>86</xdr:row>
      <xdr:rowOff>66675</xdr:rowOff>
    </xdr:from>
    <xdr:to>
      <xdr:col>36</xdr:col>
      <xdr:colOff>108136</xdr:colOff>
      <xdr:row>90</xdr:row>
      <xdr:rowOff>152400</xdr:rowOff>
    </xdr:to>
    <xdr:sp macro="" textlink="">
      <xdr:nvSpPr>
        <xdr:cNvPr id="6" name="Right Triangle 5">
          <a:extLst>
            <a:ext uri="{FF2B5EF4-FFF2-40B4-BE49-F238E27FC236}">
              <a16:creationId xmlns:a16="http://schemas.microsoft.com/office/drawing/2014/main" id="{C9DAF63A-0D69-4ABD-A26C-96B3893A12FA}"/>
            </a:ext>
          </a:extLst>
        </xdr:cNvPr>
        <xdr:cNvSpPr/>
      </xdr:nvSpPr>
      <xdr:spPr>
        <a:xfrm>
          <a:off x="38036686" y="63236475"/>
          <a:ext cx="56197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152400</xdr:colOff>
      <xdr:row>86</xdr:row>
      <xdr:rowOff>66675</xdr:rowOff>
    </xdr:from>
    <xdr:to>
      <xdr:col>39</xdr:col>
      <xdr:colOff>257175</xdr:colOff>
      <xdr:row>90</xdr:row>
      <xdr:rowOff>161924</xdr:rowOff>
    </xdr:to>
    <xdr:sp macro="" textlink="">
      <xdr:nvSpPr>
        <xdr:cNvPr id="7" name="Right Triangle 6">
          <a:extLst>
            <a:ext uri="{FF2B5EF4-FFF2-40B4-BE49-F238E27FC236}">
              <a16:creationId xmlns:a16="http://schemas.microsoft.com/office/drawing/2014/main" id="{6C929397-B743-407A-9CD5-01D1222D1F95}"/>
            </a:ext>
          </a:extLst>
        </xdr:cNvPr>
        <xdr:cNvSpPr/>
      </xdr:nvSpPr>
      <xdr:spPr>
        <a:xfrm>
          <a:off x="39233475" y="63236475"/>
          <a:ext cx="1419225" cy="857249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95250</xdr:colOff>
      <xdr:row>86</xdr:row>
      <xdr:rowOff>66675</xdr:rowOff>
    </xdr:from>
    <xdr:to>
      <xdr:col>37</xdr:col>
      <xdr:colOff>142875</xdr:colOff>
      <xdr:row>90</xdr:row>
      <xdr:rowOff>152400</xdr:rowOff>
    </xdr:to>
    <xdr:sp macro="" textlink="">
      <xdr:nvSpPr>
        <xdr:cNvPr id="8" name="Right Triangle 7">
          <a:extLst>
            <a:ext uri="{FF2B5EF4-FFF2-40B4-BE49-F238E27FC236}">
              <a16:creationId xmlns:a16="http://schemas.microsoft.com/office/drawing/2014/main" id="{543A054D-D77D-4E44-B2E9-E3E2BD4434C0}"/>
            </a:ext>
          </a:extLst>
        </xdr:cNvPr>
        <xdr:cNvSpPr/>
      </xdr:nvSpPr>
      <xdr:spPr>
        <a:xfrm flipH="1">
          <a:off x="38585775" y="63236475"/>
          <a:ext cx="638175" cy="847725"/>
        </a:xfrm>
        <a:prstGeom prst="rtTriangl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109</xdr:row>
      <xdr:rowOff>0</xdr:rowOff>
    </xdr:from>
    <xdr:to>
      <xdr:col>29</xdr:col>
      <xdr:colOff>9525</xdr:colOff>
      <xdr:row>113</xdr:row>
      <xdr:rowOff>19050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BBF54EA-DA98-4FF8-A0B5-DF708672C22C}"/>
            </a:ext>
          </a:extLst>
        </xdr:cNvPr>
        <xdr:cNvCxnSpPr/>
      </xdr:nvCxnSpPr>
      <xdr:spPr>
        <a:xfrm>
          <a:off x="31984950" y="67570350"/>
          <a:ext cx="2400300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109</xdr:row>
      <xdr:rowOff>0</xdr:rowOff>
    </xdr:from>
    <xdr:to>
      <xdr:col>29</xdr:col>
      <xdr:colOff>28575</xdr:colOff>
      <xdr:row>113</xdr:row>
      <xdr:rowOff>19050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9872E149-298B-4B05-8C34-E3BE5EB87818}"/>
            </a:ext>
          </a:extLst>
        </xdr:cNvPr>
        <xdr:cNvCxnSpPr/>
      </xdr:nvCxnSpPr>
      <xdr:spPr>
        <a:xfrm flipV="1">
          <a:off x="31984950" y="67570350"/>
          <a:ext cx="2419350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113</xdr:row>
      <xdr:rowOff>57150</xdr:rowOff>
    </xdr:from>
    <xdr:to>
      <xdr:col>29</xdr:col>
      <xdr:colOff>0</xdr:colOff>
      <xdr:row>113</xdr:row>
      <xdr:rowOff>57151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DD98136-A27C-4FA7-ADD1-5A9EE0DD1B44}"/>
            </a:ext>
          </a:extLst>
        </xdr:cNvPr>
        <xdr:cNvCxnSpPr/>
      </xdr:nvCxnSpPr>
      <xdr:spPr>
        <a:xfrm flipH="1" flipV="1">
          <a:off x="31994475" y="69342000"/>
          <a:ext cx="23812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89</xdr:row>
      <xdr:rowOff>22411</xdr:rowOff>
    </xdr:from>
    <xdr:to>
      <xdr:col>51</xdr:col>
      <xdr:colOff>0</xdr:colOff>
      <xdr:row>95</xdr:row>
      <xdr:rowOff>11205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AB9BF580-2881-4739-ABA1-C255761E0007}"/>
            </a:ext>
          </a:extLst>
        </xdr:cNvPr>
        <xdr:cNvCxnSpPr/>
      </xdr:nvCxnSpPr>
      <xdr:spPr>
        <a:xfrm flipV="1">
          <a:off x="45481875" y="63763711"/>
          <a:ext cx="2886075" cy="11508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593912</xdr:colOff>
      <xdr:row>89</xdr:row>
      <xdr:rowOff>0</xdr:rowOff>
    </xdr:from>
    <xdr:to>
      <xdr:col>51</xdr:col>
      <xdr:colOff>11206</xdr:colOff>
      <xdr:row>95</xdr:row>
      <xdr:rowOff>22411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10A75EAC-D0EA-4EE5-9A7F-743E27AD438C}"/>
            </a:ext>
          </a:extLst>
        </xdr:cNvPr>
        <xdr:cNvCxnSpPr/>
      </xdr:nvCxnSpPr>
      <xdr:spPr>
        <a:xfrm>
          <a:off x="45466187" y="63741300"/>
          <a:ext cx="2912969" cy="11844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33617</xdr:colOff>
      <xdr:row>89</xdr:row>
      <xdr:rowOff>0</xdr:rowOff>
    </xdr:from>
    <xdr:to>
      <xdr:col>60</xdr:col>
      <xdr:colOff>33616</xdr:colOff>
      <xdr:row>94</xdr:row>
      <xdr:rowOff>179294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567D2E7A-4464-42D6-8D94-05EB89EC5D23}"/>
            </a:ext>
          </a:extLst>
        </xdr:cNvPr>
        <xdr:cNvCxnSpPr/>
      </xdr:nvCxnSpPr>
      <xdr:spPr>
        <a:xfrm flipV="1">
          <a:off x="51306692" y="63741300"/>
          <a:ext cx="2619374" cy="11413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33618</xdr:colOff>
      <xdr:row>89</xdr:row>
      <xdr:rowOff>33617</xdr:rowOff>
    </xdr:from>
    <xdr:to>
      <xdr:col>60</xdr:col>
      <xdr:colOff>11206</xdr:colOff>
      <xdr:row>95</xdr:row>
      <xdr:rowOff>22411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FFA90439-E269-4CEF-839E-DB1CE59E425E}"/>
            </a:ext>
          </a:extLst>
        </xdr:cNvPr>
        <xdr:cNvCxnSpPr/>
      </xdr:nvCxnSpPr>
      <xdr:spPr>
        <a:xfrm>
          <a:off x="51306693" y="63774917"/>
          <a:ext cx="2596963" cy="115084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33617</xdr:colOff>
      <xdr:row>107</xdr:row>
      <xdr:rowOff>0</xdr:rowOff>
    </xdr:from>
    <xdr:to>
      <xdr:col>51</xdr:col>
      <xdr:colOff>33616</xdr:colOff>
      <xdr:row>112</xdr:row>
      <xdr:rowOff>179294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8A48EA06-AC92-45C8-85F9-75D5E4CA5345}"/>
            </a:ext>
          </a:extLst>
        </xdr:cNvPr>
        <xdr:cNvCxnSpPr/>
      </xdr:nvCxnSpPr>
      <xdr:spPr>
        <a:xfrm flipV="1">
          <a:off x="45515492" y="67189350"/>
          <a:ext cx="2886074" cy="2084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33618</xdr:colOff>
      <xdr:row>107</xdr:row>
      <xdr:rowOff>33617</xdr:rowOff>
    </xdr:from>
    <xdr:to>
      <xdr:col>51</xdr:col>
      <xdr:colOff>11206</xdr:colOff>
      <xdr:row>113</xdr:row>
      <xdr:rowOff>22411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16F186FF-51AE-405F-A104-4211B6FED819}"/>
            </a:ext>
          </a:extLst>
        </xdr:cNvPr>
        <xdr:cNvCxnSpPr/>
      </xdr:nvCxnSpPr>
      <xdr:spPr>
        <a:xfrm>
          <a:off x="45515493" y="67222967"/>
          <a:ext cx="2863663" cy="2084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33617</xdr:colOff>
      <xdr:row>107</xdr:row>
      <xdr:rowOff>0</xdr:rowOff>
    </xdr:from>
    <xdr:to>
      <xdr:col>60</xdr:col>
      <xdr:colOff>33616</xdr:colOff>
      <xdr:row>112</xdr:row>
      <xdr:rowOff>179294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836B09F8-51AC-406A-BC38-4421BE14B9FF}"/>
            </a:ext>
          </a:extLst>
        </xdr:cNvPr>
        <xdr:cNvCxnSpPr/>
      </xdr:nvCxnSpPr>
      <xdr:spPr>
        <a:xfrm flipV="1">
          <a:off x="51306692" y="67189350"/>
          <a:ext cx="2619374" cy="2084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33618</xdr:colOff>
      <xdr:row>107</xdr:row>
      <xdr:rowOff>33617</xdr:rowOff>
    </xdr:from>
    <xdr:to>
      <xdr:col>60</xdr:col>
      <xdr:colOff>11206</xdr:colOff>
      <xdr:row>113</xdr:row>
      <xdr:rowOff>22411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69B1B2F4-32E4-4CF3-989B-25B5F522D615}"/>
            </a:ext>
          </a:extLst>
        </xdr:cNvPr>
        <xdr:cNvCxnSpPr/>
      </xdr:nvCxnSpPr>
      <xdr:spPr>
        <a:xfrm>
          <a:off x="51306693" y="67222967"/>
          <a:ext cx="2596963" cy="2084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257175</xdr:colOff>
      <xdr:row>92</xdr:row>
      <xdr:rowOff>171450</xdr:rowOff>
    </xdr:from>
    <xdr:to>
      <xdr:col>70</xdr:col>
      <xdr:colOff>447675</xdr:colOff>
      <xdr:row>94</xdr:row>
      <xdr:rowOff>38100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2563B726-B0FC-439A-A66F-F21996E08694}"/>
            </a:ext>
          </a:extLst>
        </xdr:cNvPr>
        <xdr:cNvCxnSpPr/>
      </xdr:nvCxnSpPr>
      <xdr:spPr>
        <a:xfrm>
          <a:off x="57397650" y="64484250"/>
          <a:ext cx="283845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447675</xdr:colOff>
      <xdr:row>94</xdr:row>
      <xdr:rowOff>19051</xdr:rowOff>
    </xdr:from>
    <xdr:to>
      <xdr:col>70</xdr:col>
      <xdr:colOff>447676</xdr:colOff>
      <xdr:row>95</xdr:row>
      <xdr:rowOff>66675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1B505134-B72F-4195-8110-26DFAF39EC74}"/>
            </a:ext>
          </a:extLst>
        </xdr:cNvPr>
        <xdr:cNvCxnSpPr/>
      </xdr:nvCxnSpPr>
      <xdr:spPr>
        <a:xfrm flipV="1">
          <a:off x="60236100" y="64722376"/>
          <a:ext cx="1" cy="2476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333375</xdr:colOff>
      <xdr:row>95</xdr:row>
      <xdr:rowOff>76200</xdr:rowOff>
    </xdr:from>
    <xdr:to>
      <xdr:col>70</xdr:col>
      <xdr:colOff>457200</xdr:colOff>
      <xdr:row>96</xdr:row>
      <xdr:rowOff>104775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D8B477BB-D14B-4DEE-8D5E-ACFEBDE4C1CB}"/>
            </a:ext>
          </a:extLst>
        </xdr:cNvPr>
        <xdr:cNvCxnSpPr/>
      </xdr:nvCxnSpPr>
      <xdr:spPr>
        <a:xfrm flipV="1">
          <a:off x="57473850" y="64979550"/>
          <a:ext cx="2771775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19050</xdr:colOff>
      <xdr:row>92</xdr:row>
      <xdr:rowOff>161925</xdr:rowOff>
    </xdr:from>
    <xdr:to>
      <xdr:col>65</xdr:col>
      <xdr:colOff>228600</xdr:colOff>
      <xdr:row>92</xdr:row>
      <xdr:rowOff>161925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21C5F94E-6ABE-41FE-96F8-5261163CA9DA}"/>
            </a:ext>
          </a:extLst>
        </xdr:cNvPr>
        <xdr:cNvCxnSpPr/>
      </xdr:nvCxnSpPr>
      <xdr:spPr>
        <a:xfrm>
          <a:off x="55864125" y="64474725"/>
          <a:ext cx="1504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66675</xdr:colOff>
      <xdr:row>96</xdr:row>
      <xdr:rowOff>104775</xdr:rowOff>
    </xdr:from>
    <xdr:to>
      <xdr:col>65</xdr:col>
      <xdr:colOff>371475</xdr:colOff>
      <xdr:row>96</xdr:row>
      <xdr:rowOff>104775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9AD927B1-6C86-4A56-A540-103BE0AB08FD}"/>
            </a:ext>
          </a:extLst>
        </xdr:cNvPr>
        <xdr:cNvCxnSpPr/>
      </xdr:nvCxnSpPr>
      <xdr:spPr>
        <a:xfrm>
          <a:off x="55911750" y="651986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38099</xdr:colOff>
      <xdr:row>92</xdr:row>
      <xdr:rowOff>152401</xdr:rowOff>
    </xdr:from>
    <xdr:to>
      <xdr:col>64</xdr:col>
      <xdr:colOff>47625</xdr:colOff>
      <xdr:row>96</xdr:row>
      <xdr:rowOff>104775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68667130-87A7-4534-ADEC-51EAC8A2DF88}"/>
            </a:ext>
          </a:extLst>
        </xdr:cNvPr>
        <xdr:cNvCxnSpPr/>
      </xdr:nvCxnSpPr>
      <xdr:spPr>
        <a:xfrm flipH="1" flipV="1">
          <a:off x="55883174" y="64465201"/>
          <a:ext cx="9526" cy="7334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76200</xdr:colOff>
      <xdr:row>98</xdr:row>
      <xdr:rowOff>142875</xdr:rowOff>
    </xdr:from>
    <xdr:to>
      <xdr:col>70</xdr:col>
      <xdr:colOff>409575</xdr:colOff>
      <xdr:row>98</xdr:row>
      <xdr:rowOff>171450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C35ED39-C669-4F88-B7DE-DE7233100043}"/>
            </a:ext>
          </a:extLst>
        </xdr:cNvPr>
        <xdr:cNvCxnSpPr/>
      </xdr:nvCxnSpPr>
      <xdr:spPr>
        <a:xfrm flipV="1">
          <a:off x="55921275" y="65617725"/>
          <a:ext cx="4276725" cy="28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123825</xdr:colOff>
      <xdr:row>99</xdr:row>
      <xdr:rowOff>142875</xdr:rowOff>
    </xdr:from>
    <xdr:to>
      <xdr:col>70</xdr:col>
      <xdr:colOff>438150</xdr:colOff>
      <xdr:row>99</xdr:row>
      <xdr:rowOff>180976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5D6DADD2-A651-4A96-898D-880535AF4069}"/>
            </a:ext>
          </a:extLst>
        </xdr:cNvPr>
        <xdr:cNvCxnSpPr/>
      </xdr:nvCxnSpPr>
      <xdr:spPr>
        <a:xfrm flipV="1">
          <a:off x="55968900" y="65808225"/>
          <a:ext cx="4257675" cy="381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66675</xdr:colOff>
      <xdr:row>99</xdr:row>
      <xdr:rowOff>0</xdr:rowOff>
    </xdr:from>
    <xdr:to>
      <xdr:col>64</xdr:col>
      <xdr:colOff>66675</xdr:colOff>
      <xdr:row>99</xdr:row>
      <xdr:rowOff>171450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8AB729B8-830B-4573-A8A7-D0973BEFA51A}"/>
            </a:ext>
          </a:extLst>
        </xdr:cNvPr>
        <xdr:cNvCxnSpPr/>
      </xdr:nvCxnSpPr>
      <xdr:spPr>
        <a:xfrm>
          <a:off x="55911750" y="65665350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428624</xdr:colOff>
      <xdr:row>98</xdr:row>
      <xdr:rowOff>161925</xdr:rowOff>
    </xdr:from>
    <xdr:to>
      <xdr:col>70</xdr:col>
      <xdr:colOff>428625</xdr:colOff>
      <xdr:row>99</xdr:row>
      <xdr:rowOff>123825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E29E350D-210A-4E24-A659-A1C775409D9E}"/>
            </a:ext>
          </a:extLst>
        </xdr:cNvPr>
        <xdr:cNvCxnSpPr/>
      </xdr:nvCxnSpPr>
      <xdr:spPr>
        <a:xfrm flipH="1" flipV="1">
          <a:off x="60217049" y="65636775"/>
          <a:ext cx="1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68036</xdr:colOff>
      <xdr:row>109</xdr:row>
      <xdr:rowOff>27214</xdr:rowOff>
    </xdr:from>
    <xdr:to>
      <xdr:col>66</xdr:col>
      <xdr:colOff>68036</xdr:colOff>
      <xdr:row>120</xdr:row>
      <xdr:rowOff>40822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AE75C41E-4D9F-487E-8D36-91C243CC2294}"/>
            </a:ext>
          </a:extLst>
        </xdr:cNvPr>
        <xdr:cNvCxnSpPr>
          <a:endCxn id="33" idx="2"/>
        </xdr:cNvCxnSpPr>
      </xdr:nvCxnSpPr>
      <xdr:spPr>
        <a:xfrm flipV="1">
          <a:off x="57846686" y="67597564"/>
          <a:ext cx="0" cy="3061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244928</xdr:colOff>
      <xdr:row>109</xdr:row>
      <xdr:rowOff>27214</xdr:rowOff>
    </xdr:from>
    <xdr:to>
      <xdr:col>67</xdr:col>
      <xdr:colOff>244928</xdr:colOff>
      <xdr:row>119</xdr:row>
      <xdr:rowOff>163286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33BB62E6-7E9F-4F0E-A7DA-40C38DB3FBC9}"/>
            </a:ext>
          </a:extLst>
        </xdr:cNvPr>
        <xdr:cNvCxnSpPr>
          <a:endCxn id="33" idx="6"/>
        </xdr:cNvCxnSpPr>
      </xdr:nvCxnSpPr>
      <xdr:spPr>
        <a:xfrm flipV="1">
          <a:off x="58823678" y="67597564"/>
          <a:ext cx="0" cy="29935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68036</xdr:colOff>
      <xdr:row>108</xdr:row>
      <xdr:rowOff>54428</xdr:rowOff>
    </xdr:from>
    <xdr:to>
      <xdr:col>67</xdr:col>
      <xdr:colOff>244928</xdr:colOff>
      <xdr:row>110</xdr:row>
      <xdr:rowOff>0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D2D79405-5AA4-4685-9D77-84B1714F9354}"/>
            </a:ext>
          </a:extLst>
        </xdr:cNvPr>
        <xdr:cNvSpPr/>
      </xdr:nvSpPr>
      <xdr:spPr>
        <a:xfrm>
          <a:off x="57846686" y="67434278"/>
          <a:ext cx="976992" cy="326572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66</xdr:col>
      <xdr:colOff>79825</xdr:colOff>
      <xdr:row>119</xdr:row>
      <xdr:rowOff>160807</xdr:rowOff>
    </xdr:from>
    <xdr:to>
      <xdr:col>67</xdr:col>
      <xdr:colOff>250272</xdr:colOff>
      <xdr:row>120</xdr:row>
      <xdr:rowOff>146539</xdr:rowOff>
    </xdr:to>
    <xdr:sp macro="" textlink="">
      <xdr:nvSpPr>
        <xdr:cNvPr id="34" name="Freeform: Shape 33">
          <a:extLst>
            <a:ext uri="{FF2B5EF4-FFF2-40B4-BE49-F238E27FC236}">
              <a16:creationId xmlns:a16="http://schemas.microsoft.com/office/drawing/2014/main" id="{13FAAB21-A825-4E86-B18B-0F17F14384BC}"/>
            </a:ext>
          </a:extLst>
        </xdr:cNvPr>
        <xdr:cNvSpPr/>
      </xdr:nvSpPr>
      <xdr:spPr>
        <a:xfrm>
          <a:off x="57858475" y="70588657"/>
          <a:ext cx="970547" cy="176232"/>
        </a:xfrm>
        <a:custGeom>
          <a:avLst/>
          <a:gdLst>
            <a:gd name="connsiteX0" fmla="*/ 0 w 782053"/>
            <a:gd name="connsiteY0" fmla="*/ 45118 h 196010"/>
            <a:gd name="connsiteX1" fmla="*/ 381000 w 782053"/>
            <a:gd name="connsiteY1" fmla="*/ 195513 h 196010"/>
            <a:gd name="connsiteX2" fmla="*/ 782053 w 782053"/>
            <a:gd name="connsiteY2" fmla="*/ 0 h 196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2053" h="196010">
              <a:moveTo>
                <a:pt x="0" y="45118"/>
              </a:moveTo>
              <a:cubicBezTo>
                <a:pt x="125329" y="124075"/>
                <a:pt x="250658" y="203033"/>
                <a:pt x="381000" y="195513"/>
              </a:cubicBezTo>
              <a:cubicBezTo>
                <a:pt x="511342" y="187993"/>
                <a:pt x="646697" y="93996"/>
                <a:pt x="782053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9525</xdr:colOff>
      <xdr:row>132</xdr:row>
      <xdr:rowOff>0</xdr:rowOff>
    </xdr:from>
    <xdr:to>
      <xdr:col>29</xdr:col>
      <xdr:colOff>9525</xdr:colOff>
      <xdr:row>136</xdr:row>
      <xdr:rowOff>19050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755A5FEB-0419-4960-810D-376C55FC3F42}"/>
            </a:ext>
          </a:extLst>
        </xdr:cNvPr>
        <xdr:cNvCxnSpPr/>
      </xdr:nvCxnSpPr>
      <xdr:spPr>
        <a:xfrm>
          <a:off x="17118806" y="24943594"/>
          <a:ext cx="2024063" cy="1924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132</xdr:row>
      <xdr:rowOff>0</xdr:rowOff>
    </xdr:from>
    <xdr:to>
      <xdr:col>29</xdr:col>
      <xdr:colOff>28575</xdr:colOff>
      <xdr:row>136</xdr:row>
      <xdr:rowOff>19050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426F1DD6-5248-48C3-9203-668A75CADE03}"/>
            </a:ext>
          </a:extLst>
        </xdr:cNvPr>
        <xdr:cNvCxnSpPr/>
      </xdr:nvCxnSpPr>
      <xdr:spPr>
        <a:xfrm flipV="1">
          <a:off x="17118806" y="24943594"/>
          <a:ext cx="2043113" cy="1924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136</xdr:row>
      <xdr:rowOff>57150</xdr:rowOff>
    </xdr:from>
    <xdr:to>
      <xdr:col>29</xdr:col>
      <xdr:colOff>0</xdr:colOff>
      <xdr:row>136</xdr:row>
      <xdr:rowOff>57151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5F8586AA-1E66-47A0-B8E3-D857385342B1}"/>
            </a:ext>
          </a:extLst>
        </xdr:cNvPr>
        <xdr:cNvCxnSpPr/>
      </xdr:nvCxnSpPr>
      <xdr:spPr>
        <a:xfrm flipH="1" flipV="1">
          <a:off x="17128331" y="26905744"/>
          <a:ext cx="200501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131</xdr:row>
      <xdr:rowOff>95250</xdr:rowOff>
    </xdr:from>
    <xdr:to>
      <xdr:col>28</xdr:col>
      <xdr:colOff>588169</xdr:colOff>
      <xdr:row>131</xdr:row>
      <xdr:rowOff>95251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75E01815-47C9-44C7-AA09-EA9D10B45B2F}"/>
            </a:ext>
          </a:extLst>
        </xdr:cNvPr>
        <xdr:cNvCxnSpPr/>
      </xdr:nvCxnSpPr>
      <xdr:spPr>
        <a:xfrm flipH="1" flipV="1">
          <a:off x="17109281" y="31515844"/>
          <a:ext cx="2005013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7E9E3-6C25-4CA2-AAF8-FDD136C45899}">
  <dimension ref="A3:BT174"/>
  <sheetViews>
    <sheetView tabSelected="1" topLeftCell="A105" zoomScale="80" zoomScaleNormal="80" workbookViewId="0">
      <selection activeCell="U109" sqref="U109"/>
    </sheetView>
  </sheetViews>
  <sheetFormatPr defaultRowHeight="15" x14ac:dyDescent="0.25"/>
  <cols>
    <col min="4" max="4" width="11" customWidth="1"/>
    <col min="5" max="5" width="14.7109375" customWidth="1"/>
    <col min="8" max="8" width="18.42578125" customWidth="1"/>
    <col min="13" max="13" width="16" customWidth="1"/>
    <col min="18" max="18" width="14.28515625" customWidth="1"/>
    <col min="19" max="21" width="12.7109375" customWidth="1"/>
    <col min="27" max="27" width="12.140625" customWidth="1"/>
  </cols>
  <sheetData>
    <row r="3" spans="1:8" ht="26.25" x14ac:dyDescent="0.4">
      <c r="A3" s="4" t="s">
        <v>0</v>
      </c>
      <c r="B3" s="4"/>
      <c r="C3" s="4"/>
      <c r="D3" s="4"/>
    </row>
    <row r="6" spans="1:8" x14ac:dyDescent="0.25">
      <c r="A6" s="5" t="s">
        <v>1</v>
      </c>
      <c r="B6" s="5"/>
      <c r="C6" s="5"/>
      <c r="D6" s="5"/>
      <c r="E6" s="5"/>
      <c r="F6" s="5"/>
      <c r="G6" s="5"/>
      <c r="H6" s="2" t="s">
        <v>2</v>
      </c>
    </row>
    <row r="8" spans="1:8" x14ac:dyDescent="0.25">
      <c r="A8" s="5" t="s">
        <v>3</v>
      </c>
      <c r="B8" s="3"/>
      <c r="C8" s="3"/>
      <c r="D8" s="3"/>
      <c r="E8" s="3"/>
      <c r="F8" s="3"/>
      <c r="G8" s="3"/>
    </row>
    <row r="10" spans="1:8" x14ac:dyDescent="0.25">
      <c r="A10" t="s">
        <v>6</v>
      </c>
      <c r="E10">
        <v>90</v>
      </c>
      <c r="F10" t="s">
        <v>4</v>
      </c>
    </row>
    <row r="12" spans="1:8" x14ac:dyDescent="0.25">
      <c r="A12" t="s">
        <v>7</v>
      </c>
      <c r="E12">
        <v>90</v>
      </c>
      <c r="F12" t="s">
        <v>4</v>
      </c>
    </row>
    <row r="14" spans="1:8" x14ac:dyDescent="0.25">
      <c r="A14" t="s">
        <v>5</v>
      </c>
      <c r="E14" s="9">
        <v>60</v>
      </c>
      <c r="F14" s="9" t="s">
        <v>4</v>
      </c>
    </row>
    <row r="15" spans="1:8" x14ac:dyDescent="0.25">
      <c r="E15" s="9"/>
      <c r="F15" s="9"/>
    </row>
    <row r="16" spans="1:8" x14ac:dyDescent="0.25">
      <c r="A16" t="s">
        <v>185</v>
      </c>
      <c r="E16" s="3">
        <v>98</v>
      </c>
      <c r="F16" s="3" t="s">
        <v>4</v>
      </c>
    </row>
    <row r="17" spans="1:8" x14ac:dyDescent="0.25">
      <c r="E17">
        <f>SUM(E10:E16)</f>
        <v>338</v>
      </c>
      <c r="F17" t="s">
        <v>4</v>
      </c>
    </row>
    <row r="20" spans="1:8" x14ac:dyDescent="0.25">
      <c r="A20" s="5" t="s">
        <v>173</v>
      </c>
      <c r="B20" s="5"/>
      <c r="C20" s="5"/>
      <c r="D20" s="5"/>
      <c r="E20" s="5"/>
      <c r="F20" s="5"/>
      <c r="G20" s="5"/>
      <c r="H20" s="5"/>
    </row>
    <row r="22" spans="1:8" x14ac:dyDescent="0.25">
      <c r="A22" t="s">
        <v>8</v>
      </c>
    </row>
    <row r="23" spans="1:8" x14ac:dyDescent="0.25">
      <c r="A23" t="s">
        <v>9</v>
      </c>
      <c r="C23">
        <v>54</v>
      </c>
      <c r="D23" t="s">
        <v>12</v>
      </c>
    </row>
    <row r="24" spans="1:8" x14ac:dyDescent="0.25">
      <c r="A24" t="s">
        <v>10</v>
      </c>
      <c r="C24">
        <v>8</v>
      </c>
      <c r="D24" t="s">
        <v>12</v>
      </c>
    </row>
    <row r="25" spans="1:8" x14ac:dyDescent="0.25">
      <c r="A25" t="s">
        <v>11</v>
      </c>
      <c r="C25" s="3">
        <f>0.5*(8.5+11)/12</f>
        <v>0.8125</v>
      </c>
      <c r="D25" s="3" t="s">
        <v>13</v>
      </c>
    </row>
    <row r="26" spans="1:8" x14ac:dyDescent="0.25">
      <c r="C26">
        <f>C23*C24*C25</f>
        <v>351</v>
      </c>
      <c r="D26" t="s">
        <v>17</v>
      </c>
    </row>
    <row r="28" spans="1:8" x14ac:dyDescent="0.25">
      <c r="A28" t="s">
        <v>14</v>
      </c>
    </row>
    <row r="29" spans="1:8" x14ac:dyDescent="0.25">
      <c r="A29" t="s">
        <v>9</v>
      </c>
      <c r="C29">
        <v>54</v>
      </c>
      <c r="D29" t="s">
        <v>12</v>
      </c>
    </row>
    <row r="30" spans="1:8" x14ac:dyDescent="0.25">
      <c r="A30" t="s">
        <v>10</v>
      </c>
      <c r="C30">
        <v>6</v>
      </c>
      <c r="D30" t="s">
        <v>12</v>
      </c>
    </row>
    <row r="31" spans="1:8" x14ac:dyDescent="0.25">
      <c r="A31" t="s">
        <v>11</v>
      </c>
      <c r="C31" s="3">
        <v>0.86</v>
      </c>
      <c r="D31" s="3" t="s">
        <v>13</v>
      </c>
    </row>
    <row r="32" spans="1:8" x14ac:dyDescent="0.25">
      <c r="C32">
        <f>C29*C30*C31</f>
        <v>278.64</v>
      </c>
      <c r="D32" s="7" t="s">
        <v>17</v>
      </c>
    </row>
    <row r="34" spans="1:4" x14ac:dyDescent="0.25">
      <c r="A34" t="s">
        <v>15</v>
      </c>
    </row>
    <row r="35" spans="1:4" x14ac:dyDescent="0.25">
      <c r="A35" t="s">
        <v>9</v>
      </c>
      <c r="C35">
        <v>54</v>
      </c>
      <c r="D35" t="s">
        <v>12</v>
      </c>
    </row>
    <row r="36" spans="1:4" x14ac:dyDescent="0.25">
      <c r="A36" t="s">
        <v>10</v>
      </c>
      <c r="C36">
        <v>1</v>
      </c>
      <c r="D36" t="s">
        <v>12</v>
      </c>
    </row>
    <row r="37" spans="1:4" x14ac:dyDescent="0.25">
      <c r="A37" t="s">
        <v>16</v>
      </c>
      <c r="C37" s="6">
        <v>1.5</v>
      </c>
      <c r="D37" s="6" t="s">
        <v>13</v>
      </c>
    </row>
    <row r="38" spans="1:4" x14ac:dyDescent="0.25">
      <c r="C38">
        <f>C35*C36*C37</f>
        <v>81</v>
      </c>
      <c r="D38" s="7" t="s">
        <v>17</v>
      </c>
    </row>
    <row r="40" spans="1:4" x14ac:dyDescent="0.25">
      <c r="A40" t="s">
        <v>18</v>
      </c>
      <c r="C40">
        <f>C26+C32+C38</f>
        <v>710.64</v>
      </c>
      <c r="D40" t="s">
        <v>17</v>
      </c>
    </row>
    <row r="41" spans="1:4" x14ac:dyDescent="0.25">
      <c r="C41">
        <f>C40/27</f>
        <v>26.32</v>
      </c>
      <c r="D41" t="s">
        <v>19</v>
      </c>
    </row>
    <row r="44" spans="1:4" x14ac:dyDescent="0.25">
      <c r="A44" s="8" t="s">
        <v>20</v>
      </c>
      <c r="B44" s="8"/>
      <c r="C44" s="8"/>
    </row>
    <row r="45" spans="1:4" x14ac:dyDescent="0.25">
      <c r="A45" s="5" t="s">
        <v>21</v>
      </c>
      <c r="B45" s="5"/>
      <c r="C45" s="5"/>
    </row>
    <row r="47" spans="1:4" x14ac:dyDescent="0.25">
      <c r="A47" t="s">
        <v>22</v>
      </c>
      <c r="C47">
        <f>6*54</f>
        <v>324</v>
      </c>
      <c r="D47" t="s">
        <v>12</v>
      </c>
    </row>
    <row r="50" spans="1:11" x14ac:dyDescent="0.25">
      <c r="A50" s="8" t="s">
        <v>186</v>
      </c>
      <c r="B50" s="9"/>
      <c r="C50" s="9"/>
      <c r="D50" s="9"/>
    </row>
    <row r="51" spans="1:11" x14ac:dyDescent="0.25">
      <c r="A51" s="96" t="s">
        <v>174</v>
      </c>
      <c r="B51" s="9"/>
      <c r="C51" s="9">
        <f>231*50</f>
        <v>11550</v>
      </c>
      <c r="D51" s="9" t="s">
        <v>175</v>
      </c>
    </row>
    <row r="52" spans="1:11" x14ac:dyDescent="0.25">
      <c r="A52" s="96"/>
      <c r="B52" s="9"/>
      <c r="C52" s="9"/>
      <c r="D52" s="9"/>
    </row>
    <row r="53" spans="1:11" x14ac:dyDescent="0.25">
      <c r="A53" s="5" t="s">
        <v>172</v>
      </c>
      <c r="B53" s="3"/>
      <c r="C53" s="3"/>
      <c r="D53" s="3"/>
      <c r="E53" s="3"/>
    </row>
    <row r="54" spans="1:11" x14ac:dyDescent="0.25">
      <c r="A54" s="90" t="s">
        <v>176</v>
      </c>
      <c r="B54" s="90" t="s">
        <v>178</v>
      </c>
      <c r="D54" s="9"/>
      <c r="J54" s="62">
        <f>14*(9.1*6.1)</f>
        <v>777.14</v>
      </c>
      <c r="K54" t="s">
        <v>133</v>
      </c>
    </row>
    <row r="55" spans="1:11" x14ac:dyDescent="0.25">
      <c r="A55" s="90"/>
      <c r="B55" s="91"/>
      <c r="D55" s="9"/>
      <c r="J55" s="62"/>
    </row>
    <row r="56" spans="1:11" x14ac:dyDescent="0.25">
      <c r="A56" s="90" t="s">
        <v>177</v>
      </c>
      <c r="B56" s="90" t="s">
        <v>179</v>
      </c>
      <c r="D56" s="9"/>
      <c r="J56" s="62">
        <f>14*(9.5*6.1)</f>
        <v>811.3</v>
      </c>
      <c r="K56" t="s">
        <v>133</v>
      </c>
    </row>
    <row r="57" spans="1:11" x14ac:dyDescent="0.25">
      <c r="A57" s="90"/>
      <c r="B57" s="91"/>
      <c r="D57" s="9"/>
      <c r="J57" s="62"/>
    </row>
    <row r="58" spans="1:11" x14ac:dyDescent="0.25">
      <c r="A58" s="90" t="s">
        <v>143</v>
      </c>
      <c r="B58" s="90" t="s">
        <v>144</v>
      </c>
      <c r="D58" s="9"/>
      <c r="J58" s="62">
        <f>1*(0.92*0.042*1.19)*490</f>
        <v>22.530984</v>
      </c>
      <c r="K58" t="s">
        <v>133</v>
      </c>
    </row>
    <row r="59" spans="1:11" x14ac:dyDescent="0.25">
      <c r="A59" s="90"/>
      <c r="B59" s="91"/>
      <c r="D59" s="9"/>
      <c r="J59" s="62"/>
    </row>
    <row r="60" spans="1:11" x14ac:dyDescent="0.25">
      <c r="A60" s="90" t="s">
        <v>145</v>
      </c>
      <c r="B60" s="90" t="s">
        <v>146</v>
      </c>
      <c r="D60" s="9"/>
      <c r="J60" s="62">
        <f>2*((4.5*(5/16)*1/144)*1.19)*490</f>
        <v>11.388671874999998</v>
      </c>
      <c r="K60" t="s">
        <v>133</v>
      </c>
    </row>
    <row r="61" spans="1:11" x14ac:dyDescent="0.25">
      <c r="A61" s="90"/>
      <c r="B61" s="91"/>
      <c r="D61" s="9"/>
      <c r="J61" s="62"/>
    </row>
    <row r="62" spans="1:11" x14ac:dyDescent="0.25">
      <c r="A62" s="90" t="s">
        <v>145</v>
      </c>
      <c r="B62" s="90" t="s">
        <v>147</v>
      </c>
      <c r="D62" s="9"/>
      <c r="J62" s="62">
        <f>2*((4.5*(0.5)*1/144)*1.19)*490</f>
        <v>18.221875000000001</v>
      </c>
      <c r="K62" t="s">
        <v>133</v>
      </c>
    </row>
    <row r="63" spans="1:11" x14ac:dyDescent="0.25">
      <c r="A63" s="90"/>
      <c r="B63" s="91"/>
      <c r="D63" s="9"/>
      <c r="J63" s="62"/>
    </row>
    <row r="64" spans="1:11" x14ac:dyDescent="0.25">
      <c r="A64" s="90" t="s">
        <v>143</v>
      </c>
      <c r="B64" s="90" t="s">
        <v>148</v>
      </c>
      <c r="D64" s="9"/>
      <c r="J64" s="62">
        <f>1*(1.333*((9/16)*1/12)*2.5)*490</f>
        <v>76.543359374999994</v>
      </c>
      <c r="K64" t="s">
        <v>133</v>
      </c>
    </row>
    <row r="65" spans="1:43" x14ac:dyDescent="0.25">
      <c r="A65" s="90"/>
      <c r="B65" s="91"/>
      <c r="D65" s="9"/>
      <c r="J65" s="62"/>
    </row>
    <row r="66" spans="1:43" x14ac:dyDescent="0.25">
      <c r="A66" s="90" t="s">
        <v>145</v>
      </c>
      <c r="B66" s="90" t="s">
        <v>149</v>
      </c>
      <c r="D66" s="9"/>
      <c r="J66" s="62">
        <f>1*((6.5*(9/16)*1/144)*2.5)*490</f>
        <v>31.103515625</v>
      </c>
      <c r="K66" t="s">
        <v>133</v>
      </c>
    </row>
    <row r="67" spans="1:43" x14ac:dyDescent="0.25">
      <c r="A67" s="90"/>
      <c r="B67" s="90"/>
      <c r="D67" s="9"/>
      <c r="J67" s="62"/>
    </row>
    <row r="68" spans="1:43" x14ac:dyDescent="0.25">
      <c r="A68" s="90" t="s">
        <v>182</v>
      </c>
      <c r="B68" s="90" t="s">
        <v>183</v>
      </c>
      <c r="D68" s="9"/>
      <c r="J68" s="62">
        <f>48*3</f>
        <v>144</v>
      </c>
      <c r="K68" t="s">
        <v>133</v>
      </c>
    </row>
    <row r="69" spans="1:43" x14ac:dyDescent="0.25">
      <c r="A69" s="90"/>
      <c r="B69" s="90"/>
      <c r="D69" s="9"/>
      <c r="J69" s="62"/>
    </row>
    <row r="70" spans="1:43" x14ac:dyDescent="0.25">
      <c r="A70" s="90" t="s">
        <v>182</v>
      </c>
      <c r="B70" s="90" t="s">
        <v>184</v>
      </c>
      <c r="D70" s="9"/>
      <c r="J70" s="62">
        <f>48*1</f>
        <v>48</v>
      </c>
      <c r="K70" t="s">
        <v>133</v>
      </c>
    </row>
    <row r="71" spans="1:43" x14ac:dyDescent="0.25">
      <c r="A71" s="90"/>
      <c r="B71" s="90"/>
      <c r="D71" s="9"/>
      <c r="J71" s="62"/>
    </row>
    <row r="72" spans="1:43" x14ac:dyDescent="0.25">
      <c r="A72" t="s">
        <v>180</v>
      </c>
      <c r="B72" s="90" t="s">
        <v>181</v>
      </c>
      <c r="D72" s="9"/>
      <c r="I72" s="6"/>
      <c r="J72" s="97">
        <f xml:space="preserve"> 198</f>
        <v>198</v>
      </c>
      <c r="K72" s="6" t="s">
        <v>133</v>
      </c>
    </row>
    <row r="73" spans="1:43" x14ac:dyDescent="0.25">
      <c r="A73" s="8"/>
      <c r="B73" s="9"/>
      <c r="C73" s="9"/>
      <c r="D73" s="9"/>
      <c r="J73" s="62">
        <f>SUM(J54:J72)</f>
        <v>2138.2284058750001</v>
      </c>
      <c r="K73" s="98" t="s">
        <v>133</v>
      </c>
    </row>
    <row r="74" spans="1:43" x14ac:dyDescent="0.25">
      <c r="A74" s="8"/>
      <c r="B74" s="9"/>
      <c r="C74" s="9"/>
      <c r="D74" s="9"/>
    </row>
    <row r="75" spans="1:43" x14ac:dyDescent="0.25">
      <c r="A75" s="5" t="s">
        <v>154</v>
      </c>
      <c r="B75" s="3"/>
      <c r="C75" s="3"/>
      <c r="D75" s="3"/>
      <c r="E75" s="3"/>
      <c r="F75" s="3"/>
      <c r="G75" s="3"/>
      <c r="H75" s="3"/>
    </row>
    <row r="76" spans="1:43" x14ac:dyDescent="0.25">
      <c r="A76" s="95" t="s">
        <v>161</v>
      </c>
      <c r="B76" s="95"/>
      <c r="C76" s="95"/>
      <c r="H76" t="s">
        <v>23</v>
      </c>
      <c r="L76" t="s">
        <v>24</v>
      </c>
      <c r="P76" t="s">
        <v>25</v>
      </c>
      <c r="Q76">
        <f>2*(2.5+72+2.5)+(3*18)-(2*0.4375)</f>
        <v>207.125</v>
      </c>
      <c r="T76" t="s">
        <v>26</v>
      </c>
      <c r="X76" s="10"/>
    </row>
    <row r="77" spans="1:43" ht="59.25" customHeight="1" x14ac:dyDescent="0.25">
      <c r="B77" s="11">
        <v>514</v>
      </c>
      <c r="C77" s="12" t="s">
        <v>27</v>
      </c>
      <c r="D77" s="10" t="s">
        <v>28</v>
      </c>
      <c r="E77" s="11" t="s">
        <v>29</v>
      </c>
      <c r="F77" s="13">
        <f>P95</f>
        <v>980.19000000000017</v>
      </c>
      <c r="H77" s="14" t="s">
        <v>30</v>
      </c>
      <c r="I77" s="15">
        <f>2*(36)+(3*16.5)-(2*0.75)</f>
        <v>120</v>
      </c>
      <c r="J77" s="15" t="s">
        <v>31</v>
      </c>
      <c r="K77" s="14" t="s">
        <v>32</v>
      </c>
      <c r="L77" s="14" t="s">
        <v>33</v>
      </c>
      <c r="M77" s="15">
        <v>0</v>
      </c>
      <c r="N77" s="15" t="s">
        <v>31</v>
      </c>
      <c r="O77" s="14" t="s">
        <v>32</v>
      </c>
      <c r="P77" s="14" t="s">
        <v>33</v>
      </c>
      <c r="Q77" s="15">
        <v>0</v>
      </c>
      <c r="R77" s="15" t="s">
        <v>31</v>
      </c>
      <c r="S77" s="14" t="s">
        <v>32</v>
      </c>
      <c r="T77" s="14" t="s">
        <v>33</v>
      </c>
      <c r="U77" s="15">
        <v>0</v>
      </c>
      <c r="V77" s="15" t="s">
        <v>31</v>
      </c>
      <c r="W77" s="14" t="s">
        <v>32</v>
      </c>
      <c r="X77" s="11"/>
    </row>
    <row r="78" spans="1:43" ht="180" x14ac:dyDescent="0.25">
      <c r="B78" s="11">
        <v>514</v>
      </c>
      <c r="C78" s="12" t="s">
        <v>34</v>
      </c>
      <c r="D78" s="10" t="s">
        <v>35</v>
      </c>
      <c r="E78" s="11" t="s">
        <v>29</v>
      </c>
      <c r="F78" s="13">
        <f>P95</f>
        <v>980.19000000000017</v>
      </c>
      <c r="H78" s="16" t="s">
        <v>134</v>
      </c>
      <c r="I78" s="15">
        <f>I77/12</f>
        <v>10</v>
      </c>
      <c r="J78" s="15" t="s">
        <v>36</v>
      </c>
      <c r="K78" s="17"/>
      <c r="L78" s="16" t="s">
        <v>37</v>
      </c>
      <c r="M78" s="15">
        <f>M77/12</f>
        <v>0</v>
      </c>
      <c r="N78" s="15" t="s">
        <v>36</v>
      </c>
      <c r="O78" s="17"/>
      <c r="P78" s="16" t="s">
        <v>38</v>
      </c>
      <c r="Q78" s="15">
        <f>Q77/12</f>
        <v>0</v>
      </c>
      <c r="R78" s="15" t="s">
        <v>36</v>
      </c>
      <c r="S78" s="17"/>
      <c r="T78" s="16" t="s">
        <v>39</v>
      </c>
      <c r="U78" s="15">
        <f>U77/12</f>
        <v>0</v>
      </c>
      <c r="V78" s="15" t="s">
        <v>36</v>
      </c>
      <c r="W78" s="17"/>
      <c r="AH78" s="102" t="s">
        <v>40</v>
      </c>
      <c r="AI78" s="103"/>
      <c r="AJ78" s="103"/>
      <c r="AK78" s="103"/>
      <c r="AL78" s="103"/>
      <c r="AM78" s="103"/>
      <c r="AN78" s="103"/>
      <c r="AO78" s="103"/>
      <c r="AP78" s="103"/>
      <c r="AQ78" s="104"/>
    </row>
    <row r="79" spans="1:43" ht="120" x14ac:dyDescent="0.25">
      <c r="B79" s="11">
        <v>514</v>
      </c>
      <c r="C79" s="12" t="s">
        <v>41</v>
      </c>
      <c r="D79" s="10" t="s">
        <v>42</v>
      </c>
      <c r="E79" s="11" t="s">
        <v>29</v>
      </c>
      <c r="F79" s="13">
        <f>P95</f>
        <v>980.19000000000017</v>
      </c>
      <c r="H79" s="15" t="s">
        <v>43</v>
      </c>
      <c r="I79" s="15">
        <v>49.8</v>
      </c>
      <c r="J79" s="15" t="s">
        <v>36</v>
      </c>
      <c r="K79" s="15"/>
      <c r="L79" s="15" t="s">
        <v>43</v>
      </c>
      <c r="M79" s="15">
        <v>0</v>
      </c>
      <c r="N79" s="15" t="s">
        <v>36</v>
      </c>
      <c r="O79" s="15"/>
      <c r="P79" s="15" t="s">
        <v>43</v>
      </c>
      <c r="Q79" s="15">
        <v>0</v>
      </c>
      <c r="R79" s="15" t="s">
        <v>36</v>
      </c>
      <c r="S79" s="15"/>
      <c r="T79" s="15" t="s">
        <v>43</v>
      </c>
      <c r="U79" s="15">
        <v>0</v>
      </c>
      <c r="V79" s="15" t="s">
        <v>36</v>
      </c>
      <c r="W79" s="15"/>
      <c r="AH79" s="29"/>
      <c r="AI79" s="30"/>
      <c r="AJ79" s="30"/>
      <c r="AK79" s="30"/>
      <c r="AL79" s="30"/>
      <c r="AM79" s="30" t="s">
        <v>44</v>
      </c>
      <c r="AN79" s="30"/>
      <c r="AO79" s="105">
        <v>8.1999999999999993</v>
      </c>
      <c r="AP79" s="38" t="s">
        <v>45</v>
      </c>
      <c r="AQ79" s="32"/>
    </row>
    <row r="80" spans="1:43" ht="120" x14ac:dyDescent="0.25">
      <c r="B80" s="11">
        <v>514</v>
      </c>
      <c r="C80" s="12" t="s">
        <v>46</v>
      </c>
      <c r="D80" s="10" t="s">
        <v>47</v>
      </c>
      <c r="E80" s="11" t="s">
        <v>29</v>
      </c>
      <c r="F80" s="13">
        <f>P95</f>
        <v>980.19000000000017</v>
      </c>
      <c r="H80" s="23" t="s">
        <v>48</v>
      </c>
      <c r="I80" s="24" t="s">
        <v>49</v>
      </c>
      <c r="J80" s="25"/>
      <c r="K80" s="23"/>
      <c r="L80" s="23" t="s">
        <v>48</v>
      </c>
      <c r="M80" s="24" t="s">
        <v>24</v>
      </c>
      <c r="N80" s="25"/>
      <c r="O80" s="23"/>
      <c r="P80" s="23" t="s">
        <v>48</v>
      </c>
      <c r="Q80" s="24" t="s">
        <v>25</v>
      </c>
      <c r="R80" s="25"/>
      <c r="S80" s="23"/>
      <c r="T80" s="23" t="s">
        <v>48</v>
      </c>
      <c r="U80" s="24" t="s">
        <v>26</v>
      </c>
      <c r="V80" s="25"/>
      <c r="W80" s="23"/>
      <c r="X80" s="26"/>
      <c r="Y80" s="99" t="s">
        <v>50</v>
      </c>
      <c r="Z80" s="100"/>
      <c r="AA80" s="100"/>
      <c r="AB80" s="100"/>
      <c r="AC80" s="100"/>
      <c r="AD80" s="100"/>
      <c r="AE80" s="100"/>
      <c r="AF80" s="101"/>
      <c r="AH80" s="29"/>
      <c r="AI80" s="30"/>
      <c r="AJ80" s="30"/>
      <c r="AK80" s="30"/>
      <c r="AL80" s="38"/>
      <c r="AM80" s="38"/>
      <c r="AN80" s="38"/>
      <c r="AO80" s="30"/>
      <c r="AP80" s="30"/>
      <c r="AQ80" s="32"/>
    </row>
    <row r="81" spans="1:71" ht="120" x14ac:dyDescent="0.25">
      <c r="B81" s="11">
        <v>514</v>
      </c>
      <c r="C81" s="12" t="s">
        <v>51</v>
      </c>
      <c r="D81" s="27" t="s">
        <v>52</v>
      </c>
      <c r="E81" s="11" t="s">
        <v>53</v>
      </c>
      <c r="F81" s="28">
        <f>ROUNDUP(J83*J85/60,0)</f>
        <v>1</v>
      </c>
      <c r="H81" s="15" t="s">
        <v>54</v>
      </c>
      <c r="I81" s="15">
        <f>I79*I78</f>
        <v>498</v>
      </c>
      <c r="J81" s="15" t="s">
        <v>55</v>
      </c>
      <c r="K81" s="15"/>
      <c r="L81" s="15" t="s">
        <v>54</v>
      </c>
      <c r="M81" s="15">
        <f>M79*M78</f>
        <v>0</v>
      </c>
      <c r="N81" s="15" t="s">
        <v>55</v>
      </c>
      <c r="O81" s="15"/>
      <c r="P81" s="15" t="s">
        <v>54</v>
      </c>
      <c r="Q81" s="15">
        <f>Q79*Q78</f>
        <v>0</v>
      </c>
      <c r="R81" s="15" t="s">
        <v>55</v>
      </c>
      <c r="S81" s="15"/>
      <c r="T81" s="15" t="s">
        <v>54</v>
      </c>
      <c r="U81" s="15">
        <f>U79*U78</f>
        <v>0</v>
      </c>
      <c r="V81" s="15" t="s">
        <v>55</v>
      </c>
      <c r="W81" s="15"/>
      <c r="X81" s="20"/>
      <c r="Y81" s="29"/>
      <c r="Z81" s="30" t="s">
        <v>56</v>
      </c>
      <c r="AA81" s="31">
        <v>0</v>
      </c>
      <c r="AB81" s="31" t="s">
        <v>36</v>
      </c>
      <c r="AC81" s="31"/>
      <c r="AD81" s="30"/>
      <c r="AE81" s="30"/>
      <c r="AF81" s="32"/>
      <c r="AH81" s="106" t="s">
        <v>50</v>
      </c>
      <c r="AI81" s="107"/>
      <c r="AJ81" s="107"/>
      <c r="AK81" s="107"/>
      <c r="AL81" s="107"/>
      <c r="AM81" s="107"/>
      <c r="AN81" s="107"/>
      <c r="AO81" s="30"/>
      <c r="AP81" s="30"/>
      <c r="AQ81" s="32"/>
      <c r="AW81" t="s">
        <v>57</v>
      </c>
    </row>
    <row r="82" spans="1:71" ht="45.75" thickBot="1" x14ac:dyDescent="0.4">
      <c r="B82" s="11">
        <v>514</v>
      </c>
      <c r="C82" s="33">
        <v>10000</v>
      </c>
      <c r="D82" s="27" t="s">
        <v>58</v>
      </c>
      <c r="E82" s="11" t="s">
        <v>4</v>
      </c>
      <c r="F82" s="34">
        <f>ROUNDUP(MAX(F77/1200,(J83*J85/150)),0)</f>
        <v>1</v>
      </c>
      <c r="H82" s="35" t="s">
        <v>59</v>
      </c>
      <c r="I82" s="36">
        <f>I81*1.1</f>
        <v>547.80000000000007</v>
      </c>
      <c r="J82" s="35" t="s">
        <v>55</v>
      </c>
      <c r="K82" s="35"/>
      <c r="L82" s="15" t="s">
        <v>59</v>
      </c>
      <c r="M82" s="37">
        <f>M81*1.1</f>
        <v>0</v>
      </c>
      <c r="N82" s="15" t="s">
        <v>55</v>
      </c>
      <c r="O82" s="15"/>
      <c r="P82" s="15" t="s">
        <v>59</v>
      </c>
      <c r="Q82" s="37">
        <f>Q81*1.1</f>
        <v>0</v>
      </c>
      <c r="R82" s="15" t="s">
        <v>55</v>
      </c>
      <c r="S82" s="15"/>
      <c r="T82" s="15" t="s">
        <v>59</v>
      </c>
      <c r="U82" s="37">
        <f>U81*1.1</f>
        <v>0</v>
      </c>
      <c r="V82" s="15" t="s">
        <v>55</v>
      </c>
      <c r="W82" s="15"/>
      <c r="X82" s="20"/>
      <c r="Y82" s="29" t="s">
        <v>60</v>
      </c>
      <c r="Z82" s="38" t="s">
        <v>61</v>
      </c>
      <c r="AA82" s="30">
        <f>6.96*12</f>
        <v>83.52</v>
      </c>
      <c r="AB82" s="30" t="s">
        <v>31</v>
      </c>
      <c r="AC82" s="30"/>
      <c r="AD82" s="39"/>
      <c r="AE82" s="30"/>
      <c r="AF82" s="32"/>
      <c r="AH82" s="108"/>
      <c r="AI82" s="38"/>
      <c r="AJ82" s="38" t="s">
        <v>62</v>
      </c>
      <c r="AK82" s="38" t="s">
        <v>63</v>
      </c>
      <c r="AL82" s="38" t="s">
        <v>64</v>
      </c>
      <c r="AM82" s="38"/>
      <c r="AN82" s="38"/>
      <c r="AO82" s="39" t="s">
        <v>65</v>
      </c>
      <c r="AP82" s="30">
        <v>0.7</v>
      </c>
      <c r="AQ82" s="32" t="s">
        <v>31</v>
      </c>
      <c r="AW82" s="41" t="s">
        <v>66</v>
      </c>
      <c r="AX82" s="41">
        <v>10.25</v>
      </c>
      <c r="AY82" s="41" t="s">
        <v>36</v>
      </c>
      <c r="AZ82" s="41"/>
      <c r="BA82" s="41"/>
      <c r="BB82" s="41"/>
      <c r="BC82" s="41"/>
      <c r="BD82" s="41"/>
      <c r="BE82" s="41"/>
      <c r="BF82" s="41" t="s">
        <v>66</v>
      </c>
      <c r="BG82" s="41">
        <v>13.5</v>
      </c>
      <c r="BH82" s="41" t="s">
        <v>36</v>
      </c>
      <c r="BI82" s="41"/>
    </row>
    <row r="83" spans="1:71" x14ac:dyDescent="0.25">
      <c r="H83" s="42" t="s">
        <v>67</v>
      </c>
      <c r="I83" s="43"/>
      <c r="J83" s="44">
        <f>I79+M79+Q79+U79</f>
        <v>49.8</v>
      </c>
      <c r="K83" s="45" t="s">
        <v>36</v>
      </c>
      <c r="Y83" s="29"/>
      <c r="Z83" s="38" t="s">
        <v>68</v>
      </c>
      <c r="AA83" s="30">
        <f>30-2</f>
        <v>28</v>
      </c>
      <c r="AB83" s="30" t="s">
        <v>31</v>
      </c>
      <c r="AC83" s="30"/>
      <c r="AD83" s="39"/>
      <c r="AE83" s="30"/>
      <c r="AF83" s="32"/>
      <c r="AH83" s="108"/>
      <c r="AI83" s="38" t="s">
        <v>56</v>
      </c>
      <c r="AJ83" s="38">
        <v>0</v>
      </c>
      <c r="AK83" s="38">
        <f>AJ83/3</f>
        <v>0</v>
      </c>
      <c r="AL83" s="38">
        <f>AJ83/6</f>
        <v>0</v>
      </c>
      <c r="AM83" s="38"/>
      <c r="AN83" s="38"/>
      <c r="AO83" s="30" t="s">
        <v>31</v>
      </c>
      <c r="AP83" s="30"/>
      <c r="AQ83" s="32"/>
      <c r="AW83" s="41" t="s">
        <v>56</v>
      </c>
      <c r="AX83" s="41">
        <v>9.83</v>
      </c>
      <c r="AY83" s="41" t="s">
        <v>36</v>
      </c>
      <c r="AZ83" s="41"/>
      <c r="BA83" s="41"/>
      <c r="BB83" s="41"/>
      <c r="BC83" s="41"/>
      <c r="BD83" s="41"/>
      <c r="BE83" s="41"/>
      <c r="BF83" s="41" t="s">
        <v>56</v>
      </c>
      <c r="BG83" s="41">
        <v>9.83</v>
      </c>
      <c r="BH83" s="41" t="s">
        <v>36</v>
      </c>
      <c r="BI83" s="41"/>
    </row>
    <row r="84" spans="1:71" x14ac:dyDescent="0.25">
      <c r="H84" s="46" t="s">
        <v>69</v>
      </c>
      <c r="I84" s="47"/>
      <c r="J84" s="48">
        <f>(I82+M82+Q82+U82)</f>
        <v>547.80000000000007</v>
      </c>
      <c r="K84" s="49" t="s">
        <v>55</v>
      </c>
      <c r="M84" t="s">
        <v>70</v>
      </c>
      <c r="N84" s="50">
        <f>BO91</f>
        <v>0</v>
      </c>
      <c r="O84" t="s">
        <v>71</v>
      </c>
      <c r="Y84" s="29"/>
      <c r="Z84" s="30"/>
      <c r="AA84" s="30"/>
      <c r="AB84" s="30"/>
      <c r="AC84" s="30"/>
      <c r="AD84" s="30"/>
      <c r="AE84" s="30"/>
      <c r="AF84" s="32"/>
      <c r="AH84" s="108"/>
      <c r="AI84" s="38" t="s">
        <v>72</v>
      </c>
      <c r="AJ84" s="38">
        <v>60</v>
      </c>
      <c r="AK84" s="109" t="s">
        <v>31</v>
      </c>
      <c r="AL84" s="38"/>
      <c r="AM84" s="38"/>
      <c r="AN84" s="38"/>
      <c r="AO84" s="30" t="s">
        <v>31</v>
      </c>
      <c r="AP84" s="30"/>
      <c r="AQ84" s="32"/>
      <c r="AW84" s="41" t="s">
        <v>73</v>
      </c>
      <c r="AX84" s="41">
        <f>2*(SQRT((AX96)^2+(AZ93)^2))</f>
        <v>28.403619487663892</v>
      </c>
      <c r="AY84" s="41" t="s">
        <v>36</v>
      </c>
      <c r="AZ84" s="41"/>
      <c r="BA84" s="41"/>
      <c r="BB84" s="41"/>
      <c r="BC84" s="41"/>
      <c r="BD84" s="41"/>
      <c r="BE84" s="41"/>
      <c r="BF84" s="41" t="s">
        <v>73</v>
      </c>
      <c r="BG84" s="41">
        <f>2*(SQRT((BG96)^2+(BI93)^2))</f>
        <v>33.399335322727609</v>
      </c>
      <c r="BH84" s="41" t="s">
        <v>36</v>
      </c>
      <c r="BI84" s="41"/>
      <c r="BL84" s="51"/>
      <c r="BM84" s="18"/>
      <c r="BN84" s="18"/>
      <c r="BO84" s="18"/>
      <c r="BP84" s="18"/>
      <c r="BQ84" s="18"/>
      <c r="BR84" s="18"/>
      <c r="BS84" s="19"/>
    </row>
    <row r="85" spans="1:71" x14ac:dyDescent="0.25">
      <c r="H85" s="52" t="s">
        <v>74</v>
      </c>
      <c r="I85" s="53"/>
      <c r="J85" s="15">
        <v>1</v>
      </c>
      <c r="K85" s="54"/>
      <c r="M85" t="s">
        <v>75</v>
      </c>
      <c r="N85" s="50">
        <f>BS111</f>
        <v>0</v>
      </c>
      <c r="O85" t="s">
        <v>71</v>
      </c>
      <c r="R85" s="51" t="s">
        <v>76</v>
      </c>
      <c r="S85" s="18" t="s">
        <v>77</v>
      </c>
      <c r="T85" s="18" t="s">
        <v>78</v>
      </c>
      <c r="U85" s="19" t="s">
        <v>79</v>
      </c>
      <c r="Y85" s="29"/>
      <c r="Z85" s="30"/>
      <c r="AA85" s="30"/>
      <c r="AB85" s="30"/>
      <c r="AC85" s="30"/>
      <c r="AD85" s="30"/>
      <c r="AE85" s="30"/>
      <c r="AF85" s="32"/>
      <c r="AH85" s="108"/>
      <c r="AI85" s="38"/>
      <c r="AJ85" s="38">
        <f>AJ84/12</f>
        <v>5</v>
      </c>
      <c r="AK85" s="109" t="s">
        <v>36</v>
      </c>
      <c r="AL85" s="110">
        <f>AI89^2+AI92^2</f>
        <v>25</v>
      </c>
      <c r="AM85" s="38"/>
      <c r="AN85" s="111">
        <f>AI89^2+AJ92^2</f>
        <v>25</v>
      </c>
      <c r="AO85" s="30" t="s">
        <v>31</v>
      </c>
      <c r="AP85" s="30"/>
      <c r="AQ85" s="32"/>
      <c r="AW85" s="55" t="s">
        <v>80</v>
      </c>
      <c r="AX85" s="41">
        <f>0.33*4*AX84</f>
        <v>37.492777723716337</v>
      </c>
      <c r="AY85" s="41" t="s">
        <v>55</v>
      </c>
      <c r="AZ85" s="41"/>
      <c r="BA85" s="41"/>
      <c r="BB85" s="41"/>
      <c r="BC85" s="41"/>
      <c r="BD85" s="41"/>
      <c r="BE85" s="41"/>
      <c r="BF85" s="55" t="s">
        <v>80</v>
      </c>
      <c r="BG85" s="41">
        <f>0.33*4*BG84</f>
        <v>44.087122626000443</v>
      </c>
      <c r="BH85" s="41" t="s">
        <v>55</v>
      </c>
      <c r="BI85" s="41"/>
      <c r="BL85" s="20"/>
      <c r="BN85" t="s">
        <v>81</v>
      </c>
      <c r="BS85" s="22"/>
    </row>
    <row r="86" spans="1:71" ht="45.75" thickBot="1" x14ac:dyDescent="0.3">
      <c r="A86" s="94" t="s">
        <v>150</v>
      </c>
      <c r="H86" s="56" t="s">
        <v>82</v>
      </c>
      <c r="I86" s="57"/>
      <c r="J86" s="58">
        <f>J84*J85</f>
        <v>547.80000000000007</v>
      </c>
      <c r="K86" s="59" t="s">
        <v>55</v>
      </c>
      <c r="R86" s="20" t="s">
        <v>83</v>
      </c>
      <c r="S86">
        <v>1.76</v>
      </c>
      <c r="T86">
        <v>1.76</v>
      </c>
      <c r="U86" s="22">
        <v>7</v>
      </c>
      <c r="Y86" s="29"/>
      <c r="Z86" s="30"/>
      <c r="AA86" s="30"/>
      <c r="AB86" s="30"/>
      <c r="AC86" s="30"/>
      <c r="AD86" s="30"/>
      <c r="AE86" s="30"/>
      <c r="AF86" s="32"/>
      <c r="AH86" s="108"/>
      <c r="AI86" s="38"/>
      <c r="AJ86" s="38"/>
      <c r="AK86" s="109"/>
      <c r="AL86" s="38"/>
      <c r="AM86" s="38"/>
      <c r="AN86" s="38"/>
      <c r="AO86" s="30"/>
      <c r="AP86" s="30"/>
      <c r="AQ86" s="32"/>
      <c r="AW86" s="60" t="s">
        <v>84</v>
      </c>
      <c r="AX86" s="41">
        <f>AX85*1.1</f>
        <v>41.242055496087971</v>
      </c>
      <c r="AY86" s="41" t="s">
        <v>55</v>
      </c>
      <c r="AZ86" s="41"/>
      <c r="BA86" s="41"/>
      <c r="BB86" s="41"/>
      <c r="BC86" s="41"/>
      <c r="BD86" s="41"/>
      <c r="BE86" s="41"/>
      <c r="BF86" s="60" t="s">
        <v>84</v>
      </c>
      <c r="BG86" s="41">
        <f>BG85*1.1</f>
        <v>48.495834888600491</v>
      </c>
      <c r="BH86" s="41" t="s">
        <v>55</v>
      </c>
      <c r="BI86" s="41"/>
      <c r="BL86" s="20"/>
      <c r="BM86" t="s">
        <v>85</v>
      </c>
      <c r="BN86" t="s">
        <v>86</v>
      </c>
      <c r="BO86">
        <f>(BM93*BL95)+(BS95*BP92)+(2*(BL95-BS95)*BP92/2)</f>
        <v>798</v>
      </c>
      <c r="BP86" t="s">
        <v>87</v>
      </c>
      <c r="BS86" s="22"/>
    </row>
    <row r="87" spans="1:71" x14ac:dyDescent="0.25">
      <c r="H87" s="61"/>
      <c r="R87" s="20" t="s">
        <v>88</v>
      </c>
      <c r="S87">
        <v>0</v>
      </c>
      <c r="T87">
        <v>0</v>
      </c>
      <c r="U87" s="22">
        <v>20</v>
      </c>
      <c r="Y87" s="29"/>
      <c r="Z87" s="30">
        <f>(Z88)/12</f>
        <v>2.3333333333333335</v>
      </c>
      <c r="AA87" s="30" t="s">
        <v>12</v>
      </c>
      <c r="AB87" s="30"/>
      <c r="AC87" s="30"/>
      <c r="AD87" s="30"/>
      <c r="AE87" s="30"/>
      <c r="AF87" s="32"/>
      <c r="AH87" s="108"/>
      <c r="AI87" s="38"/>
      <c r="AJ87" s="38"/>
      <c r="AK87" s="38"/>
      <c r="AL87" s="38"/>
      <c r="AM87" s="38"/>
      <c r="AN87" s="38"/>
      <c r="AO87" s="30"/>
      <c r="AP87" s="30">
        <v>1.333</v>
      </c>
      <c r="AQ87" s="32" t="s">
        <v>89</v>
      </c>
      <c r="AW87" s="41" t="s">
        <v>88</v>
      </c>
      <c r="AX87" s="41">
        <v>0</v>
      </c>
      <c r="AY87" s="41"/>
      <c r="AZ87" s="41"/>
      <c r="BA87" s="41"/>
      <c r="BB87" s="41"/>
      <c r="BC87" s="41"/>
      <c r="BD87" s="41"/>
      <c r="BE87" s="41"/>
      <c r="BF87" s="41" t="s">
        <v>88</v>
      </c>
      <c r="BG87" s="41">
        <v>0</v>
      </c>
      <c r="BH87" s="41"/>
      <c r="BI87" s="41"/>
      <c r="BL87" s="20"/>
      <c r="BM87" t="s">
        <v>90</v>
      </c>
      <c r="BN87" t="s">
        <v>86</v>
      </c>
      <c r="BO87">
        <f>0</f>
        <v>0</v>
      </c>
      <c r="BP87" t="s">
        <v>87</v>
      </c>
      <c r="BS87" s="22"/>
    </row>
    <row r="88" spans="1:71" x14ac:dyDescent="0.25">
      <c r="H88" s="51" t="s">
        <v>91</v>
      </c>
      <c r="I88" s="18"/>
      <c r="J88" s="18">
        <f>2*(6*60)/144</f>
        <v>5</v>
      </c>
      <c r="K88" s="19" t="s">
        <v>71</v>
      </c>
      <c r="R88" s="20" t="s">
        <v>92</v>
      </c>
      <c r="S88">
        <f>S86*S87</f>
        <v>0</v>
      </c>
      <c r="T88">
        <f>T86*T87</f>
        <v>0</v>
      </c>
      <c r="U88" s="22">
        <f>U86*U87</f>
        <v>140</v>
      </c>
      <c r="Y88" s="29"/>
      <c r="Z88" s="30">
        <f>AA83</f>
        <v>28</v>
      </c>
      <c r="AA88" s="30"/>
      <c r="AB88" s="30"/>
      <c r="AC88" s="30"/>
      <c r="AD88" s="30">
        <f>(SQRT((AB91/2)^2+(Z87)^2))</f>
        <v>2.3333333333333335</v>
      </c>
      <c r="AE88" s="30" t="s">
        <v>12</v>
      </c>
      <c r="AF88" s="32"/>
      <c r="AH88" s="108"/>
      <c r="AI88" s="38"/>
      <c r="AJ88" s="110">
        <f>SQRT(AN85)</f>
        <v>5</v>
      </c>
      <c r="AK88" s="110"/>
      <c r="AL88" s="38"/>
      <c r="AM88" s="110">
        <f>AH89</f>
        <v>5</v>
      </c>
      <c r="AN88" s="38"/>
      <c r="AO88" s="30"/>
      <c r="AP88" s="73">
        <f>0.33*AP87*2</f>
        <v>0.87978000000000001</v>
      </c>
      <c r="AQ88" s="32" t="s">
        <v>71</v>
      </c>
      <c r="AW88" s="41" t="s">
        <v>93</v>
      </c>
      <c r="AX88" s="41">
        <f>AX87*AX86*2</f>
        <v>0</v>
      </c>
      <c r="AY88" s="41"/>
      <c r="AZ88" s="41"/>
      <c r="BA88" s="41"/>
      <c r="BB88" s="41"/>
      <c r="BC88" s="41"/>
      <c r="BD88" s="41"/>
      <c r="BE88" s="41"/>
      <c r="BF88" s="41" t="s">
        <v>93</v>
      </c>
      <c r="BG88" s="41">
        <f>BG87*BG86*2</f>
        <v>0</v>
      </c>
      <c r="BH88" s="41"/>
      <c r="BI88" s="41"/>
      <c r="BL88" s="20"/>
      <c r="BM88" t="s">
        <v>94</v>
      </c>
      <c r="BN88" t="s">
        <v>86</v>
      </c>
      <c r="BO88">
        <f>(BO86+BO87)/144*2</f>
        <v>11.083333333333334</v>
      </c>
      <c r="BP88" t="s">
        <v>55</v>
      </c>
      <c r="BS88" s="22"/>
    </row>
    <row r="89" spans="1:71" x14ac:dyDescent="0.25">
      <c r="H89" s="20" t="s">
        <v>95</v>
      </c>
      <c r="J89">
        <v>0</v>
      </c>
      <c r="K89" s="22" t="s">
        <v>96</v>
      </c>
      <c r="R89" s="20"/>
      <c r="U89" s="22"/>
      <c r="Y89" s="29"/>
      <c r="Z89" s="30"/>
      <c r="AA89" s="30"/>
      <c r="AB89" s="30"/>
      <c r="AC89" s="30"/>
      <c r="AD89" s="30"/>
      <c r="AE89" s="30"/>
      <c r="AF89" s="32"/>
      <c r="AH89" s="112">
        <f>SQRT(AL85)</f>
        <v>5</v>
      </c>
      <c r="AI89" s="113">
        <f>AJ85</f>
        <v>5</v>
      </c>
      <c r="AJ89" s="38"/>
      <c r="AK89" s="38"/>
      <c r="AL89" s="38"/>
      <c r="AM89" s="38"/>
      <c r="AN89" s="38"/>
      <c r="AO89" s="30"/>
      <c r="AP89" s="30">
        <v>7</v>
      </c>
      <c r="AQ89" s="32" t="s">
        <v>89</v>
      </c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L89" s="20"/>
      <c r="BM89" t="s">
        <v>88</v>
      </c>
      <c r="BO89">
        <v>0</v>
      </c>
      <c r="BS89" s="22"/>
    </row>
    <row r="90" spans="1:71" x14ac:dyDescent="0.25">
      <c r="H90" s="20" t="s">
        <v>97</v>
      </c>
      <c r="J90" s="2">
        <f>J88*J89</f>
        <v>0</v>
      </c>
      <c r="K90" s="22" t="s">
        <v>71</v>
      </c>
      <c r="R90" s="20"/>
      <c r="S90" t="s">
        <v>98</v>
      </c>
      <c r="T90">
        <f>S88+T88+U88</f>
        <v>140</v>
      </c>
      <c r="U90" s="22"/>
      <c r="Y90" s="29"/>
      <c r="Z90" s="30"/>
      <c r="AA90" s="30"/>
      <c r="AB90" s="30"/>
      <c r="AC90" s="30"/>
      <c r="AD90" s="30"/>
      <c r="AE90" s="30"/>
      <c r="AF90" s="32"/>
      <c r="AH90" s="108"/>
      <c r="AI90" s="38"/>
      <c r="AJ90" s="38"/>
      <c r="AK90" s="38"/>
      <c r="AL90" s="38"/>
      <c r="AM90" s="38"/>
      <c r="AN90" s="38"/>
      <c r="AO90" s="30"/>
      <c r="AP90" s="73">
        <f>0.33*AP89*2</f>
        <v>4.62</v>
      </c>
      <c r="AQ90" s="32" t="s">
        <v>71</v>
      </c>
      <c r="AW90" s="41"/>
      <c r="AX90" s="41"/>
      <c r="AY90" s="41"/>
      <c r="AZ90" s="63"/>
      <c r="BA90" s="41"/>
      <c r="BB90" s="41"/>
      <c r="BC90" s="41"/>
      <c r="BD90" s="41"/>
      <c r="BE90" s="41"/>
      <c r="BF90" s="41"/>
      <c r="BG90" s="41"/>
      <c r="BH90" s="41"/>
      <c r="BI90" s="63"/>
      <c r="BL90" s="20"/>
      <c r="BM90" t="s">
        <v>99</v>
      </c>
      <c r="BO90">
        <f>BO88*BO89</f>
        <v>0</v>
      </c>
      <c r="BS90" s="22"/>
    </row>
    <row r="91" spans="1:71" x14ac:dyDescent="0.25">
      <c r="H91" s="64" t="s">
        <v>100</v>
      </c>
      <c r="I91" s="3"/>
      <c r="J91" s="3"/>
      <c r="K91" s="65"/>
      <c r="R91" s="64"/>
      <c r="S91" s="66" t="s">
        <v>101</v>
      </c>
      <c r="T91" s="67">
        <f>T90*1.1</f>
        <v>154</v>
      </c>
      <c r="U91" s="65"/>
      <c r="Y91" s="29"/>
      <c r="Z91" s="30"/>
      <c r="AA91" s="30"/>
      <c r="AB91" s="31">
        <f>AA81</f>
        <v>0</v>
      </c>
      <c r="AC91" s="30"/>
      <c r="AD91" s="30"/>
      <c r="AE91" s="30"/>
      <c r="AF91" s="32"/>
      <c r="AH91" s="108"/>
      <c r="AI91" s="38"/>
      <c r="AJ91" s="38"/>
      <c r="AK91" s="38"/>
      <c r="AL91" s="38"/>
      <c r="AM91" s="38"/>
      <c r="AN91" s="38"/>
      <c r="AO91" s="30"/>
      <c r="AP91" s="30"/>
      <c r="AQ91" s="32"/>
      <c r="AW91" s="41"/>
      <c r="AX91" s="41">
        <f>SQRT((AX96)^2+(AZ93)^2)</f>
        <v>14.201809743831946</v>
      </c>
      <c r="AY91" s="41"/>
      <c r="AZ91" s="63"/>
      <c r="BA91" s="41"/>
      <c r="BB91" s="41"/>
      <c r="BC91" s="41"/>
      <c r="BD91" s="41"/>
      <c r="BE91" s="41"/>
      <c r="BF91" s="41"/>
      <c r="BG91" s="41">
        <f>SQRT((BG96)^2+(BI93)^2)</f>
        <v>16.699667661363804</v>
      </c>
      <c r="BH91" s="41"/>
      <c r="BI91" s="63"/>
      <c r="BL91" s="20"/>
      <c r="BM91" t="s">
        <v>101</v>
      </c>
      <c r="BO91" s="2">
        <f>BO90*1.1</f>
        <v>0</v>
      </c>
      <c r="BS91" s="22"/>
    </row>
    <row r="92" spans="1:71" x14ac:dyDescent="0.25">
      <c r="Y92" s="29"/>
      <c r="Z92" s="30"/>
      <c r="AA92" s="30"/>
      <c r="AB92" s="30"/>
      <c r="AC92" s="30"/>
      <c r="AD92" s="30"/>
      <c r="AE92" s="30"/>
      <c r="AF92" s="32"/>
      <c r="AH92" s="108"/>
      <c r="AI92" s="110">
        <f>AJ83/3</f>
        <v>0</v>
      </c>
      <c r="AJ92" s="110">
        <f>AL83</f>
        <v>0</v>
      </c>
      <c r="AK92" s="38"/>
      <c r="AL92" s="38"/>
      <c r="AM92" s="38"/>
      <c r="AN92" s="38"/>
      <c r="AO92" s="30"/>
      <c r="AP92" s="30"/>
      <c r="AQ92" s="32"/>
      <c r="AW92" s="41"/>
      <c r="AX92" s="41"/>
      <c r="AY92" s="41"/>
      <c r="AZ92" s="63"/>
      <c r="BA92" s="41"/>
      <c r="BB92" s="41"/>
      <c r="BC92" s="41"/>
      <c r="BD92" s="41"/>
      <c r="BE92" s="41"/>
      <c r="BF92" s="41"/>
      <c r="BG92" s="41"/>
      <c r="BH92" s="41"/>
      <c r="BI92" s="63"/>
      <c r="BL92" s="20"/>
      <c r="BP92">
        <v>39</v>
      </c>
      <c r="BS92" s="22"/>
    </row>
    <row r="93" spans="1:71" ht="15.75" thickBot="1" x14ac:dyDescent="0.3">
      <c r="H93" s="51" t="s">
        <v>102</v>
      </c>
      <c r="I93" s="18"/>
      <c r="J93" s="18">
        <f>2*(6*60)/144</f>
        <v>5</v>
      </c>
      <c r="K93" s="19" t="s">
        <v>71</v>
      </c>
      <c r="Y93" s="29" t="s">
        <v>103</v>
      </c>
      <c r="Z93" s="30"/>
      <c r="AA93" s="30"/>
      <c r="AB93" s="31">
        <f>(2*AD88)+AB91</f>
        <v>4.666666666666667</v>
      </c>
      <c r="AC93" s="30" t="s">
        <v>89</v>
      </c>
      <c r="AD93" s="30"/>
      <c r="AE93" s="30"/>
      <c r="AF93" s="32"/>
      <c r="AH93" s="114"/>
      <c r="AI93" s="115"/>
      <c r="AJ93" s="115"/>
      <c r="AK93" s="115"/>
      <c r="AL93" s="115"/>
      <c r="AM93" s="115"/>
      <c r="AN93" s="115"/>
      <c r="AO93" s="76"/>
      <c r="AP93" s="76"/>
      <c r="AQ93" s="77"/>
      <c r="AW93" s="41"/>
      <c r="AX93" s="41"/>
      <c r="AY93" s="41"/>
      <c r="AZ93" s="63">
        <f>AX83</f>
        <v>9.83</v>
      </c>
      <c r="BA93" s="41"/>
      <c r="BB93" s="41"/>
      <c r="BC93" s="41"/>
      <c r="BD93" s="41"/>
      <c r="BE93" s="41"/>
      <c r="BF93" s="41"/>
      <c r="BG93" s="41"/>
      <c r="BH93" s="41"/>
      <c r="BI93" s="63">
        <f>BG83</f>
        <v>9.83</v>
      </c>
      <c r="BL93" s="20"/>
      <c r="BM93">
        <v>18</v>
      </c>
      <c r="BS93" s="22"/>
    </row>
    <row r="94" spans="1:71" x14ac:dyDescent="0.25">
      <c r="H94" s="20" t="s">
        <v>95</v>
      </c>
      <c r="J94">
        <v>0</v>
      </c>
      <c r="K94" s="22" t="s">
        <v>96</v>
      </c>
      <c r="O94" s="68" t="s">
        <v>104</v>
      </c>
      <c r="P94" s="69"/>
      <c r="Y94" s="29"/>
      <c r="Z94" s="30"/>
      <c r="AA94" s="30"/>
      <c r="AB94" s="30"/>
      <c r="AC94" s="30"/>
      <c r="AD94" s="30"/>
      <c r="AE94" s="30"/>
      <c r="AF94" s="32"/>
      <c r="AH94" s="116"/>
      <c r="AI94" s="117"/>
      <c r="AJ94" s="117" t="s">
        <v>105</v>
      </c>
      <c r="AK94" s="118" t="s">
        <v>106</v>
      </c>
      <c r="AL94" s="117"/>
      <c r="AM94" s="117"/>
      <c r="AN94" s="117"/>
      <c r="AO94" s="103"/>
      <c r="AP94" s="103"/>
      <c r="AQ94" s="104"/>
      <c r="AW94" s="41"/>
      <c r="AX94" s="41"/>
      <c r="AY94" s="41"/>
      <c r="AZ94" s="63"/>
      <c r="BA94" s="41"/>
      <c r="BB94" s="41"/>
      <c r="BC94" s="41"/>
      <c r="BD94" s="41"/>
      <c r="BE94" s="41"/>
      <c r="BF94" s="41"/>
      <c r="BG94" s="41"/>
      <c r="BH94" s="41"/>
      <c r="BI94" s="63"/>
      <c r="BL94" s="20"/>
      <c r="BS94" s="22"/>
    </row>
    <row r="95" spans="1:71" ht="15.75" thickBot="1" x14ac:dyDescent="0.3">
      <c r="H95" s="20" t="s">
        <v>97</v>
      </c>
      <c r="J95" s="2">
        <f>J93*J94</f>
        <v>0</v>
      </c>
      <c r="K95" s="22" t="s">
        <v>71</v>
      </c>
      <c r="O95" s="70" t="s">
        <v>98</v>
      </c>
      <c r="P95" s="71">
        <f>J86+J90+J95+I104+I114+I123+T91+N84+N85+N114+M119</f>
        <v>980.19000000000017</v>
      </c>
      <c r="Y95" s="72" t="s">
        <v>107</v>
      </c>
      <c r="Z95" s="30"/>
      <c r="AA95" s="30"/>
      <c r="AB95" s="73">
        <f>0.25*4*AB93</f>
        <v>4.666666666666667</v>
      </c>
      <c r="AC95" s="30" t="s">
        <v>71</v>
      </c>
      <c r="AD95" s="30"/>
      <c r="AE95" s="30"/>
      <c r="AF95" s="32"/>
      <c r="AH95" s="114"/>
      <c r="AI95" s="115"/>
      <c r="AJ95" s="115"/>
      <c r="AK95" s="115">
        <f>AJ83+(2*AH89)+(2*AJ88)</f>
        <v>20</v>
      </c>
      <c r="AL95" s="115" t="s">
        <v>36</v>
      </c>
      <c r="AM95" s="115"/>
      <c r="AN95" s="115"/>
      <c r="AO95" s="76"/>
      <c r="AP95" s="76"/>
      <c r="AQ95" s="77"/>
      <c r="AW95" s="41"/>
      <c r="AX95" s="41"/>
      <c r="AY95" s="41"/>
      <c r="AZ95" s="63"/>
      <c r="BA95" s="41"/>
      <c r="BB95" s="41"/>
      <c r="BC95" s="41"/>
      <c r="BD95" s="41"/>
      <c r="BE95" s="41"/>
      <c r="BF95" s="41"/>
      <c r="BG95" s="41"/>
      <c r="BH95" s="41"/>
      <c r="BI95" s="63"/>
      <c r="BL95" s="20">
        <v>14</v>
      </c>
      <c r="BS95" s="22">
        <v>6</v>
      </c>
    </row>
    <row r="96" spans="1:71" x14ac:dyDescent="0.25">
      <c r="H96" s="64" t="s">
        <v>100</v>
      </c>
      <c r="I96" s="3"/>
      <c r="J96" s="3"/>
      <c r="K96" s="65"/>
      <c r="Y96" s="29" t="s">
        <v>84</v>
      </c>
      <c r="Z96" s="30"/>
      <c r="AA96" s="30" t="s">
        <v>108</v>
      </c>
      <c r="AB96" s="31">
        <f>AB95*1.1</f>
        <v>5.1333333333333337</v>
      </c>
      <c r="AC96" s="30" t="s">
        <v>71</v>
      </c>
      <c r="AD96" s="30"/>
      <c r="AE96" s="30"/>
      <c r="AF96" s="32"/>
      <c r="AH96" s="116"/>
      <c r="AI96" s="117"/>
      <c r="AJ96" s="117"/>
      <c r="AK96" s="117"/>
      <c r="AL96" s="117"/>
      <c r="AM96" s="117"/>
      <c r="AN96" s="117"/>
      <c r="AO96" s="103"/>
      <c r="AP96" s="103"/>
      <c r="AQ96" s="104"/>
      <c r="AW96" s="74"/>
      <c r="AX96" s="74">
        <f>AX82</f>
        <v>10.25</v>
      </c>
      <c r="AY96" s="74"/>
      <c r="AZ96" s="41"/>
      <c r="BA96" s="41"/>
      <c r="BB96" s="41"/>
      <c r="BC96" s="41"/>
      <c r="BD96" s="41"/>
      <c r="BE96" s="41"/>
      <c r="BF96" s="74"/>
      <c r="BG96" s="74">
        <f>BG82</f>
        <v>13.5</v>
      </c>
      <c r="BH96" s="74"/>
      <c r="BI96" s="41"/>
      <c r="BL96" s="20"/>
      <c r="BS96" s="22"/>
    </row>
    <row r="97" spans="8:72" x14ac:dyDescent="0.25">
      <c r="Y97" s="29"/>
      <c r="Z97" s="30"/>
      <c r="AA97" s="30"/>
      <c r="AB97" s="31"/>
      <c r="AC97" s="30"/>
      <c r="AD97" s="30"/>
      <c r="AE97" s="30"/>
      <c r="AF97" s="32"/>
      <c r="AH97" s="108"/>
      <c r="AI97" s="38"/>
      <c r="AJ97" s="38"/>
      <c r="AK97" s="38"/>
      <c r="AL97" s="38"/>
      <c r="AM97" s="38"/>
      <c r="AN97" s="38"/>
      <c r="AO97" s="30"/>
      <c r="AP97" s="30"/>
      <c r="AQ97" s="32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L97" s="20"/>
      <c r="BS97" s="22"/>
    </row>
    <row r="98" spans="8:72" x14ac:dyDescent="0.25">
      <c r="H98" t="s">
        <v>109</v>
      </c>
      <c r="Y98" s="75"/>
      <c r="Z98" s="76"/>
      <c r="AA98" s="76"/>
      <c r="AB98" s="76"/>
      <c r="AC98" s="76"/>
      <c r="AD98" s="76"/>
      <c r="AE98" s="76"/>
      <c r="AF98" s="77"/>
      <c r="AH98" s="108"/>
      <c r="AI98" s="38" t="s">
        <v>110</v>
      </c>
      <c r="AJ98" s="38"/>
      <c r="AK98" s="38">
        <f>AK95*(0.3333*4)</f>
        <v>26.663999999999998</v>
      </c>
      <c r="AL98" s="38" t="s">
        <v>71</v>
      </c>
      <c r="AM98" s="38"/>
      <c r="AN98" s="38"/>
      <c r="AO98" s="30"/>
      <c r="AP98" s="30"/>
      <c r="AQ98" s="32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L98" s="20"/>
      <c r="BS98" s="22"/>
    </row>
    <row r="99" spans="8:72" x14ac:dyDescent="0.25">
      <c r="H99" s="15" t="s">
        <v>33</v>
      </c>
      <c r="I99" s="15">
        <v>1.33</v>
      </c>
      <c r="J99" s="15" t="s">
        <v>36</v>
      </c>
      <c r="K99" s="15"/>
      <c r="AH99" s="114"/>
      <c r="AI99" s="115" t="s">
        <v>111</v>
      </c>
      <c r="AJ99" s="115"/>
      <c r="AK99" s="115"/>
      <c r="AL99" s="115"/>
      <c r="AM99" s="115"/>
      <c r="AN99" s="115"/>
      <c r="AO99" s="76"/>
      <c r="AP99" s="76"/>
      <c r="AQ99" s="77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L99" s="20"/>
      <c r="BS99" s="22"/>
    </row>
    <row r="100" spans="8:72" x14ac:dyDescent="0.25">
      <c r="H100" s="15" t="s">
        <v>43</v>
      </c>
      <c r="I100" s="78">
        <v>41.2</v>
      </c>
      <c r="J100" s="15" t="s">
        <v>36</v>
      </c>
      <c r="K100" s="15"/>
      <c r="AH100" s="119"/>
      <c r="AI100" s="103"/>
      <c r="AJ100" s="103"/>
      <c r="AK100" s="103"/>
      <c r="AL100" s="103"/>
      <c r="AM100" s="103"/>
      <c r="AN100" s="103"/>
      <c r="AO100" s="103"/>
      <c r="AP100" s="103"/>
      <c r="AQ100" s="104"/>
      <c r="AW100" s="41" t="s">
        <v>66</v>
      </c>
      <c r="AX100" s="41">
        <v>10.792</v>
      </c>
      <c r="AY100" s="41" t="s">
        <v>36</v>
      </c>
      <c r="AZ100" s="41"/>
      <c r="BA100" s="41"/>
      <c r="BB100" s="41"/>
      <c r="BC100" s="41"/>
      <c r="BD100" s="41"/>
      <c r="BE100" s="41"/>
      <c r="BF100" s="41" t="s">
        <v>66</v>
      </c>
      <c r="BG100" s="41">
        <v>10.916700000000001</v>
      </c>
      <c r="BH100" s="41" t="s">
        <v>36</v>
      </c>
      <c r="BI100" s="41"/>
      <c r="BL100" s="20">
        <v>1.375</v>
      </c>
      <c r="BS100" s="22"/>
    </row>
    <row r="101" spans="8:72" x14ac:dyDescent="0.25">
      <c r="H101" s="15" t="s">
        <v>48</v>
      </c>
      <c r="I101" t="s">
        <v>112</v>
      </c>
      <c r="K101" s="15"/>
      <c r="Y101" s="51"/>
      <c r="Z101" s="79" t="s">
        <v>135</v>
      </c>
      <c r="AA101" s="18"/>
      <c r="AB101" s="18"/>
      <c r="AC101" s="18"/>
      <c r="AD101" s="18"/>
      <c r="AE101" s="18"/>
      <c r="AF101" s="19"/>
      <c r="AH101" s="29"/>
      <c r="AI101" s="120" t="s">
        <v>113</v>
      </c>
      <c r="AJ101" s="30"/>
      <c r="AK101" s="30"/>
      <c r="AL101" s="30"/>
      <c r="AM101" s="30"/>
      <c r="AN101" s="30"/>
      <c r="AO101" s="30"/>
      <c r="AP101" s="30"/>
      <c r="AQ101" s="32"/>
      <c r="AW101" s="41" t="s">
        <v>56</v>
      </c>
      <c r="AX101" s="41">
        <v>9.83</v>
      </c>
      <c r="AY101" s="41" t="s">
        <v>36</v>
      </c>
      <c r="AZ101" s="41"/>
      <c r="BA101" s="41"/>
      <c r="BB101" s="41"/>
      <c r="BC101" s="41"/>
      <c r="BD101" s="41"/>
      <c r="BE101" s="41"/>
      <c r="BF101" s="41" t="s">
        <v>56</v>
      </c>
      <c r="BG101" s="41">
        <v>9.83</v>
      </c>
      <c r="BH101" s="41" t="s">
        <v>36</v>
      </c>
      <c r="BI101" s="41"/>
      <c r="BL101" s="20"/>
      <c r="BS101" s="22"/>
    </row>
    <row r="102" spans="8:72" x14ac:dyDescent="0.25">
      <c r="H102" s="15" t="s">
        <v>114</v>
      </c>
      <c r="I102" s="80">
        <v>0</v>
      </c>
      <c r="J102" s="53"/>
      <c r="K102" s="15"/>
      <c r="Y102" s="20"/>
      <c r="AF102" s="22"/>
      <c r="AH102" s="29"/>
      <c r="AI102" s="120"/>
      <c r="AJ102" s="30"/>
      <c r="AK102" s="30">
        <f>AO79*AK95</f>
        <v>164</v>
      </c>
      <c r="AL102" s="30" t="s">
        <v>115</v>
      </c>
      <c r="AM102" s="30"/>
      <c r="AN102" s="30"/>
      <c r="AO102" s="30"/>
      <c r="AP102" s="30"/>
      <c r="AQ102" s="32"/>
      <c r="AW102" s="41" t="s">
        <v>73</v>
      </c>
      <c r="AX102" s="41">
        <f>2*(SQRT((AX114)^2+(AZ111)^2))</f>
        <v>29.195627343833529</v>
      </c>
      <c r="AY102" s="41" t="s">
        <v>36</v>
      </c>
      <c r="AZ102" s="41"/>
      <c r="BA102" s="41"/>
      <c r="BB102" s="41"/>
      <c r="BC102" s="41"/>
      <c r="BD102" s="41"/>
      <c r="BE102" s="41"/>
      <c r="BF102" s="41" t="s">
        <v>73</v>
      </c>
      <c r="BG102" s="41">
        <f>2*(SQRT((BG114)^2+(BI111)^2))</f>
        <v>29.380485965347816</v>
      </c>
      <c r="BH102" s="41" t="s">
        <v>36</v>
      </c>
      <c r="BI102" s="41"/>
      <c r="BL102" s="20"/>
      <c r="BO102">
        <f>BM93+BP92</f>
        <v>57</v>
      </c>
      <c r="BS102" s="22"/>
    </row>
    <row r="103" spans="8:72" x14ac:dyDescent="0.25">
      <c r="H103" s="15" t="s">
        <v>54</v>
      </c>
      <c r="I103" s="15">
        <f>I100*I99*I102</f>
        <v>0</v>
      </c>
      <c r="J103" s="15" t="s">
        <v>55</v>
      </c>
      <c r="K103" s="15"/>
      <c r="Y103" s="20"/>
      <c r="AD103" s="40"/>
      <c r="AF103" s="22"/>
      <c r="AH103" s="75"/>
      <c r="AI103" s="121"/>
      <c r="AJ103" s="76"/>
      <c r="AK103" s="76"/>
      <c r="AL103" s="76"/>
      <c r="AM103" s="76"/>
      <c r="AN103" s="76"/>
      <c r="AO103" s="76"/>
      <c r="AP103" s="76"/>
      <c r="AQ103" s="77"/>
      <c r="AW103" s="55" t="s">
        <v>80</v>
      </c>
      <c r="AX103" s="41">
        <f>0.33*4*AX102</f>
        <v>38.538228093860262</v>
      </c>
      <c r="AY103" s="41" t="s">
        <v>55</v>
      </c>
      <c r="AZ103" s="41"/>
      <c r="BA103" s="41"/>
      <c r="BB103" s="41"/>
      <c r="BC103" s="41"/>
      <c r="BD103" s="41"/>
      <c r="BE103" s="41"/>
      <c r="BF103" s="55" t="s">
        <v>80</v>
      </c>
      <c r="BG103" s="41">
        <f>0.33*4*BG102</f>
        <v>38.782241474259116</v>
      </c>
      <c r="BH103" s="41" t="s">
        <v>55</v>
      </c>
      <c r="BI103" s="41"/>
      <c r="BL103" s="64"/>
      <c r="BM103" s="3"/>
      <c r="BN103" s="3"/>
      <c r="BO103" s="3"/>
      <c r="BP103" s="3"/>
      <c r="BQ103" s="3"/>
      <c r="BR103" s="3"/>
      <c r="BS103" s="65"/>
    </row>
    <row r="104" spans="8:72" ht="45" x14ac:dyDescent="0.25">
      <c r="H104" s="81" t="s">
        <v>116</v>
      </c>
      <c r="I104" s="37">
        <f>I103*1.1</f>
        <v>0</v>
      </c>
      <c r="J104" s="15" t="s">
        <v>55</v>
      </c>
      <c r="K104" s="15"/>
      <c r="Y104" s="20"/>
      <c r="Z104" t="s">
        <v>56</v>
      </c>
      <c r="AA104" s="82">
        <v>9.3800000000000008</v>
      </c>
      <c r="AB104" s="82" t="s">
        <v>36</v>
      </c>
      <c r="AC104" s="82"/>
      <c r="AF104" s="22"/>
      <c r="AH104" s="119"/>
      <c r="AI104" s="103"/>
      <c r="AJ104" s="103"/>
      <c r="AK104" s="103"/>
      <c r="AL104" s="103"/>
      <c r="AM104" s="103"/>
      <c r="AN104" s="103"/>
      <c r="AO104" s="103"/>
      <c r="AP104" s="103"/>
      <c r="AQ104" s="104"/>
      <c r="AW104" s="60" t="s">
        <v>84</v>
      </c>
      <c r="AX104" s="41">
        <f>AX103*1.1</f>
        <v>42.392050903246293</v>
      </c>
      <c r="AY104" s="41" t="s">
        <v>55</v>
      </c>
      <c r="AZ104" s="41"/>
      <c r="BA104" s="41"/>
      <c r="BB104" s="41"/>
      <c r="BC104" s="41"/>
      <c r="BD104" s="41"/>
      <c r="BE104" s="41"/>
      <c r="BF104" s="60" t="s">
        <v>84</v>
      </c>
      <c r="BG104" s="41">
        <f>BG103*1.1</f>
        <v>42.660465621685034</v>
      </c>
      <c r="BH104" s="41" t="s">
        <v>55</v>
      </c>
      <c r="BI104" s="41"/>
    </row>
    <row r="105" spans="8:72" x14ac:dyDescent="0.25">
      <c r="I105" s="83"/>
      <c r="Y105" s="20"/>
      <c r="AA105" s="82"/>
      <c r="AB105" s="82"/>
      <c r="AC105" s="82"/>
      <c r="AF105" s="22"/>
      <c r="AH105" s="29"/>
      <c r="AI105" s="30"/>
      <c r="AJ105" s="30"/>
      <c r="AK105" s="30"/>
      <c r="AL105" s="30"/>
      <c r="AM105" s="30"/>
      <c r="AN105" s="30"/>
      <c r="AO105" s="30"/>
      <c r="AP105" s="30"/>
      <c r="AQ105" s="32"/>
      <c r="AW105" s="41" t="s">
        <v>88</v>
      </c>
      <c r="AX105" s="41">
        <v>0</v>
      </c>
      <c r="AY105" s="41"/>
      <c r="AZ105" s="41"/>
      <c r="BA105" s="41"/>
      <c r="BB105" s="41"/>
      <c r="BC105" s="41">
        <f>AX88+BG88+AX106+BG106+AX125+BG125+AX173+BG173</f>
        <v>0</v>
      </c>
      <c r="BD105" s="41"/>
      <c r="BE105" s="41"/>
      <c r="BF105" s="41" t="s">
        <v>88</v>
      </c>
      <c r="BG105" s="41">
        <v>0</v>
      </c>
      <c r="BH105" s="41"/>
      <c r="BI105" s="41"/>
    </row>
    <row r="106" spans="8:72" x14ac:dyDescent="0.25">
      <c r="H106" t="s">
        <v>135</v>
      </c>
      <c r="M106" t="s">
        <v>142</v>
      </c>
      <c r="Y106" s="20" t="s">
        <v>140</v>
      </c>
      <c r="Z106" s="21" t="s">
        <v>117</v>
      </c>
      <c r="AA106">
        <v>36</v>
      </c>
      <c r="AB106" t="s">
        <v>31</v>
      </c>
      <c r="AD106" s="40"/>
      <c r="AF106" s="22"/>
      <c r="AH106" s="29"/>
      <c r="AI106" s="120" t="s">
        <v>118</v>
      </c>
      <c r="AJ106" s="30"/>
      <c r="AK106" s="30">
        <f>1.1*AK102</f>
        <v>180.4</v>
      </c>
      <c r="AL106" s="30" t="s">
        <v>115</v>
      </c>
      <c r="AM106" s="30"/>
      <c r="AN106" s="30"/>
      <c r="AO106" s="30"/>
      <c r="AP106" s="30"/>
      <c r="AQ106" s="32"/>
      <c r="AW106" s="41" t="s">
        <v>93</v>
      </c>
      <c r="AX106" s="41">
        <f>AX105*AX104*2</f>
        <v>0</v>
      </c>
      <c r="AY106" s="41"/>
      <c r="AZ106" s="41"/>
      <c r="BA106" s="41"/>
      <c r="BB106" s="41"/>
      <c r="BC106" s="41"/>
      <c r="BD106" s="41"/>
      <c r="BE106" s="41"/>
      <c r="BF106" s="41" t="s">
        <v>93</v>
      </c>
      <c r="BG106" s="41">
        <f>BG105*BG104*2</f>
        <v>0</v>
      </c>
      <c r="BH106" s="41"/>
      <c r="BI106" s="41"/>
    </row>
    <row r="107" spans="8:72" x14ac:dyDescent="0.25">
      <c r="H107" s="15" t="s">
        <v>119</v>
      </c>
      <c r="I107" s="15">
        <v>1</v>
      </c>
      <c r="J107" s="15" t="s">
        <v>36</v>
      </c>
      <c r="K107" s="15"/>
      <c r="M107" s="15" t="s">
        <v>119</v>
      </c>
      <c r="N107" s="15">
        <v>1</v>
      </c>
      <c r="O107" s="15" t="s">
        <v>36</v>
      </c>
      <c r="P107" s="15"/>
      <c r="Y107" s="84"/>
      <c r="AA107">
        <f>AA106/12</f>
        <v>3</v>
      </c>
      <c r="AB107" t="s">
        <v>36</v>
      </c>
      <c r="AD107" s="40"/>
      <c r="AF107" s="22"/>
      <c r="AH107" s="75"/>
      <c r="AI107" s="121"/>
      <c r="AJ107" s="76"/>
      <c r="AK107" s="76"/>
      <c r="AL107" s="76"/>
      <c r="AM107" s="76"/>
      <c r="AN107" s="76"/>
      <c r="AO107" s="76"/>
      <c r="AP107" s="76"/>
      <c r="AQ107" s="77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M107" t="s">
        <v>75</v>
      </c>
    </row>
    <row r="108" spans="8:72" x14ac:dyDescent="0.25">
      <c r="H108" s="15" t="s">
        <v>120</v>
      </c>
      <c r="I108">
        <v>1</v>
      </c>
      <c r="J108" s="15" t="s">
        <v>36</v>
      </c>
      <c r="K108" s="15"/>
      <c r="M108" s="15" t="s">
        <v>120</v>
      </c>
      <c r="N108">
        <v>1</v>
      </c>
      <c r="O108" s="15" t="s">
        <v>36</v>
      </c>
      <c r="P108" s="15"/>
      <c r="Y108" s="20"/>
      <c r="AF108" s="22"/>
      <c r="AH108" s="119"/>
      <c r="AI108" s="103"/>
      <c r="AJ108" s="103"/>
      <c r="AK108" s="103"/>
      <c r="AL108" s="103"/>
      <c r="AM108" s="103"/>
      <c r="AN108" s="103"/>
      <c r="AO108" s="103"/>
      <c r="AP108" s="103"/>
      <c r="AQ108" s="104"/>
      <c r="AW108" s="41"/>
      <c r="AX108" s="41"/>
      <c r="AY108" s="41"/>
      <c r="AZ108" s="63"/>
      <c r="BA108" s="41"/>
      <c r="BB108" s="41"/>
      <c r="BC108" s="41"/>
      <c r="BD108" s="41"/>
      <c r="BE108" s="41"/>
      <c r="BF108" s="41"/>
      <c r="BG108" s="41"/>
      <c r="BH108" s="41"/>
      <c r="BI108" s="63"/>
      <c r="BO108">
        <v>8</v>
      </c>
      <c r="BP108" t="s">
        <v>31</v>
      </c>
      <c r="BR108" t="s">
        <v>86</v>
      </c>
      <c r="BS108">
        <f>PI()*BO108/12*BQ115</f>
        <v>12.566370614359172</v>
      </c>
    </row>
    <row r="109" spans="8:72" x14ac:dyDescent="0.25">
      <c r="H109" s="15" t="s">
        <v>121</v>
      </c>
      <c r="I109" s="78">
        <v>9.5</v>
      </c>
      <c r="J109" s="15" t="s">
        <v>36</v>
      </c>
      <c r="K109" s="15"/>
      <c r="M109" s="15" t="s">
        <v>121</v>
      </c>
      <c r="N109" s="78">
        <v>9.5</v>
      </c>
      <c r="O109" s="15" t="s">
        <v>36</v>
      </c>
      <c r="P109" s="15"/>
      <c r="Y109" s="20"/>
      <c r="AF109" s="22"/>
      <c r="AH109" s="29"/>
      <c r="AI109" s="120" t="s">
        <v>122</v>
      </c>
      <c r="AJ109" s="30"/>
      <c r="AK109" s="30">
        <v>0</v>
      </c>
      <c r="AL109" s="30"/>
      <c r="AM109" s="30"/>
      <c r="AN109" s="30"/>
      <c r="AO109" s="30"/>
      <c r="AP109" s="30"/>
      <c r="AQ109" s="32"/>
      <c r="AW109" s="41"/>
      <c r="AX109" s="41">
        <f>SQRT((AX114)^2+(AZ111)^2)</f>
        <v>14.597813671916764</v>
      </c>
      <c r="AY109" s="41"/>
      <c r="AZ109" s="63"/>
      <c r="BA109" s="41"/>
      <c r="BB109" s="41"/>
      <c r="BC109" s="41"/>
      <c r="BD109" s="41"/>
      <c r="BE109" s="41"/>
      <c r="BF109" s="41"/>
      <c r="BG109" s="41">
        <f>SQRT((BG114)^2+(BI111)^2)</f>
        <v>14.690242982673908</v>
      </c>
      <c r="BH109" s="41"/>
      <c r="BI109" s="63"/>
      <c r="BR109" t="s">
        <v>88</v>
      </c>
      <c r="BS109">
        <v>0</v>
      </c>
      <c r="BT109" t="s">
        <v>4</v>
      </c>
    </row>
    <row r="110" spans="8:72" x14ac:dyDescent="0.25">
      <c r="H110" s="15" t="s">
        <v>123</v>
      </c>
      <c r="I110">
        <v>9.1</v>
      </c>
      <c r="J110" s="15" t="s">
        <v>36</v>
      </c>
      <c r="K110" s="15"/>
      <c r="M110" s="15" t="s">
        <v>123</v>
      </c>
      <c r="N110">
        <v>9.1</v>
      </c>
      <c r="O110" s="15" t="s">
        <v>36</v>
      </c>
      <c r="P110" s="15"/>
      <c r="Y110" s="20"/>
      <c r="AF110" s="22"/>
      <c r="AH110" s="29"/>
      <c r="AI110" s="120"/>
      <c r="AJ110" s="30"/>
      <c r="AK110" s="30"/>
      <c r="AL110" s="30"/>
      <c r="AM110" s="30"/>
      <c r="AN110" s="30"/>
      <c r="AO110" s="30"/>
      <c r="AP110" s="30"/>
      <c r="AQ110" s="32"/>
      <c r="AW110" s="41"/>
      <c r="AX110" s="41"/>
      <c r="AY110" s="41"/>
      <c r="AZ110" s="63"/>
      <c r="BA110" s="41"/>
      <c r="BB110" s="41"/>
      <c r="BC110" s="41"/>
      <c r="BD110" s="41"/>
      <c r="BE110" s="41"/>
      <c r="BF110" s="41"/>
      <c r="BG110" s="41"/>
      <c r="BH110" s="41"/>
      <c r="BI110" s="63"/>
      <c r="BR110" t="s">
        <v>124</v>
      </c>
      <c r="BS110">
        <f>BS108*BS109</f>
        <v>0</v>
      </c>
    </row>
    <row r="111" spans="8:72" x14ac:dyDescent="0.25">
      <c r="H111" s="15" t="s">
        <v>48</v>
      </c>
      <c r="I111" s="80" t="s">
        <v>125</v>
      </c>
      <c r="J111" s="53"/>
      <c r="K111" s="15"/>
      <c r="M111" s="15" t="s">
        <v>48</v>
      </c>
      <c r="N111" s="80" t="s">
        <v>136</v>
      </c>
      <c r="O111" s="53"/>
      <c r="P111" s="15"/>
      <c r="Y111" s="20"/>
      <c r="Z111">
        <f>(AA106-2)/12</f>
        <v>2.8333333333333335</v>
      </c>
      <c r="AA111" t="s">
        <v>12</v>
      </c>
      <c r="AC111">
        <f>SQRT((AB115)^2+(Z111)^2)</f>
        <v>9.7382886986255333</v>
      </c>
      <c r="AD111" t="s">
        <v>12</v>
      </c>
      <c r="AF111" s="22"/>
      <c r="AH111" s="75"/>
      <c r="AI111" s="76"/>
      <c r="AJ111" s="76"/>
      <c r="AK111" s="76"/>
      <c r="AL111" s="76"/>
      <c r="AM111" s="76"/>
      <c r="AN111" s="76"/>
      <c r="AO111" s="76"/>
      <c r="AP111" s="76"/>
      <c r="AQ111" s="77"/>
      <c r="AW111" s="41"/>
      <c r="AX111" s="41"/>
      <c r="AY111" s="41"/>
      <c r="AZ111" s="63">
        <f>AX101</f>
        <v>9.83</v>
      </c>
      <c r="BA111" s="41"/>
      <c r="BB111" s="41"/>
      <c r="BC111" s="41"/>
      <c r="BD111" s="41"/>
      <c r="BE111" s="41"/>
      <c r="BF111" s="41"/>
      <c r="BG111" s="41"/>
      <c r="BH111" s="41"/>
      <c r="BI111" s="63">
        <f>BG101</f>
        <v>9.83</v>
      </c>
      <c r="BR111" t="s">
        <v>101</v>
      </c>
      <c r="BS111" s="2">
        <f>BS110*1.1</f>
        <v>0</v>
      </c>
      <c r="BT111" t="s">
        <v>29</v>
      </c>
    </row>
    <row r="112" spans="8:72" ht="105" x14ac:dyDescent="0.25">
      <c r="H112" s="15" t="s">
        <v>114</v>
      </c>
      <c r="I112" s="80">
        <v>5</v>
      </c>
      <c r="J112" s="53"/>
      <c r="K112" s="15"/>
      <c r="M112" s="15" t="s">
        <v>114</v>
      </c>
      <c r="N112" s="80">
        <v>2</v>
      </c>
      <c r="O112" s="53"/>
      <c r="P112" s="15"/>
      <c r="Y112" s="20"/>
      <c r="Z112">
        <f>Z111*12</f>
        <v>34</v>
      </c>
      <c r="AF112" s="22"/>
      <c r="AH112" s="122"/>
      <c r="AI112" s="123" t="s">
        <v>126</v>
      </c>
      <c r="AJ112" s="124"/>
      <c r="AK112" s="124">
        <f>AK106*AK109</f>
        <v>0</v>
      </c>
      <c r="AL112" s="124" t="s">
        <v>115</v>
      </c>
      <c r="AM112" s="124"/>
      <c r="AN112" s="124"/>
      <c r="AO112" s="124"/>
      <c r="AP112" s="124"/>
      <c r="AQ112" s="125"/>
      <c r="AW112" s="41"/>
      <c r="AX112" s="41"/>
      <c r="AY112" s="41"/>
      <c r="AZ112" s="63"/>
      <c r="BA112" s="41"/>
      <c r="BB112" s="41"/>
      <c r="BC112" s="41"/>
      <c r="BD112" s="41"/>
      <c r="BE112" s="41"/>
      <c r="BF112" s="41"/>
      <c r="BG112" s="41"/>
      <c r="BH112" s="41"/>
      <c r="BI112" s="63"/>
    </row>
    <row r="113" spans="1:70" x14ac:dyDescent="0.25">
      <c r="H113" s="15" t="s">
        <v>54</v>
      </c>
      <c r="I113" s="15">
        <f>((I109*I107)*2+(I108*I110)*1)*I112</f>
        <v>140.5</v>
      </c>
      <c r="J113" s="15" t="s">
        <v>55</v>
      </c>
      <c r="K113" s="15"/>
      <c r="M113" s="15" t="s">
        <v>54</v>
      </c>
      <c r="N113" s="15">
        <f>((N109*N107)*2+(N108*N110)*2)*N112</f>
        <v>74.400000000000006</v>
      </c>
      <c r="O113" s="15" t="s">
        <v>55</v>
      </c>
      <c r="P113" s="15"/>
      <c r="Y113" s="20"/>
      <c r="AF113" s="22"/>
      <c r="AW113" s="41"/>
      <c r="AX113" s="41"/>
      <c r="AY113" s="41"/>
      <c r="AZ113" s="63"/>
      <c r="BA113" s="41"/>
      <c r="BB113" s="41"/>
      <c r="BC113" s="41"/>
      <c r="BD113" s="41"/>
      <c r="BE113" s="41"/>
      <c r="BF113" s="41"/>
      <c r="BG113" s="41"/>
      <c r="BH113" s="41"/>
      <c r="BI113" s="63"/>
    </row>
    <row r="114" spans="1:70" ht="30" x14ac:dyDescent="0.25">
      <c r="H114" s="81" t="s">
        <v>116</v>
      </c>
      <c r="I114" s="85">
        <f>I113*1.1</f>
        <v>154.55000000000001</v>
      </c>
      <c r="J114" s="15" t="s">
        <v>55</v>
      </c>
      <c r="K114" s="15"/>
      <c r="M114" s="81" t="s">
        <v>116</v>
      </c>
      <c r="N114" s="85">
        <f>N113*1.1</f>
        <v>81.840000000000018</v>
      </c>
      <c r="O114" s="15" t="s">
        <v>55</v>
      </c>
      <c r="P114" s="15"/>
      <c r="Y114" s="20"/>
      <c r="AF114" s="22"/>
      <c r="AW114" s="74"/>
      <c r="AX114" s="74">
        <f>AX100</f>
        <v>10.792</v>
      </c>
      <c r="AY114" s="74"/>
      <c r="AZ114" s="41"/>
      <c r="BA114" s="41"/>
      <c r="BB114" s="41"/>
      <c r="BC114" s="41"/>
      <c r="BD114" s="41"/>
      <c r="BE114" s="41"/>
      <c r="BF114" s="74"/>
      <c r="BG114" s="74">
        <f>BG100</f>
        <v>10.916700000000001</v>
      </c>
      <c r="BH114" s="74"/>
      <c r="BI114" s="41"/>
    </row>
    <row r="115" spans="1:70" x14ac:dyDescent="0.25">
      <c r="Y115" s="20"/>
      <c r="AB115" s="82">
        <f>AA104-0.063</f>
        <v>9.3170000000000002</v>
      </c>
      <c r="AF115" s="22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Q115">
        <v>6</v>
      </c>
      <c r="BR115" t="s">
        <v>36</v>
      </c>
    </row>
    <row r="116" spans="1:70" x14ac:dyDescent="0.25">
      <c r="Y116" s="20"/>
      <c r="AF116" s="22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</row>
    <row r="117" spans="1:70" x14ac:dyDescent="0.25">
      <c r="H117" t="s">
        <v>127</v>
      </c>
      <c r="Y117" s="20" t="s">
        <v>128</v>
      </c>
      <c r="AB117" s="82">
        <f>AB115</f>
        <v>9.3170000000000002</v>
      </c>
      <c r="AC117" t="s">
        <v>89</v>
      </c>
      <c r="AF117" s="22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</row>
    <row r="118" spans="1:70" x14ac:dyDescent="0.25">
      <c r="H118" s="15" t="s">
        <v>33</v>
      </c>
      <c r="I118" s="15">
        <f>0</f>
        <v>0</v>
      </c>
      <c r="J118" s="15" t="s">
        <v>36</v>
      </c>
      <c r="K118" s="15"/>
      <c r="M118" t="s">
        <v>137</v>
      </c>
      <c r="P118" t="s">
        <v>139</v>
      </c>
      <c r="Y118" s="20" t="s">
        <v>129</v>
      </c>
      <c r="AB118">
        <f>AC111</f>
        <v>9.7382886986255333</v>
      </c>
      <c r="AC118" t="s">
        <v>89</v>
      </c>
      <c r="AF118" s="22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</row>
    <row r="119" spans="1:70" x14ac:dyDescent="0.25">
      <c r="H119" s="15" t="s">
        <v>43</v>
      </c>
      <c r="I119" s="78">
        <f>0</f>
        <v>0</v>
      </c>
      <c r="J119" s="15" t="s">
        <v>36</v>
      </c>
      <c r="K119" s="15"/>
      <c r="M119" s="2">
        <f>7*6</f>
        <v>42</v>
      </c>
      <c r="N119" t="s">
        <v>138</v>
      </c>
      <c r="Y119" s="86" t="s">
        <v>130</v>
      </c>
      <c r="AB119" s="62">
        <f>2*(0.25*4*AB118)+(0.25*4*AB117)</f>
        <v>28.793577397251067</v>
      </c>
      <c r="AC119" t="s">
        <v>71</v>
      </c>
      <c r="AF119" s="22"/>
      <c r="AW119" s="41" t="s">
        <v>66</v>
      </c>
      <c r="AX119" s="41">
        <v>14.25</v>
      </c>
      <c r="AY119" s="41" t="s">
        <v>36</v>
      </c>
      <c r="AZ119" s="41"/>
      <c r="BA119" s="41"/>
      <c r="BB119" s="41"/>
      <c r="BC119" s="41"/>
      <c r="BD119" s="41"/>
      <c r="BE119" s="41"/>
      <c r="BF119" s="41" t="s">
        <v>66</v>
      </c>
      <c r="BG119" s="41">
        <v>10.75</v>
      </c>
      <c r="BH119" s="41" t="s">
        <v>36</v>
      </c>
      <c r="BI119" s="41"/>
    </row>
    <row r="120" spans="1:70" x14ac:dyDescent="0.25">
      <c r="H120" s="15" t="s">
        <v>48</v>
      </c>
      <c r="I120" t="s">
        <v>127</v>
      </c>
      <c r="K120" s="15"/>
      <c r="Y120" s="20" t="s">
        <v>84</v>
      </c>
      <c r="AA120" t="s">
        <v>108</v>
      </c>
      <c r="AB120" s="82">
        <f>AB119*1.1</f>
        <v>31.672935136976175</v>
      </c>
      <c r="AC120" t="s">
        <v>71</v>
      </c>
      <c r="AF120" s="22"/>
      <c r="AW120" s="41" t="s">
        <v>56</v>
      </c>
      <c r="AX120" s="41">
        <v>9.83</v>
      </c>
      <c r="AY120" s="41" t="s">
        <v>36</v>
      </c>
      <c r="AZ120" s="41"/>
      <c r="BA120" s="41"/>
      <c r="BB120" s="41"/>
      <c r="BC120" s="41"/>
      <c r="BD120" s="41"/>
      <c r="BE120" s="41"/>
      <c r="BF120" s="41" t="s">
        <v>56</v>
      </c>
      <c r="BG120" s="41">
        <v>9.83</v>
      </c>
      <c r="BH120" s="41" t="s">
        <v>36</v>
      </c>
      <c r="BI120" s="41"/>
    </row>
    <row r="121" spans="1:70" x14ac:dyDescent="0.25">
      <c r="H121" s="15" t="s">
        <v>114</v>
      </c>
      <c r="I121" s="80">
        <v>0</v>
      </c>
      <c r="J121" s="53"/>
      <c r="K121" s="15"/>
      <c r="Y121" s="64" t="s">
        <v>131</v>
      </c>
      <c r="Z121" s="3"/>
      <c r="AA121" s="3"/>
      <c r="AB121" s="87">
        <f>AB117+2*AB118</f>
        <v>28.793577397251067</v>
      </c>
      <c r="AC121" s="3" t="s">
        <v>89</v>
      </c>
      <c r="AD121" s="3"/>
      <c r="AE121" s="3"/>
      <c r="AF121" s="65"/>
      <c r="AW121" s="41" t="s">
        <v>73</v>
      </c>
      <c r="AX121" s="41">
        <f>2*(SQRT((AX133)^2+(AZ130)^2))</f>
        <v>0</v>
      </c>
      <c r="AY121" s="41" t="s">
        <v>36</v>
      </c>
      <c r="AZ121" s="41"/>
      <c r="BA121" s="41"/>
      <c r="BB121" s="41"/>
      <c r="BC121" s="41"/>
      <c r="BD121" s="41"/>
      <c r="BE121" s="41"/>
      <c r="BF121" s="41" t="s">
        <v>73</v>
      </c>
      <c r="BG121" s="41">
        <f>2*(SQRT((BG133)^2+(BI130)^2))</f>
        <v>0</v>
      </c>
      <c r="BH121" s="41" t="s">
        <v>36</v>
      </c>
      <c r="BI121" s="41"/>
    </row>
    <row r="122" spans="1:70" x14ac:dyDescent="0.25">
      <c r="H122" s="15" t="s">
        <v>54</v>
      </c>
      <c r="I122" s="15">
        <f>I119*I118*I121</f>
        <v>0</v>
      </c>
      <c r="J122" s="15" t="s">
        <v>55</v>
      </c>
      <c r="K122" s="15"/>
      <c r="Z122" s="88" t="s">
        <v>141</v>
      </c>
      <c r="AA122" s="2" t="s">
        <v>132</v>
      </c>
      <c r="AB122" s="2">
        <f>AB121*6.1</f>
        <v>175.64082212323149</v>
      </c>
      <c r="AC122" s="2" t="s">
        <v>133</v>
      </c>
      <c r="AW122" s="55" t="s">
        <v>80</v>
      </c>
      <c r="AX122" s="41">
        <f>0.33*4*AX121</f>
        <v>0</v>
      </c>
      <c r="AY122" s="41" t="s">
        <v>55</v>
      </c>
      <c r="AZ122" s="41"/>
      <c r="BA122" s="41"/>
      <c r="BB122" s="41"/>
      <c r="BC122" s="41"/>
      <c r="BD122" s="41"/>
      <c r="BE122" s="41"/>
      <c r="BF122" s="55" t="s">
        <v>80</v>
      </c>
      <c r="BG122" s="41">
        <f>0.33*4*BG121</f>
        <v>0</v>
      </c>
      <c r="BH122" s="41" t="s">
        <v>55</v>
      </c>
      <c r="BI122" s="41"/>
    </row>
    <row r="123" spans="1:70" ht="45" x14ac:dyDescent="0.25">
      <c r="H123" s="81" t="s">
        <v>116</v>
      </c>
      <c r="I123" s="37">
        <f>I122*1.1</f>
        <v>0</v>
      </c>
      <c r="J123" s="15" t="s">
        <v>55</v>
      </c>
      <c r="K123" s="15"/>
      <c r="AW123" s="60" t="s">
        <v>84</v>
      </c>
      <c r="AX123" s="41">
        <f>AX122*1.1</f>
        <v>0</v>
      </c>
      <c r="AY123" s="41" t="s">
        <v>55</v>
      </c>
      <c r="AZ123" s="41"/>
      <c r="BA123" s="41"/>
      <c r="BB123" s="41"/>
      <c r="BC123" s="41"/>
      <c r="BD123" s="41"/>
      <c r="BE123" s="41"/>
      <c r="BF123" s="60" t="s">
        <v>84</v>
      </c>
      <c r="BG123" s="41">
        <f>BG122*1.1</f>
        <v>0</v>
      </c>
      <c r="BH123" s="41" t="s">
        <v>55</v>
      </c>
      <c r="BI123" s="41"/>
    </row>
    <row r="124" spans="1:70" x14ac:dyDescent="0.25">
      <c r="Y124" s="51"/>
      <c r="Z124" s="79" t="s">
        <v>142</v>
      </c>
      <c r="AA124" s="18"/>
      <c r="AB124" s="18"/>
      <c r="AC124" s="18"/>
      <c r="AD124" s="18"/>
      <c r="AE124" s="18"/>
      <c r="AF124" s="19"/>
      <c r="AI124" s="1"/>
      <c r="AW124" s="41" t="s">
        <v>88</v>
      </c>
      <c r="AX124" s="41">
        <v>0</v>
      </c>
      <c r="AY124" s="41"/>
      <c r="AZ124" s="41"/>
      <c r="BA124" s="41"/>
      <c r="BB124" s="41"/>
      <c r="BC124" s="41"/>
      <c r="BD124" s="41"/>
      <c r="BE124" s="41"/>
      <c r="BF124" s="41" t="s">
        <v>88</v>
      </c>
      <c r="BG124" s="41">
        <v>0</v>
      </c>
      <c r="BH124" s="41"/>
      <c r="BI124" s="41"/>
    </row>
    <row r="125" spans="1:70" x14ac:dyDescent="0.25">
      <c r="Y125" s="20"/>
      <c r="AF125" s="22"/>
    </row>
    <row r="126" spans="1:70" x14ac:dyDescent="0.25">
      <c r="Y126" s="20"/>
      <c r="AD126" s="40"/>
      <c r="AF126" s="22"/>
      <c r="AI126" s="92"/>
      <c r="AJ126" s="90"/>
      <c r="AK126" s="91"/>
      <c r="AL126" s="91"/>
      <c r="AM126" s="91"/>
      <c r="AN126" s="91"/>
      <c r="AO126" s="91"/>
      <c r="AP126" s="91"/>
      <c r="AQ126" s="91"/>
      <c r="AR126" s="62"/>
    </row>
    <row r="127" spans="1:70" x14ac:dyDescent="0.25">
      <c r="Y127" s="20"/>
      <c r="Z127" t="s">
        <v>56</v>
      </c>
      <c r="AA127" s="82">
        <v>9.3800000000000008</v>
      </c>
      <c r="AB127" s="82" t="s">
        <v>36</v>
      </c>
      <c r="AC127" s="82"/>
      <c r="AF127" s="22"/>
      <c r="AI127" s="90"/>
      <c r="AJ127" s="91"/>
      <c r="AK127" s="91"/>
      <c r="AL127" s="91"/>
      <c r="AM127" s="91"/>
      <c r="AN127" s="91"/>
      <c r="AO127" s="91"/>
      <c r="AP127" s="91"/>
      <c r="AQ127" s="91"/>
    </row>
    <row r="128" spans="1:70" x14ac:dyDescent="0.25">
      <c r="A128" s="5" t="s">
        <v>151</v>
      </c>
      <c r="B128" s="5"/>
      <c r="C128" s="5"/>
      <c r="D128" s="5"/>
      <c r="E128" s="5"/>
      <c r="F128" s="5"/>
      <c r="G128" s="5"/>
      <c r="H128" s="5"/>
      <c r="Y128" s="20"/>
      <c r="AA128" s="82"/>
      <c r="AB128" s="82"/>
      <c r="AC128" s="82"/>
      <c r="AF128" s="22"/>
      <c r="AI128" s="90"/>
      <c r="AJ128" s="90"/>
      <c r="AK128" s="91"/>
      <c r="AL128" s="91"/>
      <c r="AM128" s="91"/>
      <c r="AN128" s="91"/>
      <c r="AO128" s="91"/>
      <c r="AP128" s="91"/>
      <c r="AQ128" s="91"/>
      <c r="AR128" s="62"/>
    </row>
    <row r="129" spans="1:45" x14ac:dyDescent="0.25">
      <c r="Y129" s="20" t="s">
        <v>140</v>
      </c>
      <c r="Z129" s="21" t="s">
        <v>117</v>
      </c>
      <c r="AA129">
        <v>36</v>
      </c>
      <c r="AB129" t="s">
        <v>31</v>
      </c>
      <c r="AD129" s="40"/>
      <c r="AF129" s="22"/>
      <c r="AI129" s="90"/>
      <c r="AJ129" s="91"/>
      <c r="AK129" s="91"/>
      <c r="AL129" s="91"/>
      <c r="AM129" s="91"/>
      <c r="AN129" s="91"/>
      <c r="AO129" s="91"/>
      <c r="AP129" s="91"/>
      <c r="AQ129" s="91"/>
    </row>
    <row r="130" spans="1:45" x14ac:dyDescent="0.25">
      <c r="Y130" s="84"/>
      <c r="AA130">
        <f>AA129/12</f>
        <v>3</v>
      </c>
      <c r="AB130" t="s">
        <v>36</v>
      </c>
      <c r="AD130" s="40"/>
      <c r="AF130" s="22"/>
      <c r="AI130" s="90"/>
      <c r="AJ130" s="90"/>
      <c r="AK130" s="91"/>
      <c r="AL130" s="91"/>
      <c r="AM130" s="91"/>
      <c r="AN130" s="91"/>
      <c r="AO130" s="91"/>
      <c r="AP130" s="91"/>
      <c r="AQ130" s="91"/>
      <c r="AR130" s="62"/>
    </row>
    <row r="131" spans="1:45" x14ac:dyDescent="0.25">
      <c r="Y131" s="20"/>
      <c r="AF131" s="22"/>
      <c r="AI131" s="90"/>
      <c r="AJ131" s="91"/>
      <c r="AK131" s="91"/>
      <c r="AL131" s="91"/>
      <c r="AM131" s="91"/>
      <c r="AN131" s="91"/>
      <c r="AO131" s="91"/>
      <c r="AP131" s="91"/>
      <c r="AQ131" s="91"/>
    </row>
    <row r="132" spans="1:45" x14ac:dyDescent="0.25">
      <c r="Y132" s="20"/>
      <c r="AF132" s="22"/>
      <c r="AI132" s="90"/>
      <c r="AJ132" s="90"/>
      <c r="AK132" s="91"/>
      <c r="AL132" s="91"/>
      <c r="AM132" s="91"/>
      <c r="AN132" s="91"/>
      <c r="AO132" s="91"/>
      <c r="AP132" s="91"/>
      <c r="AQ132" s="91"/>
      <c r="AR132" s="62"/>
    </row>
    <row r="133" spans="1:45" x14ac:dyDescent="0.25">
      <c r="A133" s="5" t="s">
        <v>152</v>
      </c>
      <c r="B133" s="5"/>
      <c r="C133" s="5"/>
      <c r="D133" s="5"/>
      <c r="E133" s="5"/>
      <c r="F133" s="5"/>
      <c r="G133" s="5"/>
      <c r="H133" s="5"/>
      <c r="Y133" s="20"/>
      <c r="AF133" s="22"/>
      <c r="AI133" s="91"/>
      <c r="AJ133" s="91"/>
      <c r="AK133" s="90"/>
      <c r="AL133" s="91"/>
      <c r="AM133" s="91"/>
      <c r="AN133" s="91"/>
      <c r="AO133" s="91"/>
      <c r="AP133" s="91"/>
      <c r="AQ133" s="91"/>
    </row>
    <row r="134" spans="1:45" x14ac:dyDescent="0.25">
      <c r="Y134" s="20"/>
      <c r="Z134">
        <f>(AA129-2)/12</f>
        <v>2.8333333333333335</v>
      </c>
      <c r="AA134" t="s">
        <v>12</v>
      </c>
      <c r="AC134">
        <f>SQRT((AB138)^2+(Z134)^2)</f>
        <v>9.7382886986255333</v>
      </c>
      <c r="AD134" t="s">
        <v>12</v>
      </c>
      <c r="AF134" s="22"/>
      <c r="AI134" s="90"/>
      <c r="AJ134" s="91"/>
      <c r="AK134" s="91"/>
      <c r="AL134" s="91"/>
      <c r="AM134" s="91"/>
      <c r="AN134" s="91"/>
      <c r="AO134" s="91"/>
      <c r="AP134" s="91"/>
      <c r="AQ134" s="91"/>
    </row>
    <row r="135" spans="1:45" x14ac:dyDescent="0.25">
      <c r="Y135" s="20"/>
      <c r="Z135">
        <f>Z134*12</f>
        <v>34</v>
      </c>
      <c r="AF135" s="22"/>
      <c r="AI135" s="90"/>
      <c r="AJ135" s="90"/>
      <c r="AK135" s="91"/>
      <c r="AL135" s="91"/>
      <c r="AM135" s="91"/>
      <c r="AN135" s="91"/>
      <c r="AO135" s="91"/>
      <c r="AP135" s="91"/>
      <c r="AQ135" s="91"/>
      <c r="AR135" s="93"/>
      <c r="AS135" s="3"/>
    </row>
    <row r="136" spans="1:45" x14ac:dyDescent="0.25">
      <c r="Y136" s="20"/>
      <c r="AF136" s="22"/>
      <c r="AI136" s="89"/>
      <c r="AJ136" s="91"/>
      <c r="AK136" s="91"/>
      <c r="AL136" s="91"/>
      <c r="AM136" s="91"/>
      <c r="AN136" s="91"/>
      <c r="AO136" s="91"/>
      <c r="AP136" s="91"/>
      <c r="AQ136" s="91"/>
      <c r="AR136" s="62"/>
    </row>
    <row r="137" spans="1:45" x14ac:dyDescent="0.25">
      <c r="Y137" s="20"/>
      <c r="AF137" s="22"/>
    </row>
    <row r="138" spans="1:45" x14ac:dyDescent="0.25">
      <c r="A138" s="5" t="s">
        <v>153</v>
      </c>
      <c r="B138" s="5"/>
      <c r="C138" s="5"/>
      <c r="D138" s="5"/>
      <c r="E138" s="5"/>
      <c r="F138" s="5"/>
      <c r="G138" s="5"/>
      <c r="H138" s="5"/>
      <c r="I138" s="5"/>
      <c r="J138" s="5"/>
      <c r="Y138" s="20"/>
      <c r="AB138" s="82">
        <f>AA127-0.063</f>
        <v>9.3170000000000002</v>
      </c>
      <c r="AF138" s="22"/>
    </row>
    <row r="139" spans="1:45" x14ac:dyDescent="0.25">
      <c r="A139" t="s">
        <v>156</v>
      </c>
      <c r="E139">
        <v>6</v>
      </c>
      <c r="F139" t="s">
        <v>12</v>
      </c>
      <c r="Y139" s="20"/>
      <c r="AF139" s="22"/>
      <c r="AI139" s="94"/>
    </row>
    <row r="140" spans="1:45" x14ac:dyDescent="0.25">
      <c r="A140" t="s">
        <v>158</v>
      </c>
      <c r="E140">
        <v>5</v>
      </c>
      <c r="F140" t="s">
        <v>4</v>
      </c>
      <c r="Y140" s="20"/>
      <c r="AF140" s="22"/>
      <c r="AI140" s="94"/>
    </row>
    <row r="141" spans="1:45" x14ac:dyDescent="0.25">
      <c r="A141" t="s">
        <v>157</v>
      </c>
      <c r="E141">
        <v>8</v>
      </c>
      <c r="F141" t="s">
        <v>12</v>
      </c>
      <c r="Y141" s="20" t="s">
        <v>128</v>
      </c>
      <c r="AB141" s="82">
        <f>AB138</f>
        <v>9.3170000000000002</v>
      </c>
      <c r="AC141" t="s">
        <v>89</v>
      </c>
      <c r="AF141" s="22"/>
    </row>
    <row r="142" spans="1:45" x14ac:dyDescent="0.25">
      <c r="A142" t="s">
        <v>158</v>
      </c>
      <c r="E142" s="3">
        <v>2</v>
      </c>
      <c r="F142" s="3" t="s">
        <v>4</v>
      </c>
      <c r="Y142" s="20" t="s">
        <v>129</v>
      </c>
      <c r="AB142">
        <f>AC134</f>
        <v>9.7382886986255333</v>
      </c>
      <c r="AC142" t="s">
        <v>89</v>
      </c>
      <c r="AF142" s="22"/>
    </row>
    <row r="143" spans="1:45" x14ac:dyDescent="0.25">
      <c r="A143" t="s">
        <v>159</v>
      </c>
      <c r="E143">
        <f>E139*E140+E141*E142</f>
        <v>46</v>
      </c>
      <c r="F143" t="s">
        <v>12</v>
      </c>
      <c r="Y143" s="20"/>
      <c r="AF143" s="22"/>
    </row>
    <row r="144" spans="1:45" x14ac:dyDescent="0.25">
      <c r="Y144" s="20"/>
      <c r="AF144" s="22"/>
    </row>
    <row r="145" spans="1:32" x14ac:dyDescent="0.25">
      <c r="Y145" s="20"/>
      <c r="AF145" s="22"/>
    </row>
    <row r="146" spans="1:32" x14ac:dyDescent="0.25">
      <c r="Y146" s="20"/>
      <c r="AF146" s="22"/>
    </row>
    <row r="147" spans="1:32" x14ac:dyDescent="0.25">
      <c r="A147" s="5" t="s">
        <v>155</v>
      </c>
      <c r="B147" s="3"/>
      <c r="C147" s="3"/>
      <c r="D147" s="3"/>
      <c r="E147" s="3"/>
      <c r="F147" s="3"/>
      <c r="G147" s="3"/>
      <c r="H147" s="3"/>
      <c r="J147" s="2" t="s">
        <v>2</v>
      </c>
      <c r="Y147" s="86" t="s">
        <v>130</v>
      </c>
      <c r="AB147" s="62">
        <f>2*(0.25*4*AB142)+2*(0.25*4*AB141)</f>
        <v>38.110577397251063</v>
      </c>
      <c r="AC147" t="s">
        <v>71</v>
      </c>
      <c r="AF147" s="22"/>
    </row>
    <row r="148" spans="1:32" x14ac:dyDescent="0.25">
      <c r="Y148" s="20" t="s">
        <v>84</v>
      </c>
      <c r="AA148" t="s">
        <v>108</v>
      </c>
      <c r="AB148" s="82">
        <f>AB147*1.1</f>
        <v>41.921635136976171</v>
      </c>
      <c r="AC148" t="s">
        <v>71</v>
      </c>
      <c r="AF148" s="22"/>
    </row>
    <row r="149" spans="1:32" x14ac:dyDescent="0.25">
      <c r="A149" s="5" t="s">
        <v>160</v>
      </c>
      <c r="B149" s="5"/>
      <c r="C149" s="5"/>
      <c r="D149" s="5"/>
      <c r="E149" t="s">
        <v>2</v>
      </c>
      <c r="Y149" s="64" t="s">
        <v>131</v>
      </c>
      <c r="Z149" s="3"/>
      <c r="AA149" s="3"/>
      <c r="AB149" s="87">
        <f>2*AB141+2*AB142</f>
        <v>38.110577397251063</v>
      </c>
      <c r="AC149" s="3" t="s">
        <v>89</v>
      </c>
      <c r="AD149" s="3"/>
      <c r="AE149" s="3"/>
      <c r="AF149" s="65"/>
    </row>
    <row r="150" spans="1:32" x14ac:dyDescent="0.25">
      <c r="Z150" s="88" t="s">
        <v>141</v>
      </c>
      <c r="AA150" s="2" t="s">
        <v>132</v>
      </c>
      <c r="AB150" s="2">
        <f>AB149*6.1</f>
        <v>232.47452212323148</v>
      </c>
      <c r="AC150" s="2" t="s">
        <v>133</v>
      </c>
    </row>
    <row r="151" spans="1:32" x14ac:dyDescent="0.25">
      <c r="A151" s="5" t="s">
        <v>162</v>
      </c>
      <c r="B151" s="3"/>
      <c r="C151" s="3"/>
      <c r="D151" s="3"/>
      <c r="E151" s="3"/>
      <c r="F151" s="3"/>
    </row>
    <row r="153" spans="1:32" x14ac:dyDescent="0.25">
      <c r="A153" t="s">
        <v>163</v>
      </c>
      <c r="D153">
        <v>1</v>
      </c>
      <c r="E153" s="9" t="s">
        <v>167</v>
      </c>
    </row>
    <row r="154" spans="1:32" x14ac:dyDescent="0.25">
      <c r="A154" t="s">
        <v>164</v>
      </c>
      <c r="D154">
        <v>2</v>
      </c>
      <c r="E154" s="9" t="s">
        <v>167</v>
      </c>
    </row>
    <row r="155" spans="1:32" x14ac:dyDescent="0.25">
      <c r="A155" t="s">
        <v>165</v>
      </c>
      <c r="D155">
        <v>1</v>
      </c>
      <c r="E155" s="9" t="s">
        <v>167</v>
      </c>
    </row>
    <row r="157" spans="1:32" x14ac:dyDescent="0.25">
      <c r="A157" t="s">
        <v>166</v>
      </c>
      <c r="D157" s="3">
        <v>6</v>
      </c>
      <c r="E157" s="3" t="s">
        <v>167</v>
      </c>
    </row>
    <row r="158" spans="1:32" x14ac:dyDescent="0.25">
      <c r="D158">
        <f>SUM(D153:D157)</f>
        <v>10</v>
      </c>
      <c r="E158" s="7" t="s">
        <v>167</v>
      </c>
    </row>
    <row r="161" spans="1:8" x14ac:dyDescent="0.25">
      <c r="A161" s="5" t="s">
        <v>168</v>
      </c>
      <c r="B161" s="3"/>
      <c r="C161" s="3"/>
      <c r="D161" s="3"/>
      <c r="E161" s="3"/>
      <c r="G161" s="2" t="s">
        <v>2</v>
      </c>
    </row>
    <row r="165" spans="1:8" x14ac:dyDescent="0.25">
      <c r="A165" s="5" t="s">
        <v>169</v>
      </c>
      <c r="B165" s="5"/>
      <c r="C165" s="5"/>
      <c r="D165" s="5"/>
      <c r="E165" s="5"/>
      <c r="F165" s="5"/>
      <c r="G165">
        <f>(6+58+6)*1.5</f>
        <v>105</v>
      </c>
      <c r="H165" t="s">
        <v>170</v>
      </c>
    </row>
    <row r="166" spans="1:8" x14ac:dyDescent="0.25">
      <c r="G166">
        <f>G165/9</f>
        <v>11.666666666666666</v>
      </c>
      <c r="H166" t="s">
        <v>171</v>
      </c>
    </row>
    <row r="171" spans="1:8" x14ac:dyDescent="0.25">
      <c r="A171" s="1" t="s">
        <v>187</v>
      </c>
    </row>
    <row r="172" spans="1:8" x14ac:dyDescent="0.25">
      <c r="A172" s="5" t="s">
        <v>188</v>
      </c>
      <c r="B172" s="3"/>
      <c r="C172" s="3"/>
      <c r="D172" s="3"/>
      <c r="E172" s="3"/>
      <c r="F172" s="3"/>
      <c r="G172" s="3"/>
    </row>
    <row r="174" spans="1:8" x14ac:dyDescent="0.25">
      <c r="A174" t="s">
        <v>9</v>
      </c>
      <c r="C174" t="s">
        <v>189</v>
      </c>
    </row>
  </sheetData>
  <mergeCells count="5">
    <mergeCell ref="Y80:AF80"/>
    <mergeCell ref="AH81:AN81"/>
    <mergeCell ref="AI101:AI103"/>
    <mergeCell ref="AI106:AI107"/>
    <mergeCell ref="AI109:AI110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Howard</dc:creator>
  <cp:lastModifiedBy>Christopher Howard</cp:lastModifiedBy>
  <dcterms:created xsi:type="dcterms:W3CDTF">2021-07-25T11:42:49Z</dcterms:created>
  <dcterms:modified xsi:type="dcterms:W3CDTF">2021-09-09T19:04:47Z</dcterms:modified>
</cp:coreProperties>
</file>