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V:\1736\active\173620162\engineering\118484\400-Engineering\Roadway\EngData\Quantities\"/>
    </mc:Choice>
  </mc:AlternateContent>
  <xr:revisionPtr revIDLastSave="0" documentId="13_ncr:1_{6C0A307C-75D0-4704-9872-8DDBAD052D31}" xr6:coauthVersionLast="47" xr6:coauthVersionMax="47" xr10:uidLastSave="{00000000-0000-0000-0000-000000000000}"/>
  <bookViews>
    <workbookView xWindow="28680" yWindow="-120" windowWidth="29040" windowHeight="15720" xr2:uid="{FEDAC414-A561-4FB1-AB86-BBC4B96DEDD3}"/>
  </bookViews>
  <sheets>
    <sheet name="Sheet1" sheetId="1" r:id="rId1"/>
    <sheet name="Sheet2" sheetId="2" r:id="rId2"/>
    <sheet name="Sheet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7" i="1" l="1"/>
  <c r="N6" i="1"/>
  <c r="N5" i="1"/>
  <c r="M5" i="1"/>
  <c r="E17" i="1"/>
  <c r="D17" i="1"/>
  <c r="P43" i="1"/>
  <c r="O41" i="1"/>
  <c r="M40" i="1"/>
  <c r="M39" i="1"/>
  <c r="O40" i="1"/>
  <c r="M38" i="1"/>
  <c r="O42" i="1"/>
  <c r="M37" i="1"/>
  <c r="M36" i="1"/>
  <c r="M35" i="1"/>
  <c r="O35" i="1"/>
  <c r="M34" i="1"/>
  <c r="M33" i="1"/>
  <c r="M32" i="1"/>
  <c r="F42" i="1"/>
  <c r="J42" i="1" s="1"/>
  <c r="C41" i="1"/>
  <c r="E42" i="1" s="1"/>
  <c r="I42" i="1" s="1"/>
  <c r="D40" i="1"/>
  <c r="F40" i="1" s="1"/>
  <c r="J40" i="1" s="1"/>
  <c r="C40" i="1"/>
  <c r="E41" i="1" s="1"/>
  <c r="I41" i="1" s="1"/>
  <c r="G39" i="1"/>
  <c r="E39" i="1" s="1"/>
  <c r="I39" i="1" s="1"/>
  <c r="D37" i="1"/>
  <c r="D36" i="1"/>
  <c r="G37" i="1"/>
  <c r="E37" i="1" s="1"/>
  <c r="I37" i="1" s="1"/>
  <c r="G36" i="1"/>
  <c r="O36" i="1" s="1"/>
  <c r="G34" i="1"/>
  <c r="E34" i="1" s="1"/>
  <c r="I34" i="1" s="1"/>
  <c r="G33" i="1"/>
  <c r="O33" i="1" s="1"/>
  <c r="D35" i="1"/>
  <c r="F35" i="1" s="1"/>
  <c r="J35" i="1" s="1"/>
  <c r="C35" i="1"/>
  <c r="D32" i="1"/>
  <c r="C32" i="1"/>
  <c r="D27" i="1"/>
  <c r="C27" i="1"/>
  <c r="O39" i="1" l="1"/>
  <c r="F41" i="1"/>
  <c r="J41" i="1" s="1"/>
  <c r="O37" i="1"/>
  <c r="F39" i="1"/>
  <c r="J39" i="1" s="1"/>
  <c r="F37" i="1"/>
  <c r="J37" i="1" s="1"/>
  <c r="E33" i="1"/>
  <c r="F33" i="1"/>
  <c r="J33" i="1" s="1"/>
  <c r="E36" i="1"/>
  <c r="I36" i="1" s="1"/>
  <c r="O34" i="1"/>
  <c r="I33" i="1"/>
  <c r="E35" i="1"/>
  <c r="I35" i="1" s="1"/>
  <c r="E40" i="1"/>
  <c r="I40" i="1" s="1"/>
  <c r="F34" i="1"/>
  <c r="J34" i="1" s="1"/>
  <c r="F36" i="1"/>
  <c r="J36" i="1" s="1"/>
  <c r="F43" i="1"/>
  <c r="J43" i="1" l="1"/>
  <c r="I43" i="1"/>
  <c r="E43" i="1"/>
</calcChain>
</file>

<file path=xl/sharedStrings.xml><?xml version="1.0" encoding="utf-8"?>
<sst xmlns="http://schemas.openxmlformats.org/spreadsheetml/2006/main" count="101" uniqueCount="70">
  <si>
    <t>TOTALS CARRIED TO GENERAL SUMMARY</t>
  </si>
  <si>
    <t>mile</t>
  </si>
  <si>
    <t>WORK ZONE CENTER LINE, CLASS I</t>
  </si>
  <si>
    <t>PORTABLE BARRIER, UNANCHORED</t>
  </si>
  <si>
    <t>WORK ZONE PAVEMENT MARKING, MISC.:</t>
  </si>
  <si>
    <t>WORK ZONE DOTTED LINE, CLASS I</t>
  </si>
  <si>
    <t>ft</t>
  </si>
  <si>
    <t>each</t>
  </si>
  <si>
    <t>WORK ZONE STOP LINE, CLASS I</t>
  </si>
  <si>
    <t>WORK ZONE TRANSVERSE/DIAGONAL LINE, CLASS I</t>
  </si>
  <si>
    <t>WORK ZONE EDGE LINE, CLASS I, 4"</t>
  </si>
  <si>
    <t>FT</t>
  </si>
  <si>
    <t>STATION</t>
  </si>
  <si>
    <t>EXCAVATION</t>
  </si>
  <si>
    <t>EMBANKMENT</t>
  </si>
  <si>
    <t>CU YD</t>
  </si>
  <si>
    <t>EARTHWORK QUANTITIES</t>
  </si>
  <si>
    <t>SQ YD</t>
  </si>
  <si>
    <t>SEEDING &amp; MULCHING</t>
  </si>
  <si>
    <t xml:space="preserve">Cut </t>
  </si>
  <si>
    <t>Fill</t>
  </si>
  <si>
    <t>TOTAL</t>
  </si>
  <si>
    <t>From KM</t>
  </si>
  <si>
    <t>From XS</t>
  </si>
  <si>
    <t>Station</t>
  </si>
  <si>
    <t>9+15</t>
  </si>
  <si>
    <t>9+50</t>
  </si>
  <si>
    <t>Cut (SF)</t>
  </si>
  <si>
    <t>Fill(SF)</t>
  </si>
  <si>
    <t>-</t>
  </si>
  <si>
    <t>Cut Vol (CY)</t>
  </si>
  <si>
    <t>Fill Vol (CY)</t>
  </si>
  <si>
    <t>10+00</t>
  </si>
  <si>
    <t>10+13</t>
  </si>
  <si>
    <t>10+50</t>
  </si>
  <si>
    <t>10+81.73</t>
  </si>
  <si>
    <t>Length(FT)</t>
  </si>
  <si>
    <t>12+25.33</t>
  </si>
  <si>
    <t>12+50</t>
  </si>
  <si>
    <t>13+00</t>
  </si>
  <si>
    <t>13+50</t>
  </si>
  <si>
    <t>14+00</t>
  </si>
  <si>
    <t>Cut Vol</t>
  </si>
  <si>
    <t>Fill Vol</t>
  </si>
  <si>
    <t>Round up</t>
  </si>
  <si>
    <t>Cut &amp; Fill</t>
  </si>
  <si>
    <t>Seed Area (SY)</t>
  </si>
  <si>
    <t>Seeding Width (FT)</t>
  </si>
  <si>
    <t>to the nearest upper 5ft</t>
  </si>
  <si>
    <t>nearest upper 5ft</t>
  </si>
  <si>
    <t>Seeding and Mulching</t>
  </si>
  <si>
    <t>Total</t>
  </si>
  <si>
    <t>ITEM 203 EXCAVATION</t>
  </si>
  <si>
    <t>ITEM 203 EMBANKMENT</t>
  </si>
  <si>
    <t>ITEM 659 SEEDING AND MULCHING</t>
  </si>
  <si>
    <t>EARTHWORK TOTALS</t>
  </si>
  <si>
    <t>LOCATION</t>
  </si>
  <si>
    <t>FROM</t>
  </si>
  <si>
    <t>TO</t>
  </si>
  <si>
    <t>CLOUGH PIKE</t>
  </si>
  <si>
    <t>NEWTOWN ROAD</t>
  </si>
  <si>
    <t>51+76.76</t>
  </si>
  <si>
    <t>63+74.69</t>
  </si>
  <si>
    <t>71+85.58</t>
  </si>
  <si>
    <t>80+25.00</t>
  </si>
  <si>
    <t>20+50.00</t>
  </si>
  <si>
    <t>21+00.00</t>
  </si>
  <si>
    <t>2560 CY</t>
  </si>
  <si>
    <t>1192 CY</t>
  </si>
  <si>
    <t>5006 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</si>
</sst>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\+00.00"/>
  </numFmts>
  <fonts count="9" x14ac:knownFonts="1">
    <font>
      <sz val="11"/>
      <color theme="1"/>
      <name val="Calibri"/>
      <family val="2"/>
      <scheme val="minor"/>
    </font>
    <font>
      <sz val="14"/>
      <name val="Verdana"/>
      <family val="2"/>
    </font>
    <font>
      <i/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i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sz val="14"/>
      <color theme="1"/>
      <name val="Verdana"/>
      <family val="2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3" fillId="0" borderId="0"/>
  </cellStyleXfs>
  <cellXfs count="63">
    <xf numFmtId="0" fontId="0" fillId="0" borderId="0" xfId="0"/>
    <xf numFmtId="0" fontId="2" fillId="0" borderId="7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1" fontId="2" fillId="0" borderId="12" xfId="1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164" fontId="2" fillId="0" borderId="8" xfId="0" applyNumberFormat="1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center" vertical="center"/>
    </xf>
    <xf numFmtId="0" fontId="0" fillId="0" borderId="16" xfId="0" applyBorder="1"/>
    <xf numFmtId="0" fontId="0" fillId="0" borderId="17" xfId="0" applyBorder="1"/>
    <xf numFmtId="0" fontId="6" fillId="0" borderId="0" xfId="0" applyFont="1" applyAlignment="1">
      <alignment horizontal="center"/>
    </xf>
    <xf numFmtId="1" fontId="2" fillId="0" borderId="8" xfId="0" applyNumberFormat="1" applyFont="1" applyBorder="1" applyAlignment="1">
      <alignment horizontal="center" vertical="center"/>
    </xf>
    <xf numFmtId="1" fontId="0" fillId="0" borderId="0" xfId="0" applyNumberFormat="1"/>
    <xf numFmtId="1" fontId="2" fillId="0" borderId="6" xfId="0" applyNumberFormat="1" applyFont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" fontId="6" fillId="0" borderId="9" xfId="0" applyNumberFormat="1" applyFont="1" applyBorder="1"/>
    <xf numFmtId="1" fontId="6" fillId="0" borderId="11" xfId="0" applyNumberFormat="1" applyFont="1" applyBorder="1"/>
    <xf numFmtId="0" fontId="0" fillId="0" borderId="18" xfId="0" applyBorder="1"/>
    <xf numFmtId="0" fontId="0" fillId="2" borderId="0" xfId="0" applyFill="1"/>
    <xf numFmtId="1" fontId="6" fillId="0" borderId="0" xfId="0" applyNumberFormat="1" applyFont="1"/>
    <xf numFmtId="0" fontId="8" fillId="0" borderId="23" xfId="0" applyFont="1" applyBorder="1"/>
    <xf numFmtId="0" fontId="8" fillId="0" borderId="24" xfId="0" applyFont="1" applyBorder="1" applyAlignment="1">
      <alignment horizontal="center"/>
    </xf>
    <xf numFmtId="0" fontId="8" fillId="0" borderId="25" xfId="0" applyFont="1" applyBorder="1"/>
    <xf numFmtId="0" fontId="8" fillId="0" borderId="26" xfId="0" applyFont="1" applyBorder="1" applyAlignment="1">
      <alignment horizontal="center"/>
    </xf>
    <xf numFmtId="0" fontId="8" fillId="0" borderId="21" xfId="0" applyFont="1" applyBorder="1"/>
    <xf numFmtId="0" fontId="8" fillId="0" borderId="22" xfId="0" applyFont="1" applyBorder="1" applyAlignment="1">
      <alignment horizontal="center"/>
    </xf>
    <xf numFmtId="0" fontId="5" fillId="0" borderId="7" xfId="0" applyFont="1" applyBorder="1" applyAlignment="1">
      <alignment horizontal="center" vertical="center"/>
    </xf>
    <xf numFmtId="0" fontId="4" fillId="0" borderId="5" xfId="1" applyBorder="1" applyAlignment="1">
      <alignment horizontal="center" vertical="center"/>
    </xf>
    <xf numFmtId="0" fontId="4" fillId="0" borderId="1" xfId="1" applyBorder="1" applyAlignment="1">
      <alignment horizontal="center" vertical="center"/>
    </xf>
    <xf numFmtId="0" fontId="0" fillId="0" borderId="30" xfId="0" applyBorder="1" applyAlignment="1">
      <alignment horizontal="center"/>
    </xf>
    <xf numFmtId="0" fontId="4" fillId="0" borderId="7" xfId="1" applyBorder="1" applyAlignment="1">
      <alignment horizontal="center" vertical="center"/>
    </xf>
    <xf numFmtId="0" fontId="4" fillId="0" borderId="13" xfId="1" applyBorder="1" applyAlignment="1">
      <alignment horizontal="center" vertical="center"/>
    </xf>
    <xf numFmtId="0" fontId="4" fillId="0" borderId="6" xfId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0" fillId="0" borderId="31" xfId="0" applyBorder="1" applyAlignment="1">
      <alignment horizontal="center"/>
    </xf>
    <xf numFmtId="1" fontId="2" fillId="0" borderId="1" xfId="1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5" xfId="0" applyBorder="1" applyAlignment="1">
      <alignment horizontal="center"/>
    </xf>
    <xf numFmtId="0" fontId="7" fillId="0" borderId="19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 textRotation="90" wrapText="1"/>
    </xf>
    <xf numFmtId="0" fontId="2" fillId="0" borderId="8" xfId="1" applyFont="1" applyBorder="1" applyAlignment="1">
      <alignment horizontal="center" vertical="center" textRotation="90" wrapText="1"/>
    </xf>
    <xf numFmtId="0" fontId="5" fillId="0" borderId="6" xfId="0" applyFont="1" applyBorder="1" applyAlignment="1">
      <alignment horizontal="center" vertical="center" textRotation="90"/>
    </xf>
    <xf numFmtId="0" fontId="1" fillId="0" borderId="9" xfId="1" applyFont="1" applyBorder="1" applyAlignment="1">
      <alignment horizontal="center" vertical="center"/>
    </xf>
    <xf numFmtId="0" fontId="1" fillId="0" borderId="10" xfId="1" applyFont="1" applyBorder="1" applyAlignment="1">
      <alignment horizontal="center" vertical="center"/>
    </xf>
    <xf numFmtId="0" fontId="1" fillId="0" borderId="11" xfId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1" fillId="0" borderId="29" xfId="1" applyFont="1" applyBorder="1" applyAlignment="1">
      <alignment horizontal="center" vertical="center"/>
    </xf>
    <xf numFmtId="0" fontId="1" fillId="0" borderId="6" xfId="1" applyFont="1" applyBorder="1" applyAlignment="1">
      <alignment horizontal="center" vertical="center"/>
    </xf>
    <xf numFmtId="0" fontId="1" fillId="0" borderId="14" xfId="1" applyFont="1" applyBorder="1" applyAlignment="1">
      <alignment horizontal="center" vertical="center"/>
    </xf>
    <xf numFmtId="0" fontId="1" fillId="0" borderId="28" xfId="1" applyFont="1" applyBorder="1" applyAlignment="1">
      <alignment horizontal="center" vertical="center"/>
    </xf>
    <xf numFmtId="0" fontId="1" fillId="0" borderId="27" xfId="1" applyFont="1" applyBorder="1" applyAlignment="1">
      <alignment horizontal="center" vertical="center"/>
    </xf>
    <xf numFmtId="0" fontId="1" fillId="0" borderId="4" xfId="1" applyFont="1" applyBorder="1" applyAlignment="1">
      <alignment horizontal="center" vertical="center"/>
    </xf>
    <xf numFmtId="0" fontId="1" fillId="0" borderId="5" xfId="1" applyFont="1" applyBorder="1" applyAlignment="1">
      <alignment horizontal="center" vertical="center"/>
    </xf>
    <xf numFmtId="0" fontId="6" fillId="0" borderId="0" xfId="0" applyFont="1" applyAlignment="1">
      <alignment horizontal="center"/>
    </xf>
  </cellXfs>
  <cellStyles count="3">
    <cellStyle name="Normal" xfId="0" builtinId="0"/>
    <cellStyle name="Normal 2" xfId="2" xr:uid="{294829B8-A389-4904-826D-C6B3F0BCB410}"/>
    <cellStyle name="Normal 3" xfId="1" xr:uid="{C45127B5-1FCC-442B-B624-A9C5147F78B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86FD6-1248-4328-87F2-8DB242A65D0E}">
  <dimension ref="A1:Q43"/>
  <sheetViews>
    <sheetView tabSelected="1" zoomScaleNormal="100" workbookViewId="0">
      <selection activeCell="F15" sqref="F15"/>
    </sheetView>
  </sheetViews>
  <sheetFormatPr defaultRowHeight="15" x14ac:dyDescent="0.25"/>
  <cols>
    <col min="1" max="1" width="29.28515625" customWidth="1"/>
    <col min="2" max="2" width="16.28515625" customWidth="1"/>
    <col min="3" max="3" width="14.140625" customWidth="1"/>
    <col min="4" max="4" width="9" customWidth="1"/>
    <col min="5" max="5" width="8.85546875" customWidth="1"/>
    <col min="6" max="6" width="10.28515625" customWidth="1"/>
    <col min="9" max="9" width="55.140625" customWidth="1"/>
    <col min="10" max="10" width="12.85546875" customWidth="1"/>
    <col min="13" max="13" width="22.42578125" bestFit="1" customWidth="1"/>
    <col min="14" max="14" width="22.42578125" customWidth="1"/>
  </cols>
  <sheetData>
    <row r="1" spans="1:14" ht="18.75" customHeight="1" thickBot="1" x14ac:dyDescent="0.3">
      <c r="A1" s="50" t="s">
        <v>16</v>
      </c>
      <c r="B1" s="51"/>
      <c r="C1" s="51"/>
      <c r="D1" s="51"/>
      <c r="E1" s="51"/>
      <c r="F1" s="52"/>
    </row>
    <row r="2" spans="1:14" ht="18" customHeight="1" thickBot="1" x14ac:dyDescent="0.3">
      <c r="A2" s="55" t="s">
        <v>56</v>
      </c>
      <c r="B2" s="58" t="s">
        <v>12</v>
      </c>
      <c r="C2" s="59"/>
      <c r="D2" s="53">
        <v>203</v>
      </c>
      <c r="E2" s="54"/>
      <c r="F2" s="27">
        <v>659</v>
      </c>
    </row>
    <row r="3" spans="1:14" ht="18" customHeight="1" x14ac:dyDescent="0.25">
      <c r="A3" s="56"/>
      <c r="B3" s="60"/>
      <c r="C3" s="61"/>
      <c r="D3" s="47" t="s">
        <v>13</v>
      </c>
      <c r="E3" s="47" t="s">
        <v>14</v>
      </c>
      <c r="F3" s="49" t="s">
        <v>18</v>
      </c>
      <c r="I3" s="43" t="s">
        <v>55</v>
      </c>
      <c r="J3" s="44"/>
    </row>
    <row r="4" spans="1:14" ht="15" customHeight="1" thickBot="1" x14ac:dyDescent="0.3">
      <c r="A4" s="56"/>
      <c r="B4" s="60"/>
      <c r="C4" s="61"/>
      <c r="D4" s="47"/>
      <c r="E4" s="47"/>
      <c r="F4" s="49"/>
      <c r="I4" s="45"/>
      <c r="J4" s="46"/>
    </row>
    <row r="5" spans="1:14" ht="15" customHeight="1" x14ac:dyDescent="0.25">
      <c r="A5" s="56"/>
      <c r="B5" s="60"/>
      <c r="C5" s="61"/>
      <c r="D5" s="47"/>
      <c r="E5" s="47"/>
      <c r="F5" s="49"/>
      <c r="I5" s="21" t="s">
        <v>52</v>
      </c>
      <c r="J5" s="22" t="s">
        <v>67</v>
      </c>
      <c r="M5">
        <f>2560+1192</f>
        <v>3752</v>
      </c>
      <c r="N5">
        <f>M5*0.003</f>
        <v>11.256</v>
      </c>
    </row>
    <row r="6" spans="1:14" ht="15" customHeight="1" x14ac:dyDescent="0.25">
      <c r="A6" s="56"/>
      <c r="B6" s="60"/>
      <c r="C6" s="61"/>
      <c r="D6" s="47"/>
      <c r="E6" s="47"/>
      <c r="F6" s="49"/>
      <c r="I6" s="23" t="s">
        <v>53</v>
      </c>
      <c r="J6" s="24" t="s">
        <v>68</v>
      </c>
      <c r="N6">
        <f>M5*0.004</f>
        <v>15.008000000000001</v>
      </c>
    </row>
    <row r="7" spans="1:14" ht="15" customHeight="1" thickBot="1" x14ac:dyDescent="0.3">
      <c r="A7" s="56"/>
      <c r="B7" s="60"/>
      <c r="C7" s="61"/>
      <c r="D7" s="47"/>
      <c r="E7" s="47"/>
      <c r="F7" s="49"/>
      <c r="I7" s="25" t="s">
        <v>54</v>
      </c>
      <c r="J7" s="26" t="s">
        <v>69</v>
      </c>
    </row>
    <row r="8" spans="1:14" ht="15" customHeight="1" x14ac:dyDescent="0.25">
      <c r="A8" s="56"/>
      <c r="B8" s="60"/>
      <c r="C8" s="61"/>
      <c r="D8" s="47"/>
      <c r="E8" s="47"/>
      <c r="F8" s="49"/>
    </row>
    <row r="9" spans="1:14" ht="15" customHeight="1" x14ac:dyDescent="0.25">
      <c r="A9" s="56"/>
      <c r="B9" s="60"/>
      <c r="C9" s="61"/>
      <c r="D9" s="47"/>
      <c r="E9" s="47"/>
      <c r="F9" s="49"/>
    </row>
    <row r="10" spans="1:14" ht="15.95" customHeight="1" x14ac:dyDescent="0.25">
      <c r="A10" s="56"/>
      <c r="B10" s="60"/>
      <c r="C10" s="61"/>
      <c r="D10" s="47"/>
      <c r="E10" s="47"/>
      <c r="F10" s="49"/>
      <c r="G10" s="4"/>
    </row>
    <row r="11" spans="1:14" x14ac:dyDescent="0.25">
      <c r="A11" s="56"/>
      <c r="B11" s="60"/>
      <c r="C11" s="61"/>
      <c r="D11" s="47"/>
      <c r="E11" s="47"/>
      <c r="F11" s="49"/>
    </row>
    <row r="12" spans="1:14" x14ac:dyDescent="0.25">
      <c r="A12" s="56"/>
      <c r="B12" s="60"/>
      <c r="C12" s="61"/>
      <c r="D12" s="48"/>
      <c r="E12" s="48"/>
      <c r="F12" s="49"/>
    </row>
    <row r="13" spans="1:14" ht="15.75" thickBot="1" x14ac:dyDescent="0.3">
      <c r="A13" s="57"/>
      <c r="B13" s="29" t="s">
        <v>57</v>
      </c>
      <c r="C13" s="30" t="s">
        <v>58</v>
      </c>
      <c r="D13" s="2" t="s">
        <v>15</v>
      </c>
      <c r="E13" s="2" t="s">
        <v>15</v>
      </c>
      <c r="F13" s="5" t="s">
        <v>17</v>
      </c>
    </row>
    <row r="14" spans="1:14" x14ac:dyDescent="0.25">
      <c r="A14" s="31" t="s">
        <v>59</v>
      </c>
      <c r="B14" s="32" t="s">
        <v>61</v>
      </c>
      <c r="C14" s="32" t="s">
        <v>62</v>
      </c>
      <c r="D14" s="1">
        <v>1022</v>
      </c>
      <c r="E14" s="1">
        <v>894</v>
      </c>
      <c r="F14" s="1">
        <v>2266</v>
      </c>
    </row>
    <row r="15" spans="1:14" x14ac:dyDescent="0.25">
      <c r="A15" s="33" t="s">
        <v>59</v>
      </c>
      <c r="B15" s="28" t="s">
        <v>63</v>
      </c>
      <c r="C15" s="35" t="s">
        <v>64</v>
      </c>
      <c r="D15" s="34">
        <v>1424</v>
      </c>
      <c r="E15" s="34">
        <v>304</v>
      </c>
      <c r="F15" s="34">
        <v>2581</v>
      </c>
    </row>
    <row r="16" spans="1:14" ht="15.75" thickBot="1" x14ac:dyDescent="0.3">
      <c r="A16" s="29" t="s">
        <v>60</v>
      </c>
      <c r="B16" s="29" t="s">
        <v>65</v>
      </c>
      <c r="C16" s="28" t="s">
        <v>66</v>
      </c>
      <c r="D16" s="36">
        <v>150</v>
      </c>
      <c r="E16" s="36">
        <v>11</v>
      </c>
      <c r="F16" s="37">
        <v>153</v>
      </c>
    </row>
    <row r="17" spans="1:16" ht="18.75" thickBot="1" x14ac:dyDescent="0.3">
      <c r="A17" s="50" t="s">
        <v>0</v>
      </c>
      <c r="B17" s="51"/>
      <c r="C17" s="52"/>
      <c r="D17" s="3">
        <f>ROUNDUP(SUM(D14:D16),0)</f>
        <v>2596</v>
      </c>
      <c r="E17" s="3">
        <f>ROUNDUP(SUM(E14:E16),0)</f>
        <v>1209</v>
      </c>
      <c r="F17" s="3">
        <f>ROUNDUP(SUM(F14:F16),0)</f>
        <v>5000</v>
      </c>
    </row>
    <row r="22" spans="1:16" ht="15.75" thickBot="1" x14ac:dyDescent="0.3">
      <c r="A22" s="42" t="s">
        <v>22</v>
      </c>
      <c r="B22" s="42"/>
      <c r="C22" t="s">
        <v>19</v>
      </c>
      <c r="D22" t="s">
        <v>20</v>
      </c>
    </row>
    <row r="23" spans="1:16" x14ac:dyDescent="0.25">
      <c r="A23" s="6"/>
      <c r="B23" s="6"/>
      <c r="C23">
        <v>28.79</v>
      </c>
      <c r="D23">
        <v>46.8</v>
      </c>
    </row>
    <row r="24" spans="1:16" x14ac:dyDescent="0.25">
      <c r="A24" s="7"/>
      <c r="B24" s="7"/>
      <c r="C24">
        <v>180.53</v>
      </c>
      <c r="D24">
        <v>545.08000000000004</v>
      </c>
    </row>
    <row r="25" spans="1:16" x14ac:dyDescent="0.25">
      <c r="A25" s="7"/>
      <c r="B25" s="7"/>
      <c r="C25">
        <v>261.7</v>
      </c>
      <c r="D25">
        <v>457.54</v>
      </c>
    </row>
    <row r="26" spans="1:16" x14ac:dyDescent="0.25">
      <c r="A26" s="8"/>
      <c r="B26" s="8"/>
      <c r="C26">
        <v>14.55</v>
      </c>
      <c r="D26">
        <v>0</v>
      </c>
    </row>
    <row r="27" spans="1:16" x14ac:dyDescent="0.25">
      <c r="B27" t="s">
        <v>21</v>
      </c>
      <c r="C27">
        <f>SUM(C23:C26)</f>
        <v>485.57</v>
      </c>
      <c r="D27">
        <f>SUM(D23:D26)</f>
        <v>1049.42</v>
      </c>
    </row>
    <row r="28" spans="1:16" ht="15.75" thickBot="1" x14ac:dyDescent="0.3"/>
    <row r="29" spans="1:16" ht="15.75" thickBot="1" x14ac:dyDescent="0.3">
      <c r="A29" s="38" t="s">
        <v>45</v>
      </c>
      <c r="B29" s="39"/>
      <c r="C29" s="39"/>
      <c r="D29" s="39"/>
      <c r="E29" s="39"/>
      <c r="F29" s="39"/>
      <c r="G29" s="39"/>
      <c r="H29" s="39"/>
      <c r="I29" s="39"/>
      <c r="J29" s="40"/>
      <c r="K29" s="11"/>
      <c r="L29" s="38" t="s">
        <v>50</v>
      </c>
      <c r="M29" s="39"/>
      <c r="N29" s="39"/>
      <c r="O29" s="39"/>
      <c r="P29" s="40"/>
    </row>
    <row r="30" spans="1:16" x14ac:dyDescent="0.25">
      <c r="A30" s="41" t="s">
        <v>23</v>
      </c>
      <c r="B30" s="41"/>
      <c r="I30" s="62" t="s">
        <v>44</v>
      </c>
      <c r="J30" s="62"/>
      <c r="K30" s="11"/>
      <c r="M30" t="s">
        <v>48</v>
      </c>
    </row>
    <row r="31" spans="1:16" ht="15.75" thickBot="1" x14ac:dyDescent="0.3">
      <c r="B31" t="s">
        <v>24</v>
      </c>
      <c r="C31" t="s">
        <v>27</v>
      </c>
      <c r="D31" t="s">
        <v>28</v>
      </c>
      <c r="E31" t="s">
        <v>30</v>
      </c>
      <c r="F31" t="s">
        <v>31</v>
      </c>
      <c r="G31" t="s">
        <v>36</v>
      </c>
      <c r="I31" t="s">
        <v>42</v>
      </c>
      <c r="J31" t="s">
        <v>43</v>
      </c>
      <c r="L31" t="s">
        <v>24</v>
      </c>
      <c r="M31" s="19" t="s">
        <v>47</v>
      </c>
      <c r="N31" t="s">
        <v>49</v>
      </c>
      <c r="O31" s="19" t="s">
        <v>46</v>
      </c>
    </row>
    <row r="32" spans="1:16" x14ac:dyDescent="0.25">
      <c r="B32" s="9" t="s">
        <v>25</v>
      </c>
      <c r="C32">
        <f>9.8275+0.0351</f>
        <v>9.8626000000000005</v>
      </c>
      <c r="D32">
        <f>0.0388+0.5143</f>
        <v>0.55309999999999993</v>
      </c>
      <c r="E32" t="s">
        <v>29</v>
      </c>
      <c r="F32" t="s">
        <v>29</v>
      </c>
      <c r="G32" t="s">
        <v>29</v>
      </c>
      <c r="H32" s="6"/>
      <c r="I32" s="6"/>
      <c r="L32" s="9" t="s">
        <v>25</v>
      </c>
      <c r="M32">
        <f>1.165+1.4859</f>
        <v>2.6509</v>
      </c>
      <c r="N32" s="9">
        <v>5</v>
      </c>
      <c r="O32" t="s">
        <v>29</v>
      </c>
      <c r="P32" s="9"/>
    </row>
    <row r="33" spans="2:17" x14ac:dyDescent="0.25">
      <c r="B33" s="10" t="s">
        <v>26</v>
      </c>
      <c r="C33">
        <v>8.7729999999999997</v>
      </c>
      <c r="D33">
        <v>18.687999999999999</v>
      </c>
      <c r="E33">
        <f>((C32+C33)/2)*G33/27</f>
        <v>12.07862962962963</v>
      </c>
      <c r="F33">
        <f>((D32+D33)/2)*G33/27</f>
        <v>12.471083333333333</v>
      </c>
      <c r="G33">
        <f>50-15</f>
        <v>35</v>
      </c>
      <c r="H33" s="7"/>
      <c r="I33" s="12">
        <f>ROUNDUP(E33,0)</f>
        <v>13</v>
      </c>
      <c r="J33" s="13">
        <f>ROUNDUP(F33,0)</f>
        <v>13</v>
      </c>
      <c r="K33" s="13"/>
      <c r="L33" s="10" t="s">
        <v>26</v>
      </c>
      <c r="M33">
        <f>3.073+10.277</f>
        <v>13.35</v>
      </c>
      <c r="N33" s="10">
        <v>15</v>
      </c>
      <c r="O33">
        <f>(N32+N33)/2*G33/9</f>
        <v>38.888888888888886</v>
      </c>
      <c r="P33" s="10">
        <v>40</v>
      </c>
    </row>
    <row r="34" spans="2:17" x14ac:dyDescent="0.25">
      <c r="B34" t="s">
        <v>32</v>
      </c>
      <c r="C34">
        <v>5.4939999999999998</v>
      </c>
      <c r="D34">
        <v>1.5620000000000001</v>
      </c>
      <c r="E34">
        <f>((C33+C34)/2)*G34/27</f>
        <v>13.210185185185185</v>
      </c>
      <c r="F34">
        <f>((D33+D34)/2)*G34/27</f>
        <v>18.75</v>
      </c>
      <c r="G34">
        <f>50</f>
        <v>50</v>
      </c>
      <c r="H34" s="8"/>
      <c r="I34" s="12">
        <f t="shared" ref="I34:I42" si="0">ROUNDUP(E34,0)</f>
        <v>14</v>
      </c>
      <c r="J34" s="13">
        <f t="shared" ref="J34:J42" si="1">ROUNDUP(F34,0)</f>
        <v>19</v>
      </c>
      <c r="K34" s="13"/>
      <c r="L34" t="s">
        <v>32</v>
      </c>
      <c r="M34">
        <f>1.031+4.184</f>
        <v>5.2149999999999999</v>
      </c>
      <c r="N34" s="10">
        <v>10</v>
      </c>
      <c r="O34">
        <f t="shared" ref="O34:O42" si="2">(N33+N34)/2*G34/9</f>
        <v>69.444444444444443</v>
      </c>
      <c r="P34" s="10">
        <v>70</v>
      </c>
    </row>
    <row r="35" spans="2:17" x14ac:dyDescent="0.25">
      <c r="B35" t="s">
        <v>33</v>
      </c>
      <c r="C35">
        <f>60.948+0.035</f>
        <v>60.982999999999997</v>
      </c>
      <c r="D35">
        <f>4.171+0.032</f>
        <v>4.2030000000000003</v>
      </c>
      <c r="E35">
        <f>((C34+C35)/2)*G35/27</f>
        <v>16.003722222222223</v>
      </c>
      <c r="F35">
        <f>((D34+D35)/2)*G35/27</f>
        <v>1.3878703703703705</v>
      </c>
      <c r="G35">
        <v>13</v>
      </c>
      <c r="I35" s="12">
        <f t="shared" si="0"/>
        <v>17</v>
      </c>
      <c r="J35" s="13">
        <f t="shared" si="1"/>
        <v>2</v>
      </c>
      <c r="K35" s="13"/>
      <c r="L35" t="s">
        <v>33</v>
      </c>
      <c r="M35">
        <f>1.847+5.541+3.186</f>
        <v>10.574</v>
      </c>
      <c r="N35" s="10">
        <v>15</v>
      </c>
      <c r="O35">
        <f t="shared" si="2"/>
        <v>18.055555555555557</v>
      </c>
      <c r="P35" s="10">
        <v>20</v>
      </c>
    </row>
    <row r="36" spans="2:17" x14ac:dyDescent="0.25">
      <c r="B36" t="s">
        <v>34</v>
      </c>
      <c r="C36">
        <v>45.564999999999998</v>
      </c>
      <c r="D36">
        <f>17.631+0.397</f>
        <v>18.027999999999999</v>
      </c>
      <c r="E36">
        <f>((C35+C36)/2)*G36/27</f>
        <v>73.005111111111106</v>
      </c>
      <c r="F36">
        <f>((D35+D36)/2)*G36/27</f>
        <v>15.232351851851851</v>
      </c>
      <c r="G36">
        <f>50-13</f>
        <v>37</v>
      </c>
      <c r="I36" s="12">
        <f t="shared" si="0"/>
        <v>74</v>
      </c>
      <c r="J36" s="13">
        <f t="shared" si="1"/>
        <v>16</v>
      </c>
      <c r="K36" s="13"/>
      <c r="L36" t="s">
        <v>34</v>
      </c>
      <c r="M36">
        <f>1.01+10.394+3.324</f>
        <v>14.728</v>
      </c>
      <c r="N36" s="10">
        <v>15</v>
      </c>
      <c r="O36">
        <f t="shared" si="2"/>
        <v>61.666666666666664</v>
      </c>
      <c r="P36" s="10">
        <v>55</v>
      </c>
    </row>
    <row r="37" spans="2:17" x14ac:dyDescent="0.25">
      <c r="B37" t="s">
        <v>35</v>
      </c>
      <c r="C37">
        <v>49.2742</v>
      </c>
      <c r="D37">
        <f>9.6025+19.1823</f>
        <v>28.784800000000001</v>
      </c>
      <c r="E37">
        <f>((C36+C37)/2)*G37/27</f>
        <v>55.726811407407418</v>
      </c>
      <c r="F37">
        <f>((D36+D37)/2)*G37/27</f>
        <v>27.506854518518519</v>
      </c>
      <c r="G37">
        <f>81.73-50</f>
        <v>31.730000000000004</v>
      </c>
      <c r="I37" s="12">
        <f t="shared" si="0"/>
        <v>56</v>
      </c>
      <c r="J37" s="13">
        <f t="shared" si="1"/>
        <v>28</v>
      </c>
      <c r="K37" s="13"/>
      <c r="L37" t="s">
        <v>35</v>
      </c>
      <c r="M37">
        <f>12.4708+11.1399</f>
        <v>23.610700000000001</v>
      </c>
      <c r="N37" s="10">
        <v>25</v>
      </c>
      <c r="O37">
        <f t="shared" si="2"/>
        <v>70.51111111111112</v>
      </c>
      <c r="P37" s="10">
        <v>75</v>
      </c>
    </row>
    <row r="38" spans="2:17" x14ac:dyDescent="0.25">
      <c r="B38" t="s">
        <v>37</v>
      </c>
      <c r="C38">
        <v>56.921599999999998</v>
      </c>
      <c r="D38">
        <v>15.588200000000001</v>
      </c>
      <c r="E38" t="s">
        <v>29</v>
      </c>
      <c r="F38" t="s">
        <v>29</v>
      </c>
      <c r="G38" t="s">
        <v>29</v>
      </c>
      <c r="I38" s="12" t="s">
        <v>29</v>
      </c>
      <c r="J38" s="15" t="s">
        <v>29</v>
      </c>
      <c r="K38" s="15"/>
      <c r="L38" t="s">
        <v>37</v>
      </c>
      <c r="M38">
        <f>6.7385+12.2316</f>
        <v>18.970100000000002</v>
      </c>
      <c r="N38" s="10">
        <v>20</v>
      </c>
      <c r="O38" t="s">
        <v>29</v>
      </c>
      <c r="P38" s="10" t="s">
        <v>29</v>
      </c>
    </row>
    <row r="39" spans="2:17" x14ac:dyDescent="0.25">
      <c r="B39" t="s">
        <v>38</v>
      </c>
      <c r="C39">
        <v>72.882000000000005</v>
      </c>
      <c r="D39">
        <v>4.4909999999999997</v>
      </c>
      <c r="E39">
        <f>((C38+C39)/2)*G39/27</f>
        <v>59.301015037037047</v>
      </c>
      <c r="F39">
        <f>((D38+D39)/2)*G39/27</f>
        <v>9.1732197037037047</v>
      </c>
      <c r="G39">
        <f>50-25.33</f>
        <v>24.67</v>
      </c>
      <c r="I39" s="12">
        <f t="shared" si="0"/>
        <v>60</v>
      </c>
      <c r="J39" s="13">
        <f t="shared" si="1"/>
        <v>10</v>
      </c>
      <c r="K39" s="13"/>
      <c r="L39" t="s">
        <v>38</v>
      </c>
      <c r="M39">
        <f>13.187+2+7.27</f>
        <v>22.457000000000001</v>
      </c>
      <c r="N39" s="10">
        <v>25</v>
      </c>
      <c r="O39">
        <f>(N38+N39)/2*G39/9</f>
        <v>61.675000000000004</v>
      </c>
      <c r="P39" s="10">
        <v>65</v>
      </c>
    </row>
    <row r="40" spans="2:17" x14ac:dyDescent="0.25">
      <c r="B40" t="s">
        <v>39</v>
      </c>
      <c r="C40">
        <f>63.019+5.777</f>
        <v>68.795999999999992</v>
      </c>
      <c r="D40">
        <f>0.448+0.041</f>
        <v>0.48899999999999999</v>
      </c>
      <c r="E40">
        <f>((C39+C40)/2)*G40/27</f>
        <v>131.18333333333334</v>
      </c>
      <c r="F40">
        <f>((D39+D40)/2)*G40/27</f>
        <v>4.6111111111111107</v>
      </c>
      <c r="G40">
        <v>50</v>
      </c>
      <c r="I40" s="12">
        <f t="shared" si="0"/>
        <v>132</v>
      </c>
      <c r="J40" s="13">
        <f t="shared" si="1"/>
        <v>5</v>
      </c>
      <c r="K40" s="13"/>
      <c r="L40" t="s">
        <v>39</v>
      </c>
      <c r="M40">
        <f>11.623+14.549+2.56</f>
        <v>28.731999999999996</v>
      </c>
      <c r="N40" s="10">
        <v>30</v>
      </c>
      <c r="O40">
        <f>(N39+N40)/2*G40/9</f>
        <v>152.77777777777777</v>
      </c>
      <c r="P40" s="10">
        <v>155</v>
      </c>
    </row>
    <row r="41" spans="2:17" x14ac:dyDescent="0.25">
      <c r="B41" t="s">
        <v>40</v>
      </c>
      <c r="C41">
        <f>0.243+0.031</f>
        <v>0.27400000000000002</v>
      </c>
      <c r="D41">
        <v>0.34100000000000003</v>
      </c>
      <c r="E41">
        <f>((C40+C41)/2)*G41/27</f>
        <v>63.953703703703695</v>
      </c>
      <c r="F41">
        <f>((D40+D41)/2)*G41/27</f>
        <v>0.76851851851851849</v>
      </c>
      <c r="G41">
        <v>50</v>
      </c>
      <c r="I41" s="12">
        <f t="shared" si="0"/>
        <v>64</v>
      </c>
      <c r="J41" s="13">
        <f t="shared" si="1"/>
        <v>1</v>
      </c>
      <c r="K41" s="13"/>
      <c r="L41" t="s">
        <v>40</v>
      </c>
      <c r="M41">
        <v>0</v>
      </c>
      <c r="N41" s="10">
        <v>0</v>
      </c>
      <c r="O41">
        <f>(N40+N41)/2*G41/9</f>
        <v>83.333333333333329</v>
      </c>
      <c r="P41" s="10">
        <v>85</v>
      </c>
    </row>
    <row r="42" spans="2:17" ht="15.75" thickBot="1" x14ac:dyDescent="0.3">
      <c r="B42" t="s">
        <v>41</v>
      </c>
      <c r="C42">
        <v>4.3869999999999996</v>
      </c>
      <c r="D42">
        <v>0</v>
      </c>
      <c r="E42">
        <f>((C41+C42)/2)*G42/27</f>
        <v>4.3157407407407407</v>
      </c>
      <c r="F42">
        <f>((D41+D42)/2)*G42/27</f>
        <v>0.31574074074074077</v>
      </c>
      <c r="G42">
        <v>50</v>
      </c>
      <c r="I42" s="14">
        <f t="shared" si="0"/>
        <v>5</v>
      </c>
      <c r="J42" s="13">
        <f t="shared" si="1"/>
        <v>1</v>
      </c>
      <c r="K42" s="13"/>
      <c r="L42" t="s">
        <v>41</v>
      </c>
      <c r="M42">
        <v>0</v>
      </c>
      <c r="N42" s="10">
        <v>0</v>
      </c>
      <c r="O42">
        <f t="shared" si="2"/>
        <v>0</v>
      </c>
      <c r="P42" s="10">
        <v>0</v>
      </c>
    </row>
    <row r="43" spans="2:17" ht="15.75" thickBot="1" x14ac:dyDescent="0.3">
      <c r="B43" t="s">
        <v>21</v>
      </c>
      <c r="E43">
        <f>SUM(E33:E37)+SUM(E39:E42)</f>
        <v>428.77825237037035</v>
      </c>
      <c r="F43">
        <f>SUM(F33:F37)+SUM(F39:F42)</f>
        <v>90.216750148148151</v>
      </c>
      <c r="I43" s="16">
        <f>SUM(I33:I42)</f>
        <v>435</v>
      </c>
      <c r="J43" s="17">
        <f>SUM(J33:J42)</f>
        <v>95</v>
      </c>
      <c r="K43" s="20"/>
      <c r="L43" t="s">
        <v>21</v>
      </c>
      <c r="N43" s="18"/>
      <c r="P43" s="18">
        <f>SUM(P33:P42)</f>
        <v>565</v>
      </c>
      <c r="Q43" t="s">
        <v>51</v>
      </c>
    </row>
  </sheetData>
  <mergeCells count="14">
    <mergeCell ref="D2:E2"/>
    <mergeCell ref="A2:A13"/>
    <mergeCell ref="B2:C12"/>
    <mergeCell ref="A1:F1"/>
    <mergeCell ref="I30:J30"/>
    <mergeCell ref="A29:J29"/>
    <mergeCell ref="L29:P29"/>
    <mergeCell ref="A30:B30"/>
    <mergeCell ref="A22:B22"/>
    <mergeCell ref="I3:J4"/>
    <mergeCell ref="D3:D12"/>
    <mergeCell ref="E3:E12"/>
    <mergeCell ref="F3:F12"/>
    <mergeCell ref="A17:C17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48E2A4-0FE5-409F-A54C-CE0C0E485443}">
  <dimension ref="B1:F8"/>
  <sheetViews>
    <sheetView workbookViewId="0">
      <selection activeCell="F12" sqref="F12"/>
    </sheetView>
  </sheetViews>
  <sheetFormatPr defaultRowHeight="15" x14ac:dyDescent="0.25"/>
  <cols>
    <col min="6" max="6" width="46.7109375" bestFit="1" customWidth="1"/>
  </cols>
  <sheetData>
    <row r="1" spans="2:6" x14ac:dyDescent="0.25">
      <c r="B1">
        <v>21000</v>
      </c>
      <c r="C1">
        <v>614</v>
      </c>
      <c r="D1" t="s">
        <v>1</v>
      </c>
      <c r="F1" t="s">
        <v>2</v>
      </c>
    </row>
    <row r="2" spans="2:6" x14ac:dyDescent="0.25">
      <c r="B2">
        <v>22000</v>
      </c>
      <c r="C2">
        <v>614</v>
      </c>
      <c r="D2" t="s">
        <v>1</v>
      </c>
      <c r="F2" t="s">
        <v>10</v>
      </c>
    </row>
    <row r="3" spans="2:6" x14ac:dyDescent="0.25">
      <c r="B3">
        <v>24000</v>
      </c>
      <c r="C3">
        <v>614</v>
      </c>
      <c r="D3" t="s">
        <v>6</v>
      </c>
      <c r="F3" t="s">
        <v>5</v>
      </c>
    </row>
    <row r="4" spans="2:6" x14ac:dyDescent="0.25">
      <c r="B4">
        <v>25000</v>
      </c>
      <c r="C4">
        <v>614</v>
      </c>
      <c r="D4" t="s">
        <v>6</v>
      </c>
      <c r="F4" t="s">
        <v>9</v>
      </c>
    </row>
    <row r="5" spans="2:6" x14ac:dyDescent="0.25">
      <c r="B5">
        <v>26000</v>
      </c>
      <c r="C5">
        <v>614</v>
      </c>
      <c r="D5" t="s">
        <v>6</v>
      </c>
      <c r="F5" t="s">
        <v>8</v>
      </c>
    </row>
    <row r="6" spans="2:6" x14ac:dyDescent="0.25">
      <c r="B6">
        <v>98100</v>
      </c>
      <c r="C6">
        <v>614</v>
      </c>
      <c r="D6" t="s">
        <v>11</v>
      </c>
      <c r="F6" t="s">
        <v>4</v>
      </c>
    </row>
    <row r="7" spans="2:6" x14ac:dyDescent="0.25">
      <c r="B7">
        <v>98200</v>
      </c>
      <c r="C7">
        <v>614</v>
      </c>
      <c r="D7" t="s">
        <v>7</v>
      </c>
      <c r="F7" t="s">
        <v>4</v>
      </c>
    </row>
    <row r="8" spans="2:6" x14ac:dyDescent="0.25">
      <c r="B8">
        <v>41100</v>
      </c>
      <c r="C8">
        <v>622</v>
      </c>
      <c r="D8" t="s">
        <v>6</v>
      </c>
      <c r="F8" t="s">
        <v>3</v>
      </c>
    </row>
  </sheetData>
  <sortState xmlns:xlrd2="http://schemas.microsoft.com/office/spreadsheetml/2017/richdata2" ref="B1:F7">
    <sortCondition ref="B1"/>
  </sortState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8EA1F5-867F-47D4-8C44-BC22E78873A7}">
  <dimension ref="A1"/>
  <sheetViews>
    <sheetView workbookViewId="0"/>
  </sheetViews>
  <sheetFormatPr defaultRowHeight="15" x14ac:dyDescent="0.25"/>
  <sheetData/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Kretz, Joey</dc:creator>
  <cp:lastModifiedBy>Gaerke, Collin</cp:lastModifiedBy>
  <dcterms:created xsi:type="dcterms:W3CDTF">2020-10-28T16:47:58Z</dcterms:created>
  <dcterms:modified xsi:type="dcterms:W3CDTF">2025-07-07T15:43:21Z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