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109\"/>
    </mc:Choice>
  </mc:AlternateContent>
  <xr:revisionPtr revIDLastSave="0" documentId="13_ncr:1_{C85D2988-55AC-49EF-AAD8-80A23FCFAF03}" xr6:coauthVersionLast="47" xr6:coauthVersionMax="47" xr10:uidLastSave="{00000000-0000-0000-0000-000000000000}"/>
  <bookViews>
    <workbookView xWindow="-120" yWindow="-120" windowWidth="29040" windowHeight="15720" tabRatio="776" xr2:uid="{390E266C-80EA-4DD4-BFCD-D040A797CC5B}"/>
  </bookViews>
  <sheets>
    <sheet name="TAF Design Tool " sheetId="4" r:id="rId1"/>
    <sheet name=" Nomograph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5" i="4" l="1"/>
  <c r="H19" i="4"/>
  <c r="A30" i="4"/>
  <c r="A11" i="4"/>
  <c r="H56" i="4" l="1"/>
  <c r="H62" i="4"/>
  <c r="H64" i="4"/>
  <c r="H36" i="4"/>
  <c r="H38" i="4" s="1"/>
  <c r="A50" i="4" l="1"/>
  <c r="A32" i="4"/>
  <c r="A41" i="4"/>
  <c r="D34" i="4"/>
  <c r="D20" i="5" l="1"/>
  <c r="E20" i="5" s="1"/>
  <c r="H66" i="4"/>
  <c r="H61" i="4"/>
  <c r="A39" i="4" l="1"/>
  <c r="H42" i="4"/>
  <c r="H63" i="4" s="1"/>
  <c r="D19" i="5"/>
  <c r="E19" i="5" s="1"/>
</calcChain>
</file>

<file path=xl/sharedStrings.xml><?xml version="1.0" encoding="utf-8"?>
<sst xmlns="http://schemas.openxmlformats.org/spreadsheetml/2006/main" count="73" uniqueCount="70">
  <si>
    <t>PERFORMED BY:</t>
  </si>
  <si>
    <t>DATE:</t>
  </si>
  <si>
    <t>CHECKED BY:</t>
  </si>
  <si>
    <t>SUBJECT:</t>
  </si>
  <si>
    <t>STREAM:</t>
  </si>
  <si>
    <t xml:space="preserve">TAF DESIGN </t>
  </si>
  <si>
    <t>Is StreamStats data for the site available?</t>
  </si>
  <si>
    <t>Is the stream's flow influenced by hydraulic controlling features (i.e. dams)?</t>
  </si>
  <si>
    <r>
      <t>Basin drainage area (mi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</si>
  <si>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Top of bank elevation (ft)</t>
  </si>
  <si>
    <t>OHWM flow rate [without TAF] (cfs)</t>
  </si>
  <si>
    <t>backwater rise above OHWM with TAF in place?</t>
  </si>
  <si>
    <t>Top of TAF elevation (ft)</t>
  </si>
  <si>
    <t>Suggested rock sizing and corresponding Manning's n based on hydraulic analysis velocities</t>
  </si>
  <si>
    <t>Note: Sizing based on velocity due to unavailability of accurate point shear in 1D models</t>
  </si>
  <si>
    <t>Suggested dumped rock size</t>
  </si>
  <si>
    <t>SUMMARY</t>
  </si>
  <si>
    <t>Streamflow data source</t>
  </si>
  <si>
    <t>Stream contains hydraulic controlling features?</t>
  </si>
  <si>
    <t>Suggested size for TAF dumped rock:</t>
  </si>
  <si>
    <t>Suggested HEC-RAS scoping (1D or 2D)</t>
  </si>
  <si>
    <t>D50</t>
  </si>
  <si>
    <t xml:space="preserve">Permissible Shear Stress </t>
  </si>
  <si>
    <t>(in)</t>
  </si>
  <si>
    <t>(lb/ sq ft)</t>
  </si>
  <si>
    <t>(ft/sec)</t>
  </si>
  <si>
    <t>Measure</t>
  </si>
  <si>
    <t>Known Values</t>
  </si>
  <si>
    <t>Minimum D50 for Dumped Rock  (in)</t>
  </si>
  <si>
    <t>Shear Stress (lb/ sq ft)</t>
  </si>
  <si>
    <t>Known Velocity (ft/ sec)</t>
  </si>
  <si>
    <t>Based on Table 7 in Report</t>
  </si>
  <si>
    <t xml:space="preserve">Permissible Velocity Value </t>
  </si>
  <si>
    <t>Project:</t>
  </si>
  <si>
    <t>PID:</t>
  </si>
  <si>
    <t>STREAM CHARACTERISTICS AT PROPOSED TAF LOCATION (NO TAF INSTALLED)</t>
  </si>
  <si>
    <t>Ordinary High Water Mark elevation [OHWM] (ft)</t>
  </si>
  <si>
    <t>Maximum mean monthly flow (cfs)</t>
  </si>
  <si>
    <t>2x maximum mean monthly flow (cfs)</t>
  </si>
  <si>
    <t>Calculated backwater from modified TAF height</t>
  </si>
  <si>
    <t>Calculated freeboard</t>
  </si>
  <si>
    <t>Tier 2 TAF Analysis</t>
  </si>
  <si>
    <t>Tier 3 TAF Analysis</t>
  </si>
  <si>
    <t>Complete if adjusted STD is necessary</t>
  </si>
  <si>
    <t xml:space="preserve">Initial height of TAF (1' above OHWM or necessary to facilitate construction) </t>
  </si>
  <si>
    <t>Calculated STD (flow producing WSE equal to height of TAF)</t>
  </si>
  <si>
    <t>Is historical waterway flow available (USGS Gage data availability)?</t>
  </si>
  <si>
    <t>Final top of TAF elevation (ft)</t>
  </si>
  <si>
    <t>Calculated backwater elevation</t>
  </si>
  <si>
    <t>2x maximum mean monthly flow water surface elevation (ft)</t>
  </si>
  <si>
    <t xml:space="preserve">TAF STABILITY- Based on Bureau of Reclamation </t>
  </si>
  <si>
    <t>Tier 1 TAF Analysis</t>
  </si>
  <si>
    <t>Is the TAF height acceptable based on viability considerations?</t>
  </si>
  <si>
    <t>Does probability of exceedance of STD facilitate the project schedule?</t>
  </si>
  <si>
    <t>50% AEP flow water surface elevation (ft)</t>
  </si>
  <si>
    <t xml:space="preserve">Does the site pass two-times highest monthly flow without </t>
  </si>
  <si>
    <t>After verifying OHWM, does the site pass 2x highest monthly flow?</t>
  </si>
  <si>
    <t>Modified height of TAF (backwater elevation+1' freeboard)</t>
  </si>
  <si>
    <t>Velocity at edge of TAF corresponding to 20% AEP flow (ft/s)</t>
  </si>
  <si>
    <t>Proposed TAF obstruction</t>
  </si>
  <si>
    <t>For partial TAFs: minimum channel opening width (ft) at the OHWM elevation</t>
  </si>
  <si>
    <t>Calculated backwater elevation (ft) with the TAF in place.</t>
  </si>
  <si>
    <t>Partial TAF: minimum channel opening width (ft) at the OHWM elevation:</t>
  </si>
  <si>
    <t>Yes</t>
  </si>
  <si>
    <t>No</t>
  </si>
  <si>
    <t>MVC</t>
  </si>
  <si>
    <t>HOL-179-3.89</t>
  </si>
  <si>
    <t>Crab Run</t>
  </si>
  <si>
    <t>Full Channel</t>
  </si>
  <si>
    <t>Bridge Rehabilitation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</si>
</sst>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u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color rgb="FF7030A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9"/>
      </bottom>
      <diagonal/>
    </border>
    <border>
      <left/>
      <right/>
      <top/>
      <bottom style="medium">
        <color theme="9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3" xfId="0" applyFont="1" applyBorder="1"/>
    <xf numFmtId="0" fontId="0" fillId="0" borderId="3" xfId="0" applyBorder="1"/>
    <xf numFmtId="0" fontId="0" fillId="0" borderId="4" xfId="0" applyBorder="1"/>
    <xf numFmtId="0" fontId="7" fillId="0" borderId="4" xfId="0" applyFont="1" applyBorder="1"/>
    <xf numFmtId="0" fontId="5" fillId="0" borderId="0" xfId="5"/>
    <xf numFmtId="0" fontId="11" fillId="0" borderId="0" xfId="0" applyFont="1"/>
    <xf numFmtId="0" fontId="4" fillId="3" borderId="1" xfId="4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12" fillId="0" borderId="0" xfId="0" applyFont="1"/>
    <xf numFmtId="0" fontId="3" fillId="3" borderId="2" xfId="3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17" xfId="0" applyBorder="1"/>
    <xf numFmtId="0" fontId="14" fillId="3" borderId="19" xfId="3" applyFont="1" applyBorder="1" applyAlignment="1">
      <alignment horizontal="center"/>
    </xf>
    <xf numFmtId="0" fontId="7" fillId="0" borderId="16" xfId="0" applyFont="1" applyBorder="1"/>
    <xf numFmtId="0" fontId="0" fillId="0" borderId="10" xfId="0" applyBorder="1" applyAlignment="1">
      <alignment horizontal="left"/>
    </xf>
    <xf numFmtId="0" fontId="6" fillId="0" borderId="7" xfId="0" applyFont="1" applyBorder="1" applyAlignment="1">
      <alignment horizontal="center" vertical="center" wrapText="1"/>
    </xf>
    <xf numFmtId="164" fontId="4" fillId="3" borderId="20" xfId="4" applyNumberForma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17" fillId="0" borderId="0" xfId="0" applyFont="1"/>
    <xf numFmtId="0" fontId="0" fillId="0" borderId="14" xfId="0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164" fontId="4" fillId="3" borderId="1" xfId="4" applyNumberFormat="1" applyAlignment="1">
      <alignment horizontal="center"/>
    </xf>
    <xf numFmtId="0" fontId="0" fillId="0" borderId="4" xfId="0" applyBorder="1" applyAlignment="1">
      <alignment horizontal="left"/>
    </xf>
    <xf numFmtId="0" fontId="18" fillId="0" borderId="4" xfId="0" applyFont="1" applyBorder="1" applyAlignment="1">
      <alignment horizontal="left"/>
    </xf>
    <xf numFmtId="0" fontId="10" fillId="2" borderId="1" xfId="2" applyFont="1" applyAlignment="1" applyProtection="1">
      <alignment horizontal="center" vertical="center"/>
      <protection locked="0"/>
    </xf>
    <xf numFmtId="164" fontId="10" fillId="2" borderId="1" xfId="2" applyNumberFormat="1" applyFont="1" applyAlignment="1" applyProtection="1">
      <alignment horizontal="center" vertical="center"/>
      <protection locked="0"/>
    </xf>
    <xf numFmtId="0" fontId="10" fillId="2" borderId="1" xfId="2" applyFont="1" applyAlignment="1" applyProtection="1">
      <alignment horizontal="center"/>
      <protection locked="0"/>
    </xf>
    <xf numFmtId="0" fontId="3" fillId="3" borderId="2" xfId="6" applyNumberFormat="1" applyFont="1" applyFill="1" applyBorder="1" applyAlignment="1">
      <alignment horizontal="center"/>
    </xf>
    <xf numFmtId="0" fontId="10" fillId="2" borderId="1" xfId="1" applyNumberFormat="1" applyFont="1" applyFill="1" applyBorder="1" applyAlignment="1" applyProtection="1">
      <alignment horizontal="center"/>
      <protection locked="0"/>
    </xf>
    <xf numFmtId="0" fontId="19" fillId="0" borderId="0" xfId="5" applyFont="1"/>
    <xf numFmtId="0" fontId="20" fillId="0" borderId="0" xfId="0" applyFont="1"/>
    <xf numFmtId="0" fontId="21" fillId="0" borderId="0" xfId="0" applyFont="1"/>
    <xf numFmtId="0" fontId="16" fillId="0" borderId="0" xfId="5" applyFont="1" applyAlignment="1">
      <alignment horizontal="left"/>
    </xf>
    <xf numFmtId="0" fontId="5" fillId="0" borderId="0" xfId="5" applyAlignment="1">
      <alignment horizontal="left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14" fontId="0" fillId="0" borderId="6" xfId="0" applyNumberFormat="1" applyBorder="1" applyProtection="1">
      <protection locked="0"/>
    </xf>
    <xf numFmtId="0" fontId="6" fillId="0" borderId="1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7" fillId="0" borderId="0" xfId="0" applyFont="1"/>
    <xf numFmtId="0" fontId="6" fillId="0" borderId="14" xfId="0" applyFont="1" applyBorder="1" applyAlignment="1">
      <alignment horizontal="center"/>
    </xf>
  </cellXfs>
  <cellStyles count="7">
    <cellStyle name="Calculation" xfId="4" builtinId="22"/>
    <cellStyle name="Currency" xfId="6" builtinId="4"/>
    <cellStyle name="Explanatory Text" xfId="5" builtinId="53"/>
    <cellStyle name="Input" xfId="2" builtinId="20"/>
    <cellStyle name="Normal" xfId="0" builtinId="0"/>
    <cellStyle name="Output" xfId="3" builtinId="21"/>
    <cellStyle name="Percent" xfId="1" builtinId="5"/>
  </cellStyles>
  <dxfs count="8">
    <dxf>
      <font>
        <color rgb="FF9C0006"/>
      </font>
      <fill>
        <patternFill>
          <bgColor rgb="FFFFC7CE"/>
        </patternFill>
      </fill>
    </dxf>
    <dxf>
      <fill>
        <patternFill patternType="solid">
          <bgColor theme="9" tint="0.79998168889431442"/>
        </patternFill>
      </fill>
    </dxf>
    <dxf>
      <font>
        <b/>
        <i val="0"/>
        <u/>
        <color theme="9"/>
      </font>
    </dxf>
    <dxf>
      <font>
        <b/>
        <i val="0"/>
        <u/>
        <color theme="9"/>
      </font>
    </dxf>
    <dxf>
      <font>
        <b/>
        <i val="0"/>
        <u/>
        <color theme="9"/>
      </font>
    </dxf>
    <dxf>
      <font>
        <u/>
        <color theme="9"/>
      </font>
    </dxf>
    <dxf>
      <font>
        <b/>
        <i val="0"/>
        <u/>
        <color theme="9"/>
      </font>
    </dxf>
    <dxf>
      <font>
        <b/>
        <i val="0"/>
        <strike val="0"/>
      </font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Dumped Rock Size from Shear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383303831207146E-2"/>
          <c:y val="0.16408805031446541"/>
          <c:w val="0.67273490813648285"/>
          <c:h val="0.69627890853265983"/>
        </c:manualLayout>
      </c:layout>
      <c:scatterChart>
        <c:scatterStyle val="lineMarker"/>
        <c:varyColors val="0"/>
        <c:ser>
          <c:idx val="1"/>
          <c:order val="0"/>
          <c:tx>
            <c:v>Known Shear Stress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7"/>
            <c:spPr>
              <a:noFill/>
              <a:ln w="254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dPt>
            <c:idx val="0"/>
            <c:marker>
              <c:symbol val="plus"/>
              <c:size val="17"/>
              <c:spPr>
                <a:noFill/>
                <a:ln w="19050">
                  <a:solidFill>
                    <a:schemeClr val="bg1">
                      <a:lumMod val="6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BB64-4950-B422-1D9F835DE06E}"/>
              </c:ext>
            </c:extLst>
          </c:dPt>
          <c:xVal>
            <c:numRef>
              <c:f>' Nomograph'!$D$19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 Nomograph'!$E$19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64-4950-B422-1D9F835D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603568"/>
        <c:axId val="806604224"/>
      </c:scatterChart>
      <c:scatterChart>
        <c:scatterStyle val="smoothMarker"/>
        <c:varyColors val="0"/>
        <c:ser>
          <c:idx val="0"/>
          <c:order val="1"/>
          <c:tx>
            <c:v>Permissible Shear Stress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 Nomograph'!$C$5:$C$8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</c:numCache>
            </c:numRef>
          </c:xVal>
          <c:yVal>
            <c:numRef>
              <c:f>' Nomograph'!$B$5:$B$8</c:f>
              <c:numCache>
                <c:formatCode>General</c:formatCode>
                <c:ptCount val="4"/>
                <c:pt idx="0">
                  <c:v>6</c:v>
                </c:pt>
                <c:pt idx="1">
                  <c:v>12</c:v>
                </c:pt>
                <c:pt idx="2">
                  <c:v>18</c:v>
                </c:pt>
                <c:pt idx="3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64-4950-B422-1D9F835D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603568"/>
        <c:axId val="806604224"/>
      </c:scatterChart>
      <c:valAx>
        <c:axId val="806603568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Shear</a:t>
                </a:r>
                <a:r>
                  <a:rPr lang="en-US" baseline="0"/>
                  <a:t> Stress (lb/ sq ft)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604224"/>
        <c:crosses val="autoZero"/>
        <c:crossBetween val="midCat"/>
      </c:valAx>
      <c:valAx>
        <c:axId val="806604224"/>
        <c:scaling>
          <c:orientation val="minMax"/>
          <c:max val="2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D50 (in)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603568"/>
        <c:crosses val="autoZero"/>
        <c:crossBetween val="midCat"/>
        <c:majorUnit val="6"/>
        <c:minorUnit val="3"/>
      </c:valAx>
      <c:spPr>
        <a:noFill/>
        <a:ln w="19050"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8381330240696645"/>
          <c:y val="0.33243673550240183"/>
          <c:w val="0.20378359681783964"/>
          <c:h val="0.2885227554102907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42</xdr:row>
      <xdr:rowOff>57150</xdr:rowOff>
    </xdr:from>
    <xdr:to>
      <xdr:col>6</xdr:col>
      <xdr:colOff>482600</xdr:colOff>
      <xdr:row>63</xdr:row>
      <xdr:rowOff>95250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DB44074-230A-421B-905E-EA4B2E7C1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AA826-5E0D-41D0-B41F-EA0F784C6FB9}">
  <dimension ref="A1:H70"/>
  <sheetViews>
    <sheetView showGridLines="0" showRowColHeaders="0" tabSelected="1" showRuler="0" view="pageLayout" zoomScale="119" zoomScaleNormal="85" zoomScaleSheetLayoutView="100" zoomScalePageLayoutView="119" workbookViewId="0">
      <selection activeCell="B4" sqref="B4:H4"/>
    </sheetView>
  </sheetViews>
  <sheetFormatPr defaultColWidth="8.85546875" defaultRowHeight="15" x14ac:dyDescent="0.25"/>
  <cols>
    <col min="1" max="1" width="9.42578125" customWidth="1"/>
    <col min="2" max="2" width="6.42578125" customWidth="1"/>
    <col min="3" max="3" width="9.85546875" customWidth="1"/>
    <col min="4" max="4" width="9.28515625" customWidth="1"/>
    <col min="5" max="5" width="18.7109375" customWidth="1"/>
    <col min="6" max="6" width="0.7109375" customWidth="1"/>
    <col min="7" max="7" width="11.28515625" customWidth="1"/>
    <col min="8" max="8" width="21" customWidth="1"/>
  </cols>
  <sheetData>
    <row r="1" spans="1:8" ht="15.75" thickBot="1" x14ac:dyDescent="0.3">
      <c r="A1" s="1" t="s">
        <v>33</v>
      </c>
      <c r="B1" s="56" t="s">
        <v>66</v>
      </c>
      <c r="C1" s="56"/>
      <c r="D1" s="56"/>
      <c r="F1" s="14" t="s">
        <v>34</v>
      </c>
      <c r="G1" s="56">
        <v>111085</v>
      </c>
      <c r="H1" s="56"/>
    </row>
    <row r="2" spans="1:8" ht="15.75" thickBot="1" x14ac:dyDescent="0.3">
      <c r="A2" s="1" t="s">
        <v>0</v>
      </c>
      <c r="C2" s="57" t="s">
        <v>65</v>
      </c>
      <c r="D2" s="57"/>
      <c r="F2" s="14" t="s">
        <v>1</v>
      </c>
      <c r="G2" s="60">
        <v>45645</v>
      </c>
      <c r="H2" s="57"/>
    </row>
    <row r="3" spans="1:8" ht="15.75" thickBot="1" x14ac:dyDescent="0.3">
      <c r="A3" s="1" t="s">
        <v>2</v>
      </c>
      <c r="C3" s="57"/>
      <c r="D3" s="57"/>
      <c r="F3" s="14" t="s">
        <v>1</v>
      </c>
      <c r="G3" s="57"/>
      <c r="H3" s="57"/>
    </row>
    <row r="4" spans="1:8" ht="15.75" thickBot="1" x14ac:dyDescent="0.3">
      <c r="A4" s="1" t="s">
        <v>3</v>
      </c>
      <c r="B4" s="58" t="s">
        <v>69</v>
      </c>
      <c r="C4" s="58"/>
      <c r="D4" s="58"/>
      <c r="E4" s="58"/>
      <c r="F4" s="58"/>
      <c r="G4" s="58"/>
      <c r="H4" s="58"/>
    </row>
    <row r="5" spans="1:8" ht="15.75" thickBot="1" x14ac:dyDescent="0.3">
      <c r="A5" s="1" t="s">
        <v>4</v>
      </c>
      <c r="B5" s="59" t="s">
        <v>67</v>
      </c>
      <c r="C5" s="59"/>
      <c r="D5" s="59"/>
      <c r="E5" s="59"/>
      <c r="F5" s="59"/>
      <c r="G5" s="59"/>
      <c r="H5" s="59"/>
    </row>
    <row r="7" spans="1:8" ht="19.5" thickBot="1" x14ac:dyDescent="0.35">
      <c r="A7" s="3" t="s">
        <v>5</v>
      </c>
      <c r="B7" s="4"/>
      <c r="C7" s="4"/>
      <c r="D7" s="4"/>
      <c r="E7" s="4"/>
      <c r="F7" s="4"/>
      <c r="G7" s="4"/>
      <c r="H7" s="4"/>
    </row>
    <row r="8" spans="1:8" ht="17.25" thickTop="1" thickBot="1" x14ac:dyDescent="0.3">
      <c r="A8" s="6" t="s">
        <v>35</v>
      </c>
      <c r="B8" s="5"/>
      <c r="C8" s="5"/>
      <c r="D8" s="5"/>
      <c r="E8" s="5"/>
      <c r="F8" s="5"/>
      <c r="G8" s="5"/>
      <c r="H8" s="5"/>
    </row>
    <row r="9" spans="1:8" ht="15.75" x14ac:dyDescent="0.25">
      <c r="A9" s="2"/>
    </row>
    <row r="10" spans="1:8" x14ac:dyDescent="0.25">
      <c r="A10" t="s">
        <v>6</v>
      </c>
      <c r="H10" s="46" t="s">
        <v>63</v>
      </c>
    </row>
    <row r="11" spans="1:8" x14ac:dyDescent="0.25">
      <c r="A11" s="36" t="str">
        <f>IF(H10="No","!Calculate Flowrates Using L&amp;D Volume II Section 1010.1","")</f>
        <v/>
      </c>
      <c r="H11" s="1"/>
    </row>
    <row r="12" spans="1:8" x14ac:dyDescent="0.25">
      <c r="A12" t="s">
        <v>7</v>
      </c>
      <c r="H12" s="46" t="s">
        <v>64</v>
      </c>
    </row>
    <row r="13" spans="1:8" ht="17.25" x14ac:dyDescent="0.25">
      <c r="A13" t="s">
        <v>8</v>
      </c>
      <c r="H13" s="46">
        <v>31.3</v>
      </c>
    </row>
    <row r="14" spans="1:8" x14ac:dyDescent="0.25">
      <c r="A14" t="s">
        <v>36</v>
      </c>
      <c r="H14" s="47">
        <v>924.7</v>
      </c>
    </row>
    <row r="15" spans="1:8" x14ac:dyDescent="0.25">
      <c r="A15" t="s">
        <v>9</v>
      </c>
      <c r="H15" s="47">
        <v>933.7</v>
      </c>
    </row>
    <row r="16" spans="1:8" x14ac:dyDescent="0.25">
      <c r="A16" t="s">
        <v>54</v>
      </c>
      <c r="H16" s="47">
        <v>927.9</v>
      </c>
    </row>
    <row r="17" spans="1:8" x14ac:dyDescent="0.25">
      <c r="A17" t="s">
        <v>10</v>
      </c>
      <c r="H17" s="46">
        <v>330</v>
      </c>
    </row>
    <row r="18" spans="1:8" x14ac:dyDescent="0.25">
      <c r="A18" t="s">
        <v>37</v>
      </c>
      <c r="H18" s="46">
        <v>61.8</v>
      </c>
    </row>
    <row r="19" spans="1:8" x14ac:dyDescent="0.25">
      <c r="A19" t="s">
        <v>38</v>
      </c>
      <c r="H19" s="9">
        <f>2*H18</f>
        <v>123.6</v>
      </c>
    </row>
    <row r="20" spans="1:8" x14ac:dyDescent="0.25">
      <c r="A20" t="s">
        <v>49</v>
      </c>
      <c r="H20" s="46">
        <v>923.4</v>
      </c>
    </row>
    <row r="22" spans="1:8" ht="16.5" thickBot="1" x14ac:dyDescent="0.3">
      <c r="A22" s="6" t="s">
        <v>51</v>
      </c>
      <c r="B22" s="5"/>
      <c r="C22" s="5"/>
      <c r="D22" s="5"/>
      <c r="E22" s="5"/>
      <c r="F22" s="5"/>
      <c r="G22" s="5"/>
      <c r="H22" s="11"/>
    </row>
    <row r="23" spans="1:8" x14ac:dyDescent="0.25">
      <c r="H23" s="10"/>
    </row>
    <row r="24" spans="1:8" x14ac:dyDescent="0.25">
      <c r="A24" s="53" t="s">
        <v>59</v>
      </c>
      <c r="H24" s="48" t="s">
        <v>68</v>
      </c>
    </row>
    <row r="25" spans="1:8" x14ac:dyDescent="0.25">
      <c r="A25" s="53" t="s">
        <v>60</v>
      </c>
      <c r="H25" s="50"/>
    </row>
    <row r="26" spans="1:8" x14ac:dyDescent="0.25">
      <c r="A26" s="53" t="s">
        <v>61</v>
      </c>
      <c r="H26" s="47">
        <v>924.7</v>
      </c>
    </row>
    <row r="27" spans="1:8" x14ac:dyDescent="0.25">
      <c r="A27" s="51"/>
    </row>
    <row r="28" spans="1:8" x14ac:dyDescent="0.25">
      <c r="A28" t="s">
        <v>55</v>
      </c>
    </row>
    <row r="29" spans="1:8" x14ac:dyDescent="0.25">
      <c r="A29" t="s">
        <v>11</v>
      </c>
      <c r="H29" s="46" t="s">
        <v>63</v>
      </c>
    </row>
    <row r="30" spans="1:8" ht="15.75" x14ac:dyDescent="0.25">
      <c r="A30" s="8" t="str">
        <f>IF(H29="No", "!Visit site and verify OHWM elevation. If OHWM is different restart analysis!","End Analysis: Proceed  to TAF Stability section and Summary.")</f>
        <v>End Analysis: Proceed  to TAF Stability section and Summary.</v>
      </c>
    </row>
    <row r="31" spans="1:8" x14ac:dyDescent="0.25">
      <c r="A31" t="s">
        <v>56</v>
      </c>
      <c r="H31" s="46" t="s">
        <v>63</v>
      </c>
    </row>
    <row r="32" spans="1:8" ht="15.75" x14ac:dyDescent="0.25">
      <c r="A32" s="8" t="str">
        <f>IF(H31="No", "Proceed to Tier 2 or 3 TAF Analysis.", "")</f>
        <v/>
      </c>
    </row>
    <row r="33" spans="1:8" ht="15.75" x14ac:dyDescent="0.25">
      <c r="A33" s="8"/>
    </row>
    <row r="34" spans="1:8" ht="16.5" thickBot="1" x14ac:dyDescent="0.3">
      <c r="A34" s="6" t="s">
        <v>41</v>
      </c>
      <c r="B34" s="44"/>
      <c r="C34" s="5"/>
      <c r="D34" s="45" t="str">
        <f>IF(H31="No","Complete the following section."," Do not complete this section, analysis complete.")</f>
        <v xml:space="preserve"> Do not complete this section, analysis complete.</v>
      </c>
      <c r="E34" s="5"/>
      <c r="F34" s="5"/>
      <c r="G34" s="5"/>
      <c r="H34" s="11"/>
    </row>
    <row r="35" spans="1:8" x14ac:dyDescent="0.25">
      <c r="A35" t="s">
        <v>48</v>
      </c>
      <c r="H35" s="46"/>
    </row>
    <row r="36" spans="1:8" x14ac:dyDescent="0.25">
      <c r="A36" t="s">
        <v>57</v>
      </c>
      <c r="H36" s="9">
        <f>H35+1</f>
        <v>1</v>
      </c>
    </row>
    <row r="37" spans="1:8" x14ac:dyDescent="0.25">
      <c r="A37" t="s">
        <v>39</v>
      </c>
      <c r="H37" s="46"/>
    </row>
    <row r="38" spans="1:8" ht="15.75" x14ac:dyDescent="0.25">
      <c r="A38" s="12" t="s">
        <v>40</v>
      </c>
      <c r="H38" s="9">
        <f>H36-H37</f>
        <v>1</v>
      </c>
    </row>
    <row r="39" spans="1:8" ht="15.75" x14ac:dyDescent="0.25">
      <c r="A39" s="8" t="str">
        <f>IF(H38&gt;0.49, "TAF Design acceptable (greater than 0.5-feet)", "Modify TAF height (calculated backwater + 1') and recalculate")</f>
        <v>TAF Design acceptable (greater than 0.5-feet)</v>
      </c>
    </row>
    <row r="40" spans="1:8" x14ac:dyDescent="0.25">
      <c r="A40" t="s">
        <v>52</v>
      </c>
      <c r="H40" s="46"/>
    </row>
    <row r="41" spans="1:8" ht="15.75" x14ac:dyDescent="0.25">
      <c r="A41" s="8" t="str">
        <f>IF(H40="Yes", "TAF Design Complete", "Proceed to Tier 3 TAF Design")</f>
        <v>Proceed to Tier 3 TAF Design</v>
      </c>
    </row>
    <row r="42" spans="1:8" x14ac:dyDescent="0.25">
      <c r="A42" t="s">
        <v>47</v>
      </c>
      <c r="H42" s="43">
        <f>H36</f>
        <v>1</v>
      </c>
    </row>
    <row r="43" spans="1:8" ht="25.15" customHeight="1" x14ac:dyDescent="0.25"/>
    <row r="45" spans="1:8" ht="16.5" thickBot="1" x14ac:dyDescent="0.3">
      <c r="A45" s="6" t="s">
        <v>42</v>
      </c>
      <c r="B45" s="44"/>
      <c r="C45" s="5"/>
      <c r="D45" s="45" t="s">
        <v>43</v>
      </c>
      <c r="E45" s="5"/>
      <c r="F45" s="5"/>
      <c r="G45" s="5"/>
      <c r="H45" s="11"/>
    </row>
    <row r="46" spans="1:8" x14ac:dyDescent="0.25">
      <c r="A46" t="s">
        <v>44</v>
      </c>
      <c r="H46" s="46"/>
    </row>
    <row r="47" spans="1:8" x14ac:dyDescent="0.25">
      <c r="A47" t="s">
        <v>45</v>
      </c>
      <c r="H47" s="46"/>
    </row>
    <row r="48" spans="1:8" x14ac:dyDescent="0.25">
      <c r="A48" t="s">
        <v>46</v>
      </c>
      <c r="H48" s="46"/>
    </row>
    <row r="49" spans="1:8" ht="15.75" x14ac:dyDescent="0.25">
      <c r="A49" s="12" t="s">
        <v>53</v>
      </c>
      <c r="H49" s="47"/>
    </row>
    <row r="50" spans="1:8" ht="15.75" x14ac:dyDescent="0.25">
      <c r="A50" s="2" t="str">
        <f>IF(AND(A38="",H29="No"),IF(H42&gt;H16,"Set TAF Elevation to 2-year or Stream bank WSE- Use Special Provisions 2","Set TAF  Elevation and WSE Limit in Project Plans- Use Special Provisions 2"),"")</f>
        <v/>
      </c>
    </row>
    <row r="52" spans="1:8" ht="16.5" thickBot="1" x14ac:dyDescent="0.3">
      <c r="A52" s="6" t="s">
        <v>50</v>
      </c>
      <c r="B52" s="5"/>
      <c r="C52" s="5"/>
      <c r="D52" s="5"/>
      <c r="E52" s="5"/>
      <c r="F52" s="5"/>
      <c r="G52" s="5"/>
      <c r="H52" s="11"/>
    </row>
    <row r="53" spans="1:8" x14ac:dyDescent="0.25">
      <c r="A53" s="7" t="s">
        <v>13</v>
      </c>
    </row>
    <row r="54" spans="1:8" x14ac:dyDescent="0.25">
      <c r="A54" s="7" t="s">
        <v>14</v>
      </c>
    </row>
    <row r="55" spans="1:8" x14ac:dyDescent="0.25">
      <c r="A55" t="s">
        <v>58</v>
      </c>
      <c r="H55" s="48">
        <v>3.63</v>
      </c>
    </row>
    <row r="56" spans="1:8" x14ac:dyDescent="0.25">
      <c r="A56" t="s">
        <v>15</v>
      </c>
      <c r="H56" s="13" t="str">
        <f>IF(ISBLANK(H55),"",IF(AND(A55="Maximum Shear Across TAF (lb/sq. ft.)",H55&lt;=2.5), "ODOT Type D (n=0.035)",IF(AND(A55="Maximum Shear Across TAF (lb/sq. ft.)",H55&lt;=5.1),"ODOT Type C (n=0.040)",IF(AND(A55="Maximum Shear Across TAF (lb/sq. ft.)",H55&lt;=7.6),"ODOT Type B (n=0.042)",IF(AND(A55="Maximum Shear Across TAF (lb/sq. ft.)",H55&lt;=10.1),"ODOT Type A (n=0.044)",IF(AND(A55="Maximum Shear Across TAF (lb/sq. ft.)",H55&gt;10.1),"Special Case",IF(H55&lt;=6.1, "ODOT Type D (n=0.035)", IF(H55&lt;=8.3, "ODOT Type C (n=0.040)", IF(H55&lt;=10.4, "ODOT Type B (n=0.042)", IF(H55&lt;=12.6, "ODOT Type A (n=0.044)","Special Case"))))))))))</f>
        <v>ODOT Type D (n=0.035)</v>
      </c>
    </row>
    <row r="58" spans="1:8" x14ac:dyDescent="0.25">
      <c r="A58" s="37"/>
    </row>
    <row r="59" spans="1:8" ht="19.5" thickBot="1" x14ac:dyDescent="0.35">
      <c r="A59" s="3" t="s">
        <v>16</v>
      </c>
      <c r="B59" s="4"/>
      <c r="C59" s="4"/>
      <c r="D59" s="4"/>
      <c r="E59" s="4"/>
      <c r="F59" s="4"/>
      <c r="G59" s="4"/>
      <c r="H59" s="4"/>
    </row>
    <row r="60" spans="1:8" ht="15.75" thickTop="1" x14ac:dyDescent="0.25"/>
    <row r="61" spans="1:8" x14ac:dyDescent="0.25">
      <c r="A61" t="s">
        <v>17</v>
      </c>
      <c r="H61" s="13" t="str">
        <f>IF(H10="Yes","Stream Stats","Calculated")</f>
        <v>Stream Stats</v>
      </c>
    </row>
    <row r="62" spans="1:8" x14ac:dyDescent="0.25">
      <c r="A62" t="s">
        <v>18</v>
      </c>
      <c r="H62" s="13" t="str">
        <f>IF(ISBLANK(H12),"",IF(H12="Yes","Yes","No"))</f>
        <v>No</v>
      </c>
    </row>
    <row r="63" spans="1:8" x14ac:dyDescent="0.25">
      <c r="A63" t="s">
        <v>12</v>
      </c>
      <c r="H63" s="13">
        <f>IF(OR(H29="Yes",H36="Yes"),H14+1,H42)</f>
        <v>925.7</v>
      </c>
    </row>
    <row r="64" spans="1:8" ht="15.75" x14ac:dyDescent="0.25">
      <c r="A64" s="52" t="s">
        <v>62</v>
      </c>
      <c r="H64" s="49" t="str">
        <f>IF(H24="Full Channel","N/A",H25)</f>
        <v>N/A</v>
      </c>
    </row>
    <row r="65" spans="1:8" ht="15.75" x14ac:dyDescent="0.25">
      <c r="A65" s="12" t="s">
        <v>19</v>
      </c>
      <c r="H65" s="13" t="str">
        <f>H56</f>
        <v>ODOT Type D (n=0.035)</v>
      </c>
    </row>
    <row r="66" spans="1:8" ht="15.75" x14ac:dyDescent="0.25">
      <c r="A66" s="12" t="s">
        <v>20</v>
      </c>
      <c r="B66" s="12"/>
      <c r="C66" s="12"/>
      <c r="D66" s="12"/>
      <c r="E66" s="12"/>
      <c r="F66" s="12"/>
      <c r="G66" s="12"/>
      <c r="H66" s="13" t="str">
        <f>IF(AND(H12="Yes",H13&gt;100),"2D Hydraulic Model","1D Hydraulic Model")</f>
        <v>1D Hydraulic Model</v>
      </c>
    </row>
    <row r="67" spans="1:8" ht="15.75" x14ac:dyDescent="0.25">
      <c r="A67" s="12"/>
      <c r="B67" s="12"/>
      <c r="C67" s="12"/>
      <c r="D67" s="12"/>
      <c r="E67" s="12"/>
      <c r="F67" s="12"/>
      <c r="G67" s="12"/>
      <c r="H67" s="12"/>
    </row>
    <row r="68" spans="1:8" ht="15.75" x14ac:dyDescent="0.25">
      <c r="A68" s="12"/>
      <c r="B68" s="12"/>
      <c r="C68" s="12"/>
      <c r="D68" s="12"/>
      <c r="E68" s="12"/>
      <c r="F68" s="12"/>
      <c r="G68" s="12"/>
      <c r="H68" s="12"/>
    </row>
    <row r="69" spans="1:8" ht="15.75" x14ac:dyDescent="0.25">
      <c r="A69" s="54"/>
      <c r="B69" s="55"/>
      <c r="C69" s="55"/>
      <c r="D69" s="55"/>
      <c r="E69" s="12"/>
      <c r="F69" s="12"/>
      <c r="G69" s="12"/>
      <c r="H69" s="12"/>
    </row>
    <row r="70" spans="1:8" ht="15.75" x14ac:dyDescent="0.25">
      <c r="A70" s="12"/>
      <c r="B70" s="12"/>
      <c r="C70" s="12"/>
      <c r="D70" s="12"/>
      <c r="E70" s="12"/>
      <c r="F70" s="12"/>
      <c r="G70" s="12"/>
      <c r="H70" s="12"/>
    </row>
  </sheetData>
  <mergeCells count="9">
    <mergeCell ref="A69:D69"/>
    <mergeCell ref="B1:D1"/>
    <mergeCell ref="G1:H1"/>
    <mergeCell ref="C2:D2"/>
    <mergeCell ref="C3:D3"/>
    <mergeCell ref="G3:H3"/>
    <mergeCell ref="B4:H4"/>
    <mergeCell ref="B5:H5"/>
    <mergeCell ref="G2:H2"/>
  </mergeCells>
  <conditionalFormatting sqref="A11">
    <cfRule type="containsText" dxfId="7" priority="9" operator="containsText" text="Calculate ">
      <formula>NOT(ISERROR(SEARCH("Calculate ",A11)))</formula>
    </cfRule>
  </conditionalFormatting>
  <conditionalFormatting sqref="A30">
    <cfRule type="containsText" dxfId="6" priority="6" operator="containsText" text="End">
      <formula>NOT(ISERROR(SEARCH("End",A30)))</formula>
    </cfRule>
    <cfRule type="containsText" dxfId="5" priority="7" operator="containsText" text="Provisions">
      <formula>NOT(ISERROR(SEARCH("Provisions",A30)))</formula>
    </cfRule>
  </conditionalFormatting>
  <conditionalFormatting sqref="A38">
    <cfRule type="containsText" dxfId="4" priority="5" operator="containsText" text="Summary">
      <formula>NOT(ISERROR(SEARCH("Summary",A38)))</formula>
    </cfRule>
  </conditionalFormatting>
  <conditionalFormatting sqref="A49">
    <cfRule type="containsText" dxfId="3" priority="1" operator="containsText" text="Summary">
      <formula>NOT(ISERROR(SEARCH("Summary",A49)))</formula>
    </cfRule>
  </conditionalFormatting>
  <conditionalFormatting sqref="A50">
    <cfRule type="containsText" dxfId="2" priority="4" operator="containsText" text="TAF">
      <formula>NOT(ISERROR(SEARCH("TAF",A50)))</formula>
    </cfRule>
  </conditionalFormatting>
  <conditionalFormatting sqref="A50:H50">
    <cfRule type="expression" dxfId="1" priority="3">
      <formula>IF($A$50="","","")</formula>
    </cfRule>
  </conditionalFormatting>
  <conditionalFormatting sqref="C30:H30">
    <cfRule type="containsText" dxfId="0" priority="8" operator="containsText" text="Visit">
      <formula>NOT(ISERROR(SEARCH("Visit",C30)))</formula>
    </cfRule>
  </conditionalFormatting>
  <dataValidations count="3">
    <dataValidation type="list" allowBlank="1" showInputMessage="1" showErrorMessage="1" sqref="H24" xr:uid="{606C1F20-8308-4C34-892A-4322441CCBFC}">
      <formula1>"Full Channel, Partial"</formula1>
    </dataValidation>
    <dataValidation type="list" allowBlank="1" showInputMessage="1" showErrorMessage="1" sqref="H12 H10 H29 H40 H48:H49" xr:uid="{F69DBA24-E831-4677-A5B1-87A3A700ED5C}">
      <formula1>"Yes, No"</formula1>
    </dataValidation>
    <dataValidation type="list" allowBlank="1" showInputMessage="1" showErrorMessage="1" sqref="H31" xr:uid="{F026EBF2-0C27-4BB3-A473-5A509B075DAD}">
      <formula1>"Yes, No, N/A"</formula1>
    </dataValidation>
  </dataValidations>
  <pageMargins left="0.7" right="0.7" top="0.75" bottom="0.75" header="0.3" footer="0.3"/>
  <pageSetup orientation="portrait" r:id="rId1"/>
  <headerFooter>
    <oddHeader>&amp;L&amp;G&amp;C&amp;"-,Bold"&amp;16 &amp;UTAF DESIGN WORKSHEET&amp;RJanuary 19, 2024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F78AD-5221-459A-BE5A-028595565630}">
  <dimension ref="A2:G24"/>
  <sheetViews>
    <sheetView view="pageBreakPreview" zoomScaleNormal="100" zoomScaleSheetLayoutView="100" workbookViewId="0">
      <selection activeCell="E7" sqref="E7"/>
    </sheetView>
  </sheetViews>
  <sheetFormatPr defaultColWidth="8.85546875" defaultRowHeight="15" x14ac:dyDescent="0.25"/>
  <cols>
    <col min="1" max="1" width="7" customWidth="1"/>
    <col min="2" max="2" width="8.85546875" customWidth="1"/>
    <col min="3" max="3" width="16.42578125" customWidth="1"/>
    <col min="4" max="4" width="20.7109375" customWidth="1"/>
    <col min="5" max="5" width="24.140625" customWidth="1"/>
    <col min="6" max="6" width="10.140625" customWidth="1"/>
  </cols>
  <sheetData>
    <row r="2" spans="2:6" ht="15.75" thickBot="1" x14ac:dyDescent="0.3">
      <c r="B2" s="64" t="s">
        <v>31</v>
      </c>
      <c r="C2" s="64"/>
      <c r="D2" s="64"/>
    </row>
    <row r="3" spans="2:6" ht="30" x14ac:dyDescent="0.25">
      <c r="B3" s="32" t="s">
        <v>21</v>
      </c>
      <c r="C3" s="17" t="s">
        <v>22</v>
      </c>
      <c r="D3" s="18" t="s">
        <v>32</v>
      </c>
      <c r="E3" s="40"/>
    </row>
    <row r="4" spans="2:6" ht="15.75" thickBot="1" x14ac:dyDescent="0.3">
      <c r="B4" s="33" t="s">
        <v>23</v>
      </c>
      <c r="C4" s="34" t="s">
        <v>24</v>
      </c>
      <c r="D4" s="35" t="s">
        <v>25</v>
      </c>
    </row>
    <row r="5" spans="2:6" x14ac:dyDescent="0.25">
      <c r="B5" s="23">
        <v>6</v>
      </c>
      <c r="C5" s="15">
        <v>2</v>
      </c>
      <c r="D5" s="19">
        <v>6.1</v>
      </c>
    </row>
    <row r="6" spans="2:6" x14ac:dyDescent="0.25">
      <c r="B6" s="23">
        <v>12</v>
      </c>
      <c r="C6" s="15">
        <v>4</v>
      </c>
      <c r="D6" s="19">
        <v>8.3000000000000007</v>
      </c>
    </row>
    <row r="7" spans="2:6" x14ac:dyDescent="0.25">
      <c r="B7" s="23">
        <v>18</v>
      </c>
      <c r="C7" s="15">
        <v>6</v>
      </c>
      <c r="D7" s="19">
        <v>10.4</v>
      </c>
    </row>
    <row r="8" spans="2:6" ht="15.75" thickBot="1" x14ac:dyDescent="0.3">
      <c r="B8" s="24">
        <v>24</v>
      </c>
      <c r="C8" s="20">
        <v>8</v>
      </c>
      <c r="D8" s="21">
        <v>12.6</v>
      </c>
    </row>
    <row r="9" spans="2:6" x14ac:dyDescent="0.25">
      <c r="B9" s="15"/>
      <c r="C9" s="15"/>
      <c r="D9" s="16"/>
      <c r="E9" s="15"/>
    </row>
    <row r="10" spans="2:6" ht="15.75" thickBot="1" x14ac:dyDescent="0.3">
      <c r="B10" s="39"/>
      <c r="C10" s="15"/>
      <c r="D10" s="16"/>
      <c r="E10" s="15"/>
    </row>
    <row r="11" spans="2:6" ht="15.75" thickBot="1" x14ac:dyDescent="0.3">
      <c r="B11" s="61"/>
      <c r="C11" s="62"/>
      <c r="D11" s="22"/>
      <c r="E11" s="30"/>
    </row>
    <row r="12" spans="2:6" ht="15.75" thickBot="1" x14ac:dyDescent="0.3">
      <c r="B12" s="25"/>
      <c r="C12" s="29"/>
      <c r="D12" s="9"/>
      <c r="E12" s="31"/>
    </row>
    <row r="13" spans="2:6" ht="16.5" thickBot="1" x14ac:dyDescent="0.3">
      <c r="B13" s="28"/>
      <c r="C13" s="26"/>
      <c r="D13" s="26"/>
      <c r="E13" s="27"/>
    </row>
    <row r="14" spans="2:6" x14ac:dyDescent="0.25">
      <c r="B14" s="7"/>
    </row>
    <row r="15" spans="2:6" x14ac:dyDescent="0.25">
      <c r="B15" s="7"/>
    </row>
    <row r="16" spans="2:6" x14ac:dyDescent="0.25">
      <c r="B16" s="38"/>
      <c r="C16" s="41"/>
      <c r="D16" s="42"/>
      <c r="E16" s="41"/>
      <c r="F16" s="38"/>
    </row>
    <row r="17" spans="1:7" x14ac:dyDescent="0.25">
      <c r="A17" s="36"/>
      <c r="B17" s="38"/>
      <c r="C17" s="41"/>
      <c r="D17" s="42"/>
      <c r="E17" s="41"/>
      <c r="F17" s="38"/>
    </row>
    <row r="18" spans="1:7" x14ac:dyDescent="0.25">
      <c r="A18" s="36"/>
      <c r="B18" s="63" t="s">
        <v>26</v>
      </c>
      <c r="C18" s="63"/>
      <c r="D18" s="38" t="s">
        <v>27</v>
      </c>
      <c r="E18" s="38" t="s">
        <v>28</v>
      </c>
      <c r="F18" s="38"/>
      <c r="G18" s="38"/>
    </row>
    <row r="19" spans="1:7" x14ac:dyDescent="0.25">
      <c r="A19" s="36"/>
      <c r="B19" s="38" t="s">
        <v>29</v>
      </c>
      <c r="C19" s="38"/>
      <c r="D19" s="38">
        <f>IF(B12="Shear Stress (lb/ sq ft)",'TAF Design Tool '!#REF!,0)</f>
        <v>0</v>
      </c>
      <c r="E19" s="38">
        <f>IFERROR(IF(D19=0,0,IF('TAF Design Tool '!#REF!&lt;2,6,3*D19)),"")</f>
        <v>0</v>
      </c>
      <c r="F19" s="38"/>
      <c r="G19" s="38"/>
    </row>
    <row r="20" spans="1:7" x14ac:dyDescent="0.25">
      <c r="A20" s="36"/>
      <c r="B20" s="38" t="s">
        <v>30</v>
      </c>
      <c r="C20" s="38"/>
      <c r="D20" s="38" t="e">
        <f>IF(B12="Shear Stress (lb/ sq ft)",0,'TAF Design Tool '!#REF!)</f>
        <v>#REF!</v>
      </c>
      <c r="E20" s="38" t="str">
        <f>IFERROR(IF(D20=0,0,IF('TAF Design Tool '!#REF!&lt;=6,6,2.7775*D20-10.97)),"")</f>
        <v/>
      </c>
      <c r="F20" s="38"/>
      <c r="G20" s="38"/>
    </row>
    <row r="21" spans="1:7" x14ac:dyDescent="0.25">
      <c r="A21" s="36"/>
      <c r="B21" s="38"/>
      <c r="C21" s="38"/>
      <c r="D21" s="38"/>
      <c r="E21" s="38"/>
      <c r="F21" s="38"/>
      <c r="G21" s="38"/>
    </row>
    <row r="22" spans="1:7" x14ac:dyDescent="0.25">
      <c r="A22" s="36"/>
      <c r="B22" s="38"/>
      <c r="C22" s="38"/>
      <c r="D22" s="38"/>
      <c r="E22" s="38"/>
      <c r="F22" s="38"/>
      <c r="G22" s="38"/>
    </row>
    <row r="23" spans="1:7" x14ac:dyDescent="0.25">
      <c r="A23" s="36"/>
      <c r="B23" s="38"/>
      <c r="C23" s="38"/>
      <c r="D23" s="38"/>
      <c r="E23" s="38"/>
      <c r="F23" s="38"/>
      <c r="G23" s="38"/>
    </row>
    <row r="24" spans="1:7" x14ac:dyDescent="0.25">
      <c r="A24" s="36"/>
      <c r="B24" s="36"/>
      <c r="C24" s="36"/>
      <c r="D24" s="36"/>
      <c r="E24" s="36"/>
      <c r="F24" s="38"/>
    </row>
  </sheetData>
  <sheetProtection selectLockedCells="1" selectUnlockedCells="1"/>
  <mergeCells count="3">
    <mergeCell ref="B11:C11"/>
    <mergeCell ref="B18:C18"/>
    <mergeCell ref="B2:D2"/>
  </mergeCells>
  <pageMargins left="0.7" right="0.7" top="0.75" bottom="0.75" header="0.3" footer="0.3"/>
  <pageSetup scale="94" orientation="portrait" horizontalDpi="2400" verticalDpi="2400" r:id="rId1"/>
  <headerFooter>
    <oddFooter>1</oddFooter>
  </headerFooter>
  <rowBreaks count="1" manualBreakCount="1">
    <brk id="42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C7FD30D148214EA796C076F0A3F32A" ma:contentTypeVersion="13" ma:contentTypeDescription="Create a new document." ma:contentTypeScope="" ma:versionID="c4888578de89989819dee75782a2048c">
  <xsd:schema xmlns:xsd="http://www.w3.org/2001/XMLSchema" xmlns:xs="http://www.w3.org/2001/XMLSchema" xmlns:p="http://schemas.microsoft.com/office/2006/metadata/properties" xmlns:ns2="7c34e11d-7971-4363-a863-51499e84b5e9" xmlns:ns3="9fcbd9a0-8e27-4a6c-adcb-34cda3675df7" targetNamespace="http://schemas.microsoft.com/office/2006/metadata/properties" ma:root="true" ma:fieldsID="1fac9c3afab99fb1d9ec6788678e2e97" ns2:_="" ns3:_="">
    <xsd:import namespace="7c34e11d-7971-4363-a863-51499e84b5e9"/>
    <xsd:import namespace="9fcbd9a0-8e27-4a6c-adcb-34cda3675df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34e11d-7971-4363-a863-51499e84b5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cbd9a0-8e27-4a6c-adcb-34cda3675d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78A2AB-6BF2-4C29-BD19-0D2F4DF076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303750-38FE-41B2-A716-D08452768463}">
  <ds:schemaRefs>
    <ds:schemaRef ds:uri="http://purl.org/dc/elements/1.1/"/>
    <ds:schemaRef ds:uri="http://schemas.microsoft.com/office/2006/metadata/properties"/>
    <ds:schemaRef ds:uri="http://purl.org/dc/terms/"/>
    <ds:schemaRef ds:uri="7c34e11d-7971-4363-a863-51499e84b5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9fcbd9a0-8e27-4a6c-adcb-34cda3675df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5E42DEE-AE85-4FBF-8B28-9DDAD8B889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34e11d-7971-4363-a863-51499e84b5e9"/>
    <ds:schemaRef ds:uri="9fcbd9a0-8e27-4a6c-adcb-34cda3675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TAF Design Tool </vt:lpstr>
      <vt:lpstr> Nomograph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Rothwell</dc:creator>
  <cp:keywords/>
  <dc:description/>
  <cp:lastModifiedBy>Clark, Michael</cp:lastModifiedBy>
  <cp:revision/>
  <cp:lastPrinted>2024-12-23T20:52:30Z</cp:lastPrinted>
  <dcterms:created xsi:type="dcterms:W3CDTF">2022-03-09T18:29:31Z</dcterms:created>
  <dcterms:modified xsi:type="dcterms:W3CDTF">2024-12-23T20:58:03Z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0x01010023C7FD30D148214EA796C076F0A3F32A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