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5C4E3A71-DEF8-4D28-B3B6-BF937E234DCC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Original" sheetId="1" r:id="rId1"/>
    <sheet name="Revised" sheetId="4" r:id="rId2"/>
    <sheet name="Sheet2" sheetId="2" r:id="rId3"/>
    <sheet name="Sheet3" sheetId="3" r:id="rId4"/>
  </sheets>
  <definedNames>
    <definedName name="_xlnm.Print_Area" localSheetId="0">Original!$A$1:$I$66</definedName>
    <definedName name="_xlnm.Print_Area" localSheetId="1">Revised!$A$1:$I$65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1" l="1"/>
  <c r="A49" i="4" l="1"/>
  <c r="V47" i="4"/>
  <c r="T47" i="4"/>
  <c r="X47" i="4" s="1"/>
  <c r="T48" i="4" s="1"/>
  <c r="M47" i="4"/>
  <c r="B43" i="4"/>
  <c r="K47" i="4" s="1"/>
  <c r="B40" i="4"/>
  <c r="U33" i="4"/>
  <c r="S33" i="4"/>
  <c r="B33" i="4" s="1"/>
  <c r="N29" i="4"/>
  <c r="R29" i="4" s="1"/>
  <c r="H28" i="4"/>
  <c r="L30" i="4" s="1"/>
  <c r="M27" i="4"/>
  <c r="N20" i="4"/>
  <c r="P15" i="4"/>
  <c r="R17" i="4" s="1"/>
  <c r="P14" i="4"/>
  <c r="C14" i="4" s="1"/>
  <c r="P13" i="4"/>
  <c r="C13" i="4" s="1"/>
  <c r="P12" i="4"/>
  <c r="C12" i="4" s="1"/>
  <c r="I5" i="4"/>
  <c r="N17" i="4" l="1"/>
  <c r="C15" i="4"/>
  <c r="Y48" i="4"/>
  <c r="V48" i="4"/>
  <c r="F48" i="4" s="1"/>
  <c r="N30" i="4"/>
  <c r="E29" i="4" s="1"/>
  <c r="H29" i="4"/>
  <c r="L17" i="4"/>
  <c r="F47" i="4"/>
  <c r="P17" i="4"/>
  <c r="L34" i="4"/>
  <c r="F37" i="4" s="1"/>
  <c r="O47" i="4"/>
  <c r="K48" i="4" s="1"/>
  <c r="A50" i="1"/>
  <c r="B47" i="4" l="1"/>
  <c r="T17" i="4"/>
  <c r="P20" i="4" s="1"/>
  <c r="B34" i="4"/>
  <c r="P48" i="4"/>
  <c r="M48" i="4"/>
  <c r="N29" i="1"/>
  <c r="C17" i="4" l="1"/>
  <c r="B48" i="4"/>
  <c r="R20" i="4"/>
  <c r="M23" i="4" s="1"/>
  <c r="B44" i="1"/>
  <c r="Q23" i="4" l="1"/>
  <c r="C23" i="4" s="1"/>
  <c r="C20" i="4"/>
  <c r="T48" i="1"/>
  <c r="K48" i="1"/>
  <c r="V48" i="1"/>
  <c r="M48" i="1"/>
  <c r="B41" i="1"/>
  <c r="U34" i="1"/>
  <c r="S34" i="1"/>
  <c r="M27" i="1"/>
  <c r="N20" i="1"/>
  <c r="P15" i="1"/>
  <c r="R17" i="1" s="1"/>
  <c r="P14" i="1"/>
  <c r="P17" i="1" s="1"/>
  <c r="P13" i="1"/>
  <c r="N17" i="1" s="1"/>
  <c r="P12" i="1"/>
  <c r="L17" i="1" s="1"/>
  <c r="I5" i="1"/>
  <c r="L31" i="4" l="1"/>
  <c r="C31" i="4" s="1"/>
  <c r="H37" i="4" s="1"/>
  <c r="E28" i="4"/>
  <c r="O48" i="1"/>
  <c r="B48" i="1" s="1"/>
  <c r="X48" i="1"/>
  <c r="B34" i="1"/>
  <c r="L35" i="1"/>
  <c r="L30" i="1"/>
  <c r="T49" i="1"/>
  <c r="T17" i="1"/>
  <c r="C17" i="1" s="1"/>
  <c r="R29" i="1"/>
  <c r="C12" i="1"/>
  <c r="C13" i="1"/>
  <c r="C14" i="1"/>
  <c r="C15" i="1"/>
  <c r="B35" i="1" l="1"/>
  <c r="F38" i="1"/>
  <c r="K49" i="1"/>
  <c r="M49" i="1" s="1"/>
  <c r="V49" i="1"/>
  <c r="Y49" i="1"/>
  <c r="F48" i="1"/>
  <c r="P20" i="1"/>
  <c r="R20" i="1" s="1"/>
  <c r="M23" i="1" s="1"/>
  <c r="N30" i="1"/>
  <c r="E29" i="1" s="1"/>
  <c r="H29" i="1"/>
  <c r="P49" i="1" l="1"/>
  <c r="B49" i="1" s="1"/>
  <c r="F49" i="1"/>
  <c r="C20" i="1"/>
  <c r="Q23" i="1"/>
  <c r="E28" i="1" l="1"/>
  <c r="L31" i="1"/>
  <c r="C31" i="1" s="1"/>
  <c r="C23" i="1"/>
</calcChain>
</file>

<file path=xl/sharedStrings.xml><?xml version="1.0" encoding="utf-8"?>
<sst xmlns="http://schemas.openxmlformats.org/spreadsheetml/2006/main" count="254" uniqueCount="82">
  <si>
    <t>Made By:</t>
  </si>
  <si>
    <t>Date:</t>
  </si>
  <si>
    <t>Chk'd By:</t>
  </si>
  <si>
    <t>Structure:</t>
  </si>
  <si>
    <t>PID:</t>
  </si>
  <si>
    <t>Design Code: AASHTO LFD</t>
  </si>
  <si>
    <t xml:space="preserve"> of </t>
  </si>
  <si>
    <t xml:space="preserve">Sht </t>
  </si>
  <si>
    <t>BDM 301.4.3 (A)</t>
  </si>
  <si>
    <t>Requires the connection between the super and sub structures to resist a Horizontal Seismic Force  equal to 0.2 x Dead Load Reaction.</t>
  </si>
  <si>
    <t>Total Superstructure Dead Load (DL)</t>
  </si>
  <si>
    <t xml:space="preserve">R.Abut. Brg Design DL = </t>
  </si>
  <si>
    <t xml:space="preserve">R.Pier Brg Design DL = </t>
  </si>
  <si>
    <t xml:space="preserve">F.Pier Brg Design DL = </t>
  </si>
  <si>
    <t xml:space="preserve">F.Abut. Brg Design DL = </t>
  </si>
  <si>
    <t xml:space="preserve"> x </t>
  </si>
  <si>
    <t xml:space="preserve"> beams = </t>
  </si>
  <si>
    <t xml:space="preserve"> k</t>
  </si>
  <si>
    <t xml:space="preserve"> kip/brg x </t>
  </si>
  <si>
    <t xml:space="preserve">Total DL = </t>
  </si>
  <si>
    <t xml:space="preserve"> + </t>
  </si>
  <si>
    <t xml:space="preserve"> = </t>
  </si>
  <si>
    <t xml:space="preserve"> k </t>
  </si>
  <si>
    <t>Horizontal Seismic Force (HSF)</t>
  </si>
  <si>
    <t xml:space="preserve">HSF = </t>
  </si>
  <si>
    <t xml:space="preserve"> k = </t>
  </si>
  <si>
    <t xml:space="preserve"> x Total DL = </t>
  </si>
  <si>
    <t xml:space="preserve">HSF / 2 Abuments = </t>
  </si>
  <si>
    <t xml:space="preserve"> k / </t>
  </si>
  <si>
    <t>Shear reinforcing in the wingwalls will develop strength per AASHTO 8.15.5.4 (Shear Friction)</t>
  </si>
  <si>
    <t xml:space="preserve">Avf = </t>
  </si>
  <si>
    <t>V</t>
  </si>
  <si>
    <t>Fs x u</t>
  </si>
  <si>
    <t>Ohio DOT, D-11</t>
  </si>
  <si>
    <t>Seismic Design Calcs Ver. 2013.08.28</t>
  </si>
  <si>
    <t>Assume, HSF is equally resisted by each abutment, therefore calculate the Horizontal Design Force (V)</t>
  </si>
  <si>
    <t xml:space="preserve">V = </t>
  </si>
  <si>
    <t xml:space="preserve">Fs = </t>
  </si>
  <si>
    <t xml:space="preserve">u = </t>
  </si>
  <si>
    <t>&lt; - Reinforcing Steel Grades</t>
  </si>
  <si>
    <t>ksi</t>
  </si>
  <si>
    <t>Where:</t>
  </si>
  <si>
    <t>Reinforcing Steel Grade:</t>
  </si>
  <si>
    <t xml:space="preserve"> x λ = </t>
  </si>
  <si>
    <t xml:space="preserve"> ksi</t>
  </si>
  <si>
    <t xml:space="preserve"> sq in</t>
  </si>
  <si>
    <t>Required As</t>
  </si>
  <si>
    <t>Provided As</t>
  </si>
  <si>
    <t xml:space="preserve">As = </t>
  </si>
  <si>
    <t xml:space="preserve"># 5 Bars x </t>
  </si>
  <si>
    <t xml:space="preserve">bars per wing x </t>
  </si>
  <si>
    <t xml:space="preserve"> legs per bar = </t>
  </si>
  <si>
    <t xml:space="preserve">sq in x </t>
  </si>
  <si>
    <t>(</t>
  </si>
  <si>
    <t>)</t>
  </si>
  <si>
    <t xml:space="preserve"> in</t>
  </si>
  <si>
    <t xml:space="preserve">N = </t>
  </si>
  <si>
    <t>BDM 301.4.3 B (Beam Seat Width)</t>
  </si>
  <si>
    <t>L</t>
  </si>
  <si>
    <t>H) (</t>
  </si>
  <si>
    <t xml:space="preserve"> S^</t>
  </si>
  <si>
    <t>Abutments</t>
  </si>
  <si>
    <t xml:space="preserve">H = </t>
  </si>
  <si>
    <t xml:space="preserve">L = </t>
  </si>
  <si>
    <t xml:space="preserve">S = </t>
  </si>
  <si>
    <t>ft</t>
  </si>
  <si>
    <t>degrees</t>
  </si>
  <si>
    <t>Piers</t>
  </si>
  <si>
    <t>Abutment Calcs and input</t>
  </si>
  <si>
    <t>Pier Calcs and input</t>
  </si>
  <si>
    <t>DJL</t>
  </si>
  <si>
    <t>JEF-150-0510</t>
  </si>
  <si>
    <t xml:space="preserve"> in x </t>
  </si>
  <si>
    <t>RPT</t>
  </si>
  <si>
    <t xml:space="preserve">Act. As provided (including Diaphram Guide No. 5 bars) = </t>
  </si>
  <si>
    <t>sq in</t>
  </si>
  <si>
    <t>Diaphragm guides provided per SICD-2-14, although modified for existing beam seat.</t>
  </si>
  <si>
    <t>Updated:</t>
  </si>
  <si>
    <t xml:space="preserve"> bars per wing x </t>
  </si>
  <si>
    <t xml:space="preserve"> sq in x </t>
  </si>
  <si>
    <t xml:space="preserve">Act. As provided (including Diaphram Guide No. 6 bars) = </t>
  </si>
  <si>
    <t>sq in    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</si>
</sst>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3" borderId="0" xfId="0" applyFont="1" applyFill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0" fontId="5" fillId="0" borderId="0" xfId="1" applyFont="1" applyAlignment="1" applyProtection="1">
      <alignment horizontal="right"/>
      <protection locked="0"/>
    </xf>
    <xf numFmtId="0" fontId="4" fillId="0" borderId="0" xfId="1" applyFont="1" applyAlignment="1">
      <alignment horizontal="right"/>
    </xf>
    <xf numFmtId="0" fontId="5" fillId="2" borderId="0" xfId="1" applyFont="1" applyFill="1"/>
    <xf numFmtId="0" fontId="5" fillId="0" borderId="0" xfId="1" applyFont="1" applyAlignment="1">
      <alignment horizontal="center"/>
    </xf>
    <xf numFmtId="0" fontId="5" fillId="2" borderId="0" xfId="1" applyFont="1" applyFill="1" applyAlignment="1">
      <alignment horizontal="left"/>
    </xf>
    <xf numFmtId="0" fontId="4" fillId="3" borderId="0" xfId="1" applyFont="1" applyFill="1"/>
    <xf numFmtId="0" fontId="5" fillId="3" borderId="0" xfId="1" applyFont="1" applyFill="1"/>
    <xf numFmtId="0" fontId="4" fillId="3" borderId="0" xfId="1" applyFont="1" applyFill="1" applyProtection="1">
      <protection locked="0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2" borderId="0" xfId="0" applyFont="1" applyFill="1"/>
    <xf numFmtId="0" fontId="0" fillId="3" borderId="0" xfId="0" applyFill="1"/>
    <xf numFmtId="0" fontId="0" fillId="0" borderId="1" xfId="0" applyBorder="1" applyAlignment="1">
      <alignment horizontal="center"/>
    </xf>
    <xf numFmtId="0" fontId="1" fillId="4" borderId="0" xfId="0" applyFont="1" applyFill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3" borderId="2" xfId="0" applyFont="1" applyFill="1" applyBorder="1"/>
    <xf numFmtId="0" fontId="0" fillId="0" borderId="2" xfId="0" applyBorder="1"/>
    <xf numFmtId="0" fontId="1" fillId="3" borderId="6" xfId="0" applyFont="1" applyFill="1" applyBorder="1"/>
    <xf numFmtId="0" fontId="1" fillId="0" borderId="7" xfId="0" applyFont="1" applyBorder="1"/>
    <xf numFmtId="0" fontId="1" fillId="3" borderId="8" xfId="0" applyFont="1" applyFill="1" applyBorder="1"/>
    <xf numFmtId="0" fontId="0" fillId="0" borderId="9" xfId="0" applyBorder="1"/>
    <xf numFmtId="0" fontId="1" fillId="0" borderId="9" xfId="0" applyFont="1" applyBorder="1"/>
    <xf numFmtId="0" fontId="1" fillId="2" borderId="9" xfId="0" applyFont="1" applyFill="1" applyBorder="1"/>
    <xf numFmtId="0" fontId="1" fillId="0" borderId="10" xfId="0" applyFont="1" applyBorder="1"/>
    <xf numFmtId="0" fontId="7" fillId="0" borderId="0" xfId="0" applyFont="1"/>
    <xf numFmtId="0" fontId="2" fillId="0" borderId="1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14" fontId="5" fillId="0" borderId="1" xfId="1" applyNumberFormat="1" applyFont="1" applyBorder="1" applyAlignment="1" applyProtection="1">
      <alignment horizontal="center"/>
      <protection locked="0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0" xfId="1" applyFont="1" applyAlignment="1">
      <alignment horizontal="center"/>
    </xf>
    <xf numFmtId="0" fontId="0" fillId="0" borderId="0" xfId="0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57150</xdr:rowOff>
    </xdr:from>
    <xdr:to>
      <xdr:col>0</xdr:col>
      <xdr:colOff>876300</xdr:colOff>
      <xdr:row>4</xdr:row>
      <xdr:rowOff>114300</xdr:rowOff>
    </xdr:to>
    <xdr:pic>
      <xdr:nvPicPr>
        <xdr:cNvPr id="2" name="Picture 1" descr="odotpin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57150"/>
          <a:ext cx="8382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57150</xdr:rowOff>
    </xdr:from>
    <xdr:to>
      <xdr:col>0</xdr:col>
      <xdr:colOff>876300</xdr:colOff>
      <xdr:row>4</xdr:row>
      <xdr:rowOff>114300</xdr:rowOff>
    </xdr:to>
    <xdr:pic>
      <xdr:nvPicPr>
        <xdr:cNvPr id="2" name="Picture 1" descr="odotpin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57150"/>
          <a:ext cx="8382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1"/>
  <sheetViews>
    <sheetView topLeftCell="A24" workbookViewId="0">
      <selection activeCell="AF18" sqref="AF18"/>
    </sheetView>
  </sheetViews>
  <sheetFormatPr defaultRowHeight="15" x14ac:dyDescent="0.25"/>
  <cols>
    <col min="1" max="1" width="13.42578125" style="2" customWidth="1"/>
    <col min="2" max="2" width="9.5703125" style="2" customWidth="1"/>
    <col min="3" max="3" width="12" style="2" customWidth="1"/>
    <col min="4" max="4" width="5" style="2" customWidth="1"/>
    <col min="5" max="5" width="11.85546875" style="2" customWidth="1"/>
    <col min="6" max="6" width="9.140625" style="2"/>
    <col min="7" max="7" width="10.85546875" style="2" customWidth="1"/>
    <col min="8" max="8" width="8.5703125" style="2" customWidth="1"/>
    <col min="9" max="9" width="11.7109375" style="2" customWidth="1"/>
    <col min="10" max="10" width="2.7109375" style="1" customWidth="1"/>
    <col min="11" max="27" width="5.7109375" style="2" customWidth="1"/>
    <col min="28" max="16384" width="9.140625" style="2"/>
  </cols>
  <sheetData>
    <row r="1" spans="1:17" x14ac:dyDescent="0.25">
      <c r="A1" s="52"/>
      <c r="B1" s="5" t="s">
        <v>33</v>
      </c>
      <c r="C1" s="6"/>
      <c r="D1" s="6"/>
      <c r="E1" s="7"/>
      <c r="F1" s="8" t="s">
        <v>0</v>
      </c>
      <c r="G1" s="41" t="s">
        <v>70</v>
      </c>
      <c r="H1" s="9" t="s">
        <v>1</v>
      </c>
      <c r="I1" s="45">
        <v>42324</v>
      </c>
    </row>
    <row r="2" spans="1:17" x14ac:dyDescent="0.25">
      <c r="A2" s="52"/>
      <c r="B2" s="5" t="s">
        <v>34</v>
      </c>
      <c r="C2" s="10"/>
      <c r="D2" s="6"/>
      <c r="E2" s="7"/>
      <c r="F2" s="8" t="s">
        <v>77</v>
      </c>
      <c r="G2" s="41" t="s">
        <v>70</v>
      </c>
      <c r="H2" s="9" t="s">
        <v>1</v>
      </c>
      <c r="I2" s="45">
        <v>42368</v>
      </c>
    </row>
    <row r="3" spans="1:17" x14ac:dyDescent="0.25">
      <c r="A3" s="52"/>
      <c r="B3" s="5" t="s">
        <v>5</v>
      </c>
      <c r="C3" s="10"/>
      <c r="D3" s="6"/>
      <c r="E3" s="7"/>
      <c r="F3" s="8" t="s">
        <v>2</v>
      </c>
      <c r="G3" s="41" t="s">
        <v>73</v>
      </c>
      <c r="H3" s="9" t="s">
        <v>1</v>
      </c>
      <c r="I3" s="45">
        <v>42352</v>
      </c>
    </row>
    <row r="4" spans="1:17" x14ac:dyDescent="0.25">
      <c r="A4" s="52"/>
      <c r="B4" s="8" t="s">
        <v>3</v>
      </c>
      <c r="C4" s="11" t="s">
        <v>71</v>
      </c>
      <c r="D4" s="6"/>
      <c r="E4" s="12"/>
    </row>
    <row r="5" spans="1:17" x14ac:dyDescent="0.25">
      <c r="A5" s="52"/>
      <c r="B5" s="8" t="s">
        <v>4</v>
      </c>
      <c r="C5" s="13">
        <v>94207</v>
      </c>
      <c r="D5" s="5"/>
      <c r="E5" s="12"/>
      <c r="I5" s="4" t="str">
        <f>CONCATENATE(K5,L5,M5,N5)</f>
        <v>Sht 1 of 1</v>
      </c>
      <c r="K5" s="2" t="s">
        <v>7</v>
      </c>
      <c r="L5" s="2">
        <v>1</v>
      </c>
      <c r="M5" s="2" t="s">
        <v>6</v>
      </c>
      <c r="N5" s="2">
        <v>1</v>
      </c>
    </row>
    <row r="6" spans="1:17" s="1" customFormat="1" ht="9.9499999999999993" customHeight="1" x14ac:dyDescent="0.25">
      <c r="A6" s="14"/>
      <c r="D6" s="15"/>
      <c r="E6" s="16"/>
      <c r="F6" s="14"/>
      <c r="G6" s="14"/>
      <c r="H6" s="14"/>
      <c r="I6" s="14"/>
    </row>
    <row r="7" spans="1:17" ht="15" customHeight="1" x14ac:dyDescent="0.25">
      <c r="A7" s="19" t="s">
        <v>8</v>
      </c>
      <c r="B7" s="19"/>
      <c r="C7" s="19"/>
      <c r="D7" s="19"/>
      <c r="E7" s="19"/>
      <c r="F7" s="19"/>
      <c r="G7" s="19"/>
      <c r="H7" s="19"/>
      <c r="I7" s="19"/>
    </row>
    <row r="8" spans="1:17" x14ac:dyDescent="0.25">
      <c r="A8" s="19"/>
      <c r="B8" s="53" t="s">
        <v>9</v>
      </c>
      <c r="C8" s="53"/>
      <c r="D8" s="53"/>
      <c r="E8" s="53"/>
      <c r="F8" s="53"/>
      <c r="G8" s="53"/>
      <c r="H8" s="53"/>
      <c r="I8" s="53"/>
    </row>
    <row r="9" spans="1:17" x14ac:dyDescent="0.25">
      <c r="B9" s="53"/>
      <c r="C9" s="53"/>
      <c r="D9" s="53"/>
      <c r="E9" s="53"/>
      <c r="F9" s="53"/>
      <c r="G9" s="53"/>
      <c r="H9" s="53"/>
      <c r="I9" s="53"/>
    </row>
    <row r="11" spans="1:17" x14ac:dyDescent="0.25">
      <c r="A11" t="s">
        <v>10</v>
      </c>
    </row>
    <row r="12" spans="1:17" x14ac:dyDescent="0.25">
      <c r="B12" s="20" t="s">
        <v>11</v>
      </c>
      <c r="C12" s="2" t="str">
        <f>CONCATENATE(K12,L12,M12,N12,O12,P12,Q12,R12,S12,T12,U12,V12,W12,X12,Y12)</f>
        <v>58 kip/brg x 5 beams = 290 k</v>
      </c>
      <c r="L12" s="21">
        <v>58</v>
      </c>
      <c r="M12" t="s">
        <v>18</v>
      </c>
      <c r="N12" s="21">
        <v>5</v>
      </c>
      <c r="O12" t="s">
        <v>16</v>
      </c>
      <c r="P12" s="1">
        <f>L12*N12</f>
        <v>290</v>
      </c>
      <c r="Q12" t="s">
        <v>17</v>
      </c>
    </row>
    <row r="13" spans="1:17" x14ac:dyDescent="0.25">
      <c r="B13" s="20" t="s">
        <v>12</v>
      </c>
      <c r="C13" s="2" t="str">
        <f t="shared" ref="C13:C17" si="0">CONCATENATE(K13,L13,M13,N13,O13,P13,Q13,R13,S13,T13,U13,V13,W13,X13,Y13)</f>
        <v>81 kip/brg x 5 beams = 405 k</v>
      </c>
      <c r="L13" s="21">
        <v>81</v>
      </c>
      <c r="M13" t="s">
        <v>18</v>
      </c>
      <c r="N13" s="21">
        <v>5</v>
      </c>
      <c r="O13" t="s">
        <v>16</v>
      </c>
      <c r="P13" s="1">
        <f t="shared" ref="P13:P15" si="1">L13*N13</f>
        <v>405</v>
      </c>
      <c r="Q13" t="s">
        <v>17</v>
      </c>
    </row>
    <row r="14" spans="1:17" x14ac:dyDescent="0.25">
      <c r="B14" s="20" t="s">
        <v>13</v>
      </c>
      <c r="C14" s="2" t="str">
        <f t="shared" si="0"/>
        <v>81 kip/brg x 5 beams = 405 k</v>
      </c>
      <c r="L14" s="21">
        <v>81</v>
      </c>
      <c r="M14" t="s">
        <v>18</v>
      </c>
      <c r="N14" s="21">
        <v>5</v>
      </c>
      <c r="O14" t="s">
        <v>16</v>
      </c>
      <c r="P14" s="1">
        <f t="shared" si="1"/>
        <v>405</v>
      </c>
      <c r="Q14" t="s">
        <v>17</v>
      </c>
    </row>
    <row r="15" spans="1:17" x14ac:dyDescent="0.25">
      <c r="B15" s="20" t="s">
        <v>14</v>
      </c>
      <c r="C15" s="2" t="str">
        <f t="shared" si="0"/>
        <v>58 kip/brg x 5 beams = 290 k</v>
      </c>
      <c r="L15" s="21">
        <v>58</v>
      </c>
      <c r="M15" t="s">
        <v>18</v>
      </c>
      <c r="N15" s="21">
        <v>5</v>
      </c>
      <c r="O15" t="s">
        <v>16</v>
      </c>
      <c r="P15" s="1">
        <f t="shared" si="1"/>
        <v>290</v>
      </c>
      <c r="Q15" t="s">
        <v>17</v>
      </c>
    </row>
    <row r="17" spans="1:21" x14ac:dyDescent="0.25">
      <c r="B17" s="20" t="s">
        <v>19</v>
      </c>
      <c r="C17" s="2" t="str">
        <f t="shared" si="0"/>
        <v xml:space="preserve">290 + 405 + 405 + 290 = 1390 k </v>
      </c>
      <c r="L17" s="1">
        <f>P12</f>
        <v>290</v>
      </c>
      <c r="M17" t="s">
        <v>20</v>
      </c>
      <c r="N17" s="1">
        <f>P13</f>
        <v>405</v>
      </c>
      <c r="O17" t="s">
        <v>20</v>
      </c>
      <c r="P17" s="22">
        <f>P14</f>
        <v>405</v>
      </c>
      <c r="Q17" t="s">
        <v>20</v>
      </c>
      <c r="R17" s="1">
        <f>P15</f>
        <v>290</v>
      </c>
      <c r="S17" t="s">
        <v>21</v>
      </c>
      <c r="T17" s="1">
        <f>L17+N17+P17+R17</f>
        <v>1390</v>
      </c>
      <c r="U17" t="s">
        <v>22</v>
      </c>
    </row>
    <row r="19" spans="1:21" x14ac:dyDescent="0.25">
      <c r="A19" t="s">
        <v>23</v>
      </c>
    </row>
    <row r="20" spans="1:21" x14ac:dyDescent="0.25">
      <c r="B20" s="20" t="s">
        <v>24</v>
      </c>
      <c r="C20" s="2" t="str">
        <f t="shared" ref="C20" si="2">CONCATENATE(K20,L20,M20,N20,O20,P20,Q20,R20,S20,T20,U20,V20,W20,X20,Y20)</f>
        <v xml:space="preserve">0.2 x Total DL = 0.2 x 1390 k = 278 k </v>
      </c>
      <c r="L20" s="21">
        <v>0.2</v>
      </c>
      <c r="M20" t="s">
        <v>26</v>
      </c>
      <c r="N20" s="1">
        <f>L20</f>
        <v>0.2</v>
      </c>
      <c r="O20" t="s">
        <v>15</v>
      </c>
      <c r="P20" s="1">
        <f>T17</f>
        <v>1390</v>
      </c>
      <c r="Q20" t="s">
        <v>25</v>
      </c>
      <c r="R20" s="1">
        <f>N20*P20</f>
        <v>278</v>
      </c>
      <c r="S20" t="s">
        <v>22</v>
      </c>
    </row>
    <row r="22" spans="1:21" x14ac:dyDescent="0.25">
      <c r="A22" t="s">
        <v>35</v>
      </c>
    </row>
    <row r="23" spans="1:21" x14ac:dyDescent="0.25">
      <c r="B23" s="20" t="s">
        <v>36</v>
      </c>
      <c r="C23" s="2" t="str">
        <f t="shared" ref="C23" si="3">CONCATENATE(K23,L23,M23,N23,O23,P23,Q23,R23,S23,T23,U23,V23,W23,X23,Y23)</f>
        <v xml:space="preserve">HSF / 2 Abuments = 278 k / 2 = 139 k </v>
      </c>
      <c r="L23" t="s">
        <v>27</v>
      </c>
      <c r="M23" s="1">
        <f>R20</f>
        <v>278</v>
      </c>
      <c r="N23" t="s">
        <v>28</v>
      </c>
      <c r="O23" s="21">
        <v>2</v>
      </c>
      <c r="P23" t="s">
        <v>21</v>
      </c>
      <c r="Q23" s="1">
        <f>M23/O23</f>
        <v>139</v>
      </c>
      <c r="R23" t="s">
        <v>22</v>
      </c>
    </row>
    <row r="25" spans="1:21" x14ac:dyDescent="0.25">
      <c r="A25" t="s">
        <v>29</v>
      </c>
    </row>
    <row r="26" spans="1:21" x14ac:dyDescent="0.25">
      <c r="B26" s="20" t="s">
        <v>42</v>
      </c>
      <c r="C26" s="25">
        <v>60</v>
      </c>
      <c r="D26" t="s">
        <v>40</v>
      </c>
      <c r="L26" s="24">
        <v>40</v>
      </c>
      <c r="M26" s="21">
        <v>50</v>
      </c>
      <c r="N26" s="24">
        <v>60</v>
      </c>
      <c r="O26" t="s">
        <v>39</v>
      </c>
    </row>
    <row r="27" spans="1:21" x14ac:dyDescent="0.25">
      <c r="B27" s="29" t="s">
        <v>46</v>
      </c>
      <c r="C27" s="18"/>
      <c r="D27"/>
      <c r="G27" s="20" t="s">
        <v>41</v>
      </c>
      <c r="L27" s="24">
        <v>20</v>
      </c>
      <c r="M27" s="1">
        <f>((M26-L26)/(N26-L26))*(N27-L27)+L27</f>
        <v>22</v>
      </c>
      <c r="N27" s="24">
        <v>24</v>
      </c>
      <c r="O27"/>
    </row>
    <row r="28" spans="1:21" x14ac:dyDescent="0.25">
      <c r="B28" s="46" t="s">
        <v>30</v>
      </c>
      <c r="C28" s="23" t="s">
        <v>31</v>
      </c>
      <c r="D28" s="47" t="s">
        <v>21</v>
      </c>
      <c r="E28" s="3" t="str">
        <f>CONCATENATE(Q23,R23,S23)</f>
        <v xml:space="preserve">139 k </v>
      </c>
      <c r="G28" s="20" t="s">
        <v>37</v>
      </c>
      <c r="H28" s="26">
        <f>HLOOKUP(C26,L26:N27,2)</f>
        <v>24</v>
      </c>
      <c r="I28" t="s">
        <v>40</v>
      </c>
    </row>
    <row r="29" spans="1:21" x14ac:dyDescent="0.25">
      <c r="B29" s="46"/>
      <c r="C29" s="17" t="s">
        <v>32</v>
      </c>
      <c r="D29" s="48"/>
      <c r="E29" s="18" t="str">
        <f>CONCATENATE(K30,L30,M30,N30,O30,P30,Q30,R30,S30,T30,U30,V30,W30)</f>
        <v>24 x 1 ksi</v>
      </c>
      <c r="G29" s="20" t="s">
        <v>38</v>
      </c>
      <c r="H29" s="28" t="str">
        <f>CONCATENATE(L29,M29,N29,O29,P29,Q29,R29)</f>
        <v>1 x λ = 1 x 1 = 1</v>
      </c>
      <c r="L29" s="27">
        <v>1</v>
      </c>
      <c r="M29" t="s">
        <v>43</v>
      </c>
      <c r="N29" s="1">
        <f>L29</f>
        <v>1</v>
      </c>
      <c r="O29" t="s">
        <v>15</v>
      </c>
      <c r="P29" s="21">
        <v>1</v>
      </c>
      <c r="Q29" t="s">
        <v>21</v>
      </c>
      <c r="R29" s="1">
        <f>N29*P29</f>
        <v>1</v>
      </c>
    </row>
    <row r="30" spans="1:21" x14ac:dyDescent="0.25">
      <c r="L30" s="1">
        <f>H28</f>
        <v>24</v>
      </c>
      <c r="M30" t="s">
        <v>15</v>
      </c>
      <c r="N30" s="1">
        <f>R29</f>
        <v>1</v>
      </c>
      <c r="O30" t="s">
        <v>44</v>
      </c>
    </row>
    <row r="31" spans="1:21" x14ac:dyDescent="0.25">
      <c r="B31" s="20" t="s">
        <v>30</v>
      </c>
      <c r="C31" s="2" t="str">
        <f>CONCATENATE(K31,L31,M31,N31,O31,P31,Q31,R31,S31,T31,U31,V31,W31)</f>
        <v>5.79 sq in</v>
      </c>
      <c r="L31" s="1">
        <f>ROUND(Q23/(L30*N30),2)</f>
        <v>5.79</v>
      </c>
      <c r="M31" t="s">
        <v>45</v>
      </c>
    </row>
    <row r="33" spans="1:26" x14ac:dyDescent="0.25">
      <c r="A33" s="29" t="s">
        <v>47</v>
      </c>
    </row>
    <row r="34" spans="1:26" x14ac:dyDescent="0.25">
      <c r="A34" s="20" t="s">
        <v>48</v>
      </c>
      <c r="B34" s="2" t="str">
        <f>CONCATENATE(K34,L34,M34,N34,O34,P34,Q34,R34,S34,T34,U34,V34,W34)</f>
        <v xml:space="preserve"># 5 Bars x 6bars per wing x 2 legs per bar = 0.31sq in x 6 x 2 = </v>
      </c>
      <c r="L34" t="s">
        <v>49</v>
      </c>
      <c r="M34" s="27">
        <v>6</v>
      </c>
      <c r="N34" t="s">
        <v>50</v>
      </c>
      <c r="O34" s="27">
        <v>2</v>
      </c>
      <c r="P34" t="s">
        <v>51</v>
      </c>
      <c r="Q34" s="21">
        <v>0.31</v>
      </c>
      <c r="R34" t="s">
        <v>52</v>
      </c>
      <c r="S34" s="1">
        <f>M34</f>
        <v>6</v>
      </c>
      <c r="T34" t="s">
        <v>15</v>
      </c>
      <c r="U34" s="1">
        <f>O34</f>
        <v>2</v>
      </c>
      <c r="V34" t="s">
        <v>21</v>
      </c>
    </row>
    <row r="35" spans="1:26" x14ac:dyDescent="0.25">
      <c r="A35" s="20" t="s">
        <v>48</v>
      </c>
      <c r="B35" s="2" t="str">
        <f>CONCATENATE(K35,L35,M35,N35,O35,P35,Q35,R35,S35,T35,U35,V35,W35)</f>
        <v>3.72 sq in</v>
      </c>
      <c r="C35" s="42"/>
      <c r="L35" s="1">
        <f>Q34*S34*U34</f>
        <v>3.7199999999999998</v>
      </c>
      <c r="M35" t="s">
        <v>45</v>
      </c>
    </row>
    <row r="37" spans="1:26" x14ac:dyDescent="0.25">
      <c r="A37" s="43" t="s">
        <v>76</v>
      </c>
    </row>
    <row r="38" spans="1:26" x14ac:dyDescent="0.25">
      <c r="A38" s="43" t="s">
        <v>74</v>
      </c>
      <c r="F38" s="44">
        <f>L35+(8*2*Q34)</f>
        <v>8.68</v>
      </c>
      <c r="G38" s="43" t="s">
        <v>75</v>
      </c>
    </row>
    <row r="40" spans="1:26" x14ac:dyDescent="0.25">
      <c r="A40" t="s">
        <v>57</v>
      </c>
    </row>
    <row r="41" spans="1:26" x14ac:dyDescent="0.25">
      <c r="A41" s="20" t="s">
        <v>56</v>
      </c>
      <c r="B41" s="2" t="str">
        <f>CONCATENATE(K41,L41,M41,N41,O41,P41,Q41,R41,S41,T41,U41,V41,W41,X41,Y41,Z41,AA41)</f>
        <v>(8 + 0.02L + 0.08H) (1 + 0.000125 S^2)</v>
      </c>
      <c r="K41" t="s">
        <v>53</v>
      </c>
      <c r="L41" s="21">
        <v>8</v>
      </c>
      <c r="M41" t="s">
        <v>20</v>
      </c>
      <c r="N41" s="21">
        <v>0.02</v>
      </c>
      <c r="O41" t="s">
        <v>58</v>
      </c>
      <c r="P41" t="s">
        <v>20</v>
      </c>
      <c r="Q41" s="21">
        <v>0.08</v>
      </c>
      <c r="R41" t="s">
        <v>59</v>
      </c>
      <c r="S41" s="21">
        <v>1</v>
      </c>
      <c r="T41" t="s">
        <v>20</v>
      </c>
      <c r="U41" s="21">
        <v>1.25E-4</v>
      </c>
      <c r="V41" t="s">
        <v>60</v>
      </c>
      <c r="W41" s="21">
        <v>2</v>
      </c>
      <c r="X41" t="s">
        <v>54</v>
      </c>
    </row>
    <row r="42" spans="1:26" x14ac:dyDescent="0.25">
      <c r="A42" s="20"/>
      <c r="K42"/>
      <c r="M42"/>
      <c r="O42"/>
      <c r="Q42"/>
      <c r="S42"/>
    </row>
    <row r="43" spans="1:26" x14ac:dyDescent="0.25">
      <c r="A43" s="30" t="s">
        <v>61</v>
      </c>
      <c r="E43" s="30" t="s">
        <v>67</v>
      </c>
    </row>
    <row r="44" spans="1:26" x14ac:dyDescent="0.25">
      <c r="A44" s="20" t="s">
        <v>62</v>
      </c>
      <c r="B44" s="25">
        <f>(11.67+6.54)/2</f>
        <v>9.1050000000000004</v>
      </c>
      <c r="C44" t="s">
        <v>65</v>
      </c>
      <c r="D44"/>
      <c r="E44" s="20" t="s">
        <v>62</v>
      </c>
      <c r="F44" s="25">
        <v>11.67</v>
      </c>
      <c r="G44" t="s">
        <v>65</v>
      </c>
      <c r="K44" s="28"/>
      <c r="L44"/>
    </row>
    <row r="45" spans="1:26" x14ac:dyDescent="0.25">
      <c r="A45" s="20" t="s">
        <v>63</v>
      </c>
      <c r="B45" s="25">
        <v>147.78</v>
      </c>
      <c r="C45" t="s">
        <v>65</v>
      </c>
      <c r="D45"/>
      <c r="E45" s="20" t="s">
        <v>63</v>
      </c>
      <c r="F45" s="25">
        <v>147.78</v>
      </c>
      <c r="G45" t="s">
        <v>65</v>
      </c>
      <c r="K45" s="28"/>
      <c r="L45"/>
    </row>
    <row r="46" spans="1:26" ht="15.75" thickBot="1" x14ac:dyDescent="0.3">
      <c r="A46" s="20" t="s">
        <v>64</v>
      </c>
      <c r="B46" s="25">
        <v>20</v>
      </c>
      <c r="C46" t="s">
        <v>66</v>
      </c>
      <c r="D46"/>
      <c r="E46" s="20" t="s">
        <v>64</v>
      </c>
      <c r="F46" s="25">
        <v>20</v>
      </c>
      <c r="G46" t="s">
        <v>66</v>
      </c>
      <c r="K46" s="28"/>
      <c r="L46"/>
    </row>
    <row r="47" spans="1:26" x14ac:dyDescent="0.25">
      <c r="K47" s="49" t="s">
        <v>68</v>
      </c>
      <c r="L47" s="50"/>
      <c r="M47" s="50"/>
      <c r="N47" s="50"/>
      <c r="O47" s="50"/>
      <c r="P47" s="50"/>
      <c r="Q47" s="51"/>
      <c r="T47" s="49" t="s">
        <v>69</v>
      </c>
      <c r="U47" s="50"/>
      <c r="V47" s="50"/>
      <c r="W47" s="50"/>
      <c r="X47" s="50"/>
      <c r="Y47" s="50"/>
      <c r="Z47" s="51"/>
    </row>
    <row r="48" spans="1:26" x14ac:dyDescent="0.25">
      <c r="A48" s="20" t="s">
        <v>56</v>
      </c>
      <c r="B48" s="2" t="str">
        <f>CONCATENATE(K48,L48,M48,N48,O48,P48,Q7,Q48)</f>
        <v>11.7 in x 1.1 = 12.87 in</v>
      </c>
      <c r="E48" s="20" t="s">
        <v>56</v>
      </c>
      <c r="F48" s="2" t="str">
        <f>CONCATENATE(T48,U48,V48,W48,X48,Y48,U7,Z48)</f>
        <v>11.9 in x 1.1 = 13.09 in</v>
      </c>
      <c r="K48" s="33">
        <f>ROUND(L41+N41*B45+Q41*B44,1)</f>
        <v>11.7</v>
      </c>
      <c r="L48" s="32" t="s">
        <v>72</v>
      </c>
      <c r="M48" s="31">
        <f>ROUND(S41+(U41*(B46^W41)),1)</f>
        <v>1.1000000000000001</v>
      </c>
      <c r="N48" s="32" t="s">
        <v>21</v>
      </c>
      <c r="O48" s="31">
        <f>K48*M48</f>
        <v>12.870000000000001</v>
      </c>
      <c r="P48" s="32" t="s">
        <v>55</v>
      </c>
      <c r="Q48" s="34"/>
      <c r="S48"/>
      <c r="T48" s="33">
        <f>ROUND(L41+N41*F45+Q41*F44,1)</f>
        <v>11.9</v>
      </c>
      <c r="U48" s="32" t="s">
        <v>72</v>
      </c>
      <c r="V48" s="31">
        <f>ROUND(S41+(U41*(F46^W41)),1)</f>
        <v>1.1000000000000001</v>
      </c>
      <c r="W48" s="32" t="s">
        <v>21</v>
      </c>
      <c r="X48" s="31">
        <f>T48*V48</f>
        <v>13.090000000000002</v>
      </c>
      <c r="Y48" s="32" t="s">
        <v>55</v>
      </c>
      <c r="Z48" s="34"/>
    </row>
    <row r="49" spans="1:26" ht="15.75" thickBot="1" x14ac:dyDescent="0.3">
      <c r="A49" s="20" t="s">
        <v>56</v>
      </c>
      <c r="B49" s="2" t="str">
        <f>CONCATENATE(K49,L49,M49,N49,O49,P49,Q8,Q49)</f>
        <v xml:space="preserve">12.87 in  &lt;  39 in  O.K. </v>
      </c>
      <c r="E49" s="20" t="s">
        <v>56</v>
      </c>
      <c r="F49" s="2" t="str">
        <f>CONCATENATE(T49,U49,V49,W49,X49,Y49,U8,Z49)</f>
        <v xml:space="preserve">13.09 in  &lt;  30 in  O.K. </v>
      </c>
      <c r="K49" s="35">
        <f>O48</f>
        <v>12.870000000000001</v>
      </c>
      <c r="L49" s="36" t="s">
        <v>55</v>
      </c>
      <c r="M49" s="37" t="str">
        <f>IF(K49&lt;N49,"  &lt;  ", " &gt; ")</f>
        <v xml:space="preserve">  &lt;  </v>
      </c>
      <c r="N49" s="38">
        <v>39</v>
      </c>
      <c r="O49" s="36" t="s">
        <v>55</v>
      </c>
      <c r="P49" s="37" t="str">
        <f>IF(K49&lt;N49,"  O.K. ","Increase Beam Seat Width")</f>
        <v xml:space="preserve">  O.K. </v>
      </c>
      <c r="Q49" s="39"/>
      <c r="T49" s="35">
        <f>X48</f>
        <v>13.090000000000002</v>
      </c>
      <c r="U49" s="36" t="s">
        <v>55</v>
      </c>
      <c r="V49" s="37" t="str">
        <f>IF(T49&lt;W49,"  &lt;  ", " &gt; ")</f>
        <v xml:space="preserve">  &lt;  </v>
      </c>
      <c r="W49" s="38">
        <v>30</v>
      </c>
      <c r="X49" s="36" t="s">
        <v>55</v>
      </c>
      <c r="Y49" s="37" t="str">
        <f>IF(T49&lt;W49,"  O.K. ","Increase Beam Seat Width")</f>
        <v xml:space="preserve">  O.K. </v>
      </c>
      <c r="Z49" s="39"/>
    </row>
    <row r="50" spans="1:26" x14ac:dyDescent="0.25">
      <c r="A50" s="40" t="str">
        <f ca="1">CELL("filename")</f>
        <v>c:\users\mclark3\appdata\local\bentley\projectwise\workingdir\ohiodot-pw.bentley.com_ohiodot-pw-02\michael.clark@dot.ohio.gov\d0512215\[108525_Seismic_Calcs.xlsx]Revised</v>
      </c>
    </row>
    <row r="51" spans="1:26" x14ac:dyDescent="0.25">
      <c r="A51" s="40"/>
    </row>
  </sheetData>
  <mergeCells count="6">
    <mergeCell ref="B28:B29"/>
    <mergeCell ref="D28:D29"/>
    <mergeCell ref="K47:Q47"/>
    <mergeCell ref="T47:Z47"/>
    <mergeCell ref="A1:A5"/>
    <mergeCell ref="B8:I9"/>
  </mergeCells>
  <pageMargins left="0.7" right="0.5" top="0.5" bottom="0.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50"/>
  <sheetViews>
    <sheetView tabSelected="1" workbookViewId="0">
      <selection activeCell="M53" sqref="M53"/>
    </sheetView>
  </sheetViews>
  <sheetFormatPr defaultRowHeight="15" x14ac:dyDescent="0.25"/>
  <cols>
    <col min="1" max="1" width="13.42578125" style="2" customWidth="1"/>
    <col min="2" max="2" width="9.5703125" style="2" customWidth="1"/>
    <col min="3" max="3" width="12" style="2" customWidth="1"/>
    <col min="4" max="4" width="5" style="2" customWidth="1"/>
    <col min="5" max="5" width="11.85546875" style="2" customWidth="1"/>
    <col min="6" max="6" width="9.140625" style="2"/>
    <col min="7" max="7" width="10.85546875" style="2" customWidth="1"/>
    <col min="8" max="8" width="8.5703125" style="2" customWidth="1"/>
    <col min="9" max="9" width="11.7109375" style="2" customWidth="1"/>
    <col min="10" max="10" width="2.7109375" style="1" customWidth="1"/>
    <col min="11" max="27" width="5.7109375" style="2" customWidth="1"/>
    <col min="28" max="16384" width="9.140625" style="2"/>
  </cols>
  <sheetData>
    <row r="1" spans="1:17" x14ac:dyDescent="0.25">
      <c r="A1" s="52"/>
      <c r="B1" s="5" t="s">
        <v>33</v>
      </c>
      <c r="C1" s="6"/>
      <c r="D1" s="6"/>
      <c r="E1" s="7"/>
      <c r="F1" s="8" t="s">
        <v>0</v>
      </c>
      <c r="G1" s="41" t="s">
        <v>70</v>
      </c>
      <c r="H1" s="9" t="s">
        <v>1</v>
      </c>
      <c r="I1" s="45">
        <v>42324</v>
      </c>
    </row>
    <row r="2" spans="1:17" x14ac:dyDescent="0.25">
      <c r="A2" s="52"/>
      <c r="B2" s="5" t="s">
        <v>34</v>
      </c>
      <c r="C2" s="10"/>
      <c r="D2" s="6"/>
      <c r="E2" s="7"/>
      <c r="F2" s="8" t="s">
        <v>77</v>
      </c>
      <c r="G2" s="41" t="s">
        <v>70</v>
      </c>
      <c r="H2" s="9" t="s">
        <v>1</v>
      </c>
      <c r="I2" s="45">
        <v>42744</v>
      </c>
    </row>
    <row r="3" spans="1:17" x14ac:dyDescent="0.25">
      <c r="A3" s="52"/>
      <c r="B3" s="5" t="s">
        <v>5</v>
      </c>
      <c r="C3" s="10"/>
      <c r="D3" s="6"/>
      <c r="E3" s="7"/>
      <c r="F3" s="8" t="s">
        <v>2</v>
      </c>
      <c r="G3" s="41" t="s">
        <v>73</v>
      </c>
      <c r="H3" s="9" t="s">
        <v>1</v>
      </c>
      <c r="I3" s="45">
        <v>42352</v>
      </c>
    </row>
    <row r="4" spans="1:17" x14ac:dyDescent="0.25">
      <c r="A4" s="52"/>
      <c r="B4" s="8" t="s">
        <v>3</v>
      </c>
      <c r="C4" s="11" t="s">
        <v>71</v>
      </c>
      <c r="D4" s="6"/>
      <c r="E4" s="12"/>
    </row>
    <row r="5" spans="1:17" x14ac:dyDescent="0.25">
      <c r="A5" s="52"/>
      <c r="B5" s="8" t="s">
        <v>4</v>
      </c>
      <c r="C5" s="13">
        <v>94207</v>
      </c>
      <c r="D5" s="5"/>
      <c r="E5" s="12"/>
      <c r="I5" s="4" t="str">
        <f>CONCATENATE(K5,L5,M5,N5)</f>
        <v>Sht 1 of 1</v>
      </c>
      <c r="K5" s="2" t="s">
        <v>7</v>
      </c>
      <c r="L5" s="2">
        <v>1</v>
      </c>
      <c r="M5" s="2" t="s">
        <v>6</v>
      </c>
      <c r="N5" s="2">
        <v>1</v>
      </c>
    </row>
    <row r="6" spans="1:17" s="1" customFormat="1" ht="9.9499999999999993" customHeight="1" x14ac:dyDescent="0.25">
      <c r="A6" s="14"/>
      <c r="D6" s="15"/>
      <c r="E6" s="16"/>
      <c r="F6" s="14"/>
      <c r="G6" s="14"/>
      <c r="H6" s="14"/>
      <c r="I6" s="14"/>
    </row>
    <row r="7" spans="1:17" ht="15" customHeight="1" x14ac:dyDescent="0.25">
      <c r="A7" s="19" t="s">
        <v>8</v>
      </c>
      <c r="B7" s="19"/>
      <c r="C7" s="19"/>
      <c r="D7" s="19"/>
      <c r="E7" s="19"/>
      <c r="F7" s="19"/>
      <c r="G7" s="19"/>
      <c r="H7" s="19"/>
      <c r="I7" s="19"/>
    </row>
    <row r="8" spans="1:17" x14ac:dyDescent="0.25">
      <c r="A8" s="19"/>
      <c r="B8" s="53" t="s">
        <v>9</v>
      </c>
      <c r="C8" s="53"/>
      <c r="D8" s="53"/>
      <c r="E8" s="53"/>
      <c r="F8" s="53"/>
      <c r="G8" s="53"/>
      <c r="H8" s="53"/>
      <c r="I8" s="53"/>
    </row>
    <row r="9" spans="1:17" x14ac:dyDescent="0.25">
      <c r="B9" s="53"/>
      <c r="C9" s="53"/>
      <c r="D9" s="53"/>
      <c r="E9" s="53"/>
      <c r="F9" s="53"/>
      <c r="G9" s="53"/>
      <c r="H9" s="53"/>
      <c r="I9" s="53"/>
    </row>
    <row r="11" spans="1:17" x14ac:dyDescent="0.25">
      <c r="A11" t="s">
        <v>10</v>
      </c>
    </row>
    <row r="12" spans="1:17" x14ac:dyDescent="0.25">
      <c r="B12" s="20" t="s">
        <v>11</v>
      </c>
      <c r="C12" s="2" t="str">
        <f>CONCATENATE(K12,L12,M12,N12,O12,P12,Q12,R12,S12,T12,U12,V12,W12,X12,Y12)</f>
        <v>58 kip/brg x 5 beams = 290 k</v>
      </c>
      <c r="L12" s="21">
        <v>58</v>
      </c>
      <c r="M12" t="s">
        <v>18</v>
      </c>
      <c r="N12" s="21">
        <v>5</v>
      </c>
      <c r="O12" t="s">
        <v>16</v>
      </c>
      <c r="P12" s="1">
        <f>L12*N12</f>
        <v>290</v>
      </c>
      <c r="Q12" t="s">
        <v>17</v>
      </c>
    </row>
    <row r="13" spans="1:17" x14ac:dyDescent="0.25">
      <c r="B13" s="20" t="s">
        <v>12</v>
      </c>
      <c r="C13" s="2" t="str">
        <f t="shared" ref="C13:C17" si="0">CONCATENATE(K13,L13,M13,N13,O13,P13,Q13,R13,S13,T13,U13,V13,W13,X13,Y13)</f>
        <v>81 kip/brg x 5 beams = 405 k</v>
      </c>
      <c r="L13" s="21">
        <v>81</v>
      </c>
      <c r="M13" t="s">
        <v>18</v>
      </c>
      <c r="N13" s="21">
        <v>5</v>
      </c>
      <c r="O13" t="s">
        <v>16</v>
      </c>
      <c r="P13" s="1">
        <f t="shared" ref="P13:P15" si="1">L13*N13</f>
        <v>405</v>
      </c>
      <c r="Q13" t="s">
        <v>17</v>
      </c>
    </row>
    <row r="14" spans="1:17" x14ac:dyDescent="0.25">
      <c r="B14" s="20" t="s">
        <v>13</v>
      </c>
      <c r="C14" s="2" t="str">
        <f t="shared" si="0"/>
        <v>81 kip/brg x 5 beams = 405 k</v>
      </c>
      <c r="L14" s="21">
        <v>81</v>
      </c>
      <c r="M14" t="s">
        <v>18</v>
      </c>
      <c r="N14" s="21">
        <v>5</v>
      </c>
      <c r="O14" t="s">
        <v>16</v>
      </c>
      <c r="P14" s="1">
        <f t="shared" si="1"/>
        <v>405</v>
      </c>
      <c r="Q14" t="s">
        <v>17</v>
      </c>
    </row>
    <row r="15" spans="1:17" x14ac:dyDescent="0.25">
      <c r="B15" s="20" t="s">
        <v>14</v>
      </c>
      <c r="C15" s="2" t="str">
        <f t="shared" si="0"/>
        <v>58 kip/brg x 5 beams = 290 k</v>
      </c>
      <c r="L15" s="21">
        <v>58</v>
      </c>
      <c r="M15" t="s">
        <v>18</v>
      </c>
      <c r="N15" s="21">
        <v>5</v>
      </c>
      <c r="O15" t="s">
        <v>16</v>
      </c>
      <c r="P15" s="1">
        <f t="shared" si="1"/>
        <v>290</v>
      </c>
      <c r="Q15" t="s">
        <v>17</v>
      </c>
    </row>
    <row r="17" spans="1:21" x14ac:dyDescent="0.25">
      <c r="B17" s="20" t="s">
        <v>19</v>
      </c>
      <c r="C17" s="2" t="str">
        <f t="shared" si="0"/>
        <v xml:space="preserve">290 + 405 + 405 + 290 = 1390 k </v>
      </c>
      <c r="L17" s="1">
        <f>P12</f>
        <v>290</v>
      </c>
      <c r="M17" t="s">
        <v>20</v>
      </c>
      <c r="N17" s="1">
        <f>P13</f>
        <v>405</v>
      </c>
      <c r="O17" t="s">
        <v>20</v>
      </c>
      <c r="P17" s="22">
        <f>P14</f>
        <v>405</v>
      </c>
      <c r="Q17" t="s">
        <v>20</v>
      </c>
      <c r="R17" s="1">
        <f>P15</f>
        <v>290</v>
      </c>
      <c r="S17" t="s">
        <v>21</v>
      </c>
      <c r="T17" s="1">
        <f>L17+N17+P17+R17</f>
        <v>1390</v>
      </c>
      <c r="U17" t="s">
        <v>22</v>
      </c>
    </row>
    <row r="19" spans="1:21" x14ac:dyDescent="0.25">
      <c r="A19" t="s">
        <v>23</v>
      </c>
    </row>
    <row r="20" spans="1:21" x14ac:dyDescent="0.25">
      <c r="B20" s="20" t="s">
        <v>24</v>
      </c>
      <c r="C20" s="2" t="str">
        <f t="shared" ref="C20" si="2">CONCATENATE(K20,L20,M20,N20,O20,P20,Q20,R20,S20,T20,U20,V20,W20,X20,Y20)</f>
        <v xml:space="preserve">0.2 x Total DL = 0.2 x 1390 k = 278 k </v>
      </c>
      <c r="L20" s="21">
        <v>0.2</v>
      </c>
      <c r="M20" t="s">
        <v>26</v>
      </c>
      <c r="N20" s="1">
        <f>L20</f>
        <v>0.2</v>
      </c>
      <c r="O20" t="s">
        <v>15</v>
      </c>
      <c r="P20" s="1">
        <f>T17</f>
        <v>1390</v>
      </c>
      <c r="Q20" t="s">
        <v>25</v>
      </c>
      <c r="R20" s="1">
        <f>N20*P20</f>
        <v>278</v>
      </c>
      <c r="S20" t="s">
        <v>22</v>
      </c>
    </row>
    <row r="22" spans="1:21" x14ac:dyDescent="0.25">
      <c r="A22" t="s">
        <v>35</v>
      </c>
    </row>
    <row r="23" spans="1:21" x14ac:dyDescent="0.25">
      <c r="B23" s="20" t="s">
        <v>36</v>
      </c>
      <c r="C23" s="2" t="str">
        <f t="shared" ref="C23" si="3">CONCATENATE(K23,L23,M23,N23,O23,P23,Q23,R23,S23,T23,U23,V23,W23,X23,Y23)</f>
        <v xml:space="preserve">HSF / 2 Abuments = 278 k / 2 = 139 k </v>
      </c>
      <c r="L23" t="s">
        <v>27</v>
      </c>
      <c r="M23" s="1">
        <f>R20</f>
        <v>278</v>
      </c>
      <c r="N23" t="s">
        <v>28</v>
      </c>
      <c r="O23" s="21">
        <v>2</v>
      </c>
      <c r="P23" t="s">
        <v>21</v>
      </c>
      <c r="Q23" s="1">
        <f>M23/O23</f>
        <v>139</v>
      </c>
      <c r="R23" t="s">
        <v>22</v>
      </c>
    </row>
    <row r="25" spans="1:21" x14ac:dyDescent="0.25">
      <c r="A25" t="s">
        <v>29</v>
      </c>
    </row>
    <row r="26" spans="1:21" x14ac:dyDescent="0.25">
      <c r="B26" s="20" t="s">
        <v>42</v>
      </c>
      <c r="C26" s="25">
        <v>60</v>
      </c>
      <c r="D26" t="s">
        <v>40</v>
      </c>
      <c r="L26" s="24">
        <v>40</v>
      </c>
      <c r="M26" s="21">
        <v>50</v>
      </c>
      <c r="N26" s="24">
        <v>60</v>
      </c>
      <c r="O26" t="s">
        <v>39</v>
      </c>
    </row>
    <row r="27" spans="1:21" x14ac:dyDescent="0.25">
      <c r="B27" s="29" t="s">
        <v>46</v>
      </c>
      <c r="C27" s="18"/>
      <c r="D27"/>
      <c r="G27" s="20" t="s">
        <v>41</v>
      </c>
      <c r="L27" s="24">
        <v>20</v>
      </c>
      <c r="M27" s="1">
        <f>((M26-L26)/(N26-L26))*(N27-L27)+L27</f>
        <v>22</v>
      </c>
      <c r="N27" s="24">
        <v>24</v>
      </c>
      <c r="O27"/>
    </row>
    <row r="28" spans="1:21" x14ac:dyDescent="0.25">
      <c r="B28" s="46" t="s">
        <v>30</v>
      </c>
      <c r="C28" s="23" t="s">
        <v>31</v>
      </c>
      <c r="D28" s="47" t="s">
        <v>21</v>
      </c>
      <c r="E28" s="3" t="str">
        <f>CONCATENATE(Q23,R23,S23)</f>
        <v xml:space="preserve">139 k </v>
      </c>
      <c r="G28" s="20" t="s">
        <v>37</v>
      </c>
      <c r="H28" s="26">
        <f>HLOOKUP(C26,L26:N27,2)</f>
        <v>24</v>
      </c>
      <c r="I28" t="s">
        <v>40</v>
      </c>
    </row>
    <row r="29" spans="1:21" x14ac:dyDescent="0.25">
      <c r="B29" s="46"/>
      <c r="C29" s="17" t="s">
        <v>32</v>
      </c>
      <c r="D29" s="48"/>
      <c r="E29" s="18" t="str">
        <f>CONCATENATE(K30,L30,M30,N30,O30,P30,Q30,R30,S30,T30,U30,V30,W30)</f>
        <v>24 x 0.6 ksi</v>
      </c>
      <c r="G29" s="20" t="s">
        <v>38</v>
      </c>
      <c r="H29" s="28" t="str">
        <f>CONCATENATE(L29,M29,N29,O29,P29,Q29,R29)</f>
        <v>0.6 x λ = 0.6 x 1 = 0.6</v>
      </c>
      <c r="L29" s="27">
        <v>0.6</v>
      </c>
      <c r="M29" t="s">
        <v>43</v>
      </c>
      <c r="N29" s="1">
        <f>L29</f>
        <v>0.6</v>
      </c>
      <c r="O29" t="s">
        <v>15</v>
      </c>
      <c r="P29" s="21">
        <v>1</v>
      </c>
      <c r="Q29" t="s">
        <v>21</v>
      </c>
      <c r="R29" s="1">
        <f>N29*P29</f>
        <v>0.6</v>
      </c>
    </row>
    <row r="30" spans="1:21" x14ac:dyDescent="0.25">
      <c r="L30" s="1">
        <f>H28</f>
        <v>24</v>
      </c>
      <c r="M30" t="s">
        <v>15</v>
      </c>
      <c r="N30" s="1">
        <f>R29</f>
        <v>0.6</v>
      </c>
      <c r="O30" t="s">
        <v>44</v>
      </c>
    </row>
    <row r="31" spans="1:21" x14ac:dyDescent="0.25">
      <c r="B31" s="20" t="s">
        <v>30</v>
      </c>
      <c r="C31" s="2" t="str">
        <f>CONCATENATE(K31,L31,M31,N31,O31,P31,Q31,R31,S31,T31,U31,V31,W31)</f>
        <v>9.65 sq in</v>
      </c>
      <c r="L31" s="1">
        <f>ROUND(Q23/(L30*N30),2)</f>
        <v>9.65</v>
      </c>
      <c r="M31" t="s">
        <v>45</v>
      </c>
    </row>
    <row r="32" spans="1:21" x14ac:dyDescent="0.25">
      <c r="A32" s="29" t="s">
        <v>47</v>
      </c>
    </row>
    <row r="33" spans="1:26" x14ac:dyDescent="0.25">
      <c r="A33" s="20" t="s">
        <v>48</v>
      </c>
      <c r="B33" s="2" t="str">
        <f>CONCATENATE(K33,L33,M33,N33,O33,P33,Q33,R33,S33,T33,U33,V33,W33)</f>
        <v xml:space="preserve"># 5 Bars x 6 bars per wing x 2 legs per bar = 0.31 sq in x 6 x 2 = </v>
      </c>
      <c r="L33" t="s">
        <v>49</v>
      </c>
      <c r="M33" s="27">
        <v>6</v>
      </c>
      <c r="N33" t="s">
        <v>78</v>
      </c>
      <c r="O33" s="27">
        <v>2</v>
      </c>
      <c r="P33" t="s">
        <v>51</v>
      </c>
      <c r="Q33" s="21">
        <v>0.31</v>
      </c>
      <c r="R33" t="s">
        <v>79</v>
      </c>
      <c r="S33" s="1">
        <f>M33</f>
        <v>6</v>
      </c>
      <c r="T33" t="s">
        <v>15</v>
      </c>
      <c r="U33" s="1">
        <f>O33</f>
        <v>2</v>
      </c>
      <c r="V33" t="s">
        <v>21</v>
      </c>
    </row>
    <row r="34" spans="1:26" x14ac:dyDescent="0.25">
      <c r="A34" s="20" t="s">
        <v>48</v>
      </c>
      <c r="B34" s="2" t="str">
        <f>CONCATENATE(K34,L34,M34,N34,O34,P34,Q34,R34,S34,T34,U34,V34,W34)</f>
        <v>3.72 sq in</v>
      </c>
      <c r="C34" s="42"/>
      <c r="L34" s="1">
        <f>Q33*S33*U33</f>
        <v>3.7199999999999998</v>
      </c>
      <c r="M34" t="s">
        <v>45</v>
      </c>
    </row>
    <row r="36" spans="1:26" x14ac:dyDescent="0.25">
      <c r="A36" s="43" t="s">
        <v>76</v>
      </c>
    </row>
    <row r="37" spans="1:26" x14ac:dyDescent="0.25">
      <c r="A37" s="43" t="s">
        <v>80</v>
      </c>
      <c r="F37" s="44">
        <f>L34+(8*2*0.44)</f>
        <v>10.76</v>
      </c>
      <c r="G37" s="43" t="s">
        <v>81</v>
      </c>
      <c r="H37" s="44" t="str">
        <f>C31</f>
        <v>9.65 sq in</v>
      </c>
    </row>
    <row r="39" spans="1:26" x14ac:dyDescent="0.25">
      <c r="A39" t="s">
        <v>57</v>
      </c>
    </row>
    <row r="40" spans="1:26" x14ac:dyDescent="0.25">
      <c r="A40" s="20" t="s">
        <v>56</v>
      </c>
      <c r="B40" s="2" t="str">
        <f>CONCATENATE(K40,L40,M40,N40,O40,P40,Q40,R40,S40,T40,U40,V40,W40,X40,Y40,Z40,AA40)</f>
        <v>(8 + 0.02L + 0.08H) (1 + 0.000125 S^2)</v>
      </c>
      <c r="K40" t="s">
        <v>53</v>
      </c>
      <c r="L40" s="21">
        <v>8</v>
      </c>
      <c r="M40" t="s">
        <v>20</v>
      </c>
      <c r="N40" s="21">
        <v>0.02</v>
      </c>
      <c r="O40" t="s">
        <v>58</v>
      </c>
      <c r="P40" t="s">
        <v>20</v>
      </c>
      <c r="Q40" s="21">
        <v>0.08</v>
      </c>
      <c r="R40" t="s">
        <v>59</v>
      </c>
      <c r="S40" s="21">
        <v>1</v>
      </c>
      <c r="T40" t="s">
        <v>20</v>
      </c>
      <c r="U40" s="21">
        <v>1.25E-4</v>
      </c>
      <c r="V40" t="s">
        <v>60</v>
      </c>
      <c r="W40" s="21">
        <v>2</v>
      </c>
      <c r="X40" t="s">
        <v>54</v>
      </c>
    </row>
    <row r="41" spans="1:26" x14ac:dyDescent="0.25">
      <c r="A41" s="20"/>
      <c r="K41"/>
      <c r="M41"/>
      <c r="O41"/>
      <c r="Q41"/>
      <c r="S41"/>
    </row>
    <row r="42" spans="1:26" x14ac:dyDescent="0.25">
      <c r="A42" s="30" t="s">
        <v>61</v>
      </c>
      <c r="E42" s="30" t="s">
        <v>67</v>
      </c>
    </row>
    <row r="43" spans="1:26" x14ac:dyDescent="0.25">
      <c r="A43" s="20" t="s">
        <v>62</v>
      </c>
      <c r="B43" s="25">
        <f>(11.67+6.54)/2</f>
        <v>9.1050000000000004</v>
      </c>
      <c r="C43" t="s">
        <v>65</v>
      </c>
      <c r="D43"/>
      <c r="E43" s="20" t="s">
        <v>62</v>
      </c>
      <c r="F43" s="25">
        <v>11.67</v>
      </c>
      <c r="G43" t="s">
        <v>65</v>
      </c>
      <c r="K43" s="28"/>
      <c r="L43"/>
    </row>
    <row r="44" spans="1:26" x14ac:dyDescent="0.25">
      <c r="A44" s="20" t="s">
        <v>63</v>
      </c>
      <c r="B44" s="25">
        <v>147.78</v>
      </c>
      <c r="C44" t="s">
        <v>65</v>
      </c>
      <c r="D44"/>
      <c r="E44" s="20" t="s">
        <v>63</v>
      </c>
      <c r="F44" s="25">
        <v>147.78</v>
      </c>
      <c r="G44" t="s">
        <v>65</v>
      </c>
      <c r="K44" s="28"/>
      <c r="L44"/>
    </row>
    <row r="45" spans="1:26" ht="15.75" thickBot="1" x14ac:dyDescent="0.3">
      <c r="A45" s="20" t="s">
        <v>64</v>
      </c>
      <c r="B45" s="25">
        <v>20</v>
      </c>
      <c r="C45" t="s">
        <v>66</v>
      </c>
      <c r="D45"/>
      <c r="E45" s="20" t="s">
        <v>64</v>
      </c>
      <c r="F45" s="25">
        <v>20</v>
      </c>
      <c r="G45" t="s">
        <v>66</v>
      </c>
      <c r="K45" s="28"/>
      <c r="L45"/>
    </row>
    <row r="46" spans="1:26" x14ac:dyDescent="0.25">
      <c r="K46" s="49" t="s">
        <v>68</v>
      </c>
      <c r="L46" s="50"/>
      <c r="M46" s="50"/>
      <c r="N46" s="50"/>
      <c r="O46" s="50"/>
      <c r="P46" s="50"/>
      <c r="Q46" s="51"/>
      <c r="T46" s="49" t="s">
        <v>69</v>
      </c>
      <c r="U46" s="50"/>
      <c r="V46" s="50"/>
      <c r="W46" s="50"/>
      <c r="X46" s="50"/>
      <c r="Y46" s="50"/>
      <c r="Z46" s="51"/>
    </row>
    <row r="47" spans="1:26" x14ac:dyDescent="0.25">
      <c r="A47" s="20" t="s">
        <v>56</v>
      </c>
      <c r="B47" s="2" t="str">
        <f>CONCATENATE(K47,L47,M47,N47,O47,P47,Q7,Q47)</f>
        <v>11.7 in x 1.1 = 12.87 in</v>
      </c>
      <c r="E47" s="20" t="s">
        <v>56</v>
      </c>
      <c r="F47" s="2" t="str">
        <f>CONCATENATE(T47,U47,V47,W47,X47,Y47,U7,Z47)</f>
        <v>11.9 in x 1.1 = 13.09 in</v>
      </c>
      <c r="K47" s="33">
        <f>ROUND(L40+N40*B44+Q40*B43,1)</f>
        <v>11.7</v>
      </c>
      <c r="L47" s="32" t="s">
        <v>72</v>
      </c>
      <c r="M47" s="31">
        <f>ROUND(S40+(U40*(B45^W40)),1)</f>
        <v>1.1000000000000001</v>
      </c>
      <c r="N47" s="32" t="s">
        <v>21</v>
      </c>
      <c r="O47" s="31">
        <f>K47*M47</f>
        <v>12.870000000000001</v>
      </c>
      <c r="P47" s="32" t="s">
        <v>55</v>
      </c>
      <c r="Q47" s="34"/>
      <c r="S47"/>
      <c r="T47" s="33">
        <f>ROUND(L40+N40*F44+Q40*F43,1)</f>
        <v>11.9</v>
      </c>
      <c r="U47" s="32" t="s">
        <v>72</v>
      </c>
      <c r="V47" s="31">
        <f>ROUND(S40+(U40*(F45^W40)),1)</f>
        <v>1.1000000000000001</v>
      </c>
      <c r="W47" s="32" t="s">
        <v>21</v>
      </c>
      <c r="X47" s="31">
        <f>T47*V47</f>
        <v>13.090000000000002</v>
      </c>
      <c r="Y47" s="32" t="s">
        <v>55</v>
      </c>
      <c r="Z47" s="34"/>
    </row>
    <row r="48" spans="1:26" ht="15.75" thickBot="1" x14ac:dyDescent="0.3">
      <c r="A48" s="20" t="s">
        <v>56</v>
      </c>
      <c r="B48" s="2" t="str">
        <f>CONCATENATE(K48,L48,M48,N48,O48,P48,Q8,Q48)</f>
        <v xml:space="preserve">12.87 in  &lt;  39 in  O.K. </v>
      </c>
      <c r="E48" s="20" t="s">
        <v>56</v>
      </c>
      <c r="F48" s="2" t="str">
        <f>CONCATENATE(T48,U48,V48,W48,X48,Y48,U8,Z48)</f>
        <v xml:space="preserve">13.09 in  &lt;  30 in  O.K. </v>
      </c>
      <c r="K48" s="35">
        <f>O47</f>
        <v>12.870000000000001</v>
      </c>
      <c r="L48" s="36" t="s">
        <v>55</v>
      </c>
      <c r="M48" s="37" t="str">
        <f>IF(K48&lt;N48,"  &lt;  ", " &gt; ")</f>
        <v xml:space="preserve">  &lt;  </v>
      </c>
      <c r="N48" s="38">
        <v>39</v>
      </c>
      <c r="O48" s="36" t="s">
        <v>55</v>
      </c>
      <c r="P48" s="37" t="str">
        <f>IF(K48&lt;N48,"  O.K. ","Increase Beam Seat Width")</f>
        <v xml:space="preserve">  O.K. </v>
      </c>
      <c r="Q48" s="39"/>
      <c r="T48" s="35">
        <f>X47</f>
        <v>13.090000000000002</v>
      </c>
      <c r="U48" s="36" t="s">
        <v>55</v>
      </c>
      <c r="V48" s="37" t="str">
        <f>IF(T48&lt;W48,"  &lt;  ", " &gt; ")</f>
        <v xml:space="preserve">  &lt;  </v>
      </c>
      <c r="W48" s="38">
        <v>30</v>
      </c>
      <c r="X48" s="36" t="s">
        <v>55</v>
      </c>
      <c r="Y48" s="37" t="str">
        <f>IF(T48&lt;W48,"  O.K. ","Increase Beam Seat Width")</f>
        <v xml:space="preserve">  O.K. </v>
      </c>
      <c r="Z48" s="39"/>
    </row>
    <row r="49" spans="1:1" x14ac:dyDescent="0.25">
      <c r="A49" s="40" t="str">
        <f ca="1">CELL("filename")</f>
        <v>c:\users\mclark3\appdata\local\bentley\projectwise\workingdir\ohiodot-pw.bentley.com_ohiodot-pw-02\michael.clark@dot.ohio.gov\d0512215\[108525_Seismic_Calcs.xlsx]Revised</v>
      </c>
    </row>
    <row r="50" spans="1:1" x14ac:dyDescent="0.25">
      <c r="A50" s="40"/>
    </row>
  </sheetData>
  <mergeCells count="6">
    <mergeCell ref="T46:Z46"/>
    <mergeCell ref="A1:A5"/>
    <mergeCell ref="B8:I9"/>
    <mergeCell ref="B28:B29"/>
    <mergeCell ref="D28:D29"/>
    <mergeCell ref="K46:Q46"/>
  </mergeCells>
  <pageMargins left="0.7" right="0.5" top="0.5" bottom="0.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Original</vt:lpstr>
      <vt:lpstr>Revised</vt:lpstr>
      <vt:lpstr>Sheet2</vt:lpstr>
      <vt:lpstr>Sheet3</vt:lpstr>
      <vt:lpstr>Original!Print_Area</vt:lpstr>
      <vt:lpstr>Revised!Print_Area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2024-10-22T17:27:31Z</dcterms:modified>
</cp:coreProperties>
</file>