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791\"/>
    </mc:Choice>
  </mc:AlternateContent>
  <xr:revisionPtr revIDLastSave="0" documentId="13_ncr:1_{0BB23C51-52C6-4DB3-978A-BFFE7216093E}" xr6:coauthVersionLast="47" xr6:coauthVersionMax="47" xr10:uidLastSave="{00000000-0000-0000-0000-000000000000}"/>
  <bookViews>
    <workbookView xWindow="28680" yWindow="-120" windowWidth="29040" windowHeight="15720" tabRatio="738" activeTab="9" xr2:uid="{A04C8CDB-6868-4363-AAAB-92EFC342769C}"/>
  </bookViews>
  <sheets>
    <sheet name="TEMP PAVT" sheetId="6" r:id="rId1"/>
    <sheet name="PRE-PHASE 1" sheetId="5" r:id="rId2"/>
    <sheet name="PHASE 1" sheetId="1" r:id="rId3"/>
    <sheet name="PHASE 2A" sheetId="2" r:id="rId4"/>
    <sheet name="PHASE 2B" sheetId="3" r:id="rId5"/>
    <sheet name="PHASE 2C" sheetId="4" r:id="rId6"/>
    <sheet name="PHASE 3A" sheetId="7" r:id="rId7"/>
    <sheet name="PHASE 3B" sheetId="8" r:id="rId8"/>
    <sheet name="PHASE 3C" sheetId="9" r:id="rId9"/>
    <sheet name="TOTALS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6" i="10" l="1"/>
  <c r="Z37" i="10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21" i="2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21" i="1"/>
  <c r="Q26" i="10"/>
  <c r="T73" i="10"/>
  <c r="T35" i="10"/>
  <c r="T34" i="10"/>
  <c r="T33" i="10"/>
  <c r="T32" i="10"/>
  <c r="T31" i="10"/>
  <c r="T30" i="10"/>
  <c r="T37" i="10" s="1"/>
  <c r="T24" i="10"/>
  <c r="T22" i="10"/>
  <c r="T75" i="9"/>
  <c r="T39" i="9"/>
  <c r="T38" i="9"/>
  <c r="T34" i="9"/>
  <c r="T33" i="9"/>
  <c r="T32" i="8"/>
  <c r="T31" i="8"/>
  <c r="T28" i="8"/>
  <c r="T27" i="8"/>
  <c r="T75" i="8" s="1"/>
  <c r="T67" i="7"/>
  <c r="T75" i="7" s="1"/>
  <c r="T66" i="7"/>
  <c r="T65" i="7"/>
  <c r="T64" i="7"/>
  <c r="T63" i="7"/>
  <c r="T60" i="7"/>
  <c r="T59" i="7"/>
  <c r="T40" i="7"/>
  <c r="T39" i="7"/>
  <c r="T38" i="7"/>
  <c r="T34" i="7"/>
  <c r="T33" i="7"/>
  <c r="T32" i="7"/>
  <c r="T28" i="7"/>
  <c r="T75" i="4" l="1"/>
  <c r="T69" i="4"/>
  <c r="T40" i="4"/>
  <c r="T39" i="4"/>
  <c r="T33" i="4"/>
  <c r="T32" i="3"/>
  <c r="T28" i="3"/>
  <c r="T75" i="3" s="1"/>
  <c r="T67" i="2"/>
  <c r="T66" i="2"/>
  <c r="T65" i="2"/>
  <c r="T64" i="2"/>
  <c r="T63" i="2"/>
  <c r="T60" i="2"/>
  <c r="T59" i="2"/>
  <c r="T58" i="2"/>
  <c r="T40" i="2"/>
  <c r="T39" i="2"/>
  <c r="T38" i="2"/>
  <c r="T37" i="2"/>
  <c r="T34" i="2"/>
  <c r="T33" i="2"/>
  <c r="T31" i="2"/>
  <c r="T29" i="2"/>
  <c r="T28" i="2"/>
  <c r="T27" i="2"/>
  <c r="T75" i="2" s="1"/>
  <c r="T71" i="4" s="1"/>
  <c r="T67" i="1"/>
  <c r="T66" i="1"/>
  <c r="T65" i="1"/>
  <c r="T64" i="1"/>
  <c r="T63" i="1"/>
  <c r="T61" i="1"/>
  <c r="T60" i="1"/>
  <c r="T59" i="1"/>
  <c r="T58" i="1"/>
  <c r="T40" i="1"/>
  <c r="T39" i="1"/>
  <c r="T38" i="1"/>
  <c r="T37" i="1"/>
  <c r="T34" i="1"/>
  <c r="T33" i="1"/>
  <c r="T32" i="1"/>
  <c r="T31" i="1"/>
  <c r="T29" i="1"/>
  <c r="T28" i="1"/>
  <c r="T27" i="1"/>
  <c r="T69" i="1" s="1"/>
  <c r="T75" i="5"/>
  <c r="T23" i="10" s="1"/>
  <c r="T26" i="10" s="1"/>
  <c r="G37" i="10"/>
  <c r="G26" i="10"/>
  <c r="G72" i="10"/>
  <c r="G75" i="10" s="1"/>
  <c r="G22" i="10"/>
  <c r="G75" i="6"/>
  <c r="T69" i="9"/>
  <c r="T75" i="6"/>
  <c r="P26" i="5"/>
  <c r="P25" i="5"/>
  <c r="Q37" i="5"/>
  <c r="AA42" i="4"/>
  <c r="N42" i="4"/>
  <c r="M42" i="4"/>
  <c r="AA42" i="3"/>
  <c r="O42" i="3"/>
  <c r="M42" i="3"/>
  <c r="AA41" i="3"/>
  <c r="O41" i="3"/>
  <c r="M41" i="3"/>
  <c r="AA42" i="2"/>
  <c r="O42" i="2"/>
  <c r="O41" i="2"/>
  <c r="N63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26" i="2"/>
  <c r="N25" i="2"/>
  <c r="N24" i="2"/>
  <c r="M42" i="2"/>
  <c r="AA41" i="2"/>
  <c r="M41" i="2"/>
  <c r="I40" i="2"/>
  <c r="I41" i="2"/>
  <c r="AA40" i="2"/>
  <c r="M40" i="2"/>
  <c r="E31" i="10"/>
  <c r="L31" i="10"/>
  <c r="N24" i="10"/>
  <c r="W24" i="10"/>
  <c r="D23" i="10"/>
  <c r="E23" i="10"/>
  <c r="F23" i="10"/>
  <c r="H23" i="10"/>
  <c r="AA44" i="9"/>
  <c r="O44" i="9"/>
  <c r="M44" i="9"/>
  <c r="AA43" i="9"/>
  <c r="O43" i="9"/>
  <c r="M43" i="9"/>
  <c r="O42" i="9"/>
  <c r="M42" i="9"/>
  <c r="AA42" i="9"/>
  <c r="AA75" i="9" s="1"/>
  <c r="AA35" i="10" s="1"/>
  <c r="Q39" i="9"/>
  <c r="S38" i="9"/>
  <c r="Q38" i="9"/>
  <c r="K38" i="9"/>
  <c r="S37" i="9"/>
  <c r="Q37" i="9"/>
  <c r="K37" i="9"/>
  <c r="S35" i="9"/>
  <c r="Q35" i="9"/>
  <c r="K35" i="9"/>
  <c r="S34" i="9"/>
  <c r="K34" i="9"/>
  <c r="K75" i="9" s="1"/>
  <c r="K35" i="10" s="1"/>
  <c r="Q34" i="9"/>
  <c r="Q33" i="9"/>
  <c r="J31" i="8"/>
  <c r="J30" i="8"/>
  <c r="J29" i="8"/>
  <c r="J28" i="8"/>
  <c r="S35" i="7"/>
  <c r="AB75" i="9"/>
  <c r="AB35" i="10" s="1"/>
  <c r="Z75" i="9"/>
  <c r="Z35" i="10" s="1"/>
  <c r="Y75" i="9"/>
  <c r="Y35" i="10" s="1"/>
  <c r="X75" i="9"/>
  <c r="X35" i="10" s="1"/>
  <c r="W75" i="9"/>
  <c r="W35" i="10" s="1"/>
  <c r="V75" i="9"/>
  <c r="V35" i="10" s="1"/>
  <c r="N75" i="9"/>
  <c r="N35" i="10" s="1"/>
  <c r="L75" i="9"/>
  <c r="L35" i="10" s="1"/>
  <c r="J75" i="9"/>
  <c r="J35" i="10" s="1"/>
  <c r="I75" i="9"/>
  <c r="I35" i="10" s="1"/>
  <c r="H69" i="9"/>
  <c r="H75" i="9" s="1"/>
  <c r="H35" i="10" s="1"/>
  <c r="F69" i="9"/>
  <c r="F75" i="9" s="1"/>
  <c r="F35" i="10" s="1"/>
  <c r="E69" i="9"/>
  <c r="E75" i="9" s="1"/>
  <c r="E35" i="10" s="1"/>
  <c r="D69" i="9"/>
  <c r="D75" i="9" s="1"/>
  <c r="D35" i="10" s="1"/>
  <c r="C69" i="9"/>
  <c r="C75" i="9" s="1"/>
  <c r="C35" i="10" s="1"/>
  <c r="AA44" i="8"/>
  <c r="O44" i="8"/>
  <c r="M44" i="8"/>
  <c r="AA43" i="8"/>
  <c r="O43" i="8"/>
  <c r="M43" i="8"/>
  <c r="AA42" i="8"/>
  <c r="O42" i="8"/>
  <c r="M42" i="8"/>
  <c r="I42" i="8"/>
  <c r="AA39" i="8"/>
  <c r="Q39" i="8"/>
  <c r="O39" i="8"/>
  <c r="M39" i="8"/>
  <c r="Q38" i="8"/>
  <c r="M38" i="8"/>
  <c r="O38" i="8"/>
  <c r="AA38" i="8"/>
  <c r="M37" i="8"/>
  <c r="O37" i="8"/>
  <c r="AA37" i="8"/>
  <c r="M36" i="8"/>
  <c r="O36" i="8"/>
  <c r="AA36" i="8"/>
  <c r="AA35" i="8"/>
  <c r="M35" i="8"/>
  <c r="O35" i="8"/>
  <c r="M34" i="8"/>
  <c r="O34" i="8"/>
  <c r="AA34" i="8"/>
  <c r="Q34" i="8"/>
  <c r="AA33" i="8"/>
  <c r="Q33" i="8"/>
  <c r="O33" i="8"/>
  <c r="M33" i="8"/>
  <c r="AA32" i="8"/>
  <c r="Q32" i="8"/>
  <c r="O32" i="8"/>
  <c r="M32" i="8"/>
  <c r="AA31" i="8"/>
  <c r="O31" i="8"/>
  <c r="M31" i="8"/>
  <c r="S31" i="8"/>
  <c r="Q31" i="8"/>
  <c r="S30" i="8"/>
  <c r="Q30" i="8"/>
  <c r="S29" i="8"/>
  <c r="Q29" i="8"/>
  <c r="S28" i="8"/>
  <c r="Q28" i="8"/>
  <c r="Q27" i="8"/>
  <c r="Z75" i="8"/>
  <c r="Z34" i="10" s="1"/>
  <c r="Y75" i="8"/>
  <c r="Y34" i="10" s="1"/>
  <c r="X75" i="8"/>
  <c r="X34" i="10" s="1"/>
  <c r="W75" i="8"/>
  <c r="W34" i="10" s="1"/>
  <c r="V75" i="8"/>
  <c r="V34" i="10" s="1"/>
  <c r="N75" i="8"/>
  <c r="N34" i="10" s="1"/>
  <c r="I75" i="8"/>
  <c r="I34" i="10" s="1"/>
  <c r="H69" i="8"/>
  <c r="H75" i="8" s="1"/>
  <c r="H34" i="10" s="1"/>
  <c r="F69" i="8"/>
  <c r="F75" i="8" s="1"/>
  <c r="F34" i="10" s="1"/>
  <c r="E69" i="8"/>
  <c r="E75" i="8" s="1"/>
  <c r="E34" i="10" s="1"/>
  <c r="D69" i="8"/>
  <c r="D75" i="8" s="1"/>
  <c r="D34" i="10" s="1"/>
  <c r="C69" i="8"/>
  <c r="C75" i="8" s="1"/>
  <c r="C34" i="10" s="1"/>
  <c r="AB75" i="8"/>
  <c r="AB34" i="10" s="1"/>
  <c r="R75" i="8"/>
  <c r="R34" i="10" s="1"/>
  <c r="P75" i="8"/>
  <c r="P34" i="10" s="1"/>
  <c r="L75" i="8"/>
  <c r="L34" i="10" s="1"/>
  <c r="K75" i="8"/>
  <c r="K34" i="10" s="1"/>
  <c r="I75" i="7"/>
  <c r="I33" i="10" s="1"/>
  <c r="J75" i="7"/>
  <c r="J33" i="10" s="1"/>
  <c r="N75" i="7"/>
  <c r="N33" i="10" s="1"/>
  <c r="V75" i="7"/>
  <c r="V33" i="10" s="1"/>
  <c r="W75" i="7"/>
  <c r="W33" i="10" s="1"/>
  <c r="X75" i="7"/>
  <c r="X33" i="10" s="1"/>
  <c r="Y75" i="7"/>
  <c r="Y33" i="10" s="1"/>
  <c r="Z75" i="7"/>
  <c r="Z33" i="10" s="1"/>
  <c r="R67" i="7"/>
  <c r="Q67" i="7"/>
  <c r="P67" i="7"/>
  <c r="P66" i="7"/>
  <c r="K67" i="7"/>
  <c r="S66" i="7"/>
  <c r="Q66" i="7"/>
  <c r="R66" i="7"/>
  <c r="K66" i="7"/>
  <c r="S65" i="7"/>
  <c r="AA65" i="7"/>
  <c r="AB65" i="7"/>
  <c r="P65" i="7"/>
  <c r="Q65" i="7"/>
  <c r="R65" i="7"/>
  <c r="M65" i="7"/>
  <c r="K65" i="7"/>
  <c r="L65" i="7"/>
  <c r="S64" i="7"/>
  <c r="Q64" i="7"/>
  <c r="M64" i="7"/>
  <c r="P64" i="7"/>
  <c r="R64" i="7"/>
  <c r="AA64" i="7"/>
  <c r="AB64" i="7"/>
  <c r="L64" i="7"/>
  <c r="K64" i="7"/>
  <c r="S63" i="7"/>
  <c r="Q63" i="7"/>
  <c r="K63" i="7"/>
  <c r="L63" i="7"/>
  <c r="M63" i="7"/>
  <c r="P63" i="7"/>
  <c r="R63" i="7"/>
  <c r="AA63" i="7"/>
  <c r="AB63" i="7"/>
  <c r="S62" i="7"/>
  <c r="K62" i="7"/>
  <c r="M62" i="7"/>
  <c r="P62" i="7"/>
  <c r="Q62" i="7"/>
  <c r="R62" i="7"/>
  <c r="AA62" i="7"/>
  <c r="AB62" i="7"/>
  <c r="S61" i="7"/>
  <c r="M61" i="7"/>
  <c r="P61" i="7"/>
  <c r="Q61" i="7"/>
  <c r="R61" i="7"/>
  <c r="AA61" i="7"/>
  <c r="AB61" i="7"/>
  <c r="K61" i="7"/>
  <c r="K60" i="7"/>
  <c r="AA60" i="7"/>
  <c r="S60" i="7"/>
  <c r="P60" i="7"/>
  <c r="Q60" i="7"/>
  <c r="R60" i="7"/>
  <c r="AB60" i="7"/>
  <c r="M60" i="7"/>
  <c r="AA59" i="7"/>
  <c r="M59" i="7"/>
  <c r="P59" i="7"/>
  <c r="Q59" i="7"/>
  <c r="R59" i="7"/>
  <c r="AB59" i="7"/>
  <c r="K59" i="7"/>
  <c r="K58" i="7"/>
  <c r="M58" i="7"/>
  <c r="O58" i="7"/>
  <c r="P58" i="7"/>
  <c r="Q58" i="7"/>
  <c r="R58" i="7"/>
  <c r="AA58" i="7"/>
  <c r="AB58" i="7"/>
  <c r="K57" i="7"/>
  <c r="M57" i="7"/>
  <c r="O57" i="7"/>
  <c r="P57" i="7"/>
  <c r="Q57" i="7"/>
  <c r="R57" i="7"/>
  <c r="AA57" i="7"/>
  <c r="AB57" i="7"/>
  <c r="K56" i="7"/>
  <c r="M56" i="7"/>
  <c r="O56" i="7"/>
  <c r="P56" i="7"/>
  <c r="Q56" i="7"/>
  <c r="R56" i="7"/>
  <c r="AA56" i="7"/>
  <c r="AB56" i="7"/>
  <c r="K55" i="7"/>
  <c r="M55" i="7"/>
  <c r="O55" i="7"/>
  <c r="P55" i="7"/>
  <c r="Q55" i="7"/>
  <c r="R55" i="7"/>
  <c r="AA55" i="7"/>
  <c r="AB55" i="7"/>
  <c r="K54" i="7"/>
  <c r="M54" i="7"/>
  <c r="O54" i="7"/>
  <c r="P54" i="7"/>
  <c r="Q54" i="7"/>
  <c r="R54" i="7"/>
  <c r="AA54" i="7"/>
  <c r="AB54" i="7"/>
  <c r="K53" i="7"/>
  <c r="M53" i="7"/>
  <c r="O53" i="7"/>
  <c r="P53" i="7"/>
  <c r="Q53" i="7"/>
  <c r="R53" i="7"/>
  <c r="AA53" i="7"/>
  <c r="AB53" i="7"/>
  <c r="K52" i="7"/>
  <c r="M52" i="7"/>
  <c r="O52" i="7"/>
  <c r="P52" i="7"/>
  <c r="Q52" i="7"/>
  <c r="R52" i="7"/>
  <c r="AA52" i="7"/>
  <c r="AB52" i="7"/>
  <c r="K51" i="7"/>
  <c r="M51" i="7"/>
  <c r="O51" i="7"/>
  <c r="P51" i="7"/>
  <c r="Q51" i="7"/>
  <c r="R51" i="7"/>
  <c r="AA51" i="7"/>
  <c r="AB51" i="7"/>
  <c r="K50" i="7"/>
  <c r="M50" i="7"/>
  <c r="O50" i="7"/>
  <c r="P50" i="7"/>
  <c r="Q50" i="7"/>
  <c r="R50" i="7"/>
  <c r="AA50" i="7"/>
  <c r="AB50" i="7"/>
  <c r="K49" i="7"/>
  <c r="M49" i="7"/>
  <c r="O49" i="7"/>
  <c r="P49" i="7"/>
  <c r="Q49" i="7"/>
  <c r="R49" i="7"/>
  <c r="AA49" i="7"/>
  <c r="AB49" i="7"/>
  <c r="K47" i="7"/>
  <c r="K48" i="7"/>
  <c r="M48" i="7"/>
  <c r="O48" i="7"/>
  <c r="P48" i="7"/>
  <c r="Q48" i="7"/>
  <c r="R48" i="7"/>
  <c r="AA48" i="7"/>
  <c r="AB48" i="7"/>
  <c r="M47" i="7"/>
  <c r="O47" i="7"/>
  <c r="P47" i="7"/>
  <c r="Q47" i="7"/>
  <c r="R47" i="7"/>
  <c r="AA47" i="7"/>
  <c r="AB47" i="7"/>
  <c r="K46" i="7"/>
  <c r="M46" i="7"/>
  <c r="O46" i="7"/>
  <c r="P46" i="7"/>
  <c r="Q46" i="7"/>
  <c r="R46" i="7"/>
  <c r="AA46" i="7"/>
  <c r="AB46" i="7"/>
  <c r="K45" i="7"/>
  <c r="M45" i="7"/>
  <c r="O45" i="7"/>
  <c r="P45" i="7"/>
  <c r="Q45" i="7"/>
  <c r="R45" i="7"/>
  <c r="AA45" i="7"/>
  <c r="AB45" i="7"/>
  <c r="M44" i="7"/>
  <c r="O44" i="7"/>
  <c r="P44" i="7"/>
  <c r="Q44" i="7"/>
  <c r="R44" i="7"/>
  <c r="AA44" i="7"/>
  <c r="AB44" i="7"/>
  <c r="K44" i="7"/>
  <c r="AA43" i="7"/>
  <c r="AB43" i="7"/>
  <c r="Q43" i="7"/>
  <c r="O43" i="7"/>
  <c r="P43" i="7"/>
  <c r="R43" i="7"/>
  <c r="M43" i="7"/>
  <c r="K43" i="7"/>
  <c r="AA42" i="7"/>
  <c r="AB42" i="7"/>
  <c r="S42" i="7"/>
  <c r="Q42" i="7"/>
  <c r="O42" i="7"/>
  <c r="P42" i="7"/>
  <c r="R42" i="7"/>
  <c r="M42" i="7"/>
  <c r="K42" i="7"/>
  <c r="AB41" i="7"/>
  <c r="AA41" i="7"/>
  <c r="S41" i="7"/>
  <c r="P41" i="7"/>
  <c r="Q41" i="7"/>
  <c r="R41" i="7"/>
  <c r="O41" i="7"/>
  <c r="M41" i="7"/>
  <c r="K41" i="7"/>
  <c r="AB40" i="7"/>
  <c r="AA40" i="7"/>
  <c r="P40" i="7"/>
  <c r="Q40" i="7"/>
  <c r="R40" i="7"/>
  <c r="O40" i="7"/>
  <c r="M40" i="7"/>
  <c r="K40" i="7"/>
  <c r="AB39" i="7"/>
  <c r="AA39" i="7"/>
  <c r="P39" i="7"/>
  <c r="Q39" i="7"/>
  <c r="R39" i="7"/>
  <c r="O39" i="7"/>
  <c r="M39" i="7"/>
  <c r="K39" i="7"/>
  <c r="AB38" i="7"/>
  <c r="AA38" i="7"/>
  <c r="S38" i="7"/>
  <c r="P38" i="7"/>
  <c r="Q38" i="7"/>
  <c r="R38" i="7"/>
  <c r="M38" i="7"/>
  <c r="K38" i="7"/>
  <c r="AB37" i="7"/>
  <c r="AA37" i="7"/>
  <c r="S37" i="7"/>
  <c r="P37" i="7"/>
  <c r="Q37" i="7"/>
  <c r="R37" i="7"/>
  <c r="M37" i="7"/>
  <c r="K37" i="7"/>
  <c r="AA36" i="7"/>
  <c r="AA35" i="7"/>
  <c r="AB36" i="7"/>
  <c r="P36" i="7"/>
  <c r="Q36" i="7"/>
  <c r="R36" i="7"/>
  <c r="M36" i="7"/>
  <c r="K36" i="7"/>
  <c r="AB35" i="7"/>
  <c r="AB34" i="7"/>
  <c r="M35" i="7"/>
  <c r="K35" i="7"/>
  <c r="P35" i="7"/>
  <c r="Q35" i="7"/>
  <c r="R35" i="7"/>
  <c r="K34" i="7"/>
  <c r="K32" i="7"/>
  <c r="K29" i="7"/>
  <c r="K28" i="7"/>
  <c r="O34" i="7"/>
  <c r="M34" i="7"/>
  <c r="S34" i="7"/>
  <c r="AA34" i="7"/>
  <c r="P34" i="7"/>
  <c r="Q34" i="7"/>
  <c r="R34" i="7"/>
  <c r="AA33" i="7"/>
  <c r="AB33" i="7"/>
  <c r="P33" i="7"/>
  <c r="Q33" i="7"/>
  <c r="R33" i="7"/>
  <c r="O33" i="7"/>
  <c r="M33" i="7"/>
  <c r="K33" i="7"/>
  <c r="S32" i="7"/>
  <c r="M32" i="7"/>
  <c r="O32" i="7"/>
  <c r="P32" i="7"/>
  <c r="Q32" i="7"/>
  <c r="R32" i="7"/>
  <c r="AA32" i="7"/>
  <c r="AB32" i="7"/>
  <c r="AA31" i="7"/>
  <c r="AB31" i="7"/>
  <c r="O31" i="7"/>
  <c r="P31" i="7"/>
  <c r="Q31" i="7"/>
  <c r="R31" i="7"/>
  <c r="M31" i="7"/>
  <c r="K31" i="7"/>
  <c r="AB30" i="7"/>
  <c r="AA30" i="7"/>
  <c r="P30" i="7"/>
  <c r="Q30" i="7"/>
  <c r="R30" i="7"/>
  <c r="O30" i="7"/>
  <c r="M30" i="7"/>
  <c r="K30" i="7"/>
  <c r="AB29" i="7"/>
  <c r="AA29" i="7"/>
  <c r="S29" i="7"/>
  <c r="P29" i="7"/>
  <c r="Q29" i="7"/>
  <c r="R29" i="7"/>
  <c r="O29" i="7"/>
  <c r="M29" i="7"/>
  <c r="AA28" i="7"/>
  <c r="AB28" i="7"/>
  <c r="S28" i="7"/>
  <c r="O28" i="7"/>
  <c r="M28" i="7"/>
  <c r="AA26" i="7"/>
  <c r="AB26" i="7"/>
  <c r="AA27" i="7"/>
  <c r="AB27" i="7"/>
  <c r="P27" i="7"/>
  <c r="Q27" i="7"/>
  <c r="R27" i="7"/>
  <c r="P28" i="7"/>
  <c r="Q28" i="7"/>
  <c r="R28" i="7"/>
  <c r="O27" i="7"/>
  <c r="M27" i="7"/>
  <c r="K27" i="7"/>
  <c r="P26" i="7"/>
  <c r="Q26" i="7"/>
  <c r="R26" i="7"/>
  <c r="O26" i="7"/>
  <c r="M26" i="7"/>
  <c r="K26" i="7"/>
  <c r="K25" i="7"/>
  <c r="AA25" i="7"/>
  <c r="AA24" i="7"/>
  <c r="AA23" i="7"/>
  <c r="AA22" i="7"/>
  <c r="AB25" i="7"/>
  <c r="AB24" i="7"/>
  <c r="AB23" i="7"/>
  <c r="Q25" i="7"/>
  <c r="P25" i="7"/>
  <c r="R25" i="7"/>
  <c r="O25" i="7"/>
  <c r="M25" i="7"/>
  <c r="O24" i="7"/>
  <c r="M24" i="7"/>
  <c r="S24" i="7"/>
  <c r="Q24" i="7"/>
  <c r="P24" i="7"/>
  <c r="R24" i="7"/>
  <c r="L24" i="7"/>
  <c r="K24" i="7"/>
  <c r="S23" i="7"/>
  <c r="P23" i="7"/>
  <c r="Q23" i="7"/>
  <c r="R23" i="7"/>
  <c r="M23" i="7"/>
  <c r="L23" i="7"/>
  <c r="K23" i="7"/>
  <c r="S22" i="7"/>
  <c r="R22" i="7"/>
  <c r="Q22" i="7"/>
  <c r="P22" i="7"/>
  <c r="O22" i="7"/>
  <c r="M22" i="7"/>
  <c r="L22" i="7"/>
  <c r="K22" i="7"/>
  <c r="S21" i="7"/>
  <c r="R21" i="7"/>
  <c r="Q21" i="7"/>
  <c r="P21" i="7"/>
  <c r="L21" i="7"/>
  <c r="K21" i="7"/>
  <c r="H69" i="7"/>
  <c r="H75" i="7" s="1"/>
  <c r="H33" i="10" s="1"/>
  <c r="F69" i="7"/>
  <c r="F75" i="7" s="1"/>
  <c r="F33" i="10" s="1"/>
  <c r="E69" i="7"/>
  <c r="E75" i="7" s="1"/>
  <c r="E33" i="10" s="1"/>
  <c r="D69" i="7"/>
  <c r="D75" i="7" s="1"/>
  <c r="D33" i="10" s="1"/>
  <c r="C69" i="7"/>
  <c r="C75" i="7" s="1"/>
  <c r="C33" i="10" s="1"/>
  <c r="D69" i="4"/>
  <c r="D75" i="4" s="1"/>
  <c r="D32" i="10" s="1"/>
  <c r="E69" i="4"/>
  <c r="E75" i="4" s="1"/>
  <c r="E32" i="10" s="1"/>
  <c r="F69" i="4"/>
  <c r="F75" i="4" s="1"/>
  <c r="F32" i="10" s="1"/>
  <c r="H69" i="4"/>
  <c r="H75" i="4" s="1"/>
  <c r="H32" i="10" s="1"/>
  <c r="D75" i="3"/>
  <c r="D31" i="10" s="1"/>
  <c r="E75" i="3"/>
  <c r="F75" i="3"/>
  <c r="F31" i="10" s="1"/>
  <c r="H75" i="3"/>
  <c r="H31" i="10" s="1"/>
  <c r="D75" i="2"/>
  <c r="D30" i="10" s="1"/>
  <c r="E75" i="2"/>
  <c r="E30" i="10" s="1"/>
  <c r="F75" i="2"/>
  <c r="F30" i="10" s="1"/>
  <c r="H75" i="2"/>
  <c r="H30" i="10" s="1"/>
  <c r="D75" i="5"/>
  <c r="E75" i="5"/>
  <c r="F75" i="5"/>
  <c r="H75" i="5"/>
  <c r="D69" i="1"/>
  <c r="D75" i="1" s="1"/>
  <c r="D24" i="10" s="1"/>
  <c r="E69" i="1"/>
  <c r="E75" i="1" s="1"/>
  <c r="E24" i="10" s="1"/>
  <c r="F69" i="1"/>
  <c r="F75" i="1" s="1"/>
  <c r="F24" i="10" s="1"/>
  <c r="H69" i="1"/>
  <c r="H75" i="1" s="1"/>
  <c r="H24" i="10" s="1"/>
  <c r="D75" i="6"/>
  <c r="D22" i="10" s="1"/>
  <c r="E75" i="6"/>
  <c r="E22" i="10" s="1"/>
  <c r="F75" i="6"/>
  <c r="F22" i="10" s="1"/>
  <c r="H75" i="6"/>
  <c r="H22" i="10" s="1"/>
  <c r="C34" i="6"/>
  <c r="W34" i="6"/>
  <c r="W33" i="6"/>
  <c r="W31" i="6"/>
  <c r="W30" i="6"/>
  <c r="W29" i="6"/>
  <c r="C29" i="6"/>
  <c r="AB75" i="6"/>
  <c r="AB22" i="10" s="1"/>
  <c r="AA75" i="6"/>
  <c r="AA22" i="10" s="1"/>
  <c r="Z75" i="6"/>
  <c r="Z22" i="10" s="1"/>
  <c r="Y75" i="6"/>
  <c r="Y22" i="10" s="1"/>
  <c r="X75" i="6"/>
  <c r="X22" i="10" s="1"/>
  <c r="V75" i="6"/>
  <c r="V22" i="10" s="1"/>
  <c r="U75" i="6"/>
  <c r="U22" i="10" s="1"/>
  <c r="S75" i="6"/>
  <c r="S22" i="10" s="1"/>
  <c r="R75" i="6"/>
  <c r="R22" i="10" s="1"/>
  <c r="O75" i="6"/>
  <c r="O22" i="10" s="1"/>
  <c r="N75" i="6"/>
  <c r="N22" i="10" s="1"/>
  <c r="M75" i="6"/>
  <c r="M22" i="10" s="1"/>
  <c r="L75" i="6"/>
  <c r="L22" i="10" s="1"/>
  <c r="K75" i="6"/>
  <c r="K22" i="10" s="1"/>
  <c r="J75" i="6"/>
  <c r="J22" i="10" s="1"/>
  <c r="I75" i="6"/>
  <c r="I22" i="10" s="1"/>
  <c r="Q75" i="6"/>
  <c r="Q22" i="10" s="1"/>
  <c r="P75" i="6"/>
  <c r="P22" i="10" s="1"/>
  <c r="I42" i="4"/>
  <c r="I69" i="4" s="1"/>
  <c r="I75" i="4" s="1"/>
  <c r="I32" i="10" s="1"/>
  <c r="N41" i="4"/>
  <c r="N69" i="4" s="1"/>
  <c r="N75" i="4" s="1"/>
  <c r="N32" i="10" s="1"/>
  <c r="M41" i="4"/>
  <c r="AA41" i="4"/>
  <c r="J41" i="4"/>
  <c r="J69" i="4" s="1"/>
  <c r="J75" i="4" s="1"/>
  <c r="J32" i="10" s="1"/>
  <c r="L69" i="4"/>
  <c r="L75" i="4" s="1"/>
  <c r="L32" i="10" s="1"/>
  <c r="M69" i="4"/>
  <c r="M75" i="4" s="1"/>
  <c r="M32" i="10" s="1"/>
  <c r="O69" i="4"/>
  <c r="O75" i="4" s="1"/>
  <c r="O32" i="10" s="1"/>
  <c r="P69" i="4"/>
  <c r="R69" i="4"/>
  <c r="S69" i="4"/>
  <c r="V69" i="4"/>
  <c r="V75" i="4" s="1"/>
  <c r="V32" i="10" s="1"/>
  <c r="W69" i="4"/>
  <c r="W75" i="4" s="1"/>
  <c r="W32" i="10" s="1"/>
  <c r="X69" i="4"/>
  <c r="X75" i="4" s="1"/>
  <c r="X32" i="10" s="1"/>
  <c r="Y69" i="4"/>
  <c r="Y75" i="4" s="1"/>
  <c r="Y32" i="10" s="1"/>
  <c r="Z69" i="4"/>
  <c r="Z75" i="4" s="1"/>
  <c r="Z32" i="10" s="1"/>
  <c r="AB69" i="4"/>
  <c r="AB75" i="4" s="1"/>
  <c r="AB32" i="10" s="1"/>
  <c r="C69" i="4"/>
  <c r="C75" i="4" s="1"/>
  <c r="C32" i="10" s="1"/>
  <c r="Q40" i="4"/>
  <c r="Q39" i="4"/>
  <c r="Q38" i="4"/>
  <c r="K38" i="4"/>
  <c r="S32" i="3"/>
  <c r="S29" i="3"/>
  <c r="S28" i="3"/>
  <c r="S66" i="2"/>
  <c r="S65" i="2"/>
  <c r="S63" i="2"/>
  <c r="S62" i="2"/>
  <c r="S61" i="2"/>
  <c r="S60" i="2"/>
  <c r="S38" i="2"/>
  <c r="S37" i="2"/>
  <c r="S35" i="2"/>
  <c r="S34" i="2"/>
  <c r="S30" i="2"/>
  <c r="S29" i="2"/>
  <c r="S66" i="1"/>
  <c r="S65" i="1"/>
  <c r="S63" i="1"/>
  <c r="S62" i="1"/>
  <c r="S61" i="1"/>
  <c r="S60" i="1"/>
  <c r="S38" i="1"/>
  <c r="S37" i="1"/>
  <c r="S35" i="1"/>
  <c r="S34" i="1"/>
  <c r="S32" i="1"/>
  <c r="S30" i="1"/>
  <c r="S29" i="1"/>
  <c r="S21" i="1"/>
  <c r="S22" i="1"/>
  <c r="S23" i="1"/>
  <c r="Q34" i="4"/>
  <c r="K34" i="4"/>
  <c r="K32" i="3"/>
  <c r="K29" i="3"/>
  <c r="K28" i="3"/>
  <c r="Q33" i="4"/>
  <c r="AB69" i="1"/>
  <c r="AB75" i="1" s="1"/>
  <c r="AB24" i="10" s="1"/>
  <c r="Z69" i="1"/>
  <c r="Z75" i="1" s="1"/>
  <c r="Z24" i="10" s="1"/>
  <c r="W69" i="1"/>
  <c r="W75" i="1" s="1"/>
  <c r="V69" i="1"/>
  <c r="N69" i="1"/>
  <c r="N75" i="1" s="1"/>
  <c r="L69" i="1"/>
  <c r="L75" i="1" s="1"/>
  <c r="L24" i="10" s="1"/>
  <c r="K69" i="1"/>
  <c r="K75" i="1" s="1"/>
  <c r="K24" i="10" s="1"/>
  <c r="J69" i="1"/>
  <c r="J75" i="1" s="1"/>
  <c r="J24" i="10" s="1"/>
  <c r="C69" i="1"/>
  <c r="C75" i="1" s="1"/>
  <c r="C24" i="10" s="1"/>
  <c r="Q35" i="5"/>
  <c r="Q38" i="5"/>
  <c r="P38" i="5"/>
  <c r="S37" i="5"/>
  <c r="Q36" i="5"/>
  <c r="P37" i="5"/>
  <c r="S36" i="5"/>
  <c r="P36" i="5"/>
  <c r="P35" i="5"/>
  <c r="Q29" i="5"/>
  <c r="P29" i="5"/>
  <c r="Q28" i="5"/>
  <c r="P28" i="5"/>
  <c r="S27" i="5"/>
  <c r="P27" i="5"/>
  <c r="Q27" i="5"/>
  <c r="S26" i="5"/>
  <c r="Q26" i="5"/>
  <c r="S25" i="5"/>
  <c r="R25" i="5"/>
  <c r="Q25" i="5"/>
  <c r="S24" i="5"/>
  <c r="R24" i="5"/>
  <c r="Q24" i="5"/>
  <c r="P23" i="5"/>
  <c r="P24" i="5"/>
  <c r="P22" i="5"/>
  <c r="P21" i="5"/>
  <c r="Q23" i="5"/>
  <c r="Q22" i="5"/>
  <c r="Q21" i="5"/>
  <c r="I75" i="5"/>
  <c r="I23" i="10" s="1"/>
  <c r="J75" i="5"/>
  <c r="J23" i="10" s="1"/>
  <c r="K75" i="5"/>
  <c r="K23" i="10" s="1"/>
  <c r="L75" i="5"/>
  <c r="L23" i="10" s="1"/>
  <c r="M75" i="5"/>
  <c r="M23" i="10" s="1"/>
  <c r="N75" i="5"/>
  <c r="N23" i="10" s="1"/>
  <c r="O75" i="5"/>
  <c r="O23" i="10" s="1"/>
  <c r="U75" i="5"/>
  <c r="U23" i="10" s="1"/>
  <c r="V75" i="5"/>
  <c r="V23" i="10" s="1"/>
  <c r="W75" i="5"/>
  <c r="W23" i="10" s="1"/>
  <c r="X75" i="5"/>
  <c r="X23" i="10" s="1"/>
  <c r="Y75" i="5"/>
  <c r="Y23" i="10" s="1"/>
  <c r="Z75" i="5"/>
  <c r="Z23" i="10" s="1"/>
  <c r="AA75" i="5"/>
  <c r="AA23" i="10" s="1"/>
  <c r="AB75" i="5"/>
  <c r="AB23" i="10" s="1"/>
  <c r="C75" i="5"/>
  <c r="C23" i="10" s="1"/>
  <c r="X63" i="2"/>
  <c r="X62" i="2"/>
  <c r="X61" i="2"/>
  <c r="X60" i="2"/>
  <c r="X59" i="2"/>
  <c r="X58" i="2"/>
  <c r="X57" i="2"/>
  <c r="K38" i="2"/>
  <c r="K34" i="2"/>
  <c r="X66" i="1"/>
  <c r="X65" i="1"/>
  <c r="X63" i="1"/>
  <c r="X62" i="1"/>
  <c r="X61" i="1"/>
  <c r="X60" i="1"/>
  <c r="X42" i="1"/>
  <c r="X38" i="1"/>
  <c r="X34" i="1"/>
  <c r="X32" i="1"/>
  <c r="X29" i="1"/>
  <c r="X37" i="1"/>
  <c r="X36" i="1"/>
  <c r="X35" i="1"/>
  <c r="X30" i="1"/>
  <c r="Q40" i="3"/>
  <c r="M40" i="3"/>
  <c r="O40" i="3"/>
  <c r="AA40" i="3"/>
  <c r="Q39" i="3"/>
  <c r="M39" i="3"/>
  <c r="O39" i="3"/>
  <c r="AA39" i="3"/>
  <c r="Q38" i="3"/>
  <c r="M38" i="3"/>
  <c r="O38" i="3"/>
  <c r="AA38" i="3"/>
  <c r="M37" i="3"/>
  <c r="O37" i="3"/>
  <c r="AA37" i="3"/>
  <c r="M36" i="3"/>
  <c r="O36" i="3"/>
  <c r="AA36" i="3"/>
  <c r="AA35" i="3"/>
  <c r="M35" i="3"/>
  <c r="O35" i="3"/>
  <c r="O34" i="3"/>
  <c r="M34" i="3"/>
  <c r="AA34" i="3"/>
  <c r="Q34" i="3"/>
  <c r="AA33" i="3"/>
  <c r="Q33" i="3"/>
  <c r="O33" i="3"/>
  <c r="M33" i="3"/>
  <c r="J33" i="3"/>
  <c r="J75" i="3" s="1"/>
  <c r="J31" i="10" s="1"/>
  <c r="I33" i="3"/>
  <c r="I75" i="3" s="1"/>
  <c r="I31" i="10" s="1"/>
  <c r="Q32" i="3"/>
  <c r="Q29" i="3"/>
  <c r="Q28" i="3"/>
  <c r="R75" i="3"/>
  <c r="R31" i="10" s="1"/>
  <c r="AB75" i="3"/>
  <c r="AB31" i="10" s="1"/>
  <c r="X75" i="3"/>
  <c r="X31" i="10" s="1"/>
  <c r="P75" i="3"/>
  <c r="P31" i="10" s="1"/>
  <c r="Y75" i="3"/>
  <c r="Y31" i="10" s="1"/>
  <c r="Z75" i="3"/>
  <c r="Z31" i="10" s="1"/>
  <c r="W75" i="3"/>
  <c r="W31" i="10" s="1"/>
  <c r="V75" i="3"/>
  <c r="V31" i="10" s="1"/>
  <c r="N75" i="3"/>
  <c r="N31" i="10" s="1"/>
  <c r="L75" i="3"/>
  <c r="C75" i="3"/>
  <c r="C31" i="10" s="1"/>
  <c r="S67" i="2"/>
  <c r="P67" i="2"/>
  <c r="P66" i="2"/>
  <c r="Q66" i="2"/>
  <c r="Y66" i="2"/>
  <c r="X66" i="2"/>
  <c r="Y65" i="2"/>
  <c r="X65" i="2"/>
  <c r="Y64" i="2"/>
  <c r="X64" i="2"/>
  <c r="Y63" i="2"/>
  <c r="P65" i="2"/>
  <c r="AB64" i="2"/>
  <c r="S64" i="2"/>
  <c r="Q64" i="2"/>
  <c r="P64" i="2"/>
  <c r="M64" i="2"/>
  <c r="AB63" i="2"/>
  <c r="Q63" i="2"/>
  <c r="P63" i="2"/>
  <c r="M63" i="2"/>
  <c r="AB62" i="2"/>
  <c r="Q62" i="2"/>
  <c r="P62" i="2"/>
  <c r="M62" i="2"/>
  <c r="AB61" i="2"/>
  <c r="Q61" i="2"/>
  <c r="P61" i="2"/>
  <c r="M61" i="2"/>
  <c r="AB60" i="2"/>
  <c r="Q60" i="2"/>
  <c r="P60" i="2"/>
  <c r="M60" i="2"/>
  <c r="AB59" i="2"/>
  <c r="Q59" i="2"/>
  <c r="P59" i="2"/>
  <c r="M59" i="2"/>
  <c r="AB58" i="2"/>
  <c r="Q58" i="2"/>
  <c r="P58" i="2"/>
  <c r="O57" i="2"/>
  <c r="M58" i="2"/>
  <c r="AA57" i="2"/>
  <c r="M57" i="2"/>
  <c r="AB57" i="2"/>
  <c r="Q57" i="2"/>
  <c r="P57" i="2"/>
  <c r="AB56" i="2"/>
  <c r="AA56" i="2"/>
  <c r="Q56" i="2"/>
  <c r="P56" i="2"/>
  <c r="O56" i="2"/>
  <c r="AB55" i="2"/>
  <c r="AA55" i="2"/>
  <c r="Q55" i="2"/>
  <c r="P55" i="2"/>
  <c r="O55" i="2"/>
  <c r="AB54" i="2"/>
  <c r="AA54" i="2"/>
  <c r="Q54" i="2"/>
  <c r="P54" i="2"/>
  <c r="O54" i="2"/>
  <c r="AB53" i="2"/>
  <c r="AA53" i="2"/>
  <c r="Q53" i="2"/>
  <c r="P53" i="2"/>
  <c r="O53" i="2"/>
  <c r="AB52" i="2"/>
  <c r="AA52" i="2"/>
  <c r="Q52" i="2"/>
  <c r="P52" i="2"/>
  <c r="O52" i="2"/>
  <c r="AB51" i="2"/>
  <c r="AA51" i="2"/>
  <c r="Q51" i="2"/>
  <c r="P51" i="2"/>
  <c r="O51" i="2"/>
  <c r="AB50" i="2"/>
  <c r="AA50" i="2"/>
  <c r="Q50" i="2"/>
  <c r="P50" i="2"/>
  <c r="O50" i="2"/>
  <c r="AB49" i="2"/>
  <c r="AA49" i="2"/>
  <c r="Q49" i="2"/>
  <c r="P49" i="2"/>
  <c r="O49" i="2"/>
  <c r="AB48" i="2"/>
  <c r="AA48" i="2"/>
  <c r="Q48" i="2"/>
  <c r="P48" i="2"/>
  <c r="O48" i="2"/>
  <c r="AB47" i="2"/>
  <c r="AA47" i="2"/>
  <c r="Q47" i="2"/>
  <c r="P47" i="2"/>
  <c r="O47" i="2"/>
  <c r="AB46" i="2"/>
  <c r="AA46" i="2"/>
  <c r="Q46" i="2"/>
  <c r="P46" i="2"/>
  <c r="O46" i="2"/>
  <c r="AB45" i="2"/>
  <c r="AA45" i="2"/>
  <c r="Q45" i="2"/>
  <c r="P45" i="2"/>
  <c r="O45" i="2"/>
  <c r="AB43" i="2"/>
  <c r="AA44" i="2"/>
  <c r="AB44" i="2"/>
  <c r="Q44" i="2"/>
  <c r="P44" i="2"/>
  <c r="O44" i="2"/>
  <c r="O43" i="2"/>
  <c r="AA43" i="2"/>
  <c r="Q43" i="2"/>
  <c r="P43" i="2"/>
  <c r="AB42" i="2"/>
  <c r="Q42" i="2"/>
  <c r="P42" i="2"/>
  <c r="AB41" i="2"/>
  <c r="Q41" i="2"/>
  <c r="P41" i="2"/>
  <c r="AB40" i="2"/>
  <c r="Q40" i="2"/>
  <c r="P40" i="2"/>
  <c r="AB39" i="2"/>
  <c r="Q39" i="2"/>
  <c r="P39" i="2"/>
  <c r="M39" i="2"/>
  <c r="AB38" i="2"/>
  <c r="Q34" i="2"/>
  <c r="Q33" i="2"/>
  <c r="R38" i="2"/>
  <c r="Q38" i="2"/>
  <c r="P38" i="2"/>
  <c r="M38" i="2"/>
  <c r="AB37" i="2"/>
  <c r="Q37" i="2"/>
  <c r="P37" i="2"/>
  <c r="M37" i="2"/>
  <c r="AB36" i="2"/>
  <c r="Q36" i="2"/>
  <c r="P36" i="2"/>
  <c r="M36" i="2"/>
  <c r="AB35" i="2"/>
  <c r="Q35" i="2"/>
  <c r="P35" i="2"/>
  <c r="M35" i="2"/>
  <c r="AB34" i="2"/>
  <c r="P34" i="2"/>
  <c r="M34" i="2"/>
  <c r="AB33" i="2"/>
  <c r="AA33" i="2"/>
  <c r="P33" i="2"/>
  <c r="O33" i="2"/>
  <c r="M33" i="2"/>
  <c r="AB32" i="2"/>
  <c r="AA32" i="2"/>
  <c r="Q32" i="2"/>
  <c r="P32" i="2"/>
  <c r="O32" i="2"/>
  <c r="M32" i="2"/>
  <c r="AB31" i="2"/>
  <c r="AA31" i="2"/>
  <c r="Q31" i="2"/>
  <c r="P31" i="2"/>
  <c r="O31" i="2"/>
  <c r="M31" i="2"/>
  <c r="AB30" i="2"/>
  <c r="AA30" i="2"/>
  <c r="Q30" i="2"/>
  <c r="P30" i="2"/>
  <c r="O30" i="2"/>
  <c r="M30" i="2"/>
  <c r="I30" i="2"/>
  <c r="AB29" i="2"/>
  <c r="AA29" i="2"/>
  <c r="Q29" i="2"/>
  <c r="P29" i="2"/>
  <c r="O29" i="2"/>
  <c r="M29" i="2"/>
  <c r="I24" i="2"/>
  <c r="I29" i="2"/>
  <c r="AB28" i="2"/>
  <c r="AA28" i="2"/>
  <c r="Q28" i="2"/>
  <c r="P28" i="2"/>
  <c r="O28" i="2"/>
  <c r="M28" i="2"/>
  <c r="AB27" i="2"/>
  <c r="AA27" i="2"/>
  <c r="Q27" i="2"/>
  <c r="P27" i="2"/>
  <c r="O27" i="2"/>
  <c r="M27" i="2"/>
  <c r="AB25" i="2"/>
  <c r="AB24" i="2"/>
  <c r="AB23" i="2"/>
  <c r="AB26" i="2"/>
  <c r="AA26" i="2"/>
  <c r="Q26" i="2"/>
  <c r="P26" i="2"/>
  <c r="O26" i="2"/>
  <c r="M26" i="2"/>
  <c r="AA25" i="2"/>
  <c r="Q25" i="2"/>
  <c r="P25" i="2"/>
  <c r="O25" i="2"/>
  <c r="M25" i="2"/>
  <c r="O24" i="2"/>
  <c r="M24" i="2"/>
  <c r="AA24" i="2"/>
  <c r="Y24" i="2"/>
  <c r="X24" i="2"/>
  <c r="Q24" i="2"/>
  <c r="S24" i="2"/>
  <c r="P24" i="2"/>
  <c r="M23" i="2"/>
  <c r="Y23" i="2"/>
  <c r="X23" i="2"/>
  <c r="X22" i="2"/>
  <c r="S23" i="2"/>
  <c r="P23" i="2"/>
  <c r="Y22" i="2"/>
  <c r="S22" i="2"/>
  <c r="Y21" i="2"/>
  <c r="X21" i="2"/>
  <c r="S21" i="2"/>
  <c r="Z75" i="2"/>
  <c r="Z30" i="10" s="1"/>
  <c r="W75" i="2"/>
  <c r="W30" i="10" s="1"/>
  <c r="V75" i="2"/>
  <c r="V30" i="10" s="1"/>
  <c r="L75" i="2"/>
  <c r="L30" i="10" s="1"/>
  <c r="J75" i="2"/>
  <c r="J30" i="10" s="1"/>
  <c r="C75" i="2"/>
  <c r="C30" i="10" s="1"/>
  <c r="R67" i="2"/>
  <c r="Q67" i="2"/>
  <c r="R66" i="2"/>
  <c r="R65" i="2"/>
  <c r="Q65" i="2"/>
  <c r="R64" i="2"/>
  <c r="R63" i="2"/>
  <c r="R62" i="2"/>
  <c r="R61" i="2"/>
  <c r="R60" i="2"/>
  <c r="R59" i="2"/>
  <c r="R58" i="2"/>
  <c r="R57" i="2"/>
  <c r="R56" i="2"/>
  <c r="M56" i="2"/>
  <c r="R55" i="2"/>
  <c r="M55" i="2"/>
  <c r="R54" i="2"/>
  <c r="M54" i="2"/>
  <c r="R53" i="2"/>
  <c r="M53" i="2"/>
  <c r="R52" i="2"/>
  <c r="M52" i="2"/>
  <c r="R51" i="2"/>
  <c r="M51" i="2"/>
  <c r="R50" i="2"/>
  <c r="M50" i="2"/>
  <c r="R49" i="2"/>
  <c r="M49" i="2"/>
  <c r="R48" i="2"/>
  <c r="M48" i="2"/>
  <c r="R47" i="2"/>
  <c r="M47" i="2"/>
  <c r="R46" i="2"/>
  <c r="M46" i="2"/>
  <c r="R45" i="2"/>
  <c r="M45" i="2"/>
  <c r="R44" i="2"/>
  <c r="M44" i="2"/>
  <c r="R43" i="2"/>
  <c r="M43" i="2"/>
  <c r="R42" i="2"/>
  <c r="R41" i="2"/>
  <c r="R40" i="2"/>
  <c r="R39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Q23" i="2"/>
  <c r="R22" i="2"/>
  <c r="Q22" i="2"/>
  <c r="Y67" i="1"/>
  <c r="X67" i="1"/>
  <c r="S67" i="1"/>
  <c r="R67" i="1"/>
  <c r="Q67" i="1"/>
  <c r="Y66" i="1"/>
  <c r="R66" i="1"/>
  <c r="Q66" i="1"/>
  <c r="AA65" i="1"/>
  <c r="Y65" i="1"/>
  <c r="P65" i="1"/>
  <c r="I65" i="1"/>
  <c r="AA64" i="1"/>
  <c r="X64" i="1"/>
  <c r="AA63" i="1"/>
  <c r="AA62" i="1"/>
  <c r="AA61" i="1"/>
  <c r="AA60" i="1"/>
  <c r="AA59" i="1"/>
  <c r="X59" i="1"/>
  <c r="AA58" i="1"/>
  <c r="X58" i="1"/>
  <c r="AA57" i="1"/>
  <c r="X57" i="1"/>
  <c r="AA56" i="1"/>
  <c r="X56" i="1"/>
  <c r="I57" i="1"/>
  <c r="AA55" i="1"/>
  <c r="X55" i="1"/>
  <c r="AA54" i="1"/>
  <c r="X54" i="1"/>
  <c r="AA53" i="1"/>
  <c r="X53" i="1"/>
  <c r="AA52" i="1"/>
  <c r="X52" i="1"/>
  <c r="AA51" i="1"/>
  <c r="X51" i="1"/>
  <c r="AA50" i="1"/>
  <c r="X50" i="1"/>
  <c r="AA49" i="1"/>
  <c r="X49" i="1"/>
  <c r="AA48" i="1"/>
  <c r="X48" i="1"/>
  <c r="AA47" i="1"/>
  <c r="X47" i="1"/>
  <c r="AA46" i="1"/>
  <c r="X46" i="1"/>
  <c r="AA45" i="1"/>
  <c r="X45" i="1"/>
  <c r="AA44" i="1"/>
  <c r="X44" i="1"/>
  <c r="AA43" i="1"/>
  <c r="X43" i="1"/>
  <c r="AA42" i="1"/>
  <c r="Q42" i="1"/>
  <c r="M43" i="1"/>
  <c r="O43" i="1"/>
  <c r="P43" i="1"/>
  <c r="Q43" i="1"/>
  <c r="R43" i="1"/>
  <c r="M44" i="1"/>
  <c r="O44" i="1"/>
  <c r="P44" i="1"/>
  <c r="Q44" i="1"/>
  <c r="R44" i="1"/>
  <c r="M45" i="1"/>
  <c r="O45" i="1"/>
  <c r="P45" i="1"/>
  <c r="Q45" i="1"/>
  <c r="R45" i="1"/>
  <c r="M46" i="1"/>
  <c r="O46" i="1"/>
  <c r="P46" i="1"/>
  <c r="Q46" i="1"/>
  <c r="R46" i="1"/>
  <c r="M47" i="1"/>
  <c r="O47" i="1"/>
  <c r="P47" i="1"/>
  <c r="Q47" i="1"/>
  <c r="R47" i="1"/>
  <c r="M48" i="1"/>
  <c r="O48" i="1"/>
  <c r="P48" i="1"/>
  <c r="Q48" i="1"/>
  <c r="R48" i="1"/>
  <c r="M49" i="1"/>
  <c r="O49" i="1"/>
  <c r="P49" i="1"/>
  <c r="Q49" i="1"/>
  <c r="R49" i="1"/>
  <c r="M50" i="1"/>
  <c r="O50" i="1"/>
  <c r="P50" i="1"/>
  <c r="Q50" i="1"/>
  <c r="R50" i="1"/>
  <c r="M51" i="1"/>
  <c r="O51" i="1"/>
  <c r="P51" i="1"/>
  <c r="Q51" i="1"/>
  <c r="R51" i="1"/>
  <c r="M52" i="1"/>
  <c r="O52" i="1"/>
  <c r="P52" i="1"/>
  <c r="Q52" i="1"/>
  <c r="R52" i="1"/>
  <c r="M53" i="1"/>
  <c r="O53" i="1"/>
  <c r="P53" i="1"/>
  <c r="Q53" i="1"/>
  <c r="R53" i="1"/>
  <c r="M54" i="1"/>
  <c r="O54" i="1"/>
  <c r="P54" i="1"/>
  <c r="Q54" i="1"/>
  <c r="R54" i="1"/>
  <c r="M55" i="1"/>
  <c r="O55" i="1"/>
  <c r="P55" i="1"/>
  <c r="Q55" i="1"/>
  <c r="R55" i="1"/>
  <c r="M56" i="1"/>
  <c r="O56" i="1"/>
  <c r="P56" i="1"/>
  <c r="Q56" i="1"/>
  <c r="R56" i="1"/>
  <c r="M57" i="1"/>
  <c r="O57" i="1"/>
  <c r="P57" i="1"/>
  <c r="Q57" i="1"/>
  <c r="R57" i="1"/>
  <c r="M58" i="1"/>
  <c r="O58" i="1"/>
  <c r="P58" i="1"/>
  <c r="Q58" i="1"/>
  <c r="R58" i="1"/>
  <c r="M59" i="1"/>
  <c r="O59" i="1"/>
  <c r="P59" i="1"/>
  <c r="Q59" i="1"/>
  <c r="R59" i="1"/>
  <c r="M60" i="1"/>
  <c r="O60" i="1"/>
  <c r="P60" i="1"/>
  <c r="Q60" i="1"/>
  <c r="R60" i="1"/>
  <c r="M61" i="1"/>
  <c r="O61" i="1"/>
  <c r="P61" i="1"/>
  <c r="Q61" i="1"/>
  <c r="R61" i="1"/>
  <c r="M62" i="1"/>
  <c r="O62" i="1"/>
  <c r="P62" i="1"/>
  <c r="Q62" i="1"/>
  <c r="R62" i="1"/>
  <c r="M63" i="1"/>
  <c r="O63" i="1"/>
  <c r="P63" i="1"/>
  <c r="Q63" i="1"/>
  <c r="R63" i="1"/>
  <c r="M64" i="1"/>
  <c r="O64" i="1"/>
  <c r="P64" i="1"/>
  <c r="Q64" i="1"/>
  <c r="R64" i="1"/>
  <c r="M65" i="1"/>
  <c r="O65" i="1"/>
  <c r="Q65" i="1"/>
  <c r="R65" i="1"/>
  <c r="M66" i="1"/>
  <c r="O66" i="1"/>
  <c r="M42" i="1"/>
  <c r="O42" i="1"/>
  <c r="P42" i="1"/>
  <c r="R42" i="1"/>
  <c r="AA41" i="1"/>
  <c r="X41" i="1"/>
  <c r="P41" i="1"/>
  <c r="Q41" i="1"/>
  <c r="R41" i="1"/>
  <c r="O41" i="1"/>
  <c r="M41" i="1"/>
  <c r="AA40" i="1"/>
  <c r="X40" i="1"/>
  <c r="P40" i="1"/>
  <c r="Q40" i="1"/>
  <c r="R40" i="1"/>
  <c r="O40" i="1"/>
  <c r="M40" i="1"/>
  <c r="AA39" i="1"/>
  <c r="X39" i="1"/>
  <c r="P39" i="1"/>
  <c r="Q39" i="1"/>
  <c r="R39" i="1"/>
  <c r="O39" i="1"/>
  <c r="M39" i="1"/>
  <c r="AA38" i="1"/>
  <c r="P38" i="1"/>
  <c r="Q38" i="1"/>
  <c r="R38" i="1"/>
  <c r="O38" i="1"/>
  <c r="M38" i="1"/>
  <c r="AA37" i="1"/>
  <c r="P37" i="1"/>
  <c r="Q37" i="1"/>
  <c r="R37" i="1"/>
  <c r="O37" i="1"/>
  <c r="M37" i="1"/>
  <c r="AA36" i="1"/>
  <c r="P36" i="1"/>
  <c r="Q36" i="1"/>
  <c r="R36" i="1"/>
  <c r="O36" i="1"/>
  <c r="M36" i="1"/>
  <c r="AA35" i="1"/>
  <c r="P35" i="1"/>
  <c r="Q35" i="1"/>
  <c r="R35" i="1"/>
  <c r="O35" i="1"/>
  <c r="M35" i="1"/>
  <c r="AA34" i="1"/>
  <c r="P34" i="1"/>
  <c r="Q34" i="1"/>
  <c r="R34" i="1"/>
  <c r="O34" i="1"/>
  <c r="M34" i="1"/>
  <c r="AA33" i="1"/>
  <c r="X33" i="1"/>
  <c r="P33" i="1"/>
  <c r="Q33" i="1"/>
  <c r="R33" i="1"/>
  <c r="O33" i="1"/>
  <c r="M33" i="1"/>
  <c r="AA32" i="1"/>
  <c r="P32" i="1"/>
  <c r="Q32" i="1"/>
  <c r="R32" i="1"/>
  <c r="O32" i="1"/>
  <c r="M32" i="1"/>
  <c r="AA31" i="1"/>
  <c r="X31" i="1"/>
  <c r="P31" i="1"/>
  <c r="Q31" i="1"/>
  <c r="R31" i="1"/>
  <c r="O31" i="1"/>
  <c r="M31" i="1"/>
  <c r="AA30" i="1"/>
  <c r="P30" i="1"/>
  <c r="Q30" i="1"/>
  <c r="R30" i="1"/>
  <c r="O30" i="1"/>
  <c r="M30" i="1"/>
  <c r="I30" i="1"/>
  <c r="I29" i="1"/>
  <c r="I22" i="1"/>
  <c r="AA29" i="1"/>
  <c r="P29" i="1"/>
  <c r="Q29" i="1"/>
  <c r="R29" i="1"/>
  <c r="O29" i="1"/>
  <c r="M29" i="1"/>
  <c r="AA28" i="1"/>
  <c r="X28" i="1"/>
  <c r="P28" i="1"/>
  <c r="Q28" i="1"/>
  <c r="R28" i="1"/>
  <c r="O28" i="1"/>
  <c r="M28" i="1"/>
  <c r="AA27" i="1"/>
  <c r="X27" i="1"/>
  <c r="P27" i="1"/>
  <c r="Q27" i="1"/>
  <c r="R27" i="1"/>
  <c r="O27" i="1"/>
  <c r="M27" i="1"/>
  <c r="AA26" i="1"/>
  <c r="X26" i="1"/>
  <c r="P26" i="1"/>
  <c r="Q26" i="1"/>
  <c r="R26" i="1"/>
  <c r="O26" i="1"/>
  <c r="M26" i="1"/>
  <c r="AA25" i="1"/>
  <c r="X25" i="1"/>
  <c r="P25" i="1"/>
  <c r="Q25" i="1"/>
  <c r="R25" i="1"/>
  <c r="O25" i="1"/>
  <c r="M25" i="1"/>
  <c r="AA24" i="1"/>
  <c r="P24" i="1"/>
  <c r="Q24" i="1"/>
  <c r="R24" i="1"/>
  <c r="O24" i="1"/>
  <c r="M24" i="1"/>
  <c r="X24" i="1"/>
  <c r="X23" i="1"/>
  <c r="AA23" i="1"/>
  <c r="Y23" i="1"/>
  <c r="Q23" i="1"/>
  <c r="R23" i="1"/>
  <c r="P23" i="1"/>
  <c r="AA22" i="1"/>
  <c r="Y22" i="1"/>
  <c r="X22" i="1"/>
  <c r="Y21" i="1"/>
  <c r="X21" i="1"/>
  <c r="O23" i="1"/>
  <c r="M23" i="1"/>
  <c r="O22" i="1"/>
  <c r="M22" i="1"/>
  <c r="R22" i="1"/>
  <c r="Q22" i="1"/>
  <c r="T72" i="10" l="1"/>
  <c r="T75" i="10" s="1"/>
  <c r="T71" i="1"/>
  <c r="T75" i="1" s="1"/>
  <c r="O75" i="9"/>
  <c r="O35" i="10" s="1"/>
  <c r="M75" i="9"/>
  <c r="M35" i="10" s="1"/>
  <c r="S75" i="7"/>
  <c r="S75" i="8"/>
  <c r="S34" i="10" s="1"/>
  <c r="U75" i="8"/>
  <c r="U34" i="10" s="1"/>
  <c r="M75" i="8"/>
  <c r="M34" i="10" s="1"/>
  <c r="J75" i="8"/>
  <c r="J34" i="10" s="1"/>
  <c r="O75" i="8"/>
  <c r="O34" i="10" s="1"/>
  <c r="Q75" i="8"/>
  <c r="Q34" i="10" s="1"/>
  <c r="AA75" i="8"/>
  <c r="AA34" i="10" s="1"/>
  <c r="O75" i="7"/>
  <c r="O33" i="10" s="1"/>
  <c r="P75" i="7"/>
  <c r="L75" i="7"/>
  <c r="L33" i="10" s="1"/>
  <c r="K75" i="7"/>
  <c r="K33" i="10" s="1"/>
  <c r="AB75" i="7"/>
  <c r="AB33" i="10" s="1"/>
  <c r="M75" i="7"/>
  <c r="M33" i="10" s="1"/>
  <c r="AA75" i="7"/>
  <c r="AA33" i="10" s="1"/>
  <c r="U75" i="7"/>
  <c r="Q75" i="7"/>
  <c r="R75" i="7"/>
  <c r="AA69" i="4"/>
  <c r="AA75" i="4" s="1"/>
  <c r="AA32" i="10" s="1"/>
  <c r="S75" i="3"/>
  <c r="S31" i="10" s="1"/>
  <c r="W37" i="10"/>
  <c r="W73" i="10" s="1"/>
  <c r="F26" i="10"/>
  <c r="F72" i="10" s="1"/>
  <c r="AB26" i="10"/>
  <c r="AB72" i="10" s="1"/>
  <c r="C75" i="6"/>
  <c r="C22" i="10" s="1"/>
  <c r="C26" i="10" s="1"/>
  <c r="C72" i="10" s="1"/>
  <c r="N26" i="10"/>
  <c r="N72" i="10" s="1"/>
  <c r="E37" i="10"/>
  <c r="E73" i="10" s="1"/>
  <c r="H37" i="10"/>
  <c r="H73" i="10" s="1"/>
  <c r="F37" i="10"/>
  <c r="F73" i="10" s="1"/>
  <c r="D37" i="10"/>
  <c r="D73" i="10" s="1"/>
  <c r="K26" i="10"/>
  <c r="K72" i="10" s="1"/>
  <c r="J26" i="10"/>
  <c r="J72" i="10" s="1"/>
  <c r="H26" i="10"/>
  <c r="H72" i="10" s="1"/>
  <c r="E26" i="10"/>
  <c r="E72" i="10" s="1"/>
  <c r="D26" i="10"/>
  <c r="D72" i="10" s="1"/>
  <c r="C37" i="10"/>
  <c r="C73" i="10" s="1"/>
  <c r="V37" i="10"/>
  <c r="V73" i="10" s="1"/>
  <c r="J37" i="10"/>
  <c r="J73" i="10" s="1"/>
  <c r="Q69" i="4"/>
  <c r="K69" i="4"/>
  <c r="K75" i="4" s="1"/>
  <c r="K32" i="10" s="1"/>
  <c r="M75" i="3"/>
  <c r="M31" i="10" s="1"/>
  <c r="O75" i="3"/>
  <c r="O31" i="10" s="1"/>
  <c r="R75" i="5"/>
  <c r="R23" i="10" s="1"/>
  <c r="S75" i="5"/>
  <c r="S23" i="10" s="1"/>
  <c r="W75" i="6"/>
  <c r="W22" i="10" s="1"/>
  <c r="W26" i="10" s="1"/>
  <c r="W72" i="10" s="1"/>
  <c r="AA75" i="3"/>
  <c r="AA31" i="10" s="1"/>
  <c r="I75" i="2"/>
  <c r="I30" i="10" s="1"/>
  <c r="I37" i="10" s="1"/>
  <c r="I73" i="10" s="1"/>
  <c r="R75" i="2"/>
  <c r="S69" i="1"/>
  <c r="S71" i="1" s="1"/>
  <c r="S75" i="1" s="1"/>
  <c r="S24" i="10" s="1"/>
  <c r="Y69" i="1"/>
  <c r="Y75" i="1" s="1"/>
  <c r="Y24" i="10" s="1"/>
  <c r="AA69" i="1"/>
  <c r="AA75" i="1" s="1"/>
  <c r="AA24" i="10" s="1"/>
  <c r="AA26" i="10" s="1"/>
  <c r="AA72" i="10" s="1"/>
  <c r="P69" i="1"/>
  <c r="P71" i="1" s="1"/>
  <c r="P75" i="1" s="1"/>
  <c r="P24" i="10" s="1"/>
  <c r="I69" i="1"/>
  <c r="I75" i="1" s="1"/>
  <c r="I24" i="10" s="1"/>
  <c r="I26" i="10" s="1"/>
  <c r="I72" i="10" s="1"/>
  <c r="U75" i="1"/>
  <c r="U24" i="10" s="1"/>
  <c r="U26" i="10" s="1"/>
  <c r="U72" i="10" s="1"/>
  <c r="X69" i="1"/>
  <c r="X75" i="1" s="1"/>
  <c r="X24" i="10" s="1"/>
  <c r="X26" i="10" s="1"/>
  <c r="M69" i="1"/>
  <c r="M75" i="1" s="1"/>
  <c r="M24" i="10" s="1"/>
  <c r="M26" i="10" s="1"/>
  <c r="M72" i="10" s="1"/>
  <c r="Q69" i="1"/>
  <c r="Q71" i="1" s="1"/>
  <c r="Q75" i="1" s="1"/>
  <c r="Q24" i="10" s="1"/>
  <c r="R69" i="1"/>
  <c r="R71" i="1" s="1"/>
  <c r="O69" i="1"/>
  <c r="O75" i="1" s="1"/>
  <c r="O24" i="10" s="1"/>
  <c r="O26" i="10" s="1"/>
  <c r="O72" i="10" s="1"/>
  <c r="V71" i="1"/>
  <c r="V75" i="1" s="1"/>
  <c r="V24" i="10" s="1"/>
  <c r="V26" i="10" s="1"/>
  <c r="V72" i="10" s="1"/>
  <c r="K75" i="3"/>
  <c r="K31" i="10" s="1"/>
  <c r="P75" i="5"/>
  <c r="P23" i="10" s="1"/>
  <c r="Q75" i="5"/>
  <c r="Q23" i="10" s="1"/>
  <c r="K75" i="2"/>
  <c r="K30" i="10" s="1"/>
  <c r="Q75" i="3"/>
  <c r="Q31" i="10" s="1"/>
  <c r="U75" i="3"/>
  <c r="U31" i="10" s="1"/>
  <c r="N75" i="2"/>
  <c r="N30" i="10" s="1"/>
  <c r="N37" i="10" s="1"/>
  <c r="N73" i="10" s="1"/>
  <c r="U75" i="2"/>
  <c r="X75" i="2"/>
  <c r="X30" i="10" s="1"/>
  <c r="M75" i="2"/>
  <c r="M30" i="10" s="1"/>
  <c r="AA75" i="2"/>
  <c r="AA30" i="10" s="1"/>
  <c r="P75" i="2"/>
  <c r="O75" i="2"/>
  <c r="O30" i="10" s="1"/>
  <c r="AB75" i="2"/>
  <c r="AB30" i="10" s="1"/>
  <c r="Y75" i="2"/>
  <c r="Y30" i="10" s="1"/>
  <c r="Q75" i="2"/>
  <c r="S75" i="2"/>
  <c r="U33" i="10" l="1"/>
  <c r="U69" i="9"/>
  <c r="U75" i="9" s="1"/>
  <c r="U35" i="10" s="1"/>
  <c r="Q33" i="10"/>
  <c r="Q69" i="9"/>
  <c r="Q75" i="9" s="1"/>
  <c r="Q35" i="10" s="1"/>
  <c r="P33" i="10"/>
  <c r="P69" i="9"/>
  <c r="P75" i="9" s="1"/>
  <c r="P35" i="10" s="1"/>
  <c r="R33" i="10"/>
  <c r="R69" i="9"/>
  <c r="R75" i="9" s="1"/>
  <c r="R35" i="10" s="1"/>
  <c r="S33" i="10"/>
  <c r="S69" i="9"/>
  <c r="S75" i="9" s="1"/>
  <c r="S35" i="10" s="1"/>
  <c r="H75" i="10"/>
  <c r="S30" i="10"/>
  <c r="S71" i="4"/>
  <c r="S75" i="4" s="1"/>
  <c r="S32" i="10" s="1"/>
  <c r="Q30" i="10"/>
  <c r="Q71" i="4"/>
  <c r="Q75" i="4"/>
  <c r="Q32" i="10" s="1"/>
  <c r="P30" i="10"/>
  <c r="P71" i="4"/>
  <c r="P75" i="4" s="1"/>
  <c r="P32" i="10" s="1"/>
  <c r="R30" i="10"/>
  <c r="R71" i="4"/>
  <c r="R75" i="4" s="1"/>
  <c r="R32" i="10" s="1"/>
  <c r="U30" i="10"/>
  <c r="U75" i="4"/>
  <c r="U32" i="10" s="1"/>
  <c r="X37" i="10"/>
  <c r="Z73" i="10" s="1"/>
  <c r="S37" i="10"/>
  <c r="S73" i="10" s="1"/>
  <c r="S75" i="10" s="1"/>
  <c r="AB37" i="10"/>
  <c r="AB73" i="10" s="1"/>
  <c r="AB75" i="10" s="1"/>
  <c r="D75" i="10"/>
  <c r="E75" i="10"/>
  <c r="K37" i="10"/>
  <c r="K73" i="10" s="1"/>
  <c r="K75" i="10" s="1"/>
  <c r="M37" i="10"/>
  <c r="M73" i="10" s="1"/>
  <c r="M75" i="10" s="1"/>
  <c r="V75" i="10"/>
  <c r="W75" i="10"/>
  <c r="C75" i="10"/>
  <c r="F75" i="10"/>
  <c r="N75" i="10"/>
  <c r="S26" i="10"/>
  <c r="S72" i="10" s="1"/>
  <c r="P26" i="10"/>
  <c r="P72" i="10" s="1"/>
  <c r="I75" i="10"/>
  <c r="J75" i="10"/>
  <c r="X72" i="10"/>
  <c r="Z72" i="10"/>
  <c r="AA37" i="10"/>
  <c r="AA73" i="10" s="1"/>
  <c r="AA75" i="10" s="1"/>
  <c r="O37" i="10"/>
  <c r="O73" i="10" s="1"/>
  <c r="O75" i="10" s="1"/>
  <c r="R75" i="1"/>
  <c r="R24" i="10" s="1"/>
  <c r="Q72" i="10" s="1"/>
  <c r="Q37" i="10" l="1"/>
  <c r="Q73" i="10" s="1"/>
  <c r="Q75" i="10" s="1"/>
  <c r="P37" i="10"/>
  <c r="P73" i="10" s="1"/>
  <c r="U37" i="10"/>
  <c r="U73" i="10" s="1"/>
  <c r="U75" i="10" s="1"/>
  <c r="X73" i="10"/>
  <c r="X75" i="10" s="1"/>
  <c r="P75" i="10"/>
  <c r="Z75" i="10"/>
</calcChain>
</file>

<file path=xl/sharedStrings.xml><?xml version="1.0" encoding="utf-8"?>
<sst xmlns="http://schemas.openxmlformats.org/spreadsheetml/2006/main" count="1302" uniqueCount="495">
  <si>
    <t>SHEET
NO.</t>
  </si>
  <si>
    <t>CY</t>
  </si>
  <si>
    <t>FT</t>
  </si>
  <si>
    <t>EACH</t>
  </si>
  <si>
    <t>STABILIZED CRUSHED AGGREGATE</t>
  </si>
  <si>
    <t>INCREASED BARRIER DENLINEATION</t>
  </si>
  <si>
    <t>WORK ZONE IMPACT ATTENUATOR,
24" WIDE HAZARDS, (UNIDIRECTIONAL)</t>
  </si>
  <si>
    <t>OBJECT MARKER, ONE WAY</t>
  </si>
  <si>
    <t>MILE</t>
  </si>
  <si>
    <t>PAVEMENT FOR MAINTAINING
TRAFFIC, CLASS A</t>
  </si>
  <si>
    <t>SY</t>
  </si>
  <si>
    <t>GLARE SCREEN</t>
  </si>
  <si>
    <t>BARRIER REFLECTOR, TYPE 1
(ONE WAY)</t>
  </si>
  <si>
    <t>BARRIER REFLECTOR, TYPE 1
(BIDRECTIONAL)</t>
  </si>
  <si>
    <t>RPM
(ONE WAY WHITE)</t>
  </si>
  <si>
    <t>RPM
(ONE WAY YELLOW)</t>
  </si>
  <si>
    <t>RAISED PAVEMENT
MARKER REMOVED</t>
  </si>
  <si>
    <t>WORK ZONE ARROW,
CLASS I, 642  PAINT</t>
  </si>
  <si>
    <t>STA. 623+00 - 625+00</t>
  </si>
  <si>
    <t>LOCATION</t>
  </si>
  <si>
    <t>STA. 625+00 - 630+00</t>
  </si>
  <si>
    <t>STA. 630+00 - 635+00</t>
  </si>
  <si>
    <t>STA. 635+00 - 640+00</t>
  </si>
  <si>
    <t>STA. 640+00 - 645+00</t>
  </si>
  <si>
    <t>STA. 645+00 - 650+00</t>
  </si>
  <si>
    <t>STA. 650+00 - 655+00</t>
  </si>
  <si>
    <t>STA. 655+00 - 660+00</t>
  </si>
  <si>
    <t>STA. 660+00 - 665+00</t>
  </si>
  <si>
    <t>STA. 665+00 - 670+00</t>
  </si>
  <si>
    <t>STA. 670+00 - 675+00</t>
  </si>
  <si>
    <t>STA. 675+00 - 680+00</t>
  </si>
  <si>
    <t>STA. 680+00 - 685+00</t>
  </si>
  <si>
    <t>STA. 685+00 - 690+00</t>
  </si>
  <si>
    <t>STA. 690+00 - 695+00</t>
  </si>
  <si>
    <t>STA. 695+00 - 700+00</t>
  </si>
  <si>
    <t>STA. 700+00 - 705+00</t>
  </si>
  <si>
    <t>STA. 705+00 - 710+00</t>
  </si>
  <si>
    <t>STA. 710+00 - 715+00</t>
  </si>
  <si>
    <t>STA. 715+00 - 720+00</t>
  </si>
  <si>
    <t>STA. 720+00 - 725+00</t>
  </si>
  <si>
    <t>STA. 725+00 - 730+00</t>
  </si>
  <si>
    <t>STA. 730+00 - 735+00</t>
  </si>
  <si>
    <t>STA. 735+00 - 740+00</t>
  </si>
  <si>
    <t>STA. 740+00 - 745+00</t>
  </si>
  <si>
    <t>STA. 745+00 - 750+00</t>
  </si>
  <si>
    <t>STA. 750+00 - 755+00</t>
  </si>
  <si>
    <t>STA. 755+00 - 760+00</t>
  </si>
  <si>
    <t>STA. 760+00 - 765+00</t>
  </si>
  <si>
    <t>STA. 765+00 - 770+00</t>
  </si>
  <si>
    <t>STA. 770+00 - 775+00</t>
  </si>
  <si>
    <t>STA. 775+00 - 780+00</t>
  </si>
  <si>
    <t>STA. 780+00 - 785+00</t>
  </si>
  <si>
    <t>STA. 785+00 - 790+00</t>
  </si>
  <si>
    <t>STA. 790+00 - 795+00</t>
  </si>
  <si>
    <t>STA. 795+00 - 800+00</t>
  </si>
  <si>
    <t>STA. 800+00 - 805+00</t>
  </si>
  <si>
    <t>STA. 805+00 - 810+00</t>
  </si>
  <si>
    <t>STA. 810+00 - 815+00</t>
  </si>
  <si>
    <t>STA. 815+00 - 820+00</t>
  </si>
  <si>
    <t>STA. 820+00 - 825+00</t>
  </si>
  <si>
    <t>STA. 825+00 - 830+00</t>
  </si>
  <si>
    <t>STA. 830+00 - 835+00</t>
  </si>
  <si>
    <t>STA. 835+00 - 840+00</t>
  </si>
  <si>
    <t>STA. 840+00 - 845+00</t>
  </si>
  <si>
    <t>STA. 845+00 - 850+00</t>
  </si>
  <si>
    <t>STA. 850+00 - 855+00</t>
  </si>
  <si>
    <t>PORTABLE BARRIER,
UNANCHORED</t>
  </si>
  <si>
    <t>STA. 623+00 - 633+00</t>
  </si>
  <si>
    <t>STA. 633+00 - 646+00</t>
  </si>
  <si>
    <t>STA. 646+00 - 659+00</t>
  </si>
  <si>
    <t>STA. 659+00 - 672+00</t>
  </si>
  <si>
    <t>WORK ZONE LANE LINE,
CLASS I, 6", 642 PAINT</t>
  </si>
  <si>
    <t>WORK ZONE EDGE LINE,
CLASS I, 6", 642 PAINT (WHITE)</t>
  </si>
  <si>
    <t>WORK ZONE EDGE LINE,
CLASS I, 6", 642 PAINT (YELLOW)</t>
  </si>
  <si>
    <t>WORK ZONE CHANNELIZING LINE,
CLASS I, 8", 642 PAINT</t>
  </si>
  <si>
    <t>WORK ZONE DOTTED LINE,
CLASS I, 6", 642 PAINT (WHITE)</t>
  </si>
  <si>
    <t>STA. 672+00 - 685+00</t>
  </si>
  <si>
    <t>STA. 685+00 - 698+00</t>
  </si>
  <si>
    <t>STA. 698+00 - 711+00</t>
  </si>
  <si>
    <t>STA. 711+00 - 724+00</t>
  </si>
  <si>
    <t>STA. 724+00 - 737+00</t>
  </si>
  <si>
    <t>STA. 737+00 - 750+00</t>
  </si>
  <si>
    <t>STA. 750+00 - 763+00</t>
  </si>
  <si>
    <t>STA. 763+00 - 776+00</t>
  </si>
  <si>
    <t>STA. 776+00 - 789+00</t>
  </si>
  <si>
    <t>STA. 789+00 - 802+00</t>
  </si>
  <si>
    <t>STA. 802+00 - 815+00</t>
  </si>
  <si>
    <t>STA. 815+00 - 828+00</t>
  </si>
  <si>
    <t>STA. 828+00 - 841+00</t>
  </si>
  <si>
    <t>STA. 841+00 - 854+00</t>
  </si>
  <si>
    <t>SUB-TOTALS</t>
  </si>
  <si>
    <t>PHASE 1 RE-STRIPE CONTIGENCY</t>
  </si>
  <si>
    <t>PHASE 2 RE-STRIPE CONTIGENCY</t>
  </si>
  <si>
    <t>STA. 625+25 - 630+25</t>
  </si>
  <si>
    <t>STA. 630+25 - 635+25</t>
  </si>
  <si>
    <t>15" CONDUIT, TYPE B,
AS PER PLAN</t>
  </si>
  <si>
    <t>SLOTTED DRAIN, TYPE 2,
AS PER PLAN</t>
  </si>
  <si>
    <t>CATCH BASIN RECONSTRUCTED
TO GRADE, AS PER PLAN</t>
  </si>
  <si>
    <t>STA. 635+25 - 640+25</t>
  </si>
  <si>
    <t>STA. 831+50 - 836+50</t>
  </si>
  <si>
    <t>STA. 836+50 - 841+50</t>
  </si>
  <si>
    <t>CATCH BASIN, NO. 4
WITHOUT APRON, AS PER PLAN</t>
  </si>
  <si>
    <t>TEMPORARY PAVEMENT FOR PHASE 1</t>
  </si>
  <si>
    <t>TEMPORARY SIGNALS</t>
  </si>
  <si>
    <t>S.R. 16 / RAMP A / RAMP B / WEAVER DR.</t>
  </si>
  <si>
    <t>S.R. 16 / RAMP C / RAMP D</t>
  </si>
  <si>
    <t>(*QUANTITY PROVIDED FOR 3 APPLICATIONS)</t>
  </si>
  <si>
    <t>PHASE 3 RE-STRIPE CONTIGENCY</t>
  </si>
  <si>
    <t>SUB-TOTALS (PLAN SPLIT 01/NHS)</t>
  </si>
  <si>
    <t>SUB-TOTALS (PLAN SPLIT 02/NHS)</t>
  </si>
  <si>
    <t>16 INTERCHANGE RAMPS RE-STRIPE</t>
  </si>
  <si>
    <t>CATCH BASIN, NO. 6, AS PER PLAN</t>
  </si>
  <si>
    <t>TEMPORARY PAVMENT FOR PHASES 2 &amp; 3</t>
  </si>
  <si>
    <t>PLAN SPLIT 01/NHS</t>
  </si>
  <si>
    <t>PLAN SPLIT 02/NHS</t>
  </si>
  <si>
    <t>WORK ZONE RAISED PAVEMENT MARKER,
(ONE WAY WHITE)</t>
  </si>
  <si>
    <t>WORK ZONE RAISED PAVEMENT MARKER,
(ONE WAY YELLOW)</t>
  </si>
  <si>
    <t>WORK ZONE RAISED PAVEMENT MARKER,
\(ONE WAY YELLOW)</t>
  </si>
  <si>
    <t>WORK ZONE STOP LINE,
CLASS I, 642 PAINT</t>
  </si>
  <si>
    <t>STA. 724+50.00 - STA. 726+63.92</t>
  </si>
  <si>
    <t>P.53</t>
  </si>
  <si>
    <t>P.54</t>
  </si>
  <si>
    <t>P.55</t>
  </si>
  <si>
    <t>P.56</t>
  </si>
  <si>
    <t>P.57</t>
  </si>
  <si>
    <t>P.58</t>
  </si>
  <si>
    <t>P.41</t>
  </si>
  <si>
    <t>P.42</t>
  </si>
  <si>
    <t>P.72</t>
  </si>
  <si>
    <t>P.73</t>
  </si>
  <si>
    <t>P.74</t>
  </si>
  <si>
    <t>P.75</t>
  </si>
  <si>
    <t>P.76</t>
  </si>
  <si>
    <t>P.77</t>
  </si>
  <si>
    <t>P.78</t>
  </si>
  <si>
    <t>P.79</t>
  </si>
  <si>
    <t>P.80</t>
  </si>
  <si>
    <t>P.81</t>
  </si>
  <si>
    <t>P.82</t>
  </si>
  <si>
    <t>P.83</t>
  </si>
  <si>
    <t>P.84</t>
  </si>
  <si>
    <t>P.85</t>
  </si>
  <si>
    <t>P.86</t>
  </si>
  <si>
    <t>P.87</t>
  </si>
  <si>
    <t>P.88</t>
  </si>
  <si>
    <t>P.89</t>
  </si>
  <si>
    <t>P.91</t>
  </si>
  <si>
    <t>P.92</t>
  </si>
  <si>
    <t>P.93</t>
  </si>
  <si>
    <t>P.94</t>
  </si>
  <si>
    <t>P.95</t>
  </si>
  <si>
    <t>P.96</t>
  </si>
  <si>
    <t>P.97</t>
  </si>
  <si>
    <t>P.98</t>
  </si>
  <si>
    <t>P.99</t>
  </si>
  <si>
    <t>P.100</t>
  </si>
  <si>
    <t>P.101</t>
  </si>
  <si>
    <t>P.102</t>
  </si>
  <si>
    <t>P.103</t>
  </si>
  <si>
    <t>P.104</t>
  </si>
  <si>
    <t>P.105</t>
  </si>
  <si>
    <t>P.106</t>
  </si>
  <si>
    <t>P.107</t>
  </si>
  <si>
    <t>P.108</t>
  </si>
  <si>
    <t>P.109</t>
  </si>
  <si>
    <t>P.110</t>
  </si>
  <si>
    <t>P.111</t>
  </si>
  <si>
    <t>P.112</t>
  </si>
  <si>
    <t>P.113</t>
  </si>
  <si>
    <t>P.114</t>
  </si>
  <si>
    <t>P.115</t>
  </si>
  <si>
    <t>P.116</t>
  </si>
  <si>
    <t>P.117</t>
  </si>
  <si>
    <t>P.118</t>
  </si>
  <si>
    <t>P.119</t>
  </si>
  <si>
    <t>P.120</t>
  </si>
  <si>
    <t>P.121</t>
  </si>
  <si>
    <t>P.122</t>
  </si>
  <si>
    <t>P.123</t>
  </si>
  <si>
    <t>P.124</t>
  </si>
  <si>
    <t>P.125</t>
  </si>
  <si>
    <t>P.126</t>
  </si>
  <si>
    <t>P.127</t>
  </si>
  <si>
    <t>P.128</t>
  </si>
  <si>
    <t>P.129</t>
  </si>
  <si>
    <t>P.130</t>
  </si>
  <si>
    <t>P.131</t>
  </si>
  <si>
    <t>P.132</t>
  </si>
  <si>
    <t>P.133</t>
  </si>
  <si>
    <t>P.134</t>
  </si>
  <si>
    <t>P.135</t>
  </si>
  <si>
    <t>P.136</t>
  </si>
  <si>
    <t>P.137</t>
  </si>
  <si>
    <t>P.139</t>
  </si>
  <si>
    <t>P.140</t>
  </si>
  <si>
    <t>P.141</t>
  </si>
  <si>
    <t>P.142</t>
  </si>
  <si>
    <t>P.143</t>
  </si>
  <si>
    <t>P.144</t>
  </si>
  <si>
    <t>P.145</t>
  </si>
  <si>
    <t>P.146</t>
  </si>
  <si>
    <t>P.147</t>
  </si>
  <si>
    <t>P.148</t>
  </si>
  <si>
    <t>P.149</t>
  </si>
  <si>
    <t>P.150</t>
  </si>
  <si>
    <t>P.151</t>
  </si>
  <si>
    <t>P.152</t>
  </si>
  <si>
    <t>P.153</t>
  </si>
  <si>
    <t>P.154</t>
  </si>
  <si>
    <t>P.155</t>
  </si>
  <si>
    <t>P.156</t>
  </si>
  <si>
    <t>P.157</t>
  </si>
  <si>
    <t>P.158</t>
  </si>
  <si>
    <t>P.159</t>
  </si>
  <si>
    <t>P.160</t>
  </si>
  <si>
    <t>P.161</t>
  </si>
  <si>
    <t>P.162</t>
  </si>
  <si>
    <t>P.163</t>
  </si>
  <si>
    <t>P.164</t>
  </si>
  <si>
    <t>P.165</t>
  </si>
  <si>
    <t>P.166</t>
  </si>
  <si>
    <t>P.167</t>
  </si>
  <si>
    <t>P.168</t>
  </si>
  <si>
    <t>P.169</t>
  </si>
  <si>
    <t>P.170</t>
  </si>
  <si>
    <t>P.171</t>
  </si>
  <si>
    <t>P.172</t>
  </si>
  <si>
    <t>P.173</t>
  </si>
  <si>
    <t>P.174</t>
  </si>
  <si>
    <t>P.175</t>
  </si>
  <si>
    <t>P.176</t>
  </si>
  <si>
    <t>P.177</t>
  </si>
  <si>
    <t>P.178</t>
  </si>
  <si>
    <t>P.179</t>
  </si>
  <si>
    <t>P.180</t>
  </si>
  <si>
    <t>P.181</t>
  </si>
  <si>
    <t>P.182</t>
  </si>
  <si>
    <t>P.183</t>
  </si>
  <si>
    <t>P.184</t>
  </si>
  <si>
    <t>P.185</t>
  </si>
  <si>
    <t>P.186</t>
  </si>
  <si>
    <t>P.187</t>
  </si>
  <si>
    <t>P.188</t>
  </si>
  <si>
    <t>P.189</t>
  </si>
  <si>
    <t>P.190</t>
  </si>
  <si>
    <t>P.191</t>
  </si>
  <si>
    <t>P.192</t>
  </si>
  <si>
    <t>P.193</t>
  </si>
  <si>
    <t>P.194</t>
  </si>
  <si>
    <t>P.195</t>
  </si>
  <si>
    <t>P.196</t>
  </si>
  <si>
    <t>P.197</t>
  </si>
  <si>
    <t>P.198</t>
  </si>
  <si>
    <t>P.199</t>
  </si>
  <si>
    <t>P.200</t>
  </si>
  <si>
    <t>P.201</t>
  </si>
  <si>
    <t>P.202</t>
  </si>
  <si>
    <t>P.203</t>
  </si>
  <si>
    <t>P.204</t>
  </si>
  <si>
    <t>P.205</t>
  </si>
  <si>
    <t>P.206</t>
  </si>
  <si>
    <t>P.207</t>
  </si>
  <si>
    <t>P.208</t>
  </si>
  <si>
    <t>P.209</t>
  </si>
  <si>
    <t>P.210</t>
  </si>
  <si>
    <t>P.211</t>
  </si>
  <si>
    <t>P.212</t>
  </si>
  <si>
    <t>P.213</t>
  </si>
  <si>
    <t>P.214</t>
  </si>
  <si>
    <t>P.215</t>
  </si>
  <si>
    <t>P.216</t>
  </si>
  <si>
    <t>P.217</t>
  </si>
  <si>
    <t>P.218</t>
  </si>
  <si>
    <t>P.219</t>
  </si>
  <si>
    <t>P.220</t>
  </si>
  <si>
    <t>P.221</t>
  </si>
  <si>
    <t>P.222</t>
  </si>
  <si>
    <t>P.223</t>
  </si>
  <si>
    <t>P.224</t>
  </si>
  <si>
    <t>P.225</t>
  </si>
  <si>
    <t>P.226</t>
  </si>
  <si>
    <t>P.227</t>
  </si>
  <si>
    <t>P.228</t>
  </si>
  <si>
    <t>P.229</t>
  </si>
  <si>
    <t>P.230</t>
  </si>
  <si>
    <t>P.231</t>
  </si>
  <si>
    <t>P.232</t>
  </si>
  <si>
    <t>P.233</t>
  </si>
  <si>
    <t>P.234</t>
  </si>
  <si>
    <t>P.235</t>
  </si>
  <si>
    <t>P.236</t>
  </si>
  <si>
    <t>P.237</t>
  </si>
  <si>
    <t>P.238</t>
  </si>
  <si>
    <t>P.239</t>
  </si>
  <si>
    <t>P.240</t>
  </si>
  <si>
    <t>P.241</t>
  </si>
  <si>
    <t>P.242</t>
  </si>
  <si>
    <t>P.243</t>
  </si>
  <si>
    <t>P.244</t>
  </si>
  <si>
    <t>P.245</t>
  </si>
  <si>
    <t>P.246</t>
  </si>
  <si>
    <t>P.247</t>
  </si>
  <si>
    <t>P.248</t>
  </si>
  <si>
    <t>P.249</t>
  </si>
  <si>
    <t>P.250</t>
  </si>
  <si>
    <t>P.251</t>
  </si>
  <si>
    <t>P.252</t>
  </si>
  <si>
    <t>P.253</t>
  </si>
  <si>
    <t>P.254</t>
  </si>
  <si>
    <t>P.255</t>
  </si>
  <si>
    <t>P.256</t>
  </si>
  <si>
    <t>P.257</t>
  </si>
  <si>
    <t>P.258</t>
  </si>
  <si>
    <t>P.259</t>
  </si>
  <si>
    <t>P.260</t>
  </si>
  <si>
    <t>P.261</t>
  </si>
  <si>
    <t>P.262</t>
  </si>
  <si>
    <t>P.263</t>
  </si>
  <si>
    <t>P.264</t>
  </si>
  <si>
    <t>P.265</t>
  </si>
  <si>
    <t>P.266</t>
  </si>
  <si>
    <t>P.267</t>
  </si>
  <si>
    <t>P.268</t>
  </si>
  <si>
    <t>P.269</t>
  </si>
  <si>
    <t>P.270</t>
  </si>
  <si>
    <t>P.271</t>
  </si>
  <si>
    <t>P.272</t>
  </si>
  <si>
    <t>P.273</t>
  </si>
  <si>
    <t>P.274</t>
  </si>
  <si>
    <t>P.275</t>
  </si>
  <si>
    <t>P.276</t>
  </si>
  <si>
    <t>P.277</t>
  </si>
  <si>
    <t>P.278</t>
  </si>
  <si>
    <t>P.279</t>
  </si>
  <si>
    <t>P.281</t>
  </si>
  <si>
    <t>P.282</t>
  </si>
  <si>
    <t>P.283</t>
  </si>
  <si>
    <t>P.284</t>
  </si>
  <si>
    <t>P.285</t>
  </si>
  <si>
    <t>P.286</t>
  </si>
  <si>
    <t>P.287</t>
  </si>
  <si>
    <t>P.288</t>
  </si>
  <si>
    <t>P.289</t>
  </si>
  <si>
    <t>P.290</t>
  </si>
  <si>
    <t>P.291</t>
  </si>
  <si>
    <t>P.292</t>
  </si>
  <si>
    <t>P.293</t>
  </si>
  <si>
    <t>P.294</t>
  </si>
  <si>
    <t>P.295</t>
  </si>
  <si>
    <t>P.296</t>
  </si>
  <si>
    <t>P.297</t>
  </si>
  <si>
    <t>P.298</t>
  </si>
  <si>
    <t>P.299</t>
  </si>
  <si>
    <t>P.300</t>
  </si>
  <si>
    <t>P.301</t>
  </si>
  <si>
    <t>P.302</t>
  </si>
  <si>
    <t>P.303</t>
  </si>
  <si>
    <t>P.304</t>
  </si>
  <si>
    <t>P.305</t>
  </si>
  <si>
    <t>P.306</t>
  </si>
  <si>
    <t>P.307</t>
  </si>
  <si>
    <t>P.308</t>
  </si>
  <si>
    <t>P.309</t>
  </si>
  <si>
    <t>P.310</t>
  </si>
  <si>
    <t>P.311</t>
  </si>
  <si>
    <t>P.312</t>
  </si>
  <si>
    <t>P.313</t>
  </si>
  <si>
    <t>P.314</t>
  </si>
  <si>
    <t>P.315</t>
  </si>
  <si>
    <t>P.316</t>
  </si>
  <si>
    <t>P.317</t>
  </si>
  <si>
    <t>P.318</t>
  </si>
  <si>
    <t>P.319</t>
  </si>
  <si>
    <t>P.320</t>
  </si>
  <si>
    <t>P.321</t>
  </si>
  <si>
    <t>P.322</t>
  </si>
  <si>
    <t>P.323</t>
  </si>
  <si>
    <t>P.324</t>
  </si>
  <si>
    <t>P.325</t>
  </si>
  <si>
    <t>P.326</t>
  </si>
  <si>
    <t>P.327</t>
  </si>
  <si>
    <t>P.328</t>
  </si>
  <si>
    <t>P.329</t>
  </si>
  <si>
    <t>P.330</t>
  </si>
  <si>
    <t>P.331</t>
  </si>
  <si>
    <t>P.332</t>
  </si>
  <si>
    <t>P.333</t>
  </si>
  <si>
    <t>P.334</t>
  </si>
  <si>
    <t>P.335</t>
  </si>
  <si>
    <t>P.336</t>
  </si>
  <si>
    <t>P.337</t>
  </si>
  <si>
    <t>P.338</t>
  </si>
  <si>
    <t>P.339</t>
  </si>
  <si>
    <t>P.340</t>
  </si>
  <si>
    <t>P.341</t>
  </si>
  <si>
    <t>P.342</t>
  </si>
  <si>
    <t>P.343</t>
  </si>
  <si>
    <t>P.344</t>
  </si>
  <si>
    <t>P.345</t>
  </si>
  <si>
    <t>P.346</t>
  </si>
  <si>
    <t>P.347</t>
  </si>
  <si>
    <t>P.348</t>
  </si>
  <si>
    <t>P.349</t>
  </si>
  <si>
    <t>P.350</t>
  </si>
  <si>
    <t>P.351</t>
  </si>
  <si>
    <t>P.352</t>
  </si>
  <si>
    <t>P.353</t>
  </si>
  <si>
    <t>P.354</t>
  </si>
  <si>
    <t>P.355</t>
  </si>
  <si>
    <t>P.356</t>
  </si>
  <si>
    <t>P.357</t>
  </si>
  <si>
    <t>P.358</t>
  </si>
  <si>
    <t>P.359</t>
  </si>
  <si>
    <t>P.360</t>
  </si>
  <si>
    <t>P.361</t>
  </si>
  <si>
    <t>P.362</t>
  </si>
  <si>
    <t>P.363</t>
  </si>
  <si>
    <t>P.364</t>
  </si>
  <si>
    <t>P.365</t>
  </si>
  <si>
    <t>P.366</t>
  </si>
  <si>
    <t>P.367</t>
  </si>
  <si>
    <t>P.368</t>
  </si>
  <si>
    <t>P.369</t>
  </si>
  <si>
    <t>P.370</t>
  </si>
  <si>
    <t>P.371</t>
  </si>
  <si>
    <t>P.372</t>
  </si>
  <si>
    <t>P.373</t>
  </si>
  <si>
    <t>P.374</t>
  </si>
  <si>
    <t>P.375</t>
  </si>
  <si>
    <t>P.376</t>
  </si>
  <si>
    <t>P.377</t>
  </si>
  <si>
    <t>P.378</t>
  </si>
  <si>
    <t>P.379</t>
  </si>
  <si>
    <t>P.380</t>
  </si>
  <si>
    <t>P.381</t>
  </si>
  <si>
    <t>P.382</t>
  </si>
  <si>
    <t>P.383</t>
  </si>
  <si>
    <t>P.384</t>
  </si>
  <si>
    <t>P.385</t>
  </si>
  <si>
    <t>P.386</t>
  </si>
  <si>
    <t>P.387</t>
  </si>
  <si>
    <t>P.388</t>
  </si>
  <si>
    <t>P.389</t>
  </si>
  <si>
    <t>P.390</t>
  </si>
  <si>
    <t>P.391</t>
  </si>
  <si>
    <t>P.392</t>
  </si>
  <si>
    <t>P.393</t>
  </si>
  <si>
    <t>P.394</t>
  </si>
  <si>
    <t>P.395</t>
  </si>
  <si>
    <t>P.396</t>
  </si>
  <si>
    <t>P.397</t>
  </si>
  <si>
    <t>P.398</t>
  </si>
  <si>
    <t>P.399</t>
  </si>
  <si>
    <t>P.400</t>
  </si>
  <si>
    <t>P.401</t>
  </si>
  <si>
    <t>P.402</t>
  </si>
  <si>
    <t>P.403</t>
  </si>
  <si>
    <t>P.404</t>
  </si>
  <si>
    <t>P.405</t>
  </si>
  <si>
    <t>P.406</t>
  </si>
  <si>
    <t>P.407</t>
  </si>
  <si>
    <t>P.408</t>
  </si>
  <si>
    <t>P.409</t>
  </si>
  <si>
    <t>P.410</t>
  </si>
  <si>
    <t>P.411</t>
  </si>
  <si>
    <t>P.412</t>
  </si>
  <si>
    <t>P.413</t>
  </si>
  <si>
    <t>P.414</t>
  </si>
  <si>
    <t>P.415</t>
  </si>
  <si>
    <t>P.416</t>
  </si>
  <si>
    <t>P.417</t>
  </si>
  <si>
    <t>P.418</t>
  </si>
  <si>
    <t>P.419</t>
  </si>
  <si>
    <t>P.420</t>
  </si>
  <si>
    <t>P.421</t>
  </si>
  <si>
    <t>TOTALS CARRIED TO GENERAL SUMMARY</t>
  </si>
  <si>
    <t>P.43</t>
  </si>
  <si>
    <t>P.44</t>
  </si>
  <si>
    <t>P.45</t>
  </si>
  <si>
    <t>P.46</t>
  </si>
  <si>
    <t>P.47</t>
  </si>
  <si>
    <t>P.48</t>
  </si>
  <si>
    <t>P.49</t>
  </si>
  <si>
    <t>P.50</t>
  </si>
  <si>
    <t>P.51</t>
  </si>
  <si>
    <t>TEMPORARY PAVEMENT</t>
  </si>
  <si>
    <t>PRE-PHASE 1</t>
  </si>
  <si>
    <t>PHASE 1</t>
  </si>
  <si>
    <t>PHASE 2A</t>
  </si>
  <si>
    <t>PHASE 2B</t>
  </si>
  <si>
    <t>PHASE 2C</t>
  </si>
  <si>
    <t>PHASE 3A</t>
  </si>
  <si>
    <t>PHASE 3B</t>
  </si>
  <si>
    <t>PHASE 3C</t>
  </si>
  <si>
    <t>TOTALS CARRIED TO P.52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</si>
</sst>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&quot;*&quot;"/>
  </numFmts>
  <fonts count="3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2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164" fontId="32" fillId="0" borderId="5" xfId="0" applyNumberFormat="1" applyFont="1" applyBorder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2" fontId="32" fillId="0" borderId="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3" fontId="32" fillId="0" borderId="8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1" fontId="32" fillId="0" borderId="2" xfId="0" applyNumberFormat="1" applyFont="1" applyBorder="1" applyAlignment="1">
      <alignment horizontal="center" vertical="center"/>
    </xf>
    <xf numFmtId="1" fontId="31" fillId="0" borderId="5" xfId="0" applyNumberFormat="1" applyFont="1" applyBorder="1" applyAlignment="1">
      <alignment horizontal="center" vertical="center"/>
    </xf>
    <xf numFmtId="1" fontId="32" fillId="0" borderId="5" xfId="0" applyNumberFormat="1" applyFont="1" applyBorder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3" fontId="32" fillId="0" borderId="6" xfId="0" applyNumberFormat="1" applyFont="1" applyBorder="1" applyAlignment="1">
      <alignment horizontal="center" vertical="center"/>
    </xf>
    <xf numFmtId="2" fontId="32" fillId="0" borderId="8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3" fontId="32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2" fontId="14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1" fontId="13" fillId="0" borderId="5" xfId="0" applyNumberFormat="1" applyFont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3" fontId="13" fillId="0" borderId="5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/>
    </xf>
    <xf numFmtId="165" fontId="32" fillId="0" borderId="5" xfId="0" applyNumberFormat="1" applyFont="1" applyBorder="1" applyAlignment="1">
      <alignment horizontal="center" vertical="center"/>
    </xf>
    <xf numFmtId="1" fontId="32" fillId="0" borderId="6" xfId="0" applyNumberFormat="1" applyFont="1" applyBorder="1" applyAlignment="1">
      <alignment horizontal="center" vertical="center"/>
    </xf>
    <xf numFmtId="3" fontId="32" fillId="0" borderId="9" xfId="0" applyNumberFormat="1" applyFont="1" applyBorder="1" applyAlignment="1">
      <alignment horizontal="center" vertical="center"/>
    </xf>
    <xf numFmtId="1" fontId="32" fillId="0" borderId="9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textRotation="90" wrapText="1"/>
    </xf>
    <xf numFmtId="2" fontId="32" fillId="0" borderId="5" xfId="0" applyNumberFormat="1" applyFont="1" applyBorder="1" applyAlignment="1">
      <alignment horizontal="center" textRotation="90"/>
    </xf>
    <xf numFmtId="0" fontId="32" fillId="0" borderId="1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164" fontId="32" fillId="0" borderId="5" xfId="0" applyNumberFormat="1" applyFont="1" applyBorder="1" applyAlignment="1">
      <alignment horizontal="center" textRotation="90" wrapText="1"/>
    </xf>
    <xf numFmtId="164" fontId="32" fillId="0" borderId="5" xfId="0" applyNumberFormat="1" applyFont="1" applyBorder="1" applyAlignment="1">
      <alignment horizontal="center" textRotation="90"/>
    </xf>
    <xf numFmtId="0" fontId="32" fillId="0" borderId="5" xfId="0" applyFont="1" applyBorder="1" applyAlignment="1">
      <alignment horizontal="center" textRotation="90" wrapText="1"/>
    </xf>
    <xf numFmtId="0" fontId="32" fillId="0" borderId="5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 wrapText="1"/>
    </xf>
    <xf numFmtId="0" fontId="31" fillId="0" borderId="5" xfId="0" applyFont="1" applyBorder="1" applyAlignment="1">
      <alignment horizontal="center" textRotation="90" wrapText="1"/>
    </xf>
    <xf numFmtId="0" fontId="31" fillId="0" borderId="5" xfId="0" applyFont="1" applyBorder="1" applyAlignment="1">
      <alignment horizontal="center" textRotation="90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textRotation="90" wrapText="1"/>
    </xf>
    <xf numFmtId="1" fontId="32" fillId="0" borderId="5" xfId="0" applyNumberFormat="1" applyFont="1" applyBorder="1" applyAlignment="1">
      <alignment horizontal="center" textRotation="90"/>
    </xf>
    <xf numFmtId="1" fontId="16" fillId="0" borderId="5" xfId="0" applyNumberFormat="1" applyFont="1" applyBorder="1" applyAlignment="1">
      <alignment horizontal="center" textRotation="90" wrapText="1"/>
    </xf>
    <xf numFmtId="0" fontId="10" fillId="0" borderId="1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textRotation="90" wrapText="1"/>
    </xf>
    <xf numFmtId="1" fontId="31" fillId="0" borderId="8" xfId="0" applyNumberFormat="1" applyFont="1" applyBorder="1" applyAlignment="1">
      <alignment horizontal="center" textRotation="90" wrapText="1"/>
    </xf>
    <xf numFmtId="1" fontId="32" fillId="0" borderId="10" xfId="0" applyNumberFormat="1" applyFont="1" applyBorder="1" applyAlignment="1">
      <alignment horizontal="center" textRotation="90" wrapText="1"/>
    </xf>
    <xf numFmtId="1" fontId="32" fillId="0" borderId="2" xfId="0" applyNumberFormat="1" applyFont="1" applyBorder="1" applyAlignment="1">
      <alignment horizontal="center" textRotation="90" wrapText="1"/>
    </xf>
    <xf numFmtId="164" fontId="30" fillId="0" borderId="8" xfId="0" applyNumberFormat="1" applyFont="1" applyBorder="1" applyAlignment="1">
      <alignment horizontal="center" textRotation="90" wrapText="1"/>
    </xf>
    <xf numFmtId="164" fontId="32" fillId="0" borderId="10" xfId="0" applyNumberFormat="1" applyFont="1" applyBorder="1" applyAlignment="1">
      <alignment horizontal="center" textRotation="90" wrapText="1"/>
    </xf>
    <xf numFmtId="164" fontId="32" fillId="0" borderId="2" xfId="0" applyNumberFormat="1" applyFont="1" applyBorder="1" applyAlignment="1">
      <alignment horizontal="center" textRotation="90" wrapText="1"/>
    </xf>
    <xf numFmtId="1" fontId="25" fillId="0" borderId="5" xfId="0" applyNumberFormat="1" applyFont="1" applyBorder="1" applyAlignment="1">
      <alignment horizontal="center" textRotation="90" wrapText="1"/>
    </xf>
    <xf numFmtId="0" fontId="32" fillId="0" borderId="6" xfId="0" applyFont="1" applyBorder="1" applyAlignment="1">
      <alignment horizontal="center" textRotation="90"/>
    </xf>
    <xf numFmtId="1" fontId="21" fillId="0" borderId="8" xfId="0" applyNumberFormat="1" applyFont="1" applyBorder="1" applyAlignment="1">
      <alignment horizontal="center" textRotation="90" wrapText="1"/>
    </xf>
    <xf numFmtId="1" fontId="22" fillId="0" borderId="10" xfId="0" applyNumberFormat="1" applyFont="1" applyBorder="1" applyAlignment="1">
      <alignment horizontal="center" textRotation="90" wrapText="1"/>
    </xf>
    <xf numFmtId="1" fontId="22" fillId="0" borderId="2" xfId="0" applyNumberFormat="1" applyFont="1" applyBorder="1" applyAlignment="1">
      <alignment horizontal="center" textRotation="90" wrapText="1"/>
    </xf>
    <xf numFmtId="0" fontId="3" fillId="0" borderId="8" xfId="0" applyFont="1" applyBorder="1" applyAlignment="1">
      <alignment horizontal="center" textRotation="90" wrapText="1"/>
    </xf>
    <xf numFmtId="0" fontId="32" fillId="0" borderId="10" xfId="0" applyFont="1" applyBorder="1" applyAlignment="1">
      <alignment horizontal="center" textRotation="90" wrapText="1"/>
    </xf>
    <xf numFmtId="0" fontId="32" fillId="0" borderId="2" xfId="0" applyFont="1" applyBorder="1" applyAlignment="1">
      <alignment horizontal="center" textRotation="90" wrapText="1"/>
    </xf>
    <xf numFmtId="0" fontId="29" fillId="0" borderId="8" xfId="0" applyFont="1" applyBorder="1" applyAlignment="1">
      <alignment horizontal="center" textRotation="90" wrapText="1"/>
    </xf>
    <xf numFmtId="0" fontId="29" fillId="0" borderId="10" xfId="0" applyFont="1" applyBorder="1" applyAlignment="1">
      <alignment horizontal="center" textRotation="90" wrapText="1"/>
    </xf>
    <xf numFmtId="0" fontId="29" fillId="0" borderId="2" xfId="0" applyFont="1" applyBorder="1" applyAlignment="1">
      <alignment horizontal="center" textRotation="90" wrapText="1"/>
    </xf>
    <xf numFmtId="0" fontId="21" fillId="0" borderId="8" xfId="0" applyFont="1" applyBorder="1" applyAlignment="1">
      <alignment horizontal="center" textRotation="90" wrapText="1"/>
    </xf>
    <xf numFmtId="0" fontId="20" fillId="0" borderId="1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textRotation="90" wrapText="1"/>
    </xf>
    <xf numFmtId="0" fontId="21" fillId="0" borderId="2" xfId="0" applyFont="1" applyBorder="1" applyAlignment="1">
      <alignment horizontal="center" textRotation="90" wrapText="1"/>
    </xf>
    <xf numFmtId="1" fontId="32" fillId="0" borderId="6" xfId="0" applyNumberFormat="1" applyFont="1" applyBorder="1" applyAlignment="1">
      <alignment horizontal="center" vertical="center"/>
    </xf>
    <xf numFmtId="1" fontId="32" fillId="0" borderId="4" xfId="0" applyNumberFormat="1" applyFont="1" applyBorder="1" applyAlignment="1">
      <alignment horizontal="center" vertical="center"/>
    </xf>
    <xf numFmtId="2" fontId="32" fillId="0" borderId="6" xfId="0" applyNumberFormat="1" applyFont="1" applyBorder="1" applyAlignment="1">
      <alignment horizontal="center" vertical="center"/>
    </xf>
    <xf numFmtId="2" fontId="3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textRotation="90" wrapText="1"/>
    </xf>
    <xf numFmtId="1" fontId="32" fillId="0" borderId="9" xfId="0" applyNumberFormat="1" applyFont="1" applyBorder="1" applyAlignment="1">
      <alignment horizontal="center" vertical="center"/>
    </xf>
    <xf numFmtId="1" fontId="32" fillId="0" borderId="7" xfId="0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horizontal="center" vertical="center"/>
    </xf>
    <xf numFmtId="2" fontId="32" fillId="0" borderId="7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547FF-F74E-4908-91BA-2C06B615DA91}">
  <dimension ref="A1:AB75"/>
  <sheetViews>
    <sheetView showZeros="0" topLeftCell="A37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3" width="8.28515625" style="8" customWidth="1"/>
    <col min="4" max="8" width="8.28515625" style="19" customWidth="1"/>
    <col min="9" max="16" width="8.28515625" style="1" customWidth="1"/>
    <col min="17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57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113</v>
      </c>
      <c r="C20" s="7"/>
      <c r="D20" s="18"/>
      <c r="E20" s="18"/>
      <c r="F20" s="18"/>
      <c r="G20" s="18"/>
      <c r="H20" s="18"/>
      <c r="I20" s="5"/>
      <c r="J20" s="5"/>
      <c r="K20" s="5"/>
      <c r="L20" s="5"/>
      <c r="M20" s="5"/>
      <c r="N20" s="5"/>
      <c r="O20" s="5"/>
      <c r="P20" s="5"/>
      <c r="Q20" s="9"/>
      <c r="R20" s="9"/>
      <c r="S20" s="18"/>
      <c r="T20" s="18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14"/>
      <c r="B21" s="55" t="s">
        <v>102</v>
      </c>
      <c r="C21" s="7"/>
      <c r="D21" s="18"/>
      <c r="E21" s="18"/>
      <c r="F21" s="18"/>
      <c r="G21" s="18"/>
      <c r="H21" s="18"/>
      <c r="I21" s="5"/>
      <c r="J21" s="5"/>
      <c r="K21" s="5"/>
      <c r="L21" s="5"/>
      <c r="M21" s="5"/>
      <c r="N21" s="5"/>
      <c r="O21" s="5"/>
      <c r="P21" s="5"/>
      <c r="Q21" s="9"/>
      <c r="R21" s="9"/>
      <c r="S21" s="18"/>
      <c r="T21" s="18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4"/>
      <c r="B22" s="27"/>
      <c r="C22" s="7"/>
      <c r="D22" s="18"/>
      <c r="E22" s="18"/>
      <c r="F22" s="18"/>
      <c r="G22" s="18"/>
      <c r="H22" s="18"/>
      <c r="I22" s="5"/>
      <c r="J22" s="5"/>
      <c r="K22" s="5"/>
      <c r="L22" s="5"/>
      <c r="M22" s="5"/>
      <c r="N22" s="5"/>
      <c r="O22" s="5"/>
      <c r="P22" s="5"/>
      <c r="Q22" s="9"/>
      <c r="R22" s="9"/>
      <c r="S22" s="18"/>
      <c r="T22" s="18"/>
      <c r="U22" s="5"/>
      <c r="V22" s="5"/>
      <c r="W22" s="7"/>
      <c r="X22" s="18"/>
      <c r="Y22" s="18"/>
      <c r="Z22" s="7"/>
      <c r="AA22" s="18"/>
      <c r="AB22" s="6"/>
    </row>
    <row r="23" spans="1:28" x14ac:dyDescent="0.25">
      <c r="A23" s="67" t="s">
        <v>120</v>
      </c>
      <c r="B23" s="66" t="s">
        <v>119</v>
      </c>
      <c r="C23" s="7"/>
      <c r="D23" s="18"/>
      <c r="E23" s="18"/>
      <c r="F23" s="18"/>
      <c r="G23" s="18"/>
      <c r="H23" s="18"/>
      <c r="I23" s="5"/>
      <c r="J23" s="5"/>
      <c r="K23" s="5"/>
      <c r="L23" s="5"/>
      <c r="M23" s="5"/>
      <c r="N23" s="5"/>
      <c r="O23" s="5"/>
      <c r="P23" s="5"/>
      <c r="Q23" s="9"/>
      <c r="R23" s="9"/>
      <c r="S23" s="18"/>
      <c r="T23" s="18"/>
      <c r="U23" s="5"/>
      <c r="V23" s="5"/>
      <c r="W23" s="18">
        <v>62</v>
      </c>
      <c r="X23" s="18"/>
      <c r="Y23" s="18"/>
      <c r="Z23" s="7"/>
      <c r="AA23" s="18"/>
      <c r="AB23" s="6"/>
    </row>
    <row r="24" spans="1:28" x14ac:dyDescent="0.25">
      <c r="A24" s="4"/>
      <c r="B24" s="27"/>
      <c r="C24" s="7"/>
      <c r="D24" s="18"/>
      <c r="E24" s="18"/>
      <c r="F24" s="18"/>
      <c r="G24" s="18"/>
      <c r="H24" s="18"/>
      <c r="I24" s="5"/>
      <c r="J24" s="5"/>
      <c r="K24" s="5"/>
      <c r="L24" s="5"/>
      <c r="M24" s="5"/>
      <c r="N24" s="5"/>
      <c r="O24" s="5"/>
      <c r="P24" s="5"/>
      <c r="Q24" s="9"/>
      <c r="R24" s="9"/>
      <c r="S24" s="18"/>
      <c r="T24" s="18"/>
      <c r="U24" s="5"/>
      <c r="V24" s="5"/>
      <c r="W24" s="18"/>
      <c r="X24" s="18"/>
      <c r="Y24" s="18"/>
      <c r="Z24" s="7"/>
      <c r="AA24" s="18"/>
      <c r="AB24" s="6"/>
    </row>
    <row r="25" spans="1:28" x14ac:dyDescent="0.25">
      <c r="A25" s="14"/>
      <c r="B25" s="28"/>
      <c r="C25" s="7"/>
      <c r="D25" s="18"/>
      <c r="E25" s="18"/>
      <c r="F25" s="18"/>
      <c r="G25" s="18"/>
      <c r="H25" s="18"/>
      <c r="I25" s="5"/>
      <c r="J25" s="5"/>
      <c r="K25" s="5"/>
      <c r="L25" s="5"/>
      <c r="M25" s="5"/>
      <c r="N25" s="5"/>
      <c r="O25" s="5"/>
      <c r="P25" s="5"/>
      <c r="Q25" s="9"/>
      <c r="R25" s="9"/>
      <c r="S25" s="18"/>
      <c r="T25" s="18"/>
      <c r="U25" s="5"/>
      <c r="V25" s="5"/>
      <c r="W25" s="18"/>
      <c r="X25" s="18"/>
      <c r="Y25" s="18"/>
      <c r="Z25" s="7"/>
      <c r="AA25" s="18"/>
      <c r="AB25" s="6"/>
    </row>
    <row r="26" spans="1:28" x14ac:dyDescent="0.25">
      <c r="A26" s="4"/>
      <c r="B26" s="28"/>
      <c r="C26" s="7"/>
      <c r="D26" s="18"/>
      <c r="E26" s="18"/>
      <c r="F26" s="18"/>
      <c r="G26" s="18"/>
      <c r="H26" s="18"/>
      <c r="I26" s="5"/>
      <c r="J26" s="5"/>
      <c r="K26" s="5"/>
      <c r="L26" s="5"/>
      <c r="M26" s="5"/>
      <c r="N26" s="5"/>
      <c r="O26" s="5"/>
      <c r="P26" s="5"/>
      <c r="Q26" s="9"/>
      <c r="R26" s="9"/>
      <c r="S26" s="18"/>
      <c r="T26" s="18"/>
      <c r="U26" s="5"/>
      <c r="V26" s="5"/>
      <c r="W26" s="18"/>
      <c r="X26" s="18"/>
      <c r="Y26" s="18"/>
      <c r="Z26" s="7"/>
      <c r="AA26" s="18"/>
      <c r="AB26" s="6"/>
    </row>
    <row r="27" spans="1:28" x14ac:dyDescent="0.25">
      <c r="A27" s="14"/>
      <c r="B27" s="64" t="s">
        <v>112</v>
      </c>
      <c r="C27" s="7"/>
      <c r="D27" s="18"/>
      <c r="E27" s="18"/>
      <c r="F27" s="18"/>
      <c r="G27" s="18"/>
      <c r="H27" s="18"/>
      <c r="I27" s="5"/>
      <c r="J27" s="5"/>
      <c r="K27" s="5"/>
      <c r="L27" s="5"/>
      <c r="M27" s="5"/>
      <c r="N27" s="5"/>
      <c r="O27" s="5"/>
      <c r="P27" s="5"/>
      <c r="Q27" s="9"/>
      <c r="R27" s="9"/>
      <c r="S27" s="18"/>
      <c r="T27" s="18"/>
      <c r="U27" s="5"/>
      <c r="V27" s="5"/>
      <c r="W27" s="18"/>
      <c r="X27" s="18"/>
      <c r="Y27" s="18"/>
      <c r="Z27" s="7"/>
      <c r="AA27" s="18"/>
      <c r="AB27" s="6"/>
    </row>
    <row r="28" spans="1:28" x14ac:dyDescent="0.25">
      <c r="A28" s="4"/>
      <c r="B28" s="28"/>
      <c r="C28" s="7"/>
      <c r="D28" s="18"/>
      <c r="E28" s="18"/>
      <c r="F28" s="18"/>
      <c r="G28" s="18"/>
      <c r="H28" s="18"/>
      <c r="I28" s="5"/>
      <c r="J28" s="5"/>
      <c r="K28" s="5"/>
      <c r="L28" s="5"/>
      <c r="M28" s="5"/>
      <c r="N28" s="5"/>
      <c r="O28" s="5"/>
      <c r="P28" s="5"/>
      <c r="Q28" s="9"/>
      <c r="R28" s="9"/>
      <c r="S28" s="18"/>
      <c r="T28" s="18"/>
      <c r="U28" s="5"/>
      <c r="V28" s="5"/>
      <c r="W28" s="18"/>
      <c r="X28" s="18"/>
      <c r="Y28" s="18"/>
      <c r="Z28" s="7"/>
      <c r="AA28" s="18"/>
      <c r="AB28" s="6"/>
    </row>
    <row r="29" spans="1:28" x14ac:dyDescent="0.25">
      <c r="A29" s="67" t="s">
        <v>121</v>
      </c>
      <c r="B29" s="30" t="s">
        <v>93</v>
      </c>
      <c r="C29" s="18">
        <f>ROUNDUP(((982*0.5)/27),0)</f>
        <v>19</v>
      </c>
      <c r="D29" s="18">
        <v>275</v>
      </c>
      <c r="E29" s="18"/>
      <c r="F29" s="18">
        <v>1</v>
      </c>
      <c r="G29" s="18"/>
      <c r="H29" s="18"/>
      <c r="I29" s="5"/>
      <c r="J29" s="5"/>
      <c r="K29" s="5"/>
      <c r="L29" s="5"/>
      <c r="M29" s="5"/>
      <c r="N29" s="5"/>
      <c r="O29" s="5"/>
      <c r="P29" s="5"/>
      <c r="Q29" s="9"/>
      <c r="R29" s="9"/>
      <c r="S29" s="18"/>
      <c r="T29" s="18"/>
      <c r="U29" s="5"/>
      <c r="V29" s="5"/>
      <c r="W29" s="18">
        <f>ROUNDUP((7217/9),0)</f>
        <v>802</v>
      </c>
      <c r="X29" s="18"/>
      <c r="Y29" s="18"/>
      <c r="Z29" s="7"/>
      <c r="AA29" s="18"/>
      <c r="AB29" s="6"/>
    </row>
    <row r="30" spans="1:28" x14ac:dyDescent="0.25">
      <c r="A30" s="67" t="s">
        <v>122</v>
      </c>
      <c r="B30" s="30" t="s">
        <v>94</v>
      </c>
      <c r="C30" s="7"/>
      <c r="D30" s="18">
        <v>229</v>
      </c>
      <c r="E30" s="18">
        <v>268</v>
      </c>
      <c r="F30" s="18"/>
      <c r="G30" s="18">
        <v>1</v>
      </c>
      <c r="H30" s="18">
        <v>1</v>
      </c>
      <c r="I30" s="5"/>
      <c r="J30" s="5"/>
      <c r="K30" s="5"/>
      <c r="L30" s="5"/>
      <c r="M30" s="5"/>
      <c r="N30" s="5"/>
      <c r="O30" s="5"/>
      <c r="P30" s="5"/>
      <c r="Q30" s="9"/>
      <c r="R30" s="9"/>
      <c r="S30" s="18"/>
      <c r="T30" s="18"/>
      <c r="U30" s="5"/>
      <c r="V30" s="5"/>
      <c r="W30" s="18">
        <f>ROUNDUP((17954/9),0)</f>
        <v>1995</v>
      </c>
      <c r="X30" s="18"/>
      <c r="Y30" s="18"/>
      <c r="Z30" s="7"/>
      <c r="AA30" s="18"/>
      <c r="AB30" s="23"/>
    </row>
    <row r="31" spans="1:28" x14ac:dyDescent="0.25">
      <c r="A31" s="67" t="s">
        <v>123</v>
      </c>
      <c r="B31" s="31" t="s">
        <v>98</v>
      </c>
      <c r="C31" s="7"/>
      <c r="D31" s="18"/>
      <c r="E31" s="18">
        <v>375</v>
      </c>
      <c r="F31" s="18"/>
      <c r="G31" s="18">
        <v>2</v>
      </c>
      <c r="H31" s="18"/>
      <c r="I31" s="5"/>
      <c r="J31" s="5"/>
      <c r="K31" s="5"/>
      <c r="L31" s="5"/>
      <c r="M31" s="5"/>
      <c r="N31" s="5"/>
      <c r="O31" s="5"/>
      <c r="P31" s="5"/>
      <c r="Q31" s="9"/>
      <c r="R31" s="9"/>
      <c r="S31" s="18"/>
      <c r="T31" s="18"/>
      <c r="U31" s="5"/>
      <c r="V31" s="5"/>
      <c r="W31" s="18">
        <f>ROUNDUP((15564/9),0)</f>
        <v>1730</v>
      </c>
      <c r="X31" s="18"/>
      <c r="Y31" s="18"/>
      <c r="Z31" s="7"/>
      <c r="AA31" s="18"/>
      <c r="AB31" s="6"/>
    </row>
    <row r="32" spans="1:28" x14ac:dyDescent="0.25">
      <c r="A32" s="4"/>
      <c r="B32" s="28"/>
      <c r="C32" s="7"/>
      <c r="D32" s="18"/>
      <c r="E32" s="18"/>
      <c r="F32" s="18"/>
      <c r="G32" s="18"/>
      <c r="H32" s="18"/>
      <c r="I32" s="5"/>
      <c r="J32" s="5"/>
      <c r="K32" s="5"/>
      <c r="L32" s="5"/>
      <c r="M32" s="5"/>
      <c r="N32" s="5"/>
      <c r="O32" s="5"/>
      <c r="P32" s="5"/>
      <c r="Q32" s="9"/>
      <c r="R32" s="9"/>
      <c r="S32" s="18"/>
      <c r="T32" s="18"/>
      <c r="U32" s="5"/>
      <c r="V32" s="5"/>
      <c r="W32" s="18"/>
      <c r="X32" s="18"/>
      <c r="Y32" s="18"/>
      <c r="Z32" s="7"/>
      <c r="AA32" s="18"/>
      <c r="AB32" s="6"/>
    </row>
    <row r="33" spans="1:28" x14ac:dyDescent="0.25">
      <c r="A33" s="67" t="s">
        <v>124</v>
      </c>
      <c r="B33" s="31" t="s">
        <v>99</v>
      </c>
      <c r="C33" s="7"/>
      <c r="D33" s="18">
        <v>220</v>
      </c>
      <c r="E33" s="18"/>
      <c r="F33" s="18"/>
      <c r="G33" s="18"/>
      <c r="H33" s="18">
        <v>1</v>
      </c>
      <c r="I33" s="5"/>
      <c r="J33" s="5"/>
      <c r="K33" s="5"/>
      <c r="L33" s="5"/>
      <c r="M33" s="5"/>
      <c r="N33" s="5"/>
      <c r="O33" s="5"/>
      <c r="P33" s="5"/>
      <c r="Q33" s="9"/>
      <c r="R33" s="9"/>
      <c r="S33" s="18"/>
      <c r="T33" s="18"/>
      <c r="U33" s="5"/>
      <c r="V33" s="5"/>
      <c r="W33" s="18">
        <f>ROUNDUP((7862/9),0)</f>
        <v>874</v>
      </c>
      <c r="X33" s="18"/>
      <c r="Y33" s="18"/>
      <c r="Z33" s="7"/>
      <c r="AA33" s="18"/>
      <c r="AB33" s="6"/>
    </row>
    <row r="34" spans="1:28" x14ac:dyDescent="0.25">
      <c r="A34" s="67" t="s">
        <v>125</v>
      </c>
      <c r="B34" s="31" t="s">
        <v>100</v>
      </c>
      <c r="C34" s="18">
        <f>ROUNDUP(((590*0.5)/27),0)</f>
        <v>11</v>
      </c>
      <c r="D34" s="18">
        <v>249</v>
      </c>
      <c r="E34" s="18"/>
      <c r="F34" s="18">
        <v>1</v>
      </c>
      <c r="G34" s="18"/>
      <c r="H34" s="18"/>
      <c r="I34" s="5"/>
      <c r="J34" s="5"/>
      <c r="K34" s="5"/>
      <c r="L34" s="5"/>
      <c r="M34" s="5"/>
      <c r="N34" s="5"/>
      <c r="O34" s="5"/>
      <c r="P34" s="5"/>
      <c r="Q34" s="9"/>
      <c r="R34" s="9"/>
      <c r="S34" s="18"/>
      <c r="T34" s="18"/>
      <c r="U34" s="5"/>
      <c r="V34" s="5"/>
      <c r="W34" s="18">
        <f>ROUNDUP((7981/9),0)</f>
        <v>887</v>
      </c>
      <c r="X34" s="18"/>
      <c r="Y34" s="18"/>
      <c r="Z34" s="7"/>
      <c r="AA34" s="18"/>
      <c r="AB34" s="6"/>
    </row>
    <row r="35" spans="1:28" x14ac:dyDescent="0.25">
      <c r="A35" s="14"/>
      <c r="B35" s="28"/>
      <c r="C35" s="7"/>
      <c r="D35" s="18"/>
      <c r="E35" s="18"/>
      <c r="F35" s="18"/>
      <c r="G35" s="18"/>
      <c r="H35" s="18"/>
      <c r="I35" s="5"/>
      <c r="J35" s="5"/>
      <c r="K35" s="5"/>
      <c r="L35" s="5"/>
      <c r="M35" s="5"/>
      <c r="N35" s="5"/>
      <c r="O35" s="5"/>
      <c r="P35" s="5"/>
      <c r="Q35" s="9"/>
      <c r="R35" s="9"/>
      <c r="S35" s="18"/>
      <c r="T35" s="18"/>
      <c r="U35" s="5"/>
      <c r="V35" s="5"/>
      <c r="W35" s="18"/>
      <c r="X35" s="18"/>
      <c r="Y35" s="18"/>
      <c r="Z35" s="7"/>
      <c r="AA35" s="18"/>
      <c r="AB35" s="6"/>
    </row>
    <row r="36" spans="1:28" x14ac:dyDescent="0.25">
      <c r="A36" s="4"/>
      <c r="B36" s="28"/>
      <c r="C36" s="7"/>
      <c r="D36" s="18"/>
      <c r="E36" s="18"/>
      <c r="F36" s="18"/>
      <c r="G36" s="18"/>
      <c r="H36" s="18"/>
      <c r="I36" s="5"/>
      <c r="J36" s="5"/>
      <c r="K36" s="5"/>
      <c r="L36" s="5"/>
      <c r="M36" s="5"/>
      <c r="N36" s="5"/>
      <c r="O36" s="5"/>
      <c r="P36" s="5"/>
      <c r="Q36" s="9"/>
      <c r="R36" s="9"/>
      <c r="S36" s="18"/>
      <c r="T36" s="18"/>
      <c r="U36" s="5"/>
      <c r="V36" s="5"/>
      <c r="W36" s="18"/>
      <c r="X36" s="18"/>
      <c r="Y36" s="18"/>
      <c r="Z36" s="7"/>
      <c r="AA36" s="18"/>
      <c r="AB36" s="6"/>
    </row>
    <row r="37" spans="1:28" x14ac:dyDescent="0.25">
      <c r="A37" s="14"/>
      <c r="B37" s="28"/>
      <c r="C37" s="7"/>
      <c r="D37" s="18"/>
      <c r="E37" s="18"/>
      <c r="F37" s="18"/>
      <c r="G37" s="18"/>
      <c r="H37" s="18"/>
      <c r="I37" s="5"/>
      <c r="J37" s="5"/>
      <c r="K37" s="5"/>
      <c r="L37" s="5"/>
      <c r="M37" s="5"/>
      <c r="N37" s="5"/>
      <c r="O37" s="5"/>
      <c r="P37" s="5"/>
      <c r="Q37" s="9"/>
      <c r="R37" s="9"/>
      <c r="S37" s="18"/>
      <c r="T37" s="18"/>
      <c r="U37" s="5"/>
      <c r="V37" s="5"/>
      <c r="W37" s="18"/>
      <c r="X37" s="18"/>
      <c r="Y37" s="18"/>
      <c r="Z37" s="7"/>
      <c r="AA37" s="18"/>
      <c r="AB37" s="6"/>
    </row>
    <row r="38" spans="1:28" x14ac:dyDescent="0.25">
      <c r="A38" s="4"/>
      <c r="B38" s="55" t="s">
        <v>103</v>
      </c>
      <c r="C38" s="7"/>
      <c r="D38" s="18"/>
      <c r="E38" s="18"/>
      <c r="F38" s="18"/>
      <c r="G38" s="18"/>
      <c r="H38" s="18"/>
      <c r="I38" s="5"/>
      <c r="J38" s="5"/>
      <c r="K38" s="5"/>
      <c r="L38" s="5"/>
      <c r="M38" s="5"/>
      <c r="N38" s="5"/>
      <c r="O38" s="5"/>
      <c r="P38" s="5"/>
      <c r="Q38" s="9"/>
      <c r="R38" s="9"/>
      <c r="S38" s="18"/>
      <c r="T38" s="18"/>
      <c r="U38" s="5"/>
      <c r="V38" s="5"/>
      <c r="W38" s="18"/>
      <c r="X38" s="18"/>
      <c r="Y38" s="18"/>
      <c r="Z38" s="7"/>
      <c r="AA38" s="18"/>
      <c r="AB38" s="6"/>
    </row>
    <row r="39" spans="1:28" x14ac:dyDescent="0.25">
      <c r="A39" s="56"/>
      <c r="B39" s="15"/>
      <c r="C39" s="7"/>
      <c r="D39" s="18"/>
      <c r="E39" s="18"/>
      <c r="F39" s="18"/>
      <c r="G39" s="18"/>
      <c r="H39" s="18"/>
      <c r="I39" s="5"/>
      <c r="J39" s="5"/>
      <c r="K39" s="5"/>
      <c r="L39" s="5"/>
      <c r="M39" s="5"/>
      <c r="N39" s="5"/>
      <c r="O39" s="5"/>
      <c r="P39" s="5"/>
      <c r="Q39" s="9"/>
      <c r="R39" s="9"/>
      <c r="S39" s="18"/>
      <c r="T39" s="18"/>
      <c r="U39" s="5"/>
      <c r="V39" s="5"/>
      <c r="W39" s="18"/>
      <c r="X39" s="18"/>
      <c r="Y39" s="18"/>
      <c r="Z39" s="7"/>
      <c r="AA39" s="18"/>
      <c r="AB39" s="6"/>
    </row>
    <row r="40" spans="1:28" x14ac:dyDescent="0.25">
      <c r="A40" s="67" t="s">
        <v>126</v>
      </c>
      <c r="B40" s="55" t="s">
        <v>104</v>
      </c>
      <c r="C40" s="7"/>
      <c r="D40" s="18"/>
      <c r="E40" s="18"/>
      <c r="F40" s="18"/>
      <c r="G40" s="18"/>
      <c r="H40" s="18"/>
      <c r="I40" s="5"/>
      <c r="J40" s="5"/>
      <c r="K40" s="5"/>
      <c r="L40" s="5"/>
      <c r="M40" s="5"/>
      <c r="N40" s="5"/>
      <c r="O40" s="5"/>
      <c r="P40" s="5"/>
      <c r="Q40" s="9"/>
      <c r="R40" s="9"/>
      <c r="S40" s="18"/>
      <c r="T40" s="58"/>
      <c r="U40" s="58">
        <v>105</v>
      </c>
      <c r="V40" s="5"/>
      <c r="W40" s="18"/>
      <c r="X40" s="18"/>
      <c r="Y40" s="18"/>
      <c r="Z40" s="7"/>
      <c r="AA40" s="18"/>
      <c r="AB40" s="6"/>
    </row>
    <row r="41" spans="1:28" x14ac:dyDescent="0.25">
      <c r="A41" s="67" t="s">
        <v>127</v>
      </c>
      <c r="B41" s="55" t="s">
        <v>105</v>
      </c>
      <c r="C41" s="7"/>
      <c r="D41" s="18"/>
      <c r="E41" s="18"/>
      <c r="F41" s="18"/>
      <c r="G41" s="18"/>
      <c r="H41" s="18"/>
      <c r="I41" s="5"/>
      <c r="J41" s="5"/>
      <c r="K41" s="5"/>
      <c r="L41" s="5"/>
      <c r="M41" s="5"/>
      <c r="N41" s="5"/>
      <c r="O41" s="5"/>
      <c r="P41" s="5"/>
      <c r="Q41" s="9"/>
      <c r="R41" s="9"/>
      <c r="S41" s="18"/>
      <c r="T41" s="58"/>
      <c r="U41" s="58">
        <v>66</v>
      </c>
      <c r="V41" s="5"/>
      <c r="W41" s="18"/>
      <c r="X41" s="18"/>
      <c r="Y41" s="18"/>
      <c r="Z41" s="7"/>
      <c r="AA41" s="18"/>
      <c r="AB41" s="6"/>
    </row>
    <row r="42" spans="1:28" x14ac:dyDescent="0.25">
      <c r="A42" s="4"/>
      <c r="B42" s="15"/>
      <c r="C42" s="7"/>
      <c r="D42" s="18"/>
      <c r="E42" s="18"/>
      <c r="F42" s="18"/>
      <c r="G42" s="18"/>
      <c r="H42" s="18"/>
      <c r="I42" s="5"/>
      <c r="J42" s="5"/>
      <c r="K42" s="5"/>
      <c r="L42" s="5"/>
      <c r="M42" s="5"/>
      <c r="N42" s="5"/>
      <c r="O42" s="5"/>
      <c r="P42" s="5"/>
      <c r="Q42" s="9"/>
      <c r="R42" s="9"/>
      <c r="S42" s="18"/>
      <c r="T42" s="18"/>
      <c r="U42" s="5"/>
      <c r="V42" s="5"/>
      <c r="W42" s="18"/>
      <c r="X42" s="18"/>
      <c r="Y42" s="18"/>
      <c r="Z42" s="7"/>
      <c r="AA42" s="18"/>
      <c r="AB42" s="6"/>
    </row>
    <row r="43" spans="1:28" x14ac:dyDescent="0.25">
      <c r="A43" s="90" t="s">
        <v>106</v>
      </c>
      <c r="B43" s="91"/>
      <c r="C43" s="7"/>
      <c r="D43" s="18"/>
      <c r="E43" s="18"/>
      <c r="F43" s="18"/>
      <c r="G43" s="18"/>
      <c r="H43" s="18"/>
      <c r="I43" s="5"/>
      <c r="J43" s="5"/>
      <c r="K43" s="5"/>
      <c r="L43" s="5"/>
      <c r="M43" s="5"/>
      <c r="N43" s="5"/>
      <c r="O43" s="5"/>
      <c r="P43" s="5"/>
      <c r="Q43" s="9"/>
      <c r="R43" s="9"/>
      <c r="S43" s="18"/>
      <c r="T43" s="18"/>
      <c r="U43" s="5"/>
      <c r="V43" s="5"/>
      <c r="W43" s="7"/>
      <c r="X43" s="18"/>
      <c r="Y43" s="18"/>
      <c r="Z43" s="7"/>
      <c r="AA43" s="18"/>
      <c r="AB43" s="6"/>
    </row>
    <row r="44" spans="1:28" x14ac:dyDescent="0.25">
      <c r="A44" s="4"/>
      <c r="B44" s="20"/>
      <c r="C44" s="7"/>
      <c r="D44" s="18"/>
      <c r="E44" s="18"/>
      <c r="F44" s="18"/>
      <c r="G44" s="18"/>
      <c r="H44" s="18"/>
      <c r="I44" s="5"/>
      <c r="J44" s="5"/>
      <c r="K44" s="5"/>
      <c r="L44" s="5"/>
      <c r="M44" s="5"/>
      <c r="N44" s="5"/>
      <c r="O44" s="5"/>
      <c r="P44" s="5"/>
      <c r="Q44" s="9"/>
      <c r="R44" s="9"/>
      <c r="S44" s="18"/>
      <c r="T44" s="18"/>
      <c r="U44" s="5"/>
      <c r="V44" s="5"/>
      <c r="W44" s="7"/>
      <c r="X44" s="18"/>
      <c r="Y44" s="18"/>
      <c r="Z44" s="7"/>
      <c r="AA44" s="18"/>
      <c r="AB44" s="6"/>
    </row>
    <row r="45" spans="1:28" x14ac:dyDescent="0.25">
      <c r="A45" s="14"/>
      <c r="B45" s="20"/>
      <c r="C45" s="7"/>
      <c r="D45" s="18"/>
      <c r="E45" s="18"/>
      <c r="F45" s="18"/>
      <c r="G45" s="18"/>
      <c r="H45" s="18"/>
      <c r="I45" s="5"/>
      <c r="J45" s="5"/>
      <c r="K45" s="5"/>
      <c r="L45" s="5"/>
      <c r="M45" s="5"/>
      <c r="N45" s="5"/>
      <c r="O45" s="5"/>
      <c r="P45" s="5"/>
      <c r="Q45" s="9"/>
      <c r="R45" s="9"/>
      <c r="S45" s="18"/>
      <c r="T45" s="18"/>
      <c r="U45" s="5"/>
      <c r="V45" s="5"/>
      <c r="W45" s="7"/>
      <c r="X45" s="18"/>
      <c r="Y45" s="18"/>
      <c r="Z45" s="7"/>
      <c r="AA45" s="18"/>
      <c r="AB45" s="23"/>
    </row>
    <row r="46" spans="1:28" x14ac:dyDescent="0.25">
      <c r="A46" s="4"/>
      <c r="B46" s="20"/>
      <c r="C46" s="7"/>
      <c r="D46" s="18"/>
      <c r="E46" s="18"/>
      <c r="F46" s="18"/>
      <c r="G46" s="18"/>
      <c r="H46" s="18"/>
      <c r="I46" s="5"/>
      <c r="J46" s="5"/>
      <c r="K46" s="5"/>
      <c r="L46" s="5"/>
      <c r="M46" s="5"/>
      <c r="N46" s="5"/>
      <c r="O46" s="5"/>
      <c r="P46" s="5"/>
      <c r="Q46" s="9"/>
      <c r="R46" s="9"/>
      <c r="S46" s="18"/>
      <c r="T46" s="18"/>
      <c r="U46" s="5"/>
      <c r="V46" s="5"/>
      <c r="W46" s="7"/>
      <c r="X46" s="18"/>
      <c r="Y46" s="18"/>
      <c r="Z46" s="7"/>
      <c r="AA46" s="18"/>
      <c r="AB46" s="6"/>
    </row>
    <row r="47" spans="1:28" x14ac:dyDescent="0.25">
      <c r="A47" s="14"/>
      <c r="B47" s="20"/>
      <c r="C47" s="7"/>
      <c r="D47" s="18"/>
      <c r="E47" s="18"/>
      <c r="F47" s="18"/>
      <c r="G47" s="18"/>
      <c r="H47" s="18"/>
      <c r="I47" s="5"/>
      <c r="J47" s="5"/>
      <c r="K47" s="5"/>
      <c r="L47" s="5"/>
      <c r="M47" s="5"/>
      <c r="N47" s="5"/>
      <c r="O47" s="5"/>
      <c r="P47" s="5"/>
      <c r="Q47" s="9"/>
      <c r="R47" s="9"/>
      <c r="S47" s="18"/>
      <c r="T47" s="18"/>
      <c r="U47" s="5"/>
      <c r="V47" s="5"/>
      <c r="W47" s="7"/>
      <c r="X47" s="18"/>
      <c r="Y47" s="18"/>
      <c r="Z47" s="7"/>
      <c r="AA47" s="18"/>
      <c r="AB47" s="6"/>
    </row>
    <row r="48" spans="1:28" x14ac:dyDescent="0.25">
      <c r="A48" s="4"/>
      <c r="B48" s="20"/>
      <c r="C48" s="7"/>
      <c r="D48" s="18"/>
      <c r="E48" s="18"/>
      <c r="F48" s="18"/>
      <c r="G48" s="18"/>
      <c r="H48" s="18"/>
      <c r="I48" s="5"/>
      <c r="J48" s="5"/>
      <c r="K48" s="5"/>
      <c r="L48" s="5"/>
      <c r="M48" s="5"/>
      <c r="N48" s="5"/>
      <c r="O48" s="5"/>
      <c r="P48" s="5"/>
      <c r="Q48" s="9"/>
      <c r="R48" s="9"/>
      <c r="S48" s="18"/>
      <c r="T48" s="18"/>
      <c r="U48" s="5"/>
      <c r="V48" s="5"/>
      <c r="W48" s="7"/>
      <c r="X48" s="18"/>
      <c r="Y48" s="18"/>
      <c r="Z48" s="7"/>
      <c r="AA48" s="18"/>
      <c r="AB48" s="6"/>
    </row>
    <row r="49" spans="1:28" x14ac:dyDescent="0.25">
      <c r="A49" s="14"/>
      <c r="B49" s="20"/>
      <c r="C49" s="7"/>
      <c r="D49" s="18"/>
      <c r="E49" s="18"/>
      <c r="F49" s="18"/>
      <c r="G49" s="18"/>
      <c r="H49" s="18"/>
      <c r="I49" s="5"/>
      <c r="J49" s="5"/>
      <c r="K49" s="5"/>
      <c r="L49" s="5"/>
      <c r="M49" s="5"/>
      <c r="N49" s="5"/>
      <c r="O49" s="5"/>
      <c r="P49" s="5"/>
      <c r="Q49" s="9"/>
      <c r="R49" s="9"/>
      <c r="S49" s="18"/>
      <c r="T49" s="18"/>
      <c r="U49" s="5"/>
      <c r="V49" s="5"/>
      <c r="W49" s="7"/>
      <c r="X49" s="18"/>
      <c r="Y49" s="18"/>
      <c r="Z49" s="7"/>
      <c r="AA49" s="18"/>
      <c r="AB49" s="6"/>
    </row>
    <row r="50" spans="1:28" x14ac:dyDescent="0.25">
      <c r="A50" s="4"/>
      <c r="B50" s="20"/>
      <c r="C50" s="7"/>
      <c r="D50" s="18"/>
      <c r="E50" s="18"/>
      <c r="F50" s="18"/>
      <c r="G50" s="18"/>
      <c r="H50" s="18"/>
      <c r="I50" s="5"/>
      <c r="J50" s="5"/>
      <c r="K50" s="5"/>
      <c r="L50" s="5"/>
      <c r="M50" s="5"/>
      <c r="N50" s="5"/>
      <c r="O50" s="5"/>
      <c r="P50" s="5"/>
      <c r="Q50" s="9"/>
      <c r="R50" s="9"/>
      <c r="S50" s="18"/>
      <c r="T50" s="18"/>
      <c r="U50" s="5"/>
      <c r="V50" s="5"/>
      <c r="W50" s="7"/>
      <c r="X50" s="18"/>
      <c r="Y50" s="18"/>
      <c r="Z50" s="7"/>
      <c r="AA50" s="18"/>
      <c r="AB50" s="6"/>
    </row>
    <row r="51" spans="1:28" x14ac:dyDescent="0.25">
      <c r="A51" s="14"/>
      <c r="B51" s="20"/>
      <c r="C51" s="7"/>
      <c r="D51" s="18"/>
      <c r="E51" s="18"/>
      <c r="F51" s="18"/>
      <c r="G51" s="18"/>
      <c r="H51" s="18"/>
      <c r="I51" s="5"/>
      <c r="J51" s="5"/>
      <c r="K51" s="5"/>
      <c r="L51" s="5"/>
      <c r="M51" s="5"/>
      <c r="N51" s="5"/>
      <c r="O51" s="5"/>
      <c r="P51" s="5"/>
      <c r="Q51" s="9"/>
      <c r="R51" s="9"/>
      <c r="S51" s="18"/>
      <c r="T51" s="18"/>
      <c r="U51" s="5"/>
      <c r="V51" s="5"/>
      <c r="W51" s="7"/>
      <c r="X51" s="18"/>
      <c r="Y51" s="18"/>
      <c r="Z51" s="7"/>
      <c r="AA51" s="18"/>
      <c r="AB51" s="6"/>
    </row>
    <row r="52" spans="1:28" x14ac:dyDescent="0.25">
      <c r="A52" s="4"/>
      <c r="B52" s="20"/>
      <c r="C52" s="7"/>
      <c r="D52" s="18"/>
      <c r="E52" s="18"/>
      <c r="F52" s="18"/>
      <c r="G52" s="18"/>
      <c r="H52" s="18"/>
      <c r="I52" s="5"/>
      <c r="J52" s="5"/>
      <c r="K52" s="5"/>
      <c r="L52" s="5"/>
      <c r="M52" s="5"/>
      <c r="N52" s="5"/>
      <c r="O52" s="5"/>
      <c r="P52" s="5"/>
      <c r="Q52" s="9"/>
      <c r="R52" s="9"/>
      <c r="S52" s="18"/>
      <c r="T52" s="18"/>
      <c r="U52" s="5"/>
      <c r="V52" s="5"/>
      <c r="W52" s="7"/>
      <c r="X52" s="18"/>
      <c r="Y52" s="18"/>
      <c r="Z52" s="7"/>
      <c r="AA52" s="18"/>
      <c r="AB52" s="6"/>
    </row>
    <row r="53" spans="1:28" x14ac:dyDescent="0.25">
      <c r="A53" s="14"/>
      <c r="B53" s="20"/>
      <c r="C53" s="7"/>
      <c r="D53" s="18"/>
      <c r="E53" s="18"/>
      <c r="F53" s="18"/>
      <c r="G53" s="18"/>
      <c r="H53" s="18"/>
      <c r="I53" s="5"/>
      <c r="J53" s="5"/>
      <c r="K53" s="5"/>
      <c r="L53" s="5"/>
      <c r="M53" s="5"/>
      <c r="N53" s="5"/>
      <c r="O53" s="5"/>
      <c r="P53" s="5"/>
      <c r="Q53" s="9"/>
      <c r="R53" s="9"/>
      <c r="S53" s="18"/>
      <c r="T53" s="18"/>
      <c r="U53" s="5"/>
      <c r="V53" s="5"/>
      <c r="W53" s="7"/>
      <c r="X53" s="18"/>
      <c r="Y53" s="18"/>
      <c r="Z53" s="7"/>
      <c r="AA53" s="18"/>
      <c r="AB53" s="6"/>
    </row>
    <row r="54" spans="1:28" x14ac:dyDescent="0.25">
      <c r="A54" s="4"/>
      <c r="B54" s="20"/>
      <c r="C54" s="7"/>
      <c r="D54" s="18"/>
      <c r="E54" s="18"/>
      <c r="F54" s="18"/>
      <c r="G54" s="18"/>
      <c r="H54" s="18"/>
      <c r="I54" s="5"/>
      <c r="J54" s="5"/>
      <c r="K54" s="5"/>
      <c r="L54" s="5"/>
      <c r="M54" s="5"/>
      <c r="N54" s="5"/>
      <c r="O54" s="5"/>
      <c r="P54" s="5"/>
      <c r="Q54" s="9"/>
      <c r="R54" s="9"/>
      <c r="S54" s="18"/>
      <c r="T54" s="18"/>
      <c r="U54" s="5"/>
      <c r="V54" s="5"/>
      <c r="W54" s="7"/>
      <c r="X54" s="18"/>
      <c r="Y54" s="18"/>
      <c r="Z54" s="7"/>
      <c r="AA54" s="18"/>
      <c r="AB54" s="6"/>
    </row>
    <row r="55" spans="1:28" x14ac:dyDescent="0.25">
      <c r="A55" s="14"/>
      <c r="B55" s="20"/>
      <c r="C55" s="7"/>
      <c r="D55" s="18"/>
      <c r="E55" s="18"/>
      <c r="F55" s="18"/>
      <c r="G55" s="18"/>
      <c r="H55" s="18"/>
      <c r="I55" s="5"/>
      <c r="J55" s="5"/>
      <c r="K55" s="5"/>
      <c r="L55" s="5"/>
      <c r="M55" s="5"/>
      <c r="N55" s="5"/>
      <c r="O55" s="5"/>
      <c r="P55" s="5"/>
      <c r="Q55" s="9"/>
      <c r="R55" s="9"/>
      <c r="S55" s="18"/>
      <c r="T55" s="18"/>
      <c r="U55" s="5"/>
      <c r="V55" s="5"/>
      <c r="W55" s="7"/>
      <c r="X55" s="18"/>
      <c r="Y55" s="18"/>
      <c r="Z55" s="7"/>
      <c r="AA55" s="18"/>
      <c r="AB55" s="6"/>
    </row>
    <row r="56" spans="1:28" x14ac:dyDescent="0.25">
      <c r="A56" s="4"/>
      <c r="B56" s="20"/>
      <c r="C56" s="7"/>
      <c r="D56" s="18"/>
      <c r="E56" s="18"/>
      <c r="F56" s="18"/>
      <c r="G56" s="18"/>
      <c r="H56" s="18"/>
      <c r="I56" s="5"/>
      <c r="J56" s="5"/>
      <c r="K56" s="5"/>
      <c r="L56" s="5"/>
      <c r="M56" s="5"/>
      <c r="N56" s="5"/>
      <c r="O56" s="5"/>
      <c r="P56" s="5"/>
      <c r="Q56" s="9"/>
      <c r="R56" s="9"/>
      <c r="S56" s="18"/>
      <c r="T56" s="18"/>
      <c r="U56" s="5"/>
      <c r="V56" s="5"/>
      <c r="W56" s="7"/>
      <c r="X56" s="18"/>
      <c r="Y56" s="18"/>
      <c r="Z56" s="7"/>
      <c r="AA56" s="18"/>
      <c r="AB56" s="6"/>
    </row>
    <row r="57" spans="1:28" x14ac:dyDescent="0.25">
      <c r="A57" s="14"/>
      <c r="B57" s="20"/>
      <c r="C57" s="7"/>
      <c r="D57" s="18"/>
      <c r="E57" s="18"/>
      <c r="F57" s="18"/>
      <c r="G57" s="18"/>
      <c r="H57" s="18"/>
      <c r="I57" s="5"/>
      <c r="J57" s="5"/>
      <c r="K57" s="5"/>
      <c r="L57" s="5"/>
      <c r="M57" s="5"/>
      <c r="N57" s="5"/>
      <c r="O57" s="5"/>
      <c r="P57" s="5"/>
      <c r="Q57" s="9"/>
      <c r="R57" s="9"/>
      <c r="S57" s="18"/>
      <c r="T57" s="18"/>
      <c r="U57" s="5"/>
      <c r="V57" s="5"/>
      <c r="W57" s="7"/>
      <c r="X57" s="18"/>
      <c r="Y57" s="18"/>
      <c r="Z57" s="7"/>
      <c r="AA57" s="18"/>
      <c r="AB57" s="6"/>
    </row>
    <row r="58" spans="1:28" x14ac:dyDescent="0.25">
      <c r="A58" s="4"/>
      <c r="B58" s="20"/>
      <c r="C58" s="7"/>
      <c r="D58" s="18"/>
      <c r="E58" s="18"/>
      <c r="F58" s="18"/>
      <c r="G58" s="18"/>
      <c r="H58" s="18"/>
      <c r="I58" s="5"/>
      <c r="J58" s="5"/>
      <c r="K58" s="5"/>
      <c r="L58" s="5"/>
      <c r="M58" s="5"/>
      <c r="N58" s="5"/>
      <c r="O58" s="5"/>
      <c r="P58" s="5"/>
      <c r="Q58" s="9"/>
      <c r="R58" s="9"/>
      <c r="S58" s="18"/>
      <c r="T58" s="18"/>
      <c r="U58" s="5"/>
      <c r="V58" s="5"/>
      <c r="W58" s="7"/>
      <c r="X58" s="18"/>
      <c r="Y58" s="18"/>
      <c r="Z58" s="7"/>
      <c r="AA58" s="18"/>
      <c r="AB58" s="6"/>
    </row>
    <row r="59" spans="1:28" x14ac:dyDescent="0.25">
      <c r="A59" s="14"/>
      <c r="B59" s="20"/>
      <c r="C59" s="7"/>
      <c r="D59" s="18"/>
      <c r="E59" s="18"/>
      <c r="F59" s="18"/>
      <c r="G59" s="18"/>
      <c r="H59" s="18"/>
      <c r="I59" s="5"/>
      <c r="J59" s="5"/>
      <c r="K59" s="5"/>
      <c r="L59" s="5"/>
      <c r="M59" s="5"/>
      <c r="N59" s="5"/>
      <c r="O59" s="5"/>
      <c r="P59" s="5"/>
      <c r="Q59" s="9"/>
      <c r="R59" s="9"/>
      <c r="S59" s="18"/>
      <c r="T59" s="18"/>
      <c r="U59" s="5"/>
      <c r="V59" s="5"/>
      <c r="W59" s="7"/>
      <c r="X59" s="18"/>
      <c r="Y59" s="18"/>
      <c r="Z59" s="7"/>
      <c r="AA59" s="18"/>
      <c r="AB59" s="6"/>
    </row>
    <row r="60" spans="1:28" x14ac:dyDescent="0.25">
      <c r="A60" s="4"/>
      <c r="B60" s="20"/>
      <c r="C60" s="7"/>
      <c r="D60" s="18"/>
      <c r="E60" s="18"/>
      <c r="F60" s="18"/>
      <c r="G60" s="18"/>
      <c r="H60" s="18"/>
      <c r="I60" s="5"/>
      <c r="J60" s="5"/>
      <c r="K60" s="5"/>
      <c r="L60" s="5"/>
      <c r="M60" s="5"/>
      <c r="N60" s="5"/>
      <c r="O60" s="5"/>
      <c r="P60" s="5"/>
      <c r="Q60" s="9"/>
      <c r="R60" s="9"/>
      <c r="S60" s="18"/>
      <c r="T60" s="18"/>
      <c r="U60" s="5"/>
      <c r="V60" s="5"/>
      <c r="W60" s="7"/>
      <c r="X60" s="18"/>
      <c r="Y60" s="18"/>
      <c r="Z60" s="7"/>
      <c r="AA60" s="18"/>
      <c r="AB60" s="6"/>
    </row>
    <row r="61" spans="1:28" x14ac:dyDescent="0.25">
      <c r="A61" s="14"/>
      <c r="B61" s="20"/>
      <c r="C61" s="7"/>
      <c r="D61" s="18"/>
      <c r="E61" s="18"/>
      <c r="F61" s="18"/>
      <c r="G61" s="18"/>
      <c r="H61" s="18"/>
      <c r="I61" s="5"/>
      <c r="J61" s="5"/>
      <c r="K61" s="5"/>
      <c r="L61" s="5"/>
      <c r="M61" s="5"/>
      <c r="N61" s="5"/>
      <c r="O61" s="5"/>
      <c r="P61" s="5"/>
      <c r="Q61" s="9"/>
      <c r="R61" s="9"/>
      <c r="S61" s="18"/>
      <c r="T61" s="18"/>
      <c r="U61" s="5"/>
      <c r="V61" s="5"/>
      <c r="W61" s="7"/>
      <c r="X61" s="18"/>
      <c r="Y61" s="18"/>
      <c r="Z61" s="7"/>
      <c r="AA61" s="18"/>
      <c r="AB61" s="6"/>
    </row>
    <row r="62" spans="1:28" x14ac:dyDescent="0.25">
      <c r="A62" s="4"/>
      <c r="B62" s="20"/>
      <c r="C62" s="7"/>
      <c r="D62" s="18"/>
      <c r="E62" s="18"/>
      <c r="F62" s="18"/>
      <c r="G62" s="18"/>
      <c r="H62" s="18"/>
      <c r="I62" s="5"/>
      <c r="J62" s="5"/>
      <c r="K62" s="5"/>
      <c r="L62" s="5"/>
      <c r="M62" s="5"/>
      <c r="N62" s="5"/>
      <c r="O62" s="5"/>
      <c r="P62" s="5"/>
      <c r="Q62" s="9"/>
      <c r="R62" s="9"/>
      <c r="S62" s="18"/>
      <c r="T62" s="18"/>
      <c r="U62" s="5"/>
      <c r="V62" s="5"/>
      <c r="W62" s="7"/>
      <c r="X62" s="18"/>
      <c r="Y62" s="18"/>
      <c r="Z62" s="7"/>
      <c r="AA62" s="18"/>
      <c r="AB62" s="6"/>
    </row>
    <row r="63" spans="1:28" x14ac:dyDescent="0.25">
      <c r="A63" s="14"/>
      <c r="B63" s="20"/>
      <c r="C63" s="7"/>
      <c r="D63" s="18"/>
      <c r="E63" s="18"/>
      <c r="F63" s="18"/>
      <c r="G63" s="18"/>
      <c r="H63" s="18"/>
      <c r="I63" s="5"/>
      <c r="J63" s="5"/>
      <c r="K63" s="5"/>
      <c r="L63" s="5"/>
      <c r="M63" s="5"/>
      <c r="N63" s="5"/>
      <c r="O63" s="5"/>
      <c r="P63" s="5"/>
      <c r="Q63" s="9"/>
      <c r="R63" s="9"/>
      <c r="S63" s="18"/>
      <c r="T63" s="18"/>
      <c r="U63" s="5"/>
      <c r="V63" s="5"/>
      <c r="W63" s="7"/>
      <c r="X63" s="18"/>
      <c r="Y63" s="18"/>
      <c r="Z63" s="7"/>
      <c r="AA63" s="18"/>
      <c r="AB63" s="6"/>
    </row>
    <row r="64" spans="1:28" x14ac:dyDescent="0.25">
      <c r="A64" s="4"/>
      <c r="B64" s="20"/>
      <c r="C64" s="7"/>
      <c r="D64" s="18"/>
      <c r="E64" s="18"/>
      <c r="F64" s="18"/>
      <c r="G64" s="18"/>
      <c r="H64" s="18"/>
      <c r="I64" s="5"/>
      <c r="J64" s="5"/>
      <c r="K64" s="5"/>
      <c r="L64" s="5"/>
      <c r="M64" s="5"/>
      <c r="N64" s="5"/>
      <c r="O64" s="5"/>
      <c r="P64" s="5"/>
      <c r="Q64" s="9"/>
      <c r="R64" s="9"/>
      <c r="S64" s="18"/>
      <c r="T64" s="18"/>
      <c r="U64" s="5"/>
      <c r="V64" s="5"/>
      <c r="W64" s="7"/>
      <c r="X64" s="18"/>
      <c r="Y64" s="18"/>
      <c r="Z64" s="7"/>
      <c r="AA64" s="18"/>
      <c r="AB64" s="6"/>
    </row>
    <row r="65" spans="1:28" x14ac:dyDescent="0.25">
      <c r="A65" s="14"/>
      <c r="B65" s="20"/>
      <c r="C65" s="7"/>
      <c r="D65" s="18"/>
      <c r="E65" s="18"/>
      <c r="F65" s="18"/>
      <c r="G65" s="18"/>
      <c r="H65" s="18"/>
      <c r="I65" s="5"/>
      <c r="J65" s="5"/>
      <c r="K65" s="5"/>
      <c r="L65" s="5"/>
      <c r="M65" s="5"/>
      <c r="N65" s="5"/>
      <c r="O65" s="5"/>
      <c r="P65" s="5"/>
      <c r="Q65" s="9"/>
      <c r="R65" s="9"/>
      <c r="S65" s="18"/>
      <c r="T65" s="18"/>
      <c r="U65" s="5"/>
      <c r="V65" s="5"/>
      <c r="W65" s="7"/>
      <c r="X65" s="18"/>
      <c r="Y65" s="18"/>
      <c r="Z65" s="7"/>
      <c r="AA65" s="18"/>
      <c r="AB65" s="6"/>
    </row>
    <row r="66" spans="1:28" x14ac:dyDescent="0.25">
      <c r="A66" s="4"/>
      <c r="B66" s="21"/>
      <c r="C66" s="7"/>
      <c r="D66" s="18"/>
      <c r="E66" s="18"/>
      <c r="F66" s="18"/>
      <c r="G66" s="18"/>
      <c r="H66" s="18"/>
      <c r="I66" s="5"/>
      <c r="J66" s="5"/>
      <c r="K66" s="5"/>
      <c r="L66" s="5"/>
      <c r="M66" s="5"/>
      <c r="N66" s="5"/>
      <c r="O66" s="5"/>
      <c r="P66" s="5"/>
      <c r="Q66" s="9"/>
      <c r="R66" s="9"/>
      <c r="S66" s="18"/>
      <c r="T66" s="18"/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14"/>
      <c r="B67" s="22"/>
      <c r="C67" s="7"/>
      <c r="D67" s="18"/>
      <c r="E67" s="18"/>
      <c r="F67" s="18"/>
      <c r="G67" s="18"/>
      <c r="H67" s="18"/>
      <c r="I67" s="5"/>
      <c r="J67" s="5"/>
      <c r="K67" s="5"/>
      <c r="L67" s="5"/>
      <c r="M67" s="5"/>
      <c r="N67" s="5"/>
      <c r="O67" s="5"/>
      <c r="P67" s="5"/>
      <c r="Q67" s="9"/>
      <c r="R67" s="9"/>
      <c r="S67" s="18"/>
      <c r="T67" s="18"/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18"/>
      <c r="E68" s="18"/>
      <c r="F68" s="18"/>
      <c r="G68" s="18"/>
      <c r="H68" s="18"/>
      <c r="I68" s="5"/>
      <c r="J68" s="5"/>
      <c r="K68" s="5"/>
      <c r="L68" s="5"/>
      <c r="M68" s="5"/>
      <c r="N68" s="5"/>
      <c r="O68" s="5"/>
      <c r="P68" s="5"/>
      <c r="Q68" s="9"/>
      <c r="R68" s="9"/>
      <c r="S68" s="18"/>
      <c r="T68" s="18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4"/>
      <c r="B69" s="5"/>
      <c r="C69" s="7"/>
      <c r="D69" s="18"/>
      <c r="E69" s="18"/>
      <c r="F69" s="18"/>
      <c r="G69" s="18"/>
      <c r="H69" s="18"/>
      <c r="I69" s="5"/>
      <c r="J69" s="5"/>
      <c r="K69" s="5"/>
      <c r="L69" s="5"/>
      <c r="M69" s="5"/>
      <c r="N69" s="5"/>
      <c r="O69" s="5"/>
      <c r="P69" s="5"/>
      <c r="Q69" s="9"/>
      <c r="R69" s="9"/>
      <c r="S69" s="18"/>
      <c r="T69" s="18"/>
      <c r="U69" s="5"/>
      <c r="V69" s="5"/>
      <c r="W69" s="7"/>
      <c r="X69" s="18"/>
      <c r="Y69" s="18"/>
      <c r="Z69" s="7"/>
      <c r="AA69" s="18"/>
      <c r="AB69" s="6"/>
    </row>
    <row r="70" spans="1:28" x14ac:dyDescent="0.25">
      <c r="A70" s="4"/>
      <c r="B70" s="5"/>
      <c r="C70" s="7"/>
      <c r="D70" s="18"/>
      <c r="E70" s="18"/>
      <c r="F70" s="18"/>
      <c r="G70" s="18"/>
      <c r="H70" s="18"/>
      <c r="I70" s="5"/>
      <c r="J70" s="5"/>
      <c r="K70" s="5"/>
      <c r="L70" s="5"/>
      <c r="M70" s="5"/>
      <c r="N70" s="5"/>
      <c r="O70" s="5"/>
      <c r="P70" s="5"/>
      <c r="Q70" s="9"/>
      <c r="R70" s="9"/>
      <c r="S70" s="18"/>
      <c r="T70" s="18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4"/>
      <c r="B71" s="5"/>
      <c r="C71" s="7"/>
      <c r="D71" s="18"/>
      <c r="E71" s="18"/>
      <c r="F71" s="18"/>
      <c r="G71" s="18"/>
      <c r="H71" s="18"/>
      <c r="I71" s="5"/>
      <c r="J71" s="5"/>
      <c r="K71" s="5"/>
      <c r="L71" s="5"/>
      <c r="M71" s="5"/>
      <c r="N71" s="5"/>
      <c r="O71" s="5"/>
      <c r="P71" s="5"/>
      <c r="Q71" s="9"/>
      <c r="R71" s="9"/>
      <c r="S71" s="18"/>
      <c r="T71" s="18"/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4"/>
      <c r="B72" s="5"/>
      <c r="C72" s="7"/>
      <c r="D72" s="18"/>
      <c r="E72" s="18"/>
      <c r="F72" s="18"/>
      <c r="G72" s="18"/>
      <c r="H72" s="18"/>
      <c r="I72" s="5"/>
      <c r="J72" s="5"/>
      <c r="K72" s="5"/>
      <c r="L72" s="5"/>
      <c r="M72" s="5"/>
      <c r="N72" s="5"/>
      <c r="O72" s="5"/>
      <c r="P72" s="5"/>
      <c r="Q72" s="9"/>
      <c r="R72" s="9"/>
      <c r="S72" s="18"/>
      <c r="T72" s="18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18"/>
      <c r="E73" s="18"/>
      <c r="F73" s="18"/>
      <c r="G73" s="18"/>
      <c r="H73" s="18"/>
      <c r="I73" s="5"/>
      <c r="J73" s="5"/>
      <c r="K73" s="5"/>
      <c r="L73" s="5"/>
      <c r="M73" s="5"/>
      <c r="N73" s="5"/>
      <c r="O73" s="5"/>
      <c r="P73" s="5"/>
      <c r="Q73" s="9"/>
      <c r="R73" s="9"/>
      <c r="S73" s="18"/>
      <c r="T73" s="18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18"/>
      <c r="E74" s="18"/>
      <c r="F74" s="18"/>
      <c r="G74" s="18"/>
      <c r="H74" s="18"/>
      <c r="I74" s="5"/>
      <c r="J74" s="5"/>
      <c r="K74" s="5"/>
      <c r="L74" s="5"/>
      <c r="M74" s="5"/>
      <c r="N74" s="5"/>
      <c r="O74" s="5"/>
      <c r="P74" s="5"/>
      <c r="Q74" s="9"/>
      <c r="R74" s="9"/>
      <c r="S74" s="18"/>
      <c r="T74" s="18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30</v>
      </c>
      <c r="D75" s="11">
        <f t="shared" ref="D75:H75" si="0">SUM(D20:D74)</f>
        <v>973</v>
      </c>
      <c r="E75" s="11">
        <f t="shared" si="0"/>
        <v>643</v>
      </c>
      <c r="F75" s="11">
        <f t="shared" si="0"/>
        <v>2</v>
      </c>
      <c r="G75" s="11">
        <f t="shared" si="0"/>
        <v>3</v>
      </c>
      <c r="H75" s="11">
        <f t="shared" si="0"/>
        <v>2</v>
      </c>
      <c r="I75" s="11">
        <f t="shared" ref="I75:AB75" si="1">SUM(I20:I74)</f>
        <v>0</v>
      </c>
      <c r="J75" s="11">
        <f t="shared" si="1"/>
        <v>0</v>
      </c>
      <c r="K75" s="11">
        <f t="shared" si="1"/>
        <v>0</v>
      </c>
      <c r="L75" s="11">
        <f t="shared" si="1"/>
        <v>0</v>
      </c>
      <c r="M75" s="11">
        <f t="shared" si="1"/>
        <v>0</v>
      </c>
      <c r="N75" s="11">
        <f t="shared" si="1"/>
        <v>0</v>
      </c>
      <c r="O75" s="11">
        <f t="shared" si="1"/>
        <v>0</v>
      </c>
      <c r="P75" s="24">
        <f t="shared" si="1"/>
        <v>0</v>
      </c>
      <c r="Q75" s="24">
        <f t="shared" si="1"/>
        <v>0</v>
      </c>
      <c r="R75" s="24">
        <f t="shared" si="1"/>
        <v>0</v>
      </c>
      <c r="S75" s="11">
        <f t="shared" si="1"/>
        <v>0</v>
      </c>
      <c r="T75" s="11">
        <f t="shared" si="1"/>
        <v>0</v>
      </c>
      <c r="U75" s="11">
        <f t="shared" si="1"/>
        <v>171</v>
      </c>
      <c r="V75" s="11">
        <f t="shared" si="1"/>
        <v>0</v>
      </c>
      <c r="W75" s="11">
        <f t="shared" si="1"/>
        <v>6350</v>
      </c>
      <c r="X75" s="11">
        <f t="shared" si="1"/>
        <v>0</v>
      </c>
      <c r="Y75" s="11">
        <f t="shared" si="1"/>
        <v>0</v>
      </c>
      <c r="Z75" s="11">
        <f t="shared" si="1"/>
        <v>0</v>
      </c>
      <c r="AA75" s="11">
        <f t="shared" si="1"/>
        <v>0</v>
      </c>
      <c r="AB75" s="61">
        <f t="shared" si="1"/>
        <v>0</v>
      </c>
    </row>
  </sheetData>
  <mergeCells count="30">
    <mergeCell ref="Y2:Y18"/>
    <mergeCell ref="Z2:Z18"/>
    <mergeCell ref="AA2:AA18"/>
    <mergeCell ref="AB2:AB18"/>
    <mergeCell ref="R2:R18"/>
    <mergeCell ref="S2:S18"/>
    <mergeCell ref="U2:U18"/>
    <mergeCell ref="V2:V18"/>
    <mergeCell ref="W2:W18"/>
    <mergeCell ref="X2:X18"/>
    <mergeCell ref="T2:T18"/>
    <mergeCell ref="A75:B75"/>
    <mergeCell ref="D2:D18"/>
    <mergeCell ref="E2:E18"/>
    <mergeCell ref="F2:F18"/>
    <mergeCell ref="H2:H18"/>
    <mergeCell ref="A43:B43"/>
    <mergeCell ref="G2:G18"/>
    <mergeCell ref="Q2:Q18"/>
    <mergeCell ref="A1:A19"/>
    <mergeCell ref="B1:B19"/>
    <mergeCell ref="C2:C18"/>
    <mergeCell ref="I2:I18"/>
    <mergeCell ref="J2:J18"/>
    <mergeCell ref="K2:K18"/>
    <mergeCell ref="L2:L18"/>
    <mergeCell ref="M2:M18"/>
    <mergeCell ref="N2:N18"/>
    <mergeCell ref="O2:O18"/>
    <mergeCell ref="P2:P18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891E7-D077-48BA-8D0D-C138EB698F1C}">
  <dimension ref="A1:AB75"/>
  <sheetViews>
    <sheetView showZeros="0" tabSelected="1" topLeftCell="A34" zoomScale="85" zoomScaleNormal="85" workbookViewId="0">
      <selection activeCell="C78" sqref="C78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127" t="s">
        <v>115</v>
      </c>
      <c r="L2" s="127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21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21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21"/>
      <c r="U5" s="105"/>
      <c r="V5" s="108"/>
      <c r="W5" s="79"/>
      <c r="X5" s="94"/>
      <c r="Y5" s="94"/>
      <c r="Z5" s="97"/>
      <c r="AA5" s="88"/>
      <c r="AB5" s="100"/>
    </row>
    <row r="6" spans="1:28" ht="12.75" customHeight="1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21"/>
      <c r="U6" s="105"/>
      <c r="V6" s="108"/>
      <c r="W6" s="79"/>
      <c r="X6" s="94"/>
      <c r="Y6" s="94"/>
      <c r="Z6" s="97"/>
      <c r="AA6" s="88"/>
      <c r="AB6" s="100"/>
    </row>
    <row r="7" spans="1:28" ht="12.75" customHeight="1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21"/>
      <c r="U7" s="105"/>
      <c r="V7" s="108"/>
      <c r="W7" s="79"/>
      <c r="X7" s="94"/>
      <c r="Y7" s="94"/>
      <c r="Z7" s="97"/>
      <c r="AA7" s="88"/>
      <c r="AB7" s="100"/>
    </row>
    <row r="8" spans="1:28" ht="12.75" customHeight="1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21"/>
      <c r="U8" s="105"/>
      <c r="V8" s="108"/>
      <c r="W8" s="79"/>
      <c r="X8" s="94"/>
      <c r="Y8" s="94"/>
      <c r="Z8" s="97"/>
      <c r="AA8" s="88"/>
      <c r="AB8" s="100"/>
    </row>
    <row r="9" spans="1:28" ht="12.75" customHeight="1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21"/>
      <c r="U9" s="105"/>
      <c r="V9" s="108"/>
      <c r="W9" s="79"/>
      <c r="X9" s="94"/>
      <c r="Y9" s="94"/>
      <c r="Z9" s="97"/>
      <c r="AA9" s="88"/>
      <c r="AB9" s="100"/>
    </row>
    <row r="10" spans="1:28" ht="12.75" customHeight="1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21"/>
      <c r="U10" s="105"/>
      <c r="V10" s="108"/>
      <c r="W10" s="79"/>
      <c r="X10" s="94"/>
      <c r="Y10" s="94"/>
      <c r="Z10" s="97"/>
      <c r="AA10" s="88"/>
      <c r="AB10" s="100"/>
    </row>
    <row r="11" spans="1:28" ht="12.75" customHeight="1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21"/>
      <c r="U11" s="105"/>
      <c r="V11" s="108"/>
      <c r="W11" s="79"/>
      <c r="X11" s="94"/>
      <c r="Y11" s="94"/>
      <c r="Z11" s="97"/>
      <c r="AA11" s="88"/>
      <c r="AB11" s="100"/>
    </row>
    <row r="12" spans="1:28" ht="12.75" customHeight="1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21"/>
      <c r="U12" s="105"/>
      <c r="V12" s="108"/>
      <c r="W12" s="79"/>
      <c r="X12" s="94"/>
      <c r="Y12" s="94"/>
      <c r="Z12" s="97"/>
      <c r="AA12" s="88"/>
      <c r="AB12" s="100"/>
    </row>
    <row r="13" spans="1:28" ht="12.75" customHeight="1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21"/>
      <c r="U13" s="105"/>
      <c r="V13" s="108"/>
      <c r="W13" s="79"/>
      <c r="X13" s="94"/>
      <c r="Y13" s="94"/>
      <c r="Z13" s="97"/>
      <c r="AA13" s="88"/>
      <c r="AB13" s="100"/>
    </row>
    <row r="14" spans="1:28" ht="12.75" customHeight="1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21"/>
      <c r="U14" s="105"/>
      <c r="V14" s="108"/>
      <c r="W14" s="79"/>
      <c r="X14" s="94"/>
      <c r="Y14" s="94"/>
      <c r="Z14" s="97"/>
      <c r="AA14" s="88"/>
      <c r="AB14" s="100"/>
    </row>
    <row r="15" spans="1:28" ht="12.75" customHeight="1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21"/>
      <c r="U15" s="105"/>
      <c r="V15" s="108"/>
      <c r="W15" s="79"/>
      <c r="X15" s="94"/>
      <c r="Y15" s="94"/>
      <c r="Z15" s="97"/>
      <c r="AA15" s="88"/>
      <c r="AB15" s="100"/>
    </row>
    <row r="16" spans="1:28" ht="12.75" customHeight="1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21"/>
      <c r="U16" s="105"/>
      <c r="V16" s="108"/>
      <c r="W16" s="79"/>
      <c r="X16" s="94"/>
      <c r="Y16" s="94"/>
      <c r="Z16" s="97"/>
      <c r="AA16" s="88"/>
      <c r="AB16" s="100"/>
    </row>
    <row r="17" spans="1:28" ht="12.75" customHeight="1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21"/>
      <c r="U17" s="105"/>
      <c r="V17" s="108"/>
      <c r="W17" s="79"/>
      <c r="X17" s="94"/>
      <c r="Y17" s="94"/>
      <c r="Z17" s="97"/>
      <c r="AA17" s="88"/>
      <c r="AB17" s="100"/>
    </row>
    <row r="18" spans="1:28" ht="12.75" customHeight="1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22"/>
      <c r="U18" s="106"/>
      <c r="V18" s="109"/>
      <c r="W18" s="79"/>
      <c r="X18" s="95"/>
      <c r="Y18" s="95"/>
      <c r="Z18" s="98"/>
      <c r="AA18" s="88"/>
      <c r="AB18" s="100"/>
    </row>
    <row r="19" spans="1:28" ht="12.75" customHeight="1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ht="12.75" customHeight="1" x14ac:dyDescent="0.25">
      <c r="A20" s="4"/>
      <c r="B20" s="5"/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ht="12.75" customHeight="1" x14ac:dyDescent="0.25">
      <c r="A21" s="14"/>
      <c r="B21" s="15"/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/>
      <c r="T21" s="5"/>
      <c r="U21" s="5"/>
      <c r="V21" s="5"/>
      <c r="W21" s="7"/>
      <c r="X21" s="18"/>
      <c r="Y21" s="18"/>
      <c r="Z21" s="7"/>
      <c r="AA21" s="18"/>
      <c r="AB21" s="6"/>
    </row>
    <row r="22" spans="1:28" ht="12.75" customHeight="1" x14ac:dyDescent="0.25">
      <c r="A22" s="70" t="s">
        <v>476</v>
      </c>
      <c r="B22" s="71" t="s">
        <v>485</v>
      </c>
      <c r="C22" s="18">
        <f>'TEMP PAVT'!C75</f>
        <v>30</v>
      </c>
      <c r="D22" s="18">
        <f>'TEMP PAVT'!D75</f>
        <v>973</v>
      </c>
      <c r="E22" s="18">
        <f>'TEMP PAVT'!E75</f>
        <v>643</v>
      </c>
      <c r="F22" s="18">
        <f>'TEMP PAVT'!F75</f>
        <v>2</v>
      </c>
      <c r="G22" s="18">
        <f>'TEMP PAVT'!G75</f>
        <v>3</v>
      </c>
      <c r="H22" s="18">
        <f>'TEMP PAVT'!H75</f>
        <v>2</v>
      </c>
      <c r="I22" s="18">
        <f>'TEMP PAVT'!I75</f>
        <v>0</v>
      </c>
      <c r="J22" s="18">
        <f>'TEMP PAVT'!J75</f>
        <v>0</v>
      </c>
      <c r="K22" s="18">
        <f>'TEMP PAVT'!K75</f>
        <v>0</v>
      </c>
      <c r="L22" s="18">
        <f>'TEMP PAVT'!L75</f>
        <v>0</v>
      </c>
      <c r="M22" s="18">
        <f>'TEMP PAVT'!M75</f>
        <v>0</v>
      </c>
      <c r="N22" s="18">
        <f>'TEMP PAVT'!N75</f>
        <v>0</v>
      </c>
      <c r="O22" s="18">
        <f>'TEMP PAVT'!O75</f>
        <v>0</v>
      </c>
      <c r="P22" s="9">
        <f>'TEMP PAVT'!P75</f>
        <v>0</v>
      </c>
      <c r="Q22" s="9">
        <f>'TEMP PAVT'!Q75</f>
        <v>0</v>
      </c>
      <c r="R22" s="9">
        <f>'TEMP PAVT'!R75</f>
        <v>0</v>
      </c>
      <c r="S22" s="18">
        <f>'TEMP PAVT'!S75</f>
        <v>0</v>
      </c>
      <c r="T22" s="18">
        <f>'TEMP PAVT'!T75</f>
        <v>0</v>
      </c>
      <c r="U22" s="18">
        <f>'TEMP PAVT'!U75</f>
        <v>171</v>
      </c>
      <c r="V22" s="18">
        <f>'TEMP PAVT'!V75</f>
        <v>0</v>
      </c>
      <c r="W22" s="18">
        <f>'TEMP PAVT'!W75</f>
        <v>6350</v>
      </c>
      <c r="X22" s="18">
        <f>'TEMP PAVT'!X75</f>
        <v>0</v>
      </c>
      <c r="Y22" s="18">
        <f>'TEMP PAVT'!Y75</f>
        <v>0</v>
      </c>
      <c r="Z22" s="18">
        <f>'TEMP PAVT'!Z75</f>
        <v>0</v>
      </c>
      <c r="AA22" s="18">
        <f>'TEMP PAVT'!AA75</f>
        <v>0</v>
      </c>
      <c r="AB22" s="59">
        <f>'TEMP PAVT'!AB75</f>
        <v>0</v>
      </c>
    </row>
    <row r="23" spans="1:28" ht="12.75" customHeight="1" x14ac:dyDescent="0.25">
      <c r="A23" s="70" t="s">
        <v>477</v>
      </c>
      <c r="B23" s="71" t="s">
        <v>486</v>
      </c>
      <c r="C23" s="18">
        <f>'PRE-PHASE 1'!C75</f>
        <v>0</v>
      </c>
      <c r="D23" s="18">
        <f>'PRE-PHASE 1'!D75</f>
        <v>0</v>
      </c>
      <c r="E23" s="18">
        <f>'PRE-PHASE 1'!E75</f>
        <v>0</v>
      </c>
      <c r="F23" s="18">
        <f>'PRE-PHASE 1'!F75</f>
        <v>0</v>
      </c>
      <c r="G23" s="18"/>
      <c r="H23" s="18">
        <f>'PRE-PHASE 1'!H75</f>
        <v>0</v>
      </c>
      <c r="I23" s="18">
        <f>'PRE-PHASE 1'!I75</f>
        <v>0</v>
      </c>
      <c r="J23" s="18">
        <f>'PRE-PHASE 1'!J75</f>
        <v>0</v>
      </c>
      <c r="K23" s="18">
        <f>'PRE-PHASE 1'!K75</f>
        <v>0</v>
      </c>
      <c r="L23" s="18">
        <f>'PRE-PHASE 1'!L75</f>
        <v>0</v>
      </c>
      <c r="M23" s="18">
        <f>'PRE-PHASE 1'!M75</f>
        <v>0</v>
      </c>
      <c r="N23" s="18">
        <f>'PRE-PHASE 1'!N75</f>
        <v>0</v>
      </c>
      <c r="O23" s="18">
        <f>'PRE-PHASE 1'!O75</f>
        <v>0</v>
      </c>
      <c r="P23" s="9">
        <f>'PRE-PHASE 1'!P75</f>
        <v>2.7</v>
      </c>
      <c r="Q23" s="9">
        <f>'PRE-PHASE 1'!Q75</f>
        <v>5.82</v>
      </c>
      <c r="R23" s="9">
        <f>'PRE-PHASE 1'!R75</f>
        <v>0.75</v>
      </c>
      <c r="S23" s="18">
        <f>'PRE-PHASE 1'!S75</f>
        <v>5780</v>
      </c>
      <c r="T23" s="18">
        <f>'PRE-PHASE 1'!T75</f>
        <v>0</v>
      </c>
      <c r="U23" s="18">
        <f>'PRE-PHASE 1'!U75</f>
        <v>0</v>
      </c>
      <c r="V23" s="18">
        <f>'PRE-PHASE 1'!V75</f>
        <v>0</v>
      </c>
      <c r="W23" s="18">
        <f>'PRE-PHASE 1'!W75</f>
        <v>0</v>
      </c>
      <c r="X23" s="18">
        <f>'PRE-PHASE 1'!X75</f>
        <v>0</v>
      </c>
      <c r="Y23" s="18">
        <f>'PRE-PHASE 1'!Y75</f>
        <v>0</v>
      </c>
      <c r="Z23" s="18">
        <f>'PRE-PHASE 1'!Z75</f>
        <v>0</v>
      </c>
      <c r="AA23" s="18">
        <f>'PRE-PHASE 1'!AA75</f>
        <v>0</v>
      </c>
      <c r="AB23" s="59">
        <f>'PRE-PHASE 1'!AB75</f>
        <v>0</v>
      </c>
    </row>
    <row r="24" spans="1:28" ht="12.75" customHeight="1" x14ac:dyDescent="0.25">
      <c r="A24" s="70" t="s">
        <v>478</v>
      </c>
      <c r="B24" s="71" t="s">
        <v>487</v>
      </c>
      <c r="C24" s="18">
        <f>'PHASE 1'!C75</f>
        <v>0</v>
      </c>
      <c r="D24" s="18">
        <f>'PHASE 1'!D75</f>
        <v>0</v>
      </c>
      <c r="E24" s="18">
        <f>'PHASE 1'!E75</f>
        <v>0</v>
      </c>
      <c r="F24" s="18">
        <f>'PHASE 1'!F75</f>
        <v>0</v>
      </c>
      <c r="G24" s="18"/>
      <c r="H24" s="18">
        <f>'PHASE 1'!H75</f>
        <v>0</v>
      </c>
      <c r="I24" s="18">
        <f>'PHASE 1'!I75</f>
        <v>2208</v>
      </c>
      <c r="J24" s="18">
        <f>'PHASE 1'!J75</f>
        <v>2</v>
      </c>
      <c r="K24" s="18">
        <f>'PHASE 1'!K75</f>
        <v>0</v>
      </c>
      <c r="L24" s="18">
        <f>'PHASE 1'!L75</f>
        <v>0</v>
      </c>
      <c r="M24" s="18">
        <f>'PHASE 1'!M75</f>
        <v>897</v>
      </c>
      <c r="N24" s="18">
        <f>'PHASE 1'!N75</f>
        <v>0</v>
      </c>
      <c r="O24" s="18">
        <f>'PHASE 1'!O75</f>
        <v>896</v>
      </c>
      <c r="P24" s="9">
        <f>'PHASE 1'!P75</f>
        <v>15.840000000000014</v>
      </c>
      <c r="Q24" s="9">
        <f>'PHASE 1'!Q75</f>
        <v>17.120000000000012</v>
      </c>
      <c r="R24" s="9">
        <f>'PHASE 1'!R75</f>
        <v>17.160000000000011</v>
      </c>
      <c r="S24" s="29">
        <f>'PHASE 1'!S75</f>
        <v>18250</v>
      </c>
      <c r="T24" s="29">
        <f>'PHASE 1'!T75</f>
        <v>15700</v>
      </c>
      <c r="U24" s="29">
        <f>'PHASE 1'!U75</f>
        <v>0</v>
      </c>
      <c r="V24" s="18">
        <f>'PHASE 1'!V75</f>
        <v>4</v>
      </c>
      <c r="W24" s="18">
        <f>'PHASE 1'!W75</f>
        <v>0</v>
      </c>
      <c r="X24" s="18">
        <f>'PHASE 1'!X75</f>
        <v>877</v>
      </c>
      <c r="Y24" s="18">
        <f>'PHASE 1'!Y75</f>
        <v>225</v>
      </c>
      <c r="Z24" s="18">
        <f>'PHASE 1'!Z75</f>
        <v>1102</v>
      </c>
      <c r="AA24" s="29">
        <f>'PHASE 1'!AA75</f>
        <v>43408</v>
      </c>
      <c r="AB24" s="59">
        <f>'PHASE 1'!AB75</f>
        <v>0</v>
      </c>
    </row>
    <row r="25" spans="1:28" ht="12.75" customHeight="1" x14ac:dyDescent="0.25">
      <c r="A25" s="14"/>
      <c r="B25" s="15"/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9"/>
      <c r="Q25" s="9"/>
      <c r="R25" s="9"/>
      <c r="S25" s="18"/>
      <c r="T25" s="5"/>
      <c r="U25" s="5"/>
      <c r="V25" s="5"/>
      <c r="W25" s="7"/>
      <c r="X25" s="18"/>
      <c r="Y25" s="18"/>
      <c r="Z25" s="7"/>
      <c r="AA25" s="18"/>
      <c r="AB25" s="33"/>
    </row>
    <row r="26" spans="1:28" ht="12.75" customHeight="1" x14ac:dyDescent="0.25">
      <c r="A26" s="132" t="s">
        <v>108</v>
      </c>
      <c r="B26" s="133"/>
      <c r="C26" s="18">
        <f>SUM(C22:C24)</f>
        <v>30</v>
      </c>
      <c r="D26" s="18">
        <f t="shared" ref="D26:AB26" si="0">SUM(D22:D24)</f>
        <v>973</v>
      </c>
      <c r="E26" s="18">
        <f t="shared" si="0"/>
        <v>643</v>
      </c>
      <c r="F26" s="18">
        <f t="shared" si="0"/>
        <v>2</v>
      </c>
      <c r="G26" s="18">
        <f t="shared" si="0"/>
        <v>3</v>
      </c>
      <c r="H26" s="18">
        <f t="shared" si="0"/>
        <v>2</v>
      </c>
      <c r="I26" s="18">
        <f t="shared" si="0"/>
        <v>2208</v>
      </c>
      <c r="J26" s="18">
        <f t="shared" si="0"/>
        <v>2</v>
      </c>
      <c r="K26" s="123">
        <f t="shared" si="0"/>
        <v>0</v>
      </c>
      <c r="L26" s="124"/>
      <c r="M26" s="18">
        <f t="shared" si="0"/>
        <v>897</v>
      </c>
      <c r="N26" s="18">
        <f t="shared" si="0"/>
        <v>0</v>
      </c>
      <c r="O26" s="18">
        <f t="shared" si="0"/>
        <v>896</v>
      </c>
      <c r="P26" s="18">
        <f t="shared" si="0"/>
        <v>18.540000000000013</v>
      </c>
      <c r="Q26" s="125">
        <f>ROUNDUP(SUM(Q22:R24),2)</f>
        <v>40.85</v>
      </c>
      <c r="R26" s="126"/>
      <c r="S26" s="29">
        <f t="shared" si="0"/>
        <v>24030</v>
      </c>
      <c r="T26" s="29">
        <f t="shared" ref="T26" si="1">SUM(T22:T24)</f>
        <v>15700</v>
      </c>
      <c r="U26" s="29">
        <f t="shared" si="0"/>
        <v>171</v>
      </c>
      <c r="V26" s="18">
        <f t="shared" si="0"/>
        <v>4</v>
      </c>
      <c r="W26" s="18">
        <f t="shared" si="0"/>
        <v>6350</v>
      </c>
      <c r="X26" s="123">
        <f>SUM(X22:Y24)</f>
        <v>1102</v>
      </c>
      <c r="Y26" s="124"/>
      <c r="Z26" s="18">
        <f>SUM(Z22:Z24)</f>
        <v>1102</v>
      </c>
      <c r="AA26" s="29">
        <f t="shared" si="0"/>
        <v>43408</v>
      </c>
      <c r="AB26" s="59">
        <f t="shared" si="0"/>
        <v>0</v>
      </c>
    </row>
    <row r="27" spans="1:28" ht="12.75" customHeight="1" x14ac:dyDescent="0.25">
      <c r="A27" s="14"/>
      <c r="B27" s="15"/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37"/>
      <c r="Q27" s="9"/>
      <c r="R27" s="9"/>
      <c r="S27" s="18"/>
      <c r="T27" s="5"/>
      <c r="U27" s="5"/>
      <c r="V27" s="5"/>
      <c r="W27" s="7"/>
      <c r="X27" s="18"/>
      <c r="Y27" s="18"/>
      <c r="Z27" s="7"/>
      <c r="AA27" s="18"/>
      <c r="AB27" s="33"/>
    </row>
    <row r="28" spans="1:28" ht="12.75" customHeight="1" x14ac:dyDescent="0.25">
      <c r="A28" s="4"/>
      <c r="B28" s="15"/>
      <c r="C28" s="7"/>
      <c r="D28" s="7"/>
      <c r="E28" s="7"/>
      <c r="F28" s="7"/>
      <c r="G28" s="7"/>
      <c r="H28" s="7"/>
      <c r="I28" s="5"/>
      <c r="J28" s="5"/>
      <c r="K28" s="5"/>
      <c r="L28" s="5"/>
      <c r="M28" s="5"/>
      <c r="N28" s="5"/>
      <c r="O28" s="5"/>
      <c r="P28" s="9"/>
      <c r="Q28" s="9"/>
      <c r="R28" s="9"/>
      <c r="S28" s="18"/>
      <c r="T28" s="34"/>
      <c r="U28" s="34"/>
      <c r="V28" s="5"/>
      <c r="W28" s="7"/>
      <c r="X28" s="18"/>
      <c r="Y28" s="18"/>
      <c r="Z28" s="7"/>
      <c r="AA28" s="18"/>
      <c r="AB28" s="33"/>
    </row>
    <row r="29" spans="1:28" ht="12.75" customHeight="1" x14ac:dyDescent="0.25">
      <c r="A29" s="14"/>
      <c r="B29" s="15"/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5"/>
      <c r="O29" s="5"/>
      <c r="P29" s="9"/>
      <c r="Q29" s="9"/>
      <c r="R29" s="9"/>
      <c r="S29" s="18"/>
      <c r="T29" s="5"/>
      <c r="U29" s="5"/>
      <c r="V29" s="5"/>
      <c r="W29" s="7"/>
      <c r="X29" s="18"/>
      <c r="Y29" s="18"/>
      <c r="Z29" s="7"/>
      <c r="AA29" s="18"/>
      <c r="AB29" s="6"/>
    </row>
    <row r="30" spans="1:28" ht="12.75" customHeight="1" x14ac:dyDescent="0.25">
      <c r="A30" s="70" t="s">
        <v>479</v>
      </c>
      <c r="B30" s="71" t="s">
        <v>488</v>
      </c>
      <c r="C30" s="18">
        <f>'PHASE 2A'!C75</f>
        <v>0</v>
      </c>
      <c r="D30" s="18">
        <f>'PHASE 2A'!D75</f>
        <v>0</v>
      </c>
      <c r="E30" s="18">
        <f>'PHASE 2A'!E75</f>
        <v>0</v>
      </c>
      <c r="F30" s="18">
        <f>'PHASE 2A'!F75</f>
        <v>0</v>
      </c>
      <c r="G30" s="18"/>
      <c r="H30" s="18">
        <f>'PHASE 2A'!H75</f>
        <v>0</v>
      </c>
      <c r="I30" s="18">
        <f>'PHASE 2A'!I75</f>
        <v>1044</v>
      </c>
      <c r="J30" s="18">
        <f>'PHASE 2A'!J75</f>
        <v>2</v>
      </c>
      <c r="K30" s="18">
        <f>'PHASE 2A'!K75</f>
        <v>26</v>
      </c>
      <c r="L30" s="18">
        <f>'PHASE 2A'!L75</f>
        <v>0</v>
      </c>
      <c r="M30" s="18">
        <f>'PHASE 2A'!M75</f>
        <v>684</v>
      </c>
      <c r="N30" s="18">
        <f>'PHASE 2A'!N75</f>
        <v>771</v>
      </c>
      <c r="O30" s="18">
        <f>'PHASE 2A'!O75</f>
        <v>252</v>
      </c>
      <c r="P30" s="9">
        <f>'PHASE 2A'!P75</f>
        <v>4.3100000000000014</v>
      </c>
      <c r="Q30" s="9">
        <f>'PHASE 2A'!Q75</f>
        <v>15.920000000000012</v>
      </c>
      <c r="R30" s="9">
        <f>'PHASE 2A'!R75</f>
        <v>8.5800000000000054</v>
      </c>
      <c r="S30" s="29">
        <f>'PHASE 2A'!S75</f>
        <v>12291</v>
      </c>
      <c r="T30" s="18">
        <f>'PHASE 2A'!T75</f>
        <v>6705</v>
      </c>
      <c r="U30" s="18">
        <f>'PHASE 2A'!U75</f>
        <v>0</v>
      </c>
      <c r="V30" s="18">
        <f>'PHASE 2A'!V75</f>
        <v>0</v>
      </c>
      <c r="W30" s="18">
        <f>'PHASE 2A'!W75</f>
        <v>0</v>
      </c>
      <c r="X30" s="18">
        <f>'PHASE 2A'!X75</f>
        <v>512</v>
      </c>
      <c r="Y30" s="18">
        <f>'PHASE 2A'!Y75</f>
        <v>144</v>
      </c>
      <c r="Z30" s="18">
        <f>'PHASE 2A'!Z75</f>
        <v>656</v>
      </c>
      <c r="AA30" s="29">
        <f>'PHASE 2A'!AA75</f>
        <v>13106</v>
      </c>
      <c r="AB30" s="23">
        <f>'PHASE 2A'!AB75</f>
        <v>21000</v>
      </c>
    </row>
    <row r="31" spans="1:28" ht="12.75" customHeight="1" x14ac:dyDescent="0.25">
      <c r="A31" s="70" t="s">
        <v>480</v>
      </c>
      <c r="B31" s="71" t="s">
        <v>489</v>
      </c>
      <c r="C31" s="18">
        <f>'PHASE 2B'!C75</f>
        <v>0</v>
      </c>
      <c r="D31" s="18">
        <f>'PHASE 2B'!D75</f>
        <v>0</v>
      </c>
      <c r="E31" s="18">
        <f>'PHASE 2B'!E75</f>
        <v>0</v>
      </c>
      <c r="F31" s="18">
        <f>'PHASE 2B'!F75</f>
        <v>0</v>
      </c>
      <c r="G31" s="18"/>
      <c r="H31" s="18">
        <f>'PHASE 2B'!H75</f>
        <v>0</v>
      </c>
      <c r="I31" s="18">
        <f>'PHASE 2B'!I75</f>
        <v>216</v>
      </c>
      <c r="J31" s="18">
        <f>'PHASE 2B'!J75</f>
        <v>2</v>
      </c>
      <c r="K31" s="18">
        <f>'PHASE 2B'!K75</f>
        <v>22</v>
      </c>
      <c r="L31" s="18">
        <f>'PHASE 2B'!L75</f>
        <v>0</v>
      </c>
      <c r="M31" s="18">
        <f>'PHASE 2B'!M75</f>
        <v>85</v>
      </c>
      <c r="N31" s="18">
        <f>'PHASE 2B'!N75</f>
        <v>0</v>
      </c>
      <c r="O31" s="18">
        <f>'PHASE 2B'!O75</f>
        <v>83</v>
      </c>
      <c r="P31" s="9">
        <f>'PHASE 2B'!P75</f>
        <v>0</v>
      </c>
      <c r="Q31" s="9">
        <f>'PHASE 2B'!Q75</f>
        <v>0.48999999999999994</v>
      </c>
      <c r="R31" s="9">
        <f>'PHASE 2B'!R75</f>
        <v>0</v>
      </c>
      <c r="S31" s="18">
        <f>'PHASE 2B'!S75</f>
        <v>815</v>
      </c>
      <c r="T31" s="18">
        <f>'PHASE 2B'!T75</f>
        <v>600</v>
      </c>
      <c r="U31" s="18">
        <f>'PHASE 2B'!U75</f>
        <v>0</v>
      </c>
      <c r="V31" s="18">
        <f>'PHASE 2B'!V75</f>
        <v>0</v>
      </c>
      <c r="W31" s="18">
        <f>'PHASE 2B'!W75</f>
        <v>0</v>
      </c>
      <c r="X31" s="18">
        <f>'PHASE 2B'!X75</f>
        <v>0</v>
      </c>
      <c r="Y31" s="18">
        <f>'PHASE 2B'!Y75</f>
        <v>0</v>
      </c>
      <c r="Z31" s="18">
        <f>'PHASE 2B'!Z75</f>
        <v>0</v>
      </c>
      <c r="AA31" s="18">
        <f>'PHASE 2B'!AA75</f>
        <v>4140</v>
      </c>
      <c r="AB31" s="59">
        <f>'PHASE 2B'!AB75</f>
        <v>0</v>
      </c>
    </row>
    <row r="32" spans="1:28" ht="12.75" customHeight="1" x14ac:dyDescent="0.25">
      <c r="A32" s="70" t="s">
        <v>481</v>
      </c>
      <c r="B32" s="71" t="s">
        <v>490</v>
      </c>
      <c r="C32" s="18">
        <f>'PHASE 2C'!C75</f>
        <v>0</v>
      </c>
      <c r="D32" s="18">
        <f>'PHASE 2C'!D75</f>
        <v>0</v>
      </c>
      <c r="E32" s="18">
        <f>'PHASE 2C'!E75</f>
        <v>0</v>
      </c>
      <c r="F32" s="18">
        <f>'PHASE 2C'!F75</f>
        <v>0</v>
      </c>
      <c r="G32" s="18"/>
      <c r="H32" s="18">
        <f>'PHASE 2C'!H75</f>
        <v>0</v>
      </c>
      <c r="I32" s="18">
        <f>'PHASE 2C'!I75</f>
        <v>264</v>
      </c>
      <c r="J32" s="18">
        <f>'PHASE 2C'!J75</f>
        <v>1</v>
      </c>
      <c r="K32" s="18">
        <f>'PHASE 2C'!K75</f>
        <v>24</v>
      </c>
      <c r="L32" s="18">
        <f>'PHASE 2C'!L75</f>
        <v>0</v>
      </c>
      <c r="M32" s="18">
        <f>'PHASE 2C'!M75</f>
        <v>11</v>
      </c>
      <c r="N32" s="18">
        <f>'PHASE 2C'!N75</f>
        <v>6</v>
      </c>
      <c r="O32" s="18">
        <f>'PHASE 2C'!O75</f>
        <v>0</v>
      </c>
      <c r="P32" s="9">
        <f>'PHASE 2C'!P75</f>
        <v>4.3100000000000014</v>
      </c>
      <c r="Q32" s="9">
        <f>'PHASE 2C'!Q75</f>
        <v>17.140000000000015</v>
      </c>
      <c r="R32" s="9">
        <f>'PHASE 2C'!R75</f>
        <v>9.430000000000005</v>
      </c>
      <c r="S32" s="29">
        <f>'PHASE 2C'!S75</f>
        <v>13206</v>
      </c>
      <c r="T32" s="18">
        <f>'PHASE 2C'!T75</f>
        <v>7805</v>
      </c>
      <c r="U32" s="18">
        <f>'PHASE 2C'!U75</f>
        <v>0</v>
      </c>
      <c r="V32" s="18">
        <f>'PHASE 2C'!V75</f>
        <v>0</v>
      </c>
      <c r="W32" s="18">
        <f>'PHASE 2C'!W75</f>
        <v>0</v>
      </c>
      <c r="X32" s="18">
        <f>'PHASE 2C'!X75</f>
        <v>0</v>
      </c>
      <c r="Y32" s="18">
        <f>'PHASE 2C'!Y75</f>
        <v>0</v>
      </c>
      <c r="Z32" s="18">
        <f>'PHASE 2C'!Z75</f>
        <v>0</v>
      </c>
      <c r="AA32" s="18">
        <f>'PHASE 2C'!AA75</f>
        <v>500</v>
      </c>
      <c r="AB32" s="59">
        <f>'PHASE 2C'!AB75</f>
        <v>0</v>
      </c>
    </row>
    <row r="33" spans="1:28" ht="12.75" customHeight="1" x14ac:dyDescent="0.25">
      <c r="A33" s="70" t="s">
        <v>482</v>
      </c>
      <c r="B33" s="71" t="s">
        <v>491</v>
      </c>
      <c r="C33" s="18">
        <f>'PHASE 3A'!C75</f>
        <v>0</v>
      </c>
      <c r="D33" s="18">
        <f>'PHASE 3A'!D75</f>
        <v>0</v>
      </c>
      <c r="E33" s="18">
        <f>'PHASE 3A'!E75</f>
        <v>0</v>
      </c>
      <c r="F33" s="18">
        <f>'PHASE 3A'!F75</f>
        <v>0</v>
      </c>
      <c r="G33" s="18"/>
      <c r="H33" s="18">
        <f>'PHASE 3A'!H75</f>
        <v>0</v>
      </c>
      <c r="I33" s="18">
        <f>'PHASE 3A'!I75</f>
        <v>780</v>
      </c>
      <c r="J33" s="18">
        <f>'PHASE 3A'!J75</f>
        <v>2</v>
      </c>
      <c r="K33" s="18">
        <f>'PHASE 3A'!K75</f>
        <v>729</v>
      </c>
      <c r="L33" s="18">
        <f>'PHASE 3A'!L75</f>
        <v>140</v>
      </c>
      <c r="M33" s="18">
        <f>'PHASE 3A'!M75</f>
        <v>1151</v>
      </c>
      <c r="N33" s="18">
        <f>'PHASE 3A'!N75</f>
        <v>0</v>
      </c>
      <c r="O33" s="18">
        <f>'PHASE 3A'!O75</f>
        <v>298</v>
      </c>
      <c r="P33" s="9">
        <f>'PHASE 3A'!P75</f>
        <v>4.7500000000000009</v>
      </c>
      <c r="Q33" s="9">
        <f>'PHASE 3A'!Q75</f>
        <v>16.050000000000011</v>
      </c>
      <c r="R33" s="9">
        <f>'PHASE 3A'!R75</f>
        <v>8.7500000000000053</v>
      </c>
      <c r="S33" s="29">
        <f>'PHASE 3A'!S75</f>
        <v>11415</v>
      </c>
      <c r="T33" s="18">
        <f>'PHASE 3A'!T75</f>
        <v>5848</v>
      </c>
      <c r="U33" s="18">
        <f>'PHASE 3A'!U75</f>
        <v>0</v>
      </c>
      <c r="V33" s="18">
        <f>'PHASE 3A'!V75</f>
        <v>3</v>
      </c>
      <c r="W33" s="18">
        <f>'PHASE 3A'!W75</f>
        <v>0</v>
      </c>
      <c r="X33" s="18">
        <f>'PHASE 3A'!X75</f>
        <v>0</v>
      </c>
      <c r="Y33" s="18">
        <f>'PHASE 3A'!Y75</f>
        <v>0</v>
      </c>
      <c r="Z33" s="18">
        <f>'PHASE 3A'!Z75</f>
        <v>0</v>
      </c>
      <c r="AA33" s="29">
        <f>'PHASE 3A'!AA75</f>
        <v>36404</v>
      </c>
      <c r="AB33" s="23">
        <f>'PHASE 3A'!AB75</f>
        <v>21500</v>
      </c>
    </row>
    <row r="34" spans="1:28" ht="12.75" customHeight="1" x14ac:dyDescent="0.25">
      <c r="A34" s="70" t="s">
        <v>483</v>
      </c>
      <c r="B34" s="71" t="s">
        <v>492</v>
      </c>
      <c r="C34" s="18">
        <f>'PHASE 3B'!C75</f>
        <v>0</v>
      </c>
      <c r="D34" s="18">
        <f>'PHASE 3B'!D75</f>
        <v>0</v>
      </c>
      <c r="E34" s="18">
        <f>'PHASE 3B'!E75</f>
        <v>0</v>
      </c>
      <c r="F34" s="18">
        <f>'PHASE 3B'!F75</f>
        <v>0</v>
      </c>
      <c r="G34" s="18"/>
      <c r="H34" s="18">
        <f>'PHASE 3B'!H75</f>
        <v>0</v>
      </c>
      <c r="I34" s="18">
        <f>'PHASE 3B'!I75</f>
        <v>276</v>
      </c>
      <c r="J34" s="18">
        <f>'PHASE 3B'!J75</f>
        <v>29</v>
      </c>
      <c r="K34" s="18">
        <f>'PHASE 3B'!K75</f>
        <v>0</v>
      </c>
      <c r="L34" s="18">
        <f>'PHASE 3B'!L75</f>
        <v>0</v>
      </c>
      <c r="M34" s="18">
        <f>'PHASE 3B'!M75</f>
        <v>93</v>
      </c>
      <c r="N34" s="18">
        <f>'PHASE 3B'!N75</f>
        <v>0</v>
      </c>
      <c r="O34" s="18">
        <f>'PHASE 3B'!O75</f>
        <v>90</v>
      </c>
      <c r="P34" s="9">
        <f>'PHASE 3B'!P75</f>
        <v>0</v>
      </c>
      <c r="Q34" s="9">
        <f>'PHASE 3B'!Q75</f>
        <v>0.52</v>
      </c>
      <c r="R34" s="9">
        <f>'PHASE 3B'!R75</f>
        <v>0</v>
      </c>
      <c r="S34" s="18">
        <f>'PHASE 3B'!S75</f>
        <v>1065</v>
      </c>
      <c r="T34" s="18">
        <f>'PHASE 3B'!T75</f>
        <v>1000</v>
      </c>
      <c r="U34" s="18">
        <f>'PHASE 3B'!U75</f>
        <v>0</v>
      </c>
      <c r="V34" s="18">
        <f>'PHASE 3B'!V75</f>
        <v>0</v>
      </c>
      <c r="W34" s="18">
        <f>'PHASE 3B'!W75</f>
        <v>0</v>
      </c>
      <c r="X34" s="18">
        <f>'PHASE 3B'!X75</f>
        <v>0</v>
      </c>
      <c r="Y34" s="18">
        <f>'PHASE 3B'!Y75</f>
        <v>0</v>
      </c>
      <c r="Z34" s="18">
        <f>'PHASE 3B'!Z75</f>
        <v>0</v>
      </c>
      <c r="AA34" s="18">
        <f>'PHASE 3B'!AA75</f>
        <v>4500</v>
      </c>
      <c r="AB34" s="59">
        <f>'PHASE 3B'!AB75</f>
        <v>0</v>
      </c>
    </row>
    <row r="35" spans="1:28" ht="12.75" customHeight="1" x14ac:dyDescent="0.25">
      <c r="A35" s="70" t="s">
        <v>484</v>
      </c>
      <c r="B35" s="71" t="s">
        <v>493</v>
      </c>
      <c r="C35" s="18">
        <f>'PHASE 3C'!C75</f>
        <v>0</v>
      </c>
      <c r="D35" s="18">
        <f>'PHASE 3C'!D75</f>
        <v>0</v>
      </c>
      <c r="E35" s="18">
        <f>'PHASE 3C'!E75</f>
        <v>0</v>
      </c>
      <c r="F35" s="18">
        <f>'PHASE 3C'!F75</f>
        <v>0</v>
      </c>
      <c r="G35" s="18"/>
      <c r="H35" s="18">
        <f>'PHASE 3C'!H75</f>
        <v>0</v>
      </c>
      <c r="I35" s="18">
        <f>'PHASE 3C'!I75</f>
        <v>0</v>
      </c>
      <c r="J35" s="18">
        <f>'PHASE 3C'!J75</f>
        <v>0</v>
      </c>
      <c r="K35" s="18">
        <f>'PHASE 3C'!K75</f>
        <v>36</v>
      </c>
      <c r="L35" s="18">
        <f>'PHASE 3C'!L75</f>
        <v>0</v>
      </c>
      <c r="M35" s="18">
        <f>'PHASE 3C'!M75</f>
        <v>20</v>
      </c>
      <c r="N35" s="18">
        <f>'PHASE 3C'!N75</f>
        <v>0</v>
      </c>
      <c r="O35" s="18">
        <f>'PHASE 3C'!O75</f>
        <v>19</v>
      </c>
      <c r="P35" s="9">
        <f>'PHASE 3C'!P75</f>
        <v>4.7500000000000009</v>
      </c>
      <c r="Q35" s="9">
        <f>'PHASE 3C'!Q75</f>
        <v>17.240000000000013</v>
      </c>
      <c r="R35" s="9">
        <f>'PHASE 3C'!R75</f>
        <v>9.600000000000005</v>
      </c>
      <c r="S35" s="18">
        <f>'PHASE 3C'!S75</f>
        <v>12760</v>
      </c>
      <c r="T35" s="18">
        <f>'PHASE 3C'!T75</f>
        <v>6848</v>
      </c>
      <c r="U35" s="18">
        <f>'PHASE 3C'!U75</f>
        <v>0</v>
      </c>
      <c r="V35" s="18">
        <f>'PHASE 3C'!V75</f>
        <v>0</v>
      </c>
      <c r="W35" s="18">
        <f>'PHASE 3C'!W75</f>
        <v>0</v>
      </c>
      <c r="X35" s="18">
        <f>'PHASE 3C'!X75</f>
        <v>0</v>
      </c>
      <c r="Y35" s="18">
        <f>'PHASE 3C'!Y75</f>
        <v>0</v>
      </c>
      <c r="Z35" s="18">
        <f>'PHASE 3C'!Z75</f>
        <v>0</v>
      </c>
      <c r="AA35" s="18">
        <f>'PHASE 3C'!AA75</f>
        <v>962</v>
      </c>
      <c r="AB35" s="59">
        <f>'PHASE 3C'!AB75</f>
        <v>0</v>
      </c>
    </row>
    <row r="36" spans="1:28" ht="12.75" customHeight="1" x14ac:dyDescent="0.25">
      <c r="A36" s="4"/>
      <c r="B36" s="15"/>
      <c r="C36" s="7"/>
      <c r="D36" s="7"/>
      <c r="E36" s="7"/>
      <c r="F36" s="7"/>
      <c r="G36" s="7"/>
      <c r="H36" s="7"/>
      <c r="I36" s="5"/>
      <c r="J36" s="5"/>
      <c r="K36" s="5"/>
      <c r="L36" s="5"/>
      <c r="M36" s="5"/>
      <c r="N36" s="5"/>
      <c r="O36" s="5"/>
      <c r="P36" s="9"/>
      <c r="Q36" s="9"/>
      <c r="R36" s="9"/>
      <c r="S36" s="18"/>
      <c r="T36" s="5"/>
      <c r="U36" s="5"/>
      <c r="V36" s="5"/>
      <c r="W36" s="7"/>
      <c r="X36" s="18"/>
      <c r="Y36" s="18"/>
      <c r="Z36" s="7"/>
      <c r="AA36" s="18"/>
      <c r="AB36" s="6"/>
    </row>
    <row r="37" spans="1:28" ht="12.75" customHeight="1" x14ac:dyDescent="0.25">
      <c r="A37" s="132" t="s">
        <v>109</v>
      </c>
      <c r="B37" s="133"/>
      <c r="C37" s="18">
        <f>SUM(C30:C35)</f>
        <v>0</v>
      </c>
      <c r="D37" s="18">
        <f t="shared" ref="D37:AB37" si="2">SUM(D30:D35)</f>
        <v>0</v>
      </c>
      <c r="E37" s="18">
        <f t="shared" si="2"/>
        <v>0</v>
      </c>
      <c r="F37" s="18">
        <f t="shared" si="2"/>
        <v>0</v>
      </c>
      <c r="G37" s="18">
        <f t="shared" si="2"/>
        <v>0</v>
      </c>
      <c r="H37" s="18">
        <f t="shared" si="2"/>
        <v>0</v>
      </c>
      <c r="I37" s="18">
        <f t="shared" si="2"/>
        <v>2580</v>
      </c>
      <c r="J37" s="18">
        <f t="shared" si="2"/>
        <v>36</v>
      </c>
      <c r="K37" s="123">
        <f>SUM(K30:L35)</f>
        <v>977</v>
      </c>
      <c r="L37" s="124"/>
      <c r="M37" s="18">
        <f t="shared" si="2"/>
        <v>2044</v>
      </c>
      <c r="N37" s="18">
        <f t="shared" si="2"/>
        <v>777</v>
      </c>
      <c r="O37" s="18">
        <f t="shared" si="2"/>
        <v>742</v>
      </c>
      <c r="P37" s="18">
        <f t="shared" si="2"/>
        <v>18.120000000000005</v>
      </c>
      <c r="Q37" s="125">
        <f>ROUNDUP(SUM(Q30:R35),2)</f>
        <v>103.72</v>
      </c>
      <c r="R37" s="126"/>
      <c r="S37" s="29">
        <f t="shared" si="2"/>
        <v>51552</v>
      </c>
      <c r="T37" s="29">
        <f t="shared" ref="T37" si="3">SUM(T30:T35)</f>
        <v>28806</v>
      </c>
      <c r="U37" s="29">
        <f t="shared" si="2"/>
        <v>0</v>
      </c>
      <c r="V37" s="18">
        <f t="shared" si="2"/>
        <v>3</v>
      </c>
      <c r="W37" s="18">
        <f t="shared" si="2"/>
        <v>0</v>
      </c>
      <c r="X37" s="123">
        <f>SUM(X30:Y35)</f>
        <v>656</v>
      </c>
      <c r="Y37" s="124"/>
      <c r="Z37" s="18">
        <f>SUM(Z30:Z35)</f>
        <v>656</v>
      </c>
      <c r="AA37" s="29">
        <f t="shared" si="2"/>
        <v>59612</v>
      </c>
      <c r="AB37" s="23">
        <f t="shared" si="2"/>
        <v>42500</v>
      </c>
    </row>
    <row r="38" spans="1:28" ht="12.75" customHeight="1" x14ac:dyDescent="0.25">
      <c r="A38" s="4"/>
      <c r="B38" s="15"/>
      <c r="C38" s="7"/>
      <c r="D38" s="7"/>
      <c r="E38" s="7"/>
      <c r="F38" s="7"/>
      <c r="G38" s="7"/>
      <c r="H38" s="7"/>
      <c r="I38" s="5"/>
      <c r="J38" s="5"/>
      <c r="K38" s="5"/>
      <c r="L38" s="5"/>
      <c r="M38" s="5"/>
      <c r="N38" s="5"/>
      <c r="O38" s="5"/>
      <c r="P38" s="9"/>
      <c r="Q38" s="9"/>
      <c r="R38" s="9"/>
      <c r="S38" s="18"/>
      <c r="T38" s="5"/>
      <c r="U38" s="5"/>
      <c r="V38" s="5"/>
      <c r="W38" s="7"/>
      <c r="X38" s="18"/>
      <c r="Y38" s="18"/>
      <c r="Z38" s="7"/>
      <c r="AA38" s="18"/>
      <c r="AB38" s="6"/>
    </row>
    <row r="39" spans="1:28" ht="12.75" customHeight="1" x14ac:dyDescent="0.25">
      <c r="A39" s="14"/>
      <c r="B39" s="15"/>
      <c r="C39" s="7"/>
      <c r="D39" s="7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9"/>
      <c r="Q39" s="9"/>
      <c r="R39" s="9"/>
      <c r="S39" s="18"/>
      <c r="T39" s="5"/>
      <c r="U39" s="5"/>
      <c r="V39" s="5"/>
      <c r="W39" s="7"/>
      <c r="X39" s="18"/>
      <c r="Y39" s="18"/>
      <c r="Z39" s="7"/>
      <c r="AA39" s="18"/>
      <c r="AB39" s="6"/>
    </row>
    <row r="40" spans="1:28" ht="12.75" customHeight="1" x14ac:dyDescent="0.25">
      <c r="A40" s="4"/>
      <c r="B40" s="15"/>
      <c r="C40" s="7"/>
      <c r="D40" s="7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9"/>
      <c r="Q40" s="9"/>
      <c r="R40" s="9"/>
      <c r="S40" s="18"/>
      <c r="T40" s="5"/>
      <c r="U40" s="5"/>
      <c r="V40" s="5"/>
      <c r="W40" s="7"/>
      <c r="X40" s="18"/>
      <c r="Y40" s="18"/>
      <c r="Z40" s="7"/>
      <c r="AA40" s="18"/>
      <c r="AB40" s="6"/>
    </row>
    <row r="41" spans="1:28" ht="12.75" customHeight="1" x14ac:dyDescent="0.25">
      <c r="A41" s="14"/>
      <c r="B41" s="15"/>
      <c r="C41" s="7"/>
      <c r="D41" s="7"/>
      <c r="E41" s="7"/>
      <c r="F41" s="7"/>
      <c r="G41" s="7"/>
      <c r="H41" s="7"/>
      <c r="I41" s="5"/>
      <c r="J41" s="5"/>
      <c r="K41" s="5"/>
      <c r="L41" s="5"/>
      <c r="M41" s="5"/>
      <c r="N41" s="5"/>
      <c r="O41" s="5"/>
      <c r="P41" s="9"/>
      <c r="Q41" s="9"/>
      <c r="R41" s="9"/>
      <c r="S41" s="18"/>
      <c r="T41" s="5"/>
      <c r="U41" s="5"/>
      <c r="V41" s="5"/>
      <c r="W41" s="7"/>
      <c r="X41" s="18"/>
      <c r="Y41" s="18"/>
      <c r="Z41" s="7"/>
      <c r="AA41" s="18"/>
      <c r="AB41" s="6"/>
    </row>
    <row r="42" spans="1:28" ht="12.75" customHeight="1" x14ac:dyDescent="0.25">
      <c r="A42" s="4"/>
      <c r="B42" s="15"/>
      <c r="C42" s="7"/>
      <c r="D42" s="7"/>
      <c r="E42" s="7"/>
      <c r="F42" s="7"/>
      <c r="G42" s="7"/>
      <c r="H42" s="7"/>
      <c r="I42" s="5"/>
      <c r="J42" s="5"/>
      <c r="K42" s="5"/>
      <c r="L42" s="5"/>
      <c r="M42" s="5"/>
      <c r="N42" s="5"/>
      <c r="O42" s="5"/>
      <c r="P42" s="9"/>
      <c r="Q42" s="9"/>
      <c r="R42" s="9"/>
      <c r="S42" s="18"/>
      <c r="T42" s="5"/>
      <c r="U42" s="5"/>
      <c r="V42" s="5"/>
      <c r="W42" s="7"/>
      <c r="X42" s="18"/>
      <c r="Y42" s="18"/>
      <c r="Z42" s="7"/>
      <c r="AA42" s="18"/>
      <c r="AB42" s="6"/>
    </row>
    <row r="43" spans="1:28" ht="12.75" customHeight="1" x14ac:dyDescent="0.25">
      <c r="A43" s="14"/>
      <c r="B43" s="20"/>
      <c r="C43" s="7"/>
      <c r="D43" s="7"/>
      <c r="E43" s="7"/>
      <c r="F43" s="7"/>
      <c r="G43" s="7"/>
      <c r="H43" s="7"/>
      <c r="I43" s="5"/>
      <c r="J43" s="5"/>
      <c r="K43" s="5"/>
      <c r="L43" s="5"/>
      <c r="M43" s="5"/>
      <c r="N43" s="5"/>
      <c r="O43" s="5"/>
      <c r="P43" s="9"/>
      <c r="Q43" s="9"/>
      <c r="R43" s="9"/>
      <c r="S43" s="18"/>
      <c r="T43" s="5"/>
      <c r="U43" s="5"/>
      <c r="V43" s="5"/>
      <c r="W43" s="7"/>
      <c r="X43" s="18"/>
      <c r="Y43" s="18"/>
      <c r="Z43" s="7"/>
      <c r="AA43" s="18"/>
      <c r="AB43" s="6"/>
    </row>
    <row r="44" spans="1:28" ht="12.75" customHeight="1" x14ac:dyDescent="0.25">
      <c r="A44" s="4"/>
      <c r="B44" s="20"/>
      <c r="C44" s="7"/>
      <c r="D44" s="7"/>
      <c r="E44" s="7"/>
      <c r="F44" s="7"/>
      <c r="G44" s="7"/>
      <c r="H44" s="7"/>
      <c r="I44" s="5"/>
      <c r="J44" s="5"/>
      <c r="K44" s="5"/>
      <c r="L44" s="5"/>
      <c r="M44" s="5"/>
      <c r="N44" s="5"/>
      <c r="O44" s="5"/>
      <c r="P44" s="9"/>
      <c r="Q44" s="9"/>
      <c r="R44" s="9"/>
      <c r="S44" s="18"/>
      <c r="T44" s="5"/>
      <c r="U44" s="5"/>
      <c r="V44" s="5"/>
      <c r="W44" s="7"/>
      <c r="X44" s="18"/>
      <c r="Y44" s="18"/>
      <c r="Z44" s="7"/>
      <c r="AA44" s="18"/>
      <c r="AB44" s="6"/>
    </row>
    <row r="45" spans="1:28" ht="12.75" customHeight="1" x14ac:dyDescent="0.25">
      <c r="A45" s="14"/>
      <c r="B45" s="20"/>
      <c r="C45" s="7"/>
      <c r="D45" s="7"/>
      <c r="E45" s="7"/>
      <c r="F45" s="7"/>
      <c r="G45" s="7"/>
      <c r="H45" s="7"/>
      <c r="I45" s="5"/>
      <c r="J45" s="5"/>
      <c r="K45" s="5"/>
      <c r="L45" s="5"/>
      <c r="M45" s="5"/>
      <c r="N45" s="5"/>
      <c r="O45" s="5"/>
      <c r="P45" s="9"/>
      <c r="Q45" s="9"/>
      <c r="R45" s="9"/>
      <c r="S45" s="18"/>
      <c r="T45" s="5"/>
      <c r="U45" s="5"/>
      <c r="V45" s="5"/>
      <c r="W45" s="7"/>
      <c r="X45" s="18"/>
      <c r="Y45" s="18"/>
      <c r="Z45" s="7"/>
      <c r="AA45" s="18"/>
      <c r="AB45" s="6"/>
    </row>
    <row r="46" spans="1:28" ht="12.75" customHeight="1" x14ac:dyDescent="0.25">
      <c r="A46" s="4"/>
      <c r="B46" s="20"/>
      <c r="C46" s="7"/>
      <c r="D46" s="7"/>
      <c r="E46" s="7"/>
      <c r="F46" s="7"/>
      <c r="G46" s="7"/>
      <c r="H46" s="7"/>
      <c r="I46" s="5"/>
      <c r="J46" s="5"/>
      <c r="K46" s="5"/>
      <c r="L46" s="5"/>
      <c r="M46" s="5"/>
      <c r="N46" s="5"/>
      <c r="O46" s="5"/>
      <c r="P46" s="9"/>
      <c r="Q46" s="9"/>
      <c r="R46" s="9"/>
      <c r="S46" s="18"/>
      <c r="T46" s="5"/>
      <c r="U46" s="5"/>
      <c r="V46" s="5"/>
      <c r="W46" s="7"/>
      <c r="X46" s="18"/>
      <c r="Y46" s="18"/>
      <c r="Z46" s="7"/>
      <c r="AA46" s="18"/>
      <c r="AB46" s="6"/>
    </row>
    <row r="47" spans="1:28" ht="12.75" customHeight="1" x14ac:dyDescent="0.25">
      <c r="A47" s="14"/>
      <c r="B47" s="20"/>
      <c r="C47" s="7"/>
      <c r="D47" s="7"/>
      <c r="E47" s="7"/>
      <c r="F47" s="7"/>
      <c r="G47" s="7"/>
      <c r="H47" s="7"/>
      <c r="I47" s="5"/>
      <c r="J47" s="5"/>
      <c r="K47" s="5"/>
      <c r="L47" s="5"/>
      <c r="M47" s="5"/>
      <c r="N47" s="5"/>
      <c r="O47" s="5"/>
      <c r="P47" s="9"/>
      <c r="Q47" s="9"/>
      <c r="R47" s="9"/>
      <c r="S47" s="18"/>
      <c r="T47" s="5"/>
      <c r="U47" s="5"/>
      <c r="V47" s="5"/>
      <c r="W47" s="7"/>
      <c r="X47" s="18"/>
      <c r="Y47" s="18"/>
      <c r="Z47" s="7"/>
      <c r="AA47" s="18"/>
      <c r="AB47" s="6"/>
    </row>
    <row r="48" spans="1:28" ht="12.75" customHeight="1" x14ac:dyDescent="0.25">
      <c r="A48" s="4"/>
      <c r="B48" s="20"/>
      <c r="C48" s="7"/>
      <c r="D48" s="7"/>
      <c r="E48" s="7"/>
      <c r="F48" s="7"/>
      <c r="G48" s="7"/>
      <c r="H48" s="7"/>
      <c r="I48" s="5"/>
      <c r="J48" s="5"/>
      <c r="K48" s="5"/>
      <c r="L48" s="5"/>
      <c r="M48" s="5"/>
      <c r="N48" s="5"/>
      <c r="O48" s="5"/>
      <c r="P48" s="9"/>
      <c r="Q48" s="9"/>
      <c r="R48" s="9"/>
      <c r="S48" s="18"/>
      <c r="T48" s="5"/>
      <c r="U48" s="5"/>
      <c r="V48" s="5"/>
      <c r="W48" s="7"/>
      <c r="X48" s="18"/>
      <c r="Y48" s="18"/>
      <c r="Z48" s="7"/>
      <c r="AA48" s="18"/>
      <c r="AB48" s="6"/>
    </row>
    <row r="49" spans="1:28" ht="12.75" customHeight="1" x14ac:dyDescent="0.25">
      <c r="A49" s="14"/>
      <c r="B49" s="20"/>
      <c r="C49" s="7"/>
      <c r="D49" s="7"/>
      <c r="E49" s="7"/>
      <c r="F49" s="7"/>
      <c r="G49" s="7"/>
      <c r="H49" s="7"/>
      <c r="I49" s="5"/>
      <c r="J49" s="5"/>
      <c r="K49" s="5"/>
      <c r="L49" s="5"/>
      <c r="M49" s="5"/>
      <c r="N49" s="5"/>
      <c r="O49" s="5"/>
      <c r="P49" s="9"/>
      <c r="Q49" s="9"/>
      <c r="R49" s="9"/>
      <c r="S49" s="18"/>
      <c r="T49" s="5"/>
      <c r="U49" s="5"/>
      <c r="V49" s="5"/>
      <c r="W49" s="7"/>
      <c r="X49" s="18"/>
      <c r="Y49" s="18"/>
      <c r="Z49" s="7"/>
      <c r="AA49" s="18"/>
      <c r="AB49" s="6"/>
    </row>
    <row r="50" spans="1:28" ht="12.75" customHeight="1" x14ac:dyDescent="0.25">
      <c r="A50" s="4"/>
      <c r="B50" s="20"/>
      <c r="C50" s="7"/>
      <c r="D50" s="7"/>
      <c r="E50" s="7"/>
      <c r="F50" s="7"/>
      <c r="G50" s="7"/>
      <c r="H50" s="7"/>
      <c r="I50" s="5"/>
      <c r="J50" s="5"/>
      <c r="K50" s="5"/>
      <c r="L50" s="5"/>
      <c r="M50" s="5"/>
      <c r="N50" s="5"/>
      <c r="O50" s="5"/>
      <c r="P50" s="9"/>
      <c r="Q50" s="9"/>
      <c r="R50" s="9"/>
      <c r="S50" s="18"/>
      <c r="T50" s="18"/>
      <c r="U50" s="5"/>
      <c r="V50" s="5"/>
      <c r="W50" s="7"/>
      <c r="X50" s="18"/>
      <c r="Y50" s="18"/>
      <c r="Z50" s="7"/>
      <c r="AA50" s="18"/>
      <c r="AB50" s="6"/>
    </row>
    <row r="51" spans="1:28" ht="12.75" customHeight="1" x14ac:dyDescent="0.25">
      <c r="A51" s="14"/>
      <c r="B51" s="20"/>
      <c r="C51" s="7"/>
      <c r="D51" s="7"/>
      <c r="E51" s="7"/>
      <c r="F51" s="7"/>
      <c r="G51" s="7"/>
      <c r="H51" s="7"/>
      <c r="I51" s="5"/>
      <c r="J51" s="5"/>
      <c r="K51" s="5"/>
      <c r="L51" s="5"/>
      <c r="M51" s="5"/>
      <c r="N51" s="5"/>
      <c r="O51" s="5"/>
      <c r="P51" s="9"/>
      <c r="Q51" s="9"/>
      <c r="R51" s="9"/>
      <c r="S51" s="18"/>
      <c r="T51" s="18"/>
      <c r="U51" s="5"/>
      <c r="V51" s="5"/>
      <c r="W51" s="7"/>
      <c r="X51" s="18"/>
      <c r="Y51" s="18"/>
      <c r="Z51" s="7"/>
      <c r="AA51" s="18"/>
      <c r="AB51" s="6"/>
    </row>
    <row r="52" spans="1:28" ht="12.75" customHeight="1" x14ac:dyDescent="0.25">
      <c r="A52" s="4"/>
      <c r="B52" s="20"/>
      <c r="C52" s="7"/>
      <c r="D52" s="7"/>
      <c r="E52" s="7"/>
      <c r="F52" s="7"/>
      <c r="G52" s="7"/>
      <c r="H52" s="7"/>
      <c r="I52" s="5"/>
      <c r="J52" s="5"/>
      <c r="K52" s="5"/>
      <c r="L52" s="5"/>
      <c r="M52" s="5"/>
      <c r="N52" s="5"/>
      <c r="O52" s="5"/>
      <c r="P52" s="9"/>
      <c r="Q52" s="9"/>
      <c r="R52" s="9"/>
      <c r="S52" s="18"/>
      <c r="T52" s="18"/>
      <c r="U52" s="5"/>
      <c r="V52" s="5"/>
      <c r="W52" s="7"/>
      <c r="X52" s="18"/>
      <c r="Y52" s="18"/>
      <c r="Z52" s="7"/>
      <c r="AA52" s="18"/>
      <c r="AB52" s="6"/>
    </row>
    <row r="53" spans="1:28" ht="12.75" customHeight="1" x14ac:dyDescent="0.25">
      <c r="A53" s="14"/>
      <c r="B53" s="20"/>
      <c r="C53" s="7"/>
      <c r="D53" s="7"/>
      <c r="E53" s="7"/>
      <c r="F53" s="7"/>
      <c r="G53" s="7"/>
      <c r="H53" s="7"/>
      <c r="I53" s="5"/>
      <c r="J53" s="5"/>
      <c r="K53" s="5"/>
      <c r="L53" s="5"/>
      <c r="M53" s="5"/>
      <c r="N53" s="5"/>
      <c r="O53" s="5"/>
      <c r="P53" s="9"/>
      <c r="Q53" s="9"/>
      <c r="R53" s="9"/>
      <c r="S53" s="18"/>
      <c r="T53" s="18"/>
      <c r="U53" s="5"/>
      <c r="V53" s="5"/>
      <c r="W53" s="7"/>
      <c r="X53" s="18"/>
      <c r="Y53" s="18"/>
      <c r="Z53" s="7"/>
      <c r="AA53" s="18"/>
      <c r="AB53" s="6"/>
    </row>
    <row r="54" spans="1:28" ht="12.75" customHeight="1" x14ac:dyDescent="0.25">
      <c r="A54" s="4"/>
      <c r="B54" s="20"/>
      <c r="C54" s="7"/>
      <c r="D54" s="7"/>
      <c r="E54" s="7"/>
      <c r="F54" s="7"/>
      <c r="G54" s="7"/>
      <c r="H54" s="7"/>
      <c r="I54" s="5"/>
      <c r="J54" s="5"/>
      <c r="K54" s="5"/>
      <c r="L54" s="5"/>
      <c r="M54" s="5"/>
      <c r="N54" s="5"/>
      <c r="O54" s="5"/>
      <c r="P54" s="9"/>
      <c r="Q54" s="9"/>
      <c r="R54" s="9"/>
      <c r="S54" s="18"/>
      <c r="T54" s="18"/>
      <c r="U54" s="5"/>
      <c r="V54" s="5"/>
      <c r="W54" s="7"/>
      <c r="X54" s="18"/>
      <c r="Y54" s="18"/>
      <c r="Z54" s="7"/>
      <c r="AA54" s="18"/>
      <c r="AB54" s="6"/>
    </row>
    <row r="55" spans="1:28" ht="12.75" customHeight="1" x14ac:dyDescent="0.25">
      <c r="A55" s="14"/>
      <c r="B55" s="20"/>
      <c r="C55" s="7"/>
      <c r="D55" s="7"/>
      <c r="E55" s="7"/>
      <c r="F55" s="7"/>
      <c r="G55" s="7"/>
      <c r="H55" s="7"/>
      <c r="I55" s="5"/>
      <c r="J55" s="5"/>
      <c r="K55" s="5"/>
      <c r="L55" s="5"/>
      <c r="M55" s="5"/>
      <c r="N55" s="5"/>
      <c r="O55" s="5"/>
      <c r="P55" s="9"/>
      <c r="Q55" s="9"/>
      <c r="R55" s="9"/>
      <c r="S55" s="18"/>
      <c r="T55" s="18"/>
      <c r="U55" s="5"/>
      <c r="V55" s="5"/>
      <c r="W55" s="7"/>
      <c r="X55" s="18"/>
      <c r="Y55" s="18"/>
      <c r="Z55" s="7"/>
      <c r="AA55" s="18"/>
      <c r="AB55" s="6"/>
    </row>
    <row r="56" spans="1:28" ht="12.75" customHeight="1" x14ac:dyDescent="0.25">
      <c r="A56" s="4"/>
      <c r="B56" s="20"/>
      <c r="C56" s="7"/>
      <c r="D56" s="7"/>
      <c r="E56" s="7"/>
      <c r="F56" s="7"/>
      <c r="G56" s="7"/>
      <c r="H56" s="7"/>
      <c r="I56" s="5"/>
      <c r="J56" s="5"/>
      <c r="K56" s="5"/>
      <c r="L56" s="5"/>
      <c r="M56" s="5"/>
      <c r="N56" s="5"/>
      <c r="O56" s="5"/>
      <c r="P56" s="9"/>
      <c r="Q56" s="9"/>
      <c r="R56" s="9"/>
      <c r="S56" s="18"/>
      <c r="T56" s="18"/>
      <c r="U56" s="5"/>
      <c r="V56" s="5"/>
      <c r="W56" s="7"/>
      <c r="X56" s="18"/>
      <c r="Y56" s="18"/>
      <c r="Z56" s="7"/>
      <c r="AA56" s="18"/>
      <c r="AB56" s="6"/>
    </row>
    <row r="57" spans="1:28" ht="12.75" customHeight="1" x14ac:dyDescent="0.25">
      <c r="A57" s="14"/>
      <c r="B57" s="20"/>
      <c r="C57" s="7"/>
      <c r="D57" s="7"/>
      <c r="E57" s="7"/>
      <c r="F57" s="7"/>
      <c r="G57" s="7"/>
      <c r="H57" s="7"/>
      <c r="I57" s="5"/>
      <c r="J57" s="5"/>
      <c r="K57" s="5"/>
      <c r="L57" s="5"/>
      <c r="M57" s="5"/>
      <c r="N57" s="5"/>
      <c r="O57" s="5"/>
      <c r="P57" s="9"/>
      <c r="Q57" s="9"/>
      <c r="R57" s="9"/>
      <c r="S57" s="18"/>
      <c r="T57" s="18"/>
      <c r="U57" s="5"/>
      <c r="V57" s="5"/>
      <c r="W57" s="7"/>
      <c r="X57" s="18"/>
      <c r="Y57" s="18"/>
      <c r="Z57" s="7"/>
      <c r="AA57" s="18"/>
      <c r="AB57" s="6"/>
    </row>
    <row r="58" spans="1:28" ht="12.75" customHeight="1" x14ac:dyDescent="0.25">
      <c r="A58" s="4"/>
      <c r="B58" s="20"/>
      <c r="C58" s="7"/>
      <c r="D58" s="7"/>
      <c r="E58" s="7"/>
      <c r="F58" s="7"/>
      <c r="G58" s="7"/>
      <c r="H58" s="7"/>
      <c r="I58" s="5"/>
      <c r="J58" s="5"/>
      <c r="K58" s="5"/>
      <c r="L58" s="5"/>
      <c r="M58" s="5"/>
      <c r="N58" s="5"/>
      <c r="O58" s="5"/>
      <c r="P58" s="9"/>
      <c r="Q58" s="9"/>
      <c r="R58" s="9"/>
      <c r="S58" s="18"/>
      <c r="T58" s="18"/>
      <c r="U58" s="5"/>
      <c r="V58" s="5"/>
      <c r="W58" s="7"/>
      <c r="X58" s="18"/>
      <c r="Y58" s="18"/>
      <c r="Z58" s="7"/>
      <c r="AA58" s="18"/>
      <c r="AB58" s="6"/>
    </row>
    <row r="59" spans="1:28" ht="12.75" customHeight="1" x14ac:dyDescent="0.25">
      <c r="A59" s="14"/>
      <c r="B59" s="20"/>
      <c r="C59" s="7"/>
      <c r="D59" s="7"/>
      <c r="E59" s="7"/>
      <c r="F59" s="7"/>
      <c r="G59" s="7"/>
      <c r="H59" s="7"/>
      <c r="I59" s="5"/>
      <c r="J59" s="5"/>
      <c r="K59" s="5"/>
      <c r="L59" s="5"/>
      <c r="M59" s="5"/>
      <c r="N59" s="5"/>
      <c r="O59" s="5"/>
      <c r="P59" s="9"/>
      <c r="Q59" s="9"/>
      <c r="R59" s="9"/>
      <c r="S59" s="18"/>
      <c r="T59" s="18"/>
      <c r="U59" s="5"/>
      <c r="V59" s="5"/>
      <c r="W59" s="7"/>
      <c r="X59" s="18"/>
      <c r="Y59" s="18"/>
      <c r="Z59" s="7"/>
      <c r="AA59" s="18"/>
      <c r="AB59" s="6"/>
    </row>
    <row r="60" spans="1:28" ht="12.75" customHeight="1" x14ac:dyDescent="0.25">
      <c r="A60" s="4"/>
      <c r="B60" s="20"/>
      <c r="C60" s="7"/>
      <c r="D60" s="7"/>
      <c r="E60" s="7"/>
      <c r="F60" s="7"/>
      <c r="G60" s="7"/>
      <c r="H60" s="7"/>
      <c r="I60" s="5"/>
      <c r="J60" s="5"/>
      <c r="K60" s="5"/>
      <c r="L60" s="5"/>
      <c r="M60" s="5"/>
      <c r="N60" s="5"/>
      <c r="O60" s="5"/>
      <c r="P60" s="9"/>
      <c r="Q60" s="9"/>
      <c r="R60" s="9"/>
      <c r="S60" s="18"/>
      <c r="T60" s="18"/>
      <c r="U60" s="5"/>
      <c r="V60" s="5"/>
      <c r="W60" s="7"/>
      <c r="X60" s="18"/>
      <c r="Y60" s="18"/>
      <c r="Z60" s="7"/>
      <c r="AA60" s="18"/>
      <c r="AB60" s="6"/>
    </row>
    <row r="61" spans="1:28" ht="12.75" customHeight="1" x14ac:dyDescent="0.25">
      <c r="A61" s="14"/>
      <c r="B61" s="20"/>
      <c r="C61" s="7"/>
      <c r="D61" s="7"/>
      <c r="E61" s="7"/>
      <c r="F61" s="7"/>
      <c r="G61" s="7"/>
      <c r="H61" s="7"/>
      <c r="I61" s="5"/>
      <c r="J61" s="5"/>
      <c r="K61" s="5"/>
      <c r="L61" s="5"/>
      <c r="M61" s="5"/>
      <c r="N61" s="5"/>
      <c r="O61" s="5"/>
      <c r="P61" s="9"/>
      <c r="Q61" s="9"/>
      <c r="R61" s="9"/>
      <c r="S61" s="18"/>
      <c r="T61" s="18"/>
      <c r="U61" s="5"/>
      <c r="V61" s="5"/>
      <c r="W61" s="7"/>
      <c r="X61" s="18"/>
      <c r="Y61" s="18"/>
      <c r="Z61" s="7"/>
      <c r="AA61" s="18"/>
      <c r="AB61" s="6"/>
    </row>
    <row r="62" spans="1:28" ht="12.75" customHeight="1" x14ac:dyDescent="0.25">
      <c r="A62" s="4"/>
      <c r="B62" s="20"/>
      <c r="C62" s="7"/>
      <c r="D62" s="7"/>
      <c r="E62" s="7"/>
      <c r="F62" s="7"/>
      <c r="G62" s="7"/>
      <c r="H62" s="7"/>
      <c r="I62" s="5"/>
      <c r="J62" s="5"/>
      <c r="K62" s="5"/>
      <c r="L62" s="5"/>
      <c r="M62" s="5"/>
      <c r="N62" s="5"/>
      <c r="O62" s="5"/>
      <c r="P62" s="9"/>
      <c r="Q62" s="9"/>
      <c r="R62" s="9"/>
      <c r="S62" s="18"/>
      <c r="T62" s="18"/>
      <c r="U62" s="5"/>
      <c r="V62" s="5"/>
      <c r="W62" s="7"/>
      <c r="X62" s="18"/>
      <c r="Y62" s="18"/>
      <c r="Z62" s="7"/>
      <c r="AA62" s="18"/>
      <c r="AB62" s="6"/>
    </row>
    <row r="63" spans="1:28" ht="12.75" customHeight="1" x14ac:dyDescent="0.25">
      <c r="A63" s="14"/>
      <c r="B63" s="20"/>
      <c r="C63" s="7"/>
      <c r="D63" s="7"/>
      <c r="E63" s="7"/>
      <c r="F63" s="7"/>
      <c r="G63" s="7"/>
      <c r="H63" s="7"/>
      <c r="I63" s="5"/>
      <c r="J63" s="5"/>
      <c r="K63" s="5"/>
      <c r="L63" s="5"/>
      <c r="M63" s="5"/>
      <c r="N63" s="5"/>
      <c r="O63" s="5"/>
      <c r="P63" s="9"/>
      <c r="Q63" s="9"/>
      <c r="R63" s="9"/>
      <c r="S63" s="18"/>
      <c r="T63" s="18"/>
      <c r="U63" s="5"/>
      <c r="V63" s="5"/>
      <c r="W63" s="7"/>
      <c r="X63" s="18"/>
      <c r="Y63" s="18"/>
      <c r="Z63" s="7"/>
      <c r="AA63" s="18"/>
      <c r="AB63" s="6"/>
    </row>
    <row r="64" spans="1:28" ht="12.75" customHeight="1" x14ac:dyDescent="0.25">
      <c r="A64" s="4"/>
      <c r="B64" s="20"/>
      <c r="C64" s="7"/>
      <c r="D64" s="7"/>
      <c r="E64" s="7"/>
      <c r="F64" s="7"/>
      <c r="G64" s="7"/>
      <c r="H64" s="7"/>
      <c r="I64" s="5"/>
      <c r="J64" s="5"/>
      <c r="K64" s="5"/>
      <c r="L64" s="5"/>
      <c r="M64" s="5"/>
      <c r="N64" s="5"/>
      <c r="O64" s="5"/>
      <c r="P64" s="9"/>
      <c r="Q64" s="9"/>
      <c r="R64" s="9"/>
      <c r="S64" s="18"/>
      <c r="T64" s="18"/>
      <c r="U64" s="5"/>
      <c r="V64" s="5"/>
      <c r="W64" s="7"/>
      <c r="X64" s="18"/>
      <c r="Y64" s="18"/>
      <c r="Z64" s="7"/>
      <c r="AA64" s="18"/>
      <c r="AB64" s="6"/>
    </row>
    <row r="65" spans="1:28" ht="12.75" customHeight="1" x14ac:dyDescent="0.25">
      <c r="A65" s="14"/>
      <c r="B65" s="20"/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9"/>
      <c r="Q65" s="9"/>
      <c r="R65" s="9"/>
      <c r="S65" s="18"/>
      <c r="T65" s="18"/>
      <c r="U65" s="5"/>
      <c r="V65" s="5"/>
      <c r="W65" s="7"/>
      <c r="X65" s="18"/>
      <c r="Y65" s="18"/>
      <c r="Z65" s="7"/>
      <c r="AA65" s="18"/>
      <c r="AB65" s="6"/>
    </row>
    <row r="66" spans="1:28" ht="12.75" customHeight="1" x14ac:dyDescent="0.25">
      <c r="A66" s="4"/>
      <c r="B66" s="21"/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9"/>
      <c r="Q66" s="9"/>
      <c r="R66" s="9"/>
      <c r="S66" s="18"/>
      <c r="T66" s="18"/>
      <c r="U66" s="5"/>
      <c r="V66" s="5"/>
      <c r="W66" s="7"/>
      <c r="X66" s="18"/>
      <c r="Y66" s="18"/>
      <c r="Z66" s="7"/>
      <c r="AA66" s="18"/>
      <c r="AB66" s="6"/>
    </row>
    <row r="67" spans="1:28" ht="12.75" customHeight="1" x14ac:dyDescent="0.25">
      <c r="A67" s="14"/>
      <c r="B67" s="22"/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/>
      <c r="Q67" s="9"/>
      <c r="R67" s="9"/>
      <c r="S67" s="18"/>
      <c r="T67" s="18"/>
      <c r="U67" s="5"/>
      <c r="V67" s="5"/>
      <c r="W67" s="7"/>
      <c r="X67" s="18"/>
      <c r="Y67" s="18"/>
      <c r="Z67" s="7"/>
      <c r="AA67" s="18"/>
      <c r="AB67" s="6"/>
    </row>
    <row r="68" spans="1:28" ht="12.75" customHeight="1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18"/>
      <c r="U68" s="5"/>
      <c r="V68" s="5"/>
      <c r="W68" s="7"/>
      <c r="X68" s="18"/>
      <c r="Y68" s="18"/>
      <c r="Z68" s="7"/>
      <c r="AA68" s="18"/>
      <c r="AB68" s="6"/>
    </row>
    <row r="69" spans="1:28" ht="12.75" customHeight="1" x14ac:dyDescent="0.25">
      <c r="A69" s="35"/>
      <c r="B69" s="36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9"/>
      <c r="Q69" s="9"/>
      <c r="R69" s="9"/>
      <c r="S69" s="18"/>
      <c r="T69" s="18"/>
      <c r="U69" s="18"/>
      <c r="V69" s="18"/>
      <c r="W69" s="18"/>
      <c r="X69" s="18"/>
      <c r="Y69" s="18"/>
      <c r="Z69" s="18"/>
      <c r="AA69" s="18"/>
      <c r="AB69" s="59"/>
    </row>
    <row r="70" spans="1:28" ht="12.75" customHeight="1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18"/>
      <c r="U70" s="5"/>
      <c r="V70" s="5"/>
      <c r="W70" s="7"/>
      <c r="X70" s="18"/>
      <c r="Y70" s="18"/>
      <c r="Z70" s="7"/>
      <c r="AA70" s="18"/>
      <c r="AB70" s="6"/>
    </row>
    <row r="71" spans="1:28" ht="12.75" customHeight="1" x14ac:dyDescent="0.25">
      <c r="A71" s="35"/>
      <c r="B71" s="36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/>
      <c r="Q71" s="9"/>
      <c r="R71" s="9"/>
      <c r="S71" s="29"/>
      <c r="T71" s="29"/>
      <c r="U71" s="5"/>
      <c r="V71" s="5"/>
      <c r="W71" s="7"/>
      <c r="X71" s="18"/>
      <c r="Y71" s="18"/>
      <c r="Z71" s="7"/>
      <c r="AA71" s="18"/>
      <c r="AB71" s="6"/>
    </row>
    <row r="72" spans="1:28" ht="12.75" customHeight="1" x14ac:dyDescent="0.25">
      <c r="A72" s="132" t="s">
        <v>108</v>
      </c>
      <c r="B72" s="75"/>
      <c r="C72" s="18">
        <f>C26</f>
        <v>30</v>
      </c>
      <c r="D72" s="18">
        <f t="shared" ref="D72:J72" si="4">D26</f>
        <v>973</v>
      </c>
      <c r="E72" s="18">
        <f t="shared" si="4"/>
        <v>643</v>
      </c>
      <c r="F72" s="18">
        <f t="shared" si="4"/>
        <v>2</v>
      </c>
      <c r="G72" s="18">
        <f t="shared" si="4"/>
        <v>3</v>
      </c>
      <c r="H72" s="18">
        <f t="shared" si="4"/>
        <v>2</v>
      </c>
      <c r="I72" s="18">
        <f t="shared" si="4"/>
        <v>2208</v>
      </c>
      <c r="J72" s="18">
        <f t="shared" si="4"/>
        <v>2</v>
      </c>
      <c r="K72" s="123">
        <f>K26</f>
        <v>0</v>
      </c>
      <c r="L72" s="124"/>
      <c r="M72" s="18">
        <f>M26</f>
        <v>897</v>
      </c>
      <c r="N72" s="18">
        <f t="shared" ref="N72:P72" si="5">N26</f>
        <v>0</v>
      </c>
      <c r="O72" s="18">
        <f t="shared" si="5"/>
        <v>896</v>
      </c>
      <c r="P72" s="18">
        <f t="shared" si="5"/>
        <v>18.540000000000013</v>
      </c>
      <c r="Q72" s="125">
        <f>Q26</f>
        <v>40.85</v>
      </c>
      <c r="R72" s="126"/>
      <c r="S72" s="29">
        <f>S26</f>
        <v>24030</v>
      </c>
      <c r="T72" s="29">
        <f>T26</f>
        <v>15700</v>
      </c>
      <c r="U72" s="29">
        <f t="shared" ref="U72:W72" si="6">U26</f>
        <v>171</v>
      </c>
      <c r="V72" s="18">
        <f t="shared" si="6"/>
        <v>4</v>
      </c>
      <c r="W72" s="18">
        <f t="shared" si="6"/>
        <v>6350</v>
      </c>
      <c r="X72" s="123">
        <f>X26</f>
        <v>1102</v>
      </c>
      <c r="Y72" s="124"/>
      <c r="Z72" s="18">
        <f>Z26</f>
        <v>1102</v>
      </c>
      <c r="AA72" s="29">
        <f t="shared" ref="AA72:AB72" si="7">AA26</f>
        <v>43408</v>
      </c>
      <c r="AB72" s="59">
        <f t="shared" si="7"/>
        <v>0</v>
      </c>
    </row>
    <row r="73" spans="1:28" ht="12.75" customHeight="1" x14ac:dyDescent="0.25">
      <c r="A73" s="132" t="s">
        <v>109</v>
      </c>
      <c r="B73" s="75"/>
      <c r="C73" s="18">
        <f>C37</f>
        <v>0</v>
      </c>
      <c r="D73" s="18">
        <f t="shared" ref="D73:J73" si="8">D37</f>
        <v>0</v>
      </c>
      <c r="E73" s="18">
        <f t="shared" si="8"/>
        <v>0</v>
      </c>
      <c r="F73" s="18">
        <f t="shared" si="8"/>
        <v>0</v>
      </c>
      <c r="G73" s="18"/>
      <c r="H73" s="18">
        <f t="shared" si="8"/>
        <v>0</v>
      </c>
      <c r="I73" s="18">
        <f t="shared" si="8"/>
        <v>2580</v>
      </c>
      <c r="J73" s="18">
        <f t="shared" si="8"/>
        <v>36</v>
      </c>
      <c r="K73" s="123">
        <f>K37</f>
        <v>977</v>
      </c>
      <c r="L73" s="124"/>
      <c r="M73" s="18">
        <f>M37</f>
        <v>2044</v>
      </c>
      <c r="N73" s="18">
        <f t="shared" ref="N73:P73" si="9">N37</f>
        <v>777</v>
      </c>
      <c r="O73" s="18">
        <f t="shared" si="9"/>
        <v>742</v>
      </c>
      <c r="P73" s="18">
        <f t="shared" si="9"/>
        <v>18.120000000000005</v>
      </c>
      <c r="Q73" s="125">
        <f>Q37</f>
        <v>103.72</v>
      </c>
      <c r="R73" s="126"/>
      <c r="S73" s="29">
        <f>S37</f>
        <v>51552</v>
      </c>
      <c r="T73" s="29">
        <f>T37</f>
        <v>28806</v>
      </c>
      <c r="U73" s="29">
        <f t="shared" ref="U73:W73" si="10">U37</f>
        <v>0</v>
      </c>
      <c r="V73" s="18">
        <f t="shared" si="10"/>
        <v>3</v>
      </c>
      <c r="W73" s="18">
        <f t="shared" si="10"/>
        <v>0</v>
      </c>
      <c r="X73" s="123">
        <f>X37</f>
        <v>656</v>
      </c>
      <c r="Y73" s="124"/>
      <c r="Z73" s="18">
        <f>Z37</f>
        <v>656</v>
      </c>
      <c r="AA73" s="29">
        <f t="shared" ref="AA73:AB73" si="11">AA37</f>
        <v>59612</v>
      </c>
      <c r="AB73" s="23">
        <f t="shared" si="11"/>
        <v>42500</v>
      </c>
    </row>
    <row r="74" spans="1:28" ht="12.75" customHeight="1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18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475</v>
      </c>
      <c r="B75" s="86"/>
      <c r="C75" s="11">
        <f>SUM(C72:C73)</f>
        <v>30</v>
      </c>
      <c r="D75" s="11">
        <f t="shared" ref="D75:J75" si="12">SUM(D72:D73)</f>
        <v>973</v>
      </c>
      <c r="E75" s="11">
        <f t="shared" si="12"/>
        <v>643</v>
      </c>
      <c r="F75" s="11">
        <f t="shared" si="12"/>
        <v>2</v>
      </c>
      <c r="G75" s="11">
        <f t="shared" si="12"/>
        <v>3</v>
      </c>
      <c r="H75" s="11">
        <f t="shared" si="12"/>
        <v>2</v>
      </c>
      <c r="I75" s="11">
        <f t="shared" si="12"/>
        <v>4788</v>
      </c>
      <c r="J75" s="11">
        <f t="shared" si="12"/>
        <v>38</v>
      </c>
      <c r="K75" s="128">
        <f>SUM(K72:L73)</f>
        <v>977</v>
      </c>
      <c r="L75" s="129"/>
      <c r="M75" s="11">
        <f>SUM(M72:M73)</f>
        <v>2941</v>
      </c>
      <c r="N75" s="11">
        <f t="shared" ref="N75:P75" si="13">SUM(N72:N73)</f>
        <v>777</v>
      </c>
      <c r="O75" s="11">
        <f t="shared" si="13"/>
        <v>1638</v>
      </c>
      <c r="P75" s="11">
        <f t="shared" si="13"/>
        <v>36.660000000000018</v>
      </c>
      <c r="Q75" s="130">
        <f>SUM(Q72:R73)</f>
        <v>144.57</v>
      </c>
      <c r="R75" s="131"/>
      <c r="S75" s="12">
        <f>SUM(S72:S73)</f>
        <v>75582</v>
      </c>
      <c r="T75" s="12">
        <f>SUM(T72:T73)</f>
        <v>44506</v>
      </c>
      <c r="U75" s="12">
        <f t="shared" ref="U75:W75" si="14">SUM(U72:U73)</f>
        <v>171</v>
      </c>
      <c r="V75" s="11">
        <f t="shared" si="14"/>
        <v>7</v>
      </c>
      <c r="W75" s="11">
        <f t="shared" si="14"/>
        <v>6350</v>
      </c>
      <c r="X75" s="128">
        <f>SUM(X72:Y73)</f>
        <v>1758</v>
      </c>
      <c r="Y75" s="129"/>
      <c r="Z75" s="11">
        <f>SUM(Z72:Z73)</f>
        <v>1758</v>
      </c>
      <c r="AA75" s="12">
        <f t="shared" ref="AA75:AB75" si="15">SUM(AA72:AA73)</f>
        <v>103020</v>
      </c>
      <c r="AB75" s="60">
        <f t="shared" si="15"/>
        <v>42500</v>
      </c>
    </row>
  </sheetData>
  <mergeCells count="48">
    <mergeCell ref="G2:G18"/>
    <mergeCell ref="H2:H18"/>
    <mergeCell ref="I2:I18"/>
    <mergeCell ref="J2:J18"/>
    <mergeCell ref="F2:F18"/>
    <mergeCell ref="A1:A19"/>
    <mergeCell ref="B1:B19"/>
    <mergeCell ref="C2:C18"/>
    <mergeCell ref="D2:D18"/>
    <mergeCell ref="E2:E18"/>
    <mergeCell ref="AA2:AA18"/>
    <mergeCell ref="AB2:AB18"/>
    <mergeCell ref="A75:B75"/>
    <mergeCell ref="A26:B26"/>
    <mergeCell ref="A37:B37"/>
    <mergeCell ref="A72:B72"/>
    <mergeCell ref="A73:B73"/>
    <mergeCell ref="K26:L26"/>
    <mergeCell ref="Q26:R26"/>
    <mergeCell ref="U2:U18"/>
    <mergeCell ref="V2:V18"/>
    <mergeCell ref="W2:W18"/>
    <mergeCell ref="X2:X18"/>
    <mergeCell ref="Y2:Y18"/>
    <mergeCell ref="Z2:Z18"/>
    <mergeCell ref="S2:S18"/>
    <mergeCell ref="K75:L75"/>
    <mergeCell ref="Q75:R75"/>
    <mergeCell ref="X75:Y75"/>
    <mergeCell ref="K72:L72"/>
    <mergeCell ref="K73:L73"/>
    <mergeCell ref="Q72:R72"/>
    <mergeCell ref="Q73:R73"/>
    <mergeCell ref="X72:Y72"/>
    <mergeCell ref="X73:Y73"/>
    <mergeCell ref="T2:T18"/>
    <mergeCell ref="X26:Y26"/>
    <mergeCell ref="K37:L37"/>
    <mergeCell ref="Q37:R37"/>
    <mergeCell ref="X37:Y37"/>
    <mergeCell ref="M2:M18"/>
    <mergeCell ref="N2:N18"/>
    <mergeCell ref="O2:O18"/>
    <mergeCell ref="P2:P18"/>
    <mergeCell ref="Q2:Q18"/>
    <mergeCell ref="R2:R18"/>
    <mergeCell ref="K2:K18"/>
    <mergeCell ref="L2:L1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692E-BC62-423B-B1C7-98AB04ABBFD8}">
  <dimension ref="A1:AB75"/>
  <sheetViews>
    <sheetView showZeros="0" topLeftCell="A43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6" width="8.28515625" style="1" customWidth="1"/>
    <col min="17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117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113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5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67" t="s">
        <v>128</v>
      </c>
      <c r="B21" s="27" t="s">
        <v>67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5">
        <f>ROUNDUP(((300+0)/5280),2)</f>
        <v>6.0000000000000005E-2</v>
      </c>
      <c r="Q21" s="9">
        <f>ROUNDUP(((300+300)/5280),2)</f>
        <v>0.12</v>
      </c>
      <c r="R21" s="9"/>
      <c r="S21" s="18"/>
      <c r="T21" s="5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67" t="s">
        <v>129</v>
      </c>
      <c r="B22" s="27" t="s">
        <v>68</v>
      </c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5">
        <f>ROUNDUP(((1300+0)/5280),2)</f>
        <v>0.25</v>
      </c>
      <c r="Q22" s="9">
        <f>ROUNDUP(((1300+1300)/5280),2)</f>
        <v>0.5</v>
      </c>
      <c r="R22" s="9"/>
      <c r="S22" s="18"/>
      <c r="T22" s="5"/>
      <c r="U22" s="5"/>
      <c r="V22" s="5"/>
      <c r="W22" s="7"/>
      <c r="X22" s="18"/>
      <c r="Y22" s="18"/>
      <c r="Z22" s="7"/>
      <c r="AA22" s="18"/>
      <c r="AB22" s="6"/>
    </row>
    <row r="23" spans="1:28" x14ac:dyDescent="0.25">
      <c r="A23" s="67" t="s">
        <v>130</v>
      </c>
      <c r="B23" s="27" t="s">
        <v>69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5"/>
      <c r="N23" s="5"/>
      <c r="O23" s="5"/>
      <c r="P23" s="5">
        <f t="shared" ref="P23:P24" si="0">ROUNDUP(((1300+0)/5280),2)</f>
        <v>0.25</v>
      </c>
      <c r="Q23" s="9">
        <f>ROUNDUP(((1300+1300)/5280),2)</f>
        <v>0.5</v>
      </c>
      <c r="R23" s="9"/>
      <c r="S23" s="18"/>
      <c r="T23" s="5"/>
      <c r="U23" s="5"/>
      <c r="V23" s="5"/>
      <c r="W23" s="7"/>
      <c r="X23" s="18"/>
      <c r="Y23" s="18"/>
      <c r="Z23" s="7"/>
      <c r="AA23" s="18"/>
      <c r="AB23" s="6"/>
    </row>
    <row r="24" spans="1:28" x14ac:dyDescent="0.25">
      <c r="A24" s="67" t="s">
        <v>131</v>
      </c>
      <c r="B24" s="27" t="s">
        <v>70</v>
      </c>
      <c r="C24" s="7"/>
      <c r="D24" s="7"/>
      <c r="E24" s="7"/>
      <c r="F24" s="7"/>
      <c r="G24" s="7"/>
      <c r="H24" s="7"/>
      <c r="I24" s="5"/>
      <c r="J24" s="5"/>
      <c r="K24" s="5"/>
      <c r="L24" s="5"/>
      <c r="M24" s="5"/>
      <c r="N24" s="5"/>
      <c r="O24" s="5"/>
      <c r="P24" s="5">
        <f t="shared" si="0"/>
        <v>0.25</v>
      </c>
      <c r="Q24" s="9">
        <f>ROUNDUP(((1300+2385+1300+190+905)/5280),2)</f>
        <v>1.1599999999999999</v>
      </c>
      <c r="R24" s="9">
        <f>ROUNDUP(((2375+135+915)/5280),2)</f>
        <v>0.65</v>
      </c>
      <c r="S24" s="18">
        <f>720+410</f>
        <v>1130</v>
      </c>
      <c r="T24" s="5"/>
      <c r="U24" s="5"/>
      <c r="V24" s="5"/>
      <c r="W24" s="7"/>
      <c r="X24" s="18"/>
      <c r="Y24" s="18"/>
      <c r="Z24" s="7"/>
      <c r="AA24" s="18"/>
      <c r="AB24" s="6"/>
    </row>
    <row r="25" spans="1:28" x14ac:dyDescent="0.25">
      <c r="A25" s="67" t="s">
        <v>132</v>
      </c>
      <c r="B25" s="28" t="s">
        <v>76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5">
        <f>ROUNDUP(((1300+612)/5280),2)</f>
        <v>0.37</v>
      </c>
      <c r="Q25" s="9">
        <f>ROUNDUP(((1300+1300+520)/5280),2)</f>
        <v>0.6</v>
      </c>
      <c r="R25" s="9">
        <f>ROUNDUP(((520)/5280),2)</f>
        <v>9.9999999999999992E-2</v>
      </c>
      <c r="S25" s="18">
        <f>0+430</f>
        <v>430</v>
      </c>
      <c r="T25" s="5"/>
      <c r="U25" s="5"/>
      <c r="V25" s="5"/>
      <c r="W25" s="7"/>
      <c r="X25" s="18"/>
      <c r="Y25" s="18"/>
      <c r="Z25" s="7"/>
      <c r="AA25" s="18"/>
      <c r="AB25" s="6"/>
    </row>
    <row r="26" spans="1:28" x14ac:dyDescent="0.25">
      <c r="A26" s="67" t="s">
        <v>133</v>
      </c>
      <c r="B26" s="28" t="s">
        <v>77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/>
      <c r="N26" s="5"/>
      <c r="O26" s="5"/>
      <c r="P26" s="5">
        <f>ROUNDUP(((1300+35)/5280),2)</f>
        <v>0.26</v>
      </c>
      <c r="Q26" s="9">
        <f>ROUNDUP(((1300+1300)/5280),2)</f>
        <v>0.5</v>
      </c>
      <c r="R26" s="9"/>
      <c r="S26" s="18">
        <f>470+540</f>
        <v>1010</v>
      </c>
      <c r="T26" s="5"/>
      <c r="U26" s="5"/>
      <c r="V26" s="5"/>
      <c r="W26" s="7"/>
      <c r="X26" s="18"/>
      <c r="Y26" s="18"/>
      <c r="Z26" s="7"/>
      <c r="AA26" s="18"/>
      <c r="AB26" s="6"/>
    </row>
    <row r="27" spans="1:28" x14ac:dyDescent="0.25">
      <c r="A27" s="67" t="s">
        <v>134</v>
      </c>
      <c r="B27" s="28" t="s">
        <v>78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5">
        <f>ROUNDUP(((1300)/5280),2)</f>
        <v>0.25</v>
      </c>
      <c r="Q27" s="9">
        <f>ROUNDUP(((1300+1300)/5280),2)</f>
        <v>0.5</v>
      </c>
      <c r="R27" s="9"/>
      <c r="S27" s="18">
        <f>300+470</f>
        <v>770</v>
      </c>
      <c r="T27" s="5"/>
      <c r="U27" s="5"/>
      <c r="V27" s="5"/>
      <c r="W27" s="7"/>
      <c r="X27" s="18"/>
      <c r="Y27" s="18"/>
      <c r="Z27" s="7"/>
      <c r="AA27" s="18"/>
      <c r="AB27" s="6"/>
    </row>
    <row r="28" spans="1:28" x14ac:dyDescent="0.25">
      <c r="A28" s="67" t="s">
        <v>135</v>
      </c>
      <c r="B28" s="28" t="s">
        <v>79</v>
      </c>
      <c r="C28" s="7"/>
      <c r="D28" s="7"/>
      <c r="E28" s="7"/>
      <c r="F28" s="7"/>
      <c r="G28" s="7"/>
      <c r="H28" s="7"/>
      <c r="I28" s="5"/>
      <c r="J28" s="5"/>
      <c r="K28" s="5"/>
      <c r="L28" s="5"/>
      <c r="M28" s="5"/>
      <c r="N28" s="5"/>
      <c r="O28" s="5"/>
      <c r="P28" s="5">
        <f>ROUNDUP(((1300)/5280),2)</f>
        <v>0.25</v>
      </c>
      <c r="Q28" s="9">
        <f>ROUNDUP(((1300+930)/5280),2)</f>
        <v>0.43</v>
      </c>
      <c r="R28" s="9"/>
      <c r="S28" s="18"/>
      <c r="T28" s="5"/>
      <c r="U28" s="5"/>
      <c r="V28" s="5"/>
      <c r="W28" s="7"/>
      <c r="X28" s="18"/>
      <c r="Y28" s="18"/>
      <c r="Z28" s="7"/>
      <c r="AA28" s="18"/>
      <c r="AB28" s="6"/>
    </row>
    <row r="29" spans="1:28" x14ac:dyDescent="0.25">
      <c r="A29" s="67" t="s">
        <v>136</v>
      </c>
      <c r="B29" s="28" t="s">
        <v>80</v>
      </c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5"/>
      <c r="O29" s="5"/>
      <c r="P29" s="5">
        <f>ROUNDUP(((380)/5280),2)</f>
        <v>0.08</v>
      </c>
      <c r="Q29" s="9">
        <f>ROUNDUP(((380)/5280),2)</f>
        <v>0.08</v>
      </c>
      <c r="R29" s="9"/>
      <c r="S29" s="18"/>
      <c r="T29" s="5"/>
      <c r="U29" s="5"/>
      <c r="V29" s="5"/>
      <c r="W29" s="7"/>
      <c r="X29" s="18"/>
      <c r="Y29" s="18"/>
      <c r="Z29" s="7"/>
      <c r="AA29" s="18"/>
      <c r="AB29" s="6"/>
    </row>
    <row r="30" spans="1:28" x14ac:dyDescent="0.25">
      <c r="A30" s="67" t="s">
        <v>137</v>
      </c>
      <c r="B30" s="28" t="s">
        <v>81</v>
      </c>
      <c r="C30" s="7"/>
      <c r="D30" s="7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5"/>
      <c r="Q30" s="9"/>
      <c r="R30" s="9"/>
      <c r="S30" s="18"/>
      <c r="T30" s="5"/>
      <c r="U30" s="5"/>
      <c r="V30" s="5"/>
      <c r="W30" s="7"/>
      <c r="X30" s="18"/>
      <c r="Y30" s="18"/>
      <c r="Z30" s="7"/>
      <c r="AA30" s="18"/>
      <c r="AB30" s="23"/>
    </row>
    <row r="31" spans="1:28" x14ac:dyDescent="0.25">
      <c r="A31" s="67" t="s">
        <v>138</v>
      </c>
      <c r="B31" s="28" t="s">
        <v>82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/>
      <c r="N31" s="5"/>
      <c r="O31" s="5"/>
      <c r="P31" s="5"/>
      <c r="Q31" s="9"/>
      <c r="R31" s="9"/>
      <c r="S31" s="18"/>
      <c r="T31" s="5"/>
      <c r="U31" s="5"/>
      <c r="V31" s="5"/>
      <c r="W31" s="7"/>
      <c r="X31" s="18"/>
      <c r="Y31" s="18"/>
      <c r="Z31" s="7"/>
      <c r="AA31" s="18"/>
      <c r="AB31" s="6"/>
    </row>
    <row r="32" spans="1:28" x14ac:dyDescent="0.25">
      <c r="A32" s="67" t="s">
        <v>139</v>
      </c>
      <c r="B32" s="28" t="s">
        <v>83</v>
      </c>
      <c r="C32" s="7"/>
      <c r="D32" s="7"/>
      <c r="E32" s="7"/>
      <c r="F32" s="7"/>
      <c r="G32" s="7"/>
      <c r="H32" s="7"/>
      <c r="I32" s="5"/>
      <c r="J32" s="5"/>
      <c r="K32" s="5"/>
      <c r="L32" s="5"/>
      <c r="M32" s="5"/>
      <c r="N32" s="5"/>
      <c r="O32" s="5"/>
      <c r="P32" s="5"/>
      <c r="Q32" s="9"/>
      <c r="R32" s="9"/>
      <c r="S32" s="18"/>
      <c r="T32" s="5"/>
      <c r="U32" s="5"/>
      <c r="V32" s="5"/>
      <c r="W32" s="7"/>
      <c r="X32" s="18"/>
      <c r="Y32" s="18"/>
      <c r="Z32" s="7"/>
      <c r="AA32" s="18"/>
      <c r="AB32" s="6"/>
    </row>
    <row r="33" spans="1:28" x14ac:dyDescent="0.25">
      <c r="A33" s="67" t="s">
        <v>140</v>
      </c>
      <c r="B33" s="28" t="s">
        <v>84</v>
      </c>
      <c r="C33" s="7"/>
      <c r="D33" s="7"/>
      <c r="E33" s="7"/>
      <c r="F33" s="7"/>
      <c r="G33" s="7"/>
      <c r="H33" s="7"/>
      <c r="I33" s="5"/>
      <c r="J33" s="5"/>
      <c r="K33" s="5"/>
      <c r="L33" s="5"/>
      <c r="M33" s="5"/>
      <c r="N33" s="5"/>
      <c r="O33" s="5"/>
      <c r="P33" s="5"/>
      <c r="Q33" s="9"/>
      <c r="R33" s="9"/>
      <c r="S33" s="18"/>
      <c r="T33" s="5"/>
      <c r="U33" s="5"/>
      <c r="V33" s="5"/>
      <c r="W33" s="7"/>
      <c r="X33" s="18"/>
      <c r="Y33" s="18"/>
      <c r="Z33" s="7"/>
      <c r="AA33" s="18"/>
      <c r="AB33" s="6"/>
    </row>
    <row r="34" spans="1:28" x14ac:dyDescent="0.25">
      <c r="A34" s="67" t="s">
        <v>141</v>
      </c>
      <c r="B34" s="28" t="s">
        <v>85</v>
      </c>
      <c r="C34" s="7"/>
      <c r="D34" s="7"/>
      <c r="E34" s="7"/>
      <c r="F34" s="7"/>
      <c r="G34" s="7"/>
      <c r="H34" s="7"/>
      <c r="I34" s="5"/>
      <c r="J34" s="5"/>
      <c r="K34" s="5"/>
      <c r="L34" s="5"/>
      <c r="M34" s="5"/>
      <c r="N34" s="5"/>
      <c r="O34" s="5"/>
      <c r="P34" s="5"/>
      <c r="Q34" s="9"/>
      <c r="R34" s="9"/>
      <c r="S34" s="18"/>
      <c r="T34" s="5"/>
      <c r="U34" s="5"/>
      <c r="V34" s="5"/>
      <c r="W34" s="7"/>
      <c r="X34" s="18"/>
      <c r="Y34" s="18"/>
      <c r="Z34" s="7"/>
      <c r="AA34" s="18"/>
      <c r="AB34" s="6"/>
    </row>
    <row r="35" spans="1:28" x14ac:dyDescent="0.25">
      <c r="A35" s="67" t="s">
        <v>142</v>
      </c>
      <c r="B35" s="28" t="s">
        <v>86</v>
      </c>
      <c r="C35" s="7"/>
      <c r="D35" s="7"/>
      <c r="E35" s="7"/>
      <c r="F35" s="7"/>
      <c r="G35" s="7"/>
      <c r="H35" s="7"/>
      <c r="I35" s="5"/>
      <c r="J35" s="5"/>
      <c r="K35" s="5"/>
      <c r="L35" s="5"/>
      <c r="M35" s="5"/>
      <c r="N35" s="5"/>
      <c r="O35" s="5"/>
      <c r="P35" s="5">
        <f>ROUNDUP(((620)/5280),2)</f>
        <v>0.12</v>
      </c>
      <c r="Q35" s="9">
        <f>ROUNDUP(((620+1295)/5280),2)</f>
        <v>0.37</v>
      </c>
      <c r="R35" s="9"/>
      <c r="S35" s="18"/>
      <c r="T35" s="5"/>
      <c r="U35" s="5"/>
      <c r="V35" s="5"/>
      <c r="W35" s="7"/>
      <c r="X35" s="18"/>
      <c r="Y35" s="18"/>
      <c r="Z35" s="7"/>
      <c r="AA35" s="18"/>
      <c r="AB35" s="6"/>
    </row>
    <row r="36" spans="1:28" x14ac:dyDescent="0.25">
      <c r="A36" s="67" t="s">
        <v>143</v>
      </c>
      <c r="B36" s="28" t="s">
        <v>87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/>
      <c r="N36" s="5"/>
      <c r="O36" s="5"/>
      <c r="P36" s="5">
        <f>ROUNDUP(((1300)/5280),2)</f>
        <v>0.25</v>
      </c>
      <c r="Q36" s="9">
        <f>ROUNDUP(((1300+1300)/5280),2)</f>
        <v>0.5</v>
      </c>
      <c r="R36" s="9"/>
      <c r="S36" s="18">
        <f>940+670</f>
        <v>1610</v>
      </c>
      <c r="T36" s="5"/>
      <c r="U36" s="5"/>
      <c r="V36" s="5"/>
      <c r="W36" s="7"/>
      <c r="X36" s="18"/>
      <c r="Y36" s="18"/>
      <c r="Z36" s="7"/>
      <c r="AA36" s="18"/>
      <c r="AB36" s="6"/>
    </row>
    <row r="37" spans="1:28" x14ac:dyDescent="0.25">
      <c r="A37" s="67" t="s">
        <v>144</v>
      </c>
      <c r="B37" s="28" t="s">
        <v>88</v>
      </c>
      <c r="C37" s="7"/>
      <c r="D37" s="7"/>
      <c r="E37" s="7"/>
      <c r="F37" s="7"/>
      <c r="G37" s="7"/>
      <c r="H37" s="7"/>
      <c r="I37" s="5"/>
      <c r="J37" s="5"/>
      <c r="K37" s="5"/>
      <c r="L37" s="5"/>
      <c r="M37" s="5"/>
      <c r="N37" s="5"/>
      <c r="O37" s="5"/>
      <c r="P37" s="5">
        <f>ROUNDUP(((1300)/5280),2)</f>
        <v>0.25</v>
      </c>
      <c r="Q37" s="9">
        <f>ROUNDUP(((1300+1300)/5280),2)</f>
        <v>0.5</v>
      </c>
      <c r="R37" s="9"/>
      <c r="S37" s="18">
        <f>0+830</f>
        <v>830</v>
      </c>
      <c r="T37" s="5"/>
      <c r="U37" s="5"/>
      <c r="V37" s="5"/>
      <c r="W37" s="7"/>
      <c r="X37" s="18"/>
      <c r="Y37" s="18"/>
      <c r="Z37" s="7"/>
      <c r="AA37" s="18"/>
      <c r="AB37" s="6"/>
    </row>
    <row r="38" spans="1:28" x14ac:dyDescent="0.25">
      <c r="A38" s="67" t="s">
        <v>145</v>
      </c>
      <c r="B38" s="28" t="s">
        <v>89</v>
      </c>
      <c r="C38" s="7"/>
      <c r="D38" s="7"/>
      <c r="E38" s="7"/>
      <c r="F38" s="7"/>
      <c r="G38" s="7"/>
      <c r="H38" s="7"/>
      <c r="I38" s="5"/>
      <c r="J38" s="5"/>
      <c r="K38" s="5"/>
      <c r="L38" s="5"/>
      <c r="M38" s="5"/>
      <c r="N38" s="5"/>
      <c r="O38" s="5"/>
      <c r="P38" s="5">
        <f>ROUNDUP(((270)/5280),2)</f>
        <v>6.0000000000000005E-2</v>
      </c>
      <c r="Q38" s="9">
        <f>ROUNDUP(((270)/5280),2)</f>
        <v>6.0000000000000005E-2</v>
      </c>
      <c r="R38" s="9"/>
      <c r="S38" s="18"/>
      <c r="T38" s="5"/>
      <c r="U38" s="5"/>
      <c r="V38" s="5"/>
      <c r="W38" s="7"/>
      <c r="X38" s="18"/>
      <c r="Y38" s="18"/>
      <c r="Z38" s="7"/>
      <c r="AA38" s="18"/>
      <c r="AB38" s="6"/>
    </row>
    <row r="39" spans="1:28" x14ac:dyDescent="0.25">
      <c r="A39" s="14"/>
      <c r="B39" s="15"/>
      <c r="C39" s="7"/>
      <c r="D39" s="7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5"/>
      <c r="Q39" s="9"/>
      <c r="R39" s="9"/>
      <c r="S39" s="18"/>
      <c r="T39" s="5"/>
      <c r="U39" s="5"/>
      <c r="V39" s="5"/>
      <c r="W39" s="7"/>
      <c r="X39" s="18"/>
      <c r="Y39" s="18"/>
      <c r="Z39" s="7"/>
      <c r="AA39" s="18"/>
      <c r="AB39" s="6"/>
    </row>
    <row r="40" spans="1:28" x14ac:dyDescent="0.25">
      <c r="A40" s="4"/>
      <c r="B40" s="15"/>
      <c r="C40" s="7"/>
      <c r="D40" s="7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5"/>
      <c r="Q40" s="9"/>
      <c r="R40" s="9"/>
      <c r="S40" s="18"/>
      <c r="T40" s="5"/>
      <c r="U40" s="5"/>
      <c r="V40" s="5"/>
      <c r="W40" s="7"/>
      <c r="X40" s="18"/>
      <c r="Y40" s="18"/>
      <c r="Z40" s="7"/>
      <c r="AA40" s="18"/>
      <c r="AB40" s="6"/>
    </row>
    <row r="41" spans="1:28" x14ac:dyDescent="0.25">
      <c r="A41" s="14"/>
      <c r="B41" s="15"/>
      <c r="C41" s="7"/>
      <c r="D41" s="7"/>
      <c r="E41" s="7"/>
      <c r="F41" s="7"/>
      <c r="G41" s="7"/>
      <c r="H41" s="7"/>
      <c r="I41" s="5"/>
      <c r="J41" s="5"/>
      <c r="K41" s="5"/>
      <c r="L41" s="5"/>
      <c r="M41" s="5"/>
      <c r="N41" s="5"/>
      <c r="O41" s="5"/>
      <c r="P41" s="5"/>
      <c r="Q41" s="9"/>
      <c r="R41" s="9"/>
      <c r="S41" s="18"/>
      <c r="T41" s="5"/>
      <c r="U41" s="5"/>
      <c r="V41" s="5"/>
      <c r="W41" s="7"/>
      <c r="X41" s="18"/>
      <c r="Y41" s="18"/>
      <c r="Z41" s="7"/>
      <c r="AA41" s="18"/>
      <c r="AB41" s="6"/>
    </row>
    <row r="42" spans="1:28" x14ac:dyDescent="0.25">
      <c r="A42" s="4"/>
      <c r="B42" s="15"/>
      <c r="C42" s="7"/>
      <c r="D42" s="7"/>
      <c r="E42" s="7"/>
      <c r="F42" s="7"/>
      <c r="G42" s="7"/>
      <c r="H42" s="7"/>
      <c r="I42" s="5"/>
      <c r="J42" s="5"/>
      <c r="K42" s="5"/>
      <c r="L42" s="5"/>
      <c r="M42" s="5"/>
      <c r="N42" s="5"/>
      <c r="O42" s="5"/>
      <c r="P42" s="5"/>
      <c r="Q42" s="9"/>
      <c r="R42" s="9"/>
      <c r="S42" s="18"/>
      <c r="T42" s="5"/>
      <c r="U42" s="5"/>
      <c r="V42" s="5"/>
      <c r="W42" s="7"/>
      <c r="X42" s="18"/>
      <c r="Y42" s="18"/>
      <c r="Z42" s="7"/>
      <c r="AA42" s="18"/>
      <c r="AB42" s="6"/>
    </row>
    <row r="43" spans="1:28" x14ac:dyDescent="0.25">
      <c r="A43" s="14"/>
      <c r="B43" s="20"/>
      <c r="C43" s="7"/>
      <c r="D43" s="7"/>
      <c r="E43" s="7"/>
      <c r="F43" s="7"/>
      <c r="G43" s="7"/>
      <c r="H43" s="7"/>
      <c r="I43" s="5"/>
      <c r="J43" s="5"/>
      <c r="K43" s="5"/>
      <c r="L43" s="5"/>
      <c r="M43" s="5"/>
      <c r="N43" s="5"/>
      <c r="O43" s="5"/>
      <c r="P43" s="5"/>
      <c r="Q43" s="9"/>
      <c r="R43" s="9"/>
      <c r="S43" s="18"/>
      <c r="T43" s="5"/>
      <c r="U43" s="5"/>
      <c r="V43" s="5"/>
      <c r="W43" s="7"/>
      <c r="X43" s="18"/>
      <c r="Y43" s="18"/>
      <c r="Z43" s="7"/>
      <c r="AA43" s="18"/>
      <c r="AB43" s="6"/>
    </row>
    <row r="44" spans="1:28" x14ac:dyDescent="0.25">
      <c r="A44" s="4"/>
      <c r="B44" s="20"/>
      <c r="C44" s="7"/>
      <c r="D44" s="7"/>
      <c r="E44" s="7"/>
      <c r="F44" s="7"/>
      <c r="G44" s="7"/>
      <c r="H44" s="7"/>
      <c r="I44" s="5"/>
      <c r="J44" s="5"/>
      <c r="K44" s="5"/>
      <c r="L44" s="5"/>
      <c r="M44" s="5"/>
      <c r="N44" s="5"/>
      <c r="O44" s="5"/>
      <c r="P44" s="5"/>
      <c r="Q44" s="9"/>
      <c r="R44" s="9"/>
      <c r="S44" s="18"/>
      <c r="T44" s="5"/>
      <c r="U44" s="5"/>
      <c r="V44" s="5"/>
      <c r="W44" s="7"/>
      <c r="X44" s="18"/>
      <c r="Y44" s="18"/>
      <c r="Z44" s="7"/>
      <c r="AA44" s="18"/>
      <c r="AB44" s="6"/>
    </row>
    <row r="45" spans="1:28" x14ac:dyDescent="0.25">
      <c r="A45" s="14"/>
      <c r="B45" s="20"/>
      <c r="C45" s="7"/>
      <c r="D45" s="7"/>
      <c r="E45" s="7"/>
      <c r="F45" s="7"/>
      <c r="G45" s="7"/>
      <c r="H45" s="7"/>
      <c r="I45" s="5"/>
      <c r="J45" s="5"/>
      <c r="K45" s="5"/>
      <c r="L45" s="5"/>
      <c r="M45" s="5"/>
      <c r="N45" s="5"/>
      <c r="O45" s="5"/>
      <c r="P45" s="5"/>
      <c r="Q45" s="9"/>
      <c r="R45" s="9"/>
      <c r="S45" s="18"/>
      <c r="T45" s="5"/>
      <c r="U45" s="5"/>
      <c r="V45" s="5"/>
      <c r="W45" s="7"/>
      <c r="X45" s="18"/>
      <c r="Y45" s="18"/>
      <c r="Z45" s="7"/>
      <c r="AA45" s="18"/>
      <c r="AB45" s="23"/>
    </row>
    <row r="46" spans="1:28" x14ac:dyDescent="0.25">
      <c r="A46" s="4"/>
      <c r="B46" s="20"/>
      <c r="C46" s="7"/>
      <c r="D46" s="7"/>
      <c r="E46" s="7"/>
      <c r="F46" s="7"/>
      <c r="G46" s="7"/>
      <c r="H46" s="7"/>
      <c r="I46" s="5"/>
      <c r="J46" s="5"/>
      <c r="K46" s="5"/>
      <c r="L46" s="5"/>
      <c r="M46" s="5"/>
      <c r="N46" s="5"/>
      <c r="O46" s="5"/>
      <c r="P46" s="5"/>
      <c r="Q46" s="9"/>
      <c r="R46" s="9"/>
      <c r="S46" s="18"/>
      <c r="T46" s="5"/>
      <c r="U46" s="5"/>
      <c r="V46" s="5"/>
      <c r="W46" s="7"/>
      <c r="X46" s="18"/>
      <c r="Y46" s="18"/>
      <c r="Z46" s="7"/>
      <c r="AA46" s="18"/>
      <c r="AB46" s="6"/>
    </row>
    <row r="47" spans="1:28" x14ac:dyDescent="0.25">
      <c r="A47" s="14"/>
      <c r="B47" s="20"/>
      <c r="C47" s="7"/>
      <c r="D47" s="7"/>
      <c r="E47" s="7"/>
      <c r="F47" s="7"/>
      <c r="G47" s="7"/>
      <c r="H47" s="7"/>
      <c r="I47" s="5"/>
      <c r="J47" s="5"/>
      <c r="K47" s="5"/>
      <c r="L47" s="5"/>
      <c r="M47" s="5"/>
      <c r="N47" s="5"/>
      <c r="O47" s="5"/>
      <c r="P47" s="5"/>
      <c r="Q47" s="9"/>
      <c r="R47" s="9"/>
      <c r="S47" s="18"/>
      <c r="T47" s="5"/>
      <c r="U47" s="5"/>
      <c r="V47" s="5"/>
      <c r="W47" s="7"/>
      <c r="X47" s="18"/>
      <c r="Y47" s="18"/>
      <c r="Z47" s="7"/>
      <c r="AA47" s="18"/>
      <c r="AB47" s="6"/>
    </row>
    <row r="48" spans="1:28" x14ac:dyDescent="0.25">
      <c r="A48" s="4"/>
      <c r="B48" s="20"/>
      <c r="C48" s="7"/>
      <c r="D48" s="7"/>
      <c r="E48" s="7"/>
      <c r="F48" s="7"/>
      <c r="G48" s="7"/>
      <c r="H48" s="7"/>
      <c r="I48" s="5"/>
      <c r="J48" s="5"/>
      <c r="K48" s="5"/>
      <c r="L48" s="5"/>
      <c r="M48" s="5"/>
      <c r="N48" s="5"/>
      <c r="O48" s="5"/>
      <c r="P48" s="5"/>
      <c r="Q48" s="9"/>
      <c r="R48" s="9"/>
      <c r="S48" s="18"/>
      <c r="T48" s="5"/>
      <c r="U48" s="5"/>
      <c r="V48" s="5"/>
      <c r="W48" s="7"/>
      <c r="X48" s="18"/>
      <c r="Y48" s="18"/>
      <c r="Z48" s="7"/>
      <c r="AA48" s="18"/>
      <c r="AB48" s="6"/>
    </row>
    <row r="49" spans="1:28" x14ac:dyDescent="0.25">
      <c r="A49" s="14"/>
      <c r="B49" s="20"/>
      <c r="C49" s="7"/>
      <c r="D49" s="7"/>
      <c r="E49" s="7"/>
      <c r="F49" s="7"/>
      <c r="G49" s="7"/>
      <c r="H49" s="7"/>
      <c r="I49" s="5"/>
      <c r="J49" s="5"/>
      <c r="K49" s="5"/>
      <c r="L49" s="5"/>
      <c r="M49" s="5"/>
      <c r="N49" s="5"/>
      <c r="O49" s="5"/>
      <c r="P49" s="5"/>
      <c r="Q49" s="9"/>
      <c r="R49" s="9"/>
      <c r="S49" s="18"/>
      <c r="T49" s="5"/>
      <c r="U49" s="5"/>
      <c r="V49" s="5"/>
      <c r="W49" s="7"/>
      <c r="X49" s="18"/>
      <c r="Y49" s="18"/>
      <c r="Z49" s="7"/>
      <c r="AA49" s="18"/>
      <c r="AB49" s="6"/>
    </row>
    <row r="50" spans="1:28" x14ac:dyDescent="0.25">
      <c r="A50" s="4"/>
      <c r="B50" s="20"/>
      <c r="C50" s="7"/>
      <c r="D50" s="7"/>
      <c r="E50" s="7"/>
      <c r="F50" s="7"/>
      <c r="G50" s="7"/>
      <c r="H50" s="7"/>
      <c r="I50" s="5"/>
      <c r="J50" s="5"/>
      <c r="K50" s="5"/>
      <c r="L50" s="5"/>
      <c r="M50" s="5"/>
      <c r="N50" s="5"/>
      <c r="O50" s="5"/>
      <c r="P50" s="5"/>
      <c r="Q50" s="9"/>
      <c r="R50" s="9"/>
      <c r="S50" s="18"/>
      <c r="T50" s="5"/>
      <c r="U50" s="5"/>
      <c r="V50" s="5"/>
      <c r="W50" s="7"/>
      <c r="X50" s="18"/>
      <c r="Y50" s="18"/>
      <c r="Z50" s="7"/>
      <c r="AA50" s="18"/>
      <c r="AB50" s="6"/>
    </row>
    <row r="51" spans="1:28" x14ac:dyDescent="0.25">
      <c r="A51" s="14"/>
      <c r="B51" s="20"/>
      <c r="C51" s="7"/>
      <c r="D51" s="7"/>
      <c r="E51" s="7"/>
      <c r="F51" s="7"/>
      <c r="G51" s="7"/>
      <c r="H51" s="7"/>
      <c r="I51" s="5"/>
      <c r="J51" s="5"/>
      <c r="K51" s="5"/>
      <c r="L51" s="5"/>
      <c r="M51" s="5"/>
      <c r="N51" s="5"/>
      <c r="O51" s="5"/>
      <c r="P51" s="5"/>
      <c r="Q51" s="9"/>
      <c r="R51" s="9"/>
      <c r="S51" s="18"/>
      <c r="T51" s="5"/>
      <c r="U51" s="5"/>
      <c r="V51" s="5"/>
      <c r="W51" s="7"/>
      <c r="X51" s="18"/>
      <c r="Y51" s="18"/>
      <c r="Z51" s="7"/>
      <c r="AA51" s="18"/>
      <c r="AB51" s="6"/>
    </row>
    <row r="52" spans="1:28" x14ac:dyDescent="0.25">
      <c r="A52" s="4"/>
      <c r="B52" s="20"/>
      <c r="C52" s="7"/>
      <c r="D52" s="7"/>
      <c r="E52" s="7"/>
      <c r="F52" s="7"/>
      <c r="G52" s="7"/>
      <c r="H52" s="7"/>
      <c r="I52" s="5"/>
      <c r="J52" s="5"/>
      <c r="K52" s="5"/>
      <c r="L52" s="5"/>
      <c r="M52" s="5"/>
      <c r="N52" s="5"/>
      <c r="O52" s="5"/>
      <c r="P52" s="5"/>
      <c r="Q52" s="9"/>
      <c r="R52" s="9"/>
      <c r="S52" s="18"/>
      <c r="T52" s="5"/>
      <c r="U52" s="5"/>
      <c r="V52" s="5"/>
      <c r="W52" s="7"/>
      <c r="X52" s="18"/>
      <c r="Y52" s="18"/>
      <c r="Z52" s="7"/>
      <c r="AA52" s="18"/>
      <c r="AB52" s="6"/>
    </row>
    <row r="53" spans="1:28" x14ac:dyDescent="0.25">
      <c r="A53" s="14"/>
      <c r="B53" s="20"/>
      <c r="C53" s="7"/>
      <c r="D53" s="7"/>
      <c r="E53" s="7"/>
      <c r="F53" s="7"/>
      <c r="G53" s="7"/>
      <c r="H53" s="7"/>
      <c r="I53" s="5"/>
      <c r="J53" s="5"/>
      <c r="K53" s="5"/>
      <c r="L53" s="5"/>
      <c r="M53" s="5"/>
      <c r="N53" s="5"/>
      <c r="O53" s="5"/>
      <c r="P53" s="5"/>
      <c r="Q53" s="9"/>
      <c r="R53" s="9"/>
      <c r="S53" s="18"/>
      <c r="T53" s="5"/>
      <c r="U53" s="5"/>
      <c r="V53" s="5"/>
      <c r="W53" s="7"/>
      <c r="X53" s="18"/>
      <c r="Y53" s="18"/>
      <c r="Z53" s="7"/>
      <c r="AA53" s="18"/>
      <c r="AB53" s="6"/>
    </row>
    <row r="54" spans="1:28" x14ac:dyDescent="0.25">
      <c r="A54" s="4"/>
      <c r="B54" s="20"/>
      <c r="C54" s="7"/>
      <c r="D54" s="7"/>
      <c r="E54" s="7"/>
      <c r="F54" s="7"/>
      <c r="G54" s="7"/>
      <c r="H54" s="7"/>
      <c r="I54" s="5"/>
      <c r="J54" s="5"/>
      <c r="K54" s="5"/>
      <c r="L54" s="5"/>
      <c r="M54" s="5"/>
      <c r="N54" s="5"/>
      <c r="O54" s="5"/>
      <c r="P54" s="5"/>
      <c r="Q54" s="9"/>
      <c r="R54" s="9"/>
      <c r="S54" s="18"/>
      <c r="T54" s="5"/>
      <c r="U54" s="5"/>
      <c r="V54" s="5"/>
      <c r="W54" s="7"/>
      <c r="X54" s="18"/>
      <c r="Y54" s="18"/>
      <c r="Z54" s="7"/>
      <c r="AA54" s="18"/>
      <c r="AB54" s="6"/>
    </row>
    <row r="55" spans="1:28" x14ac:dyDescent="0.25">
      <c r="A55" s="14"/>
      <c r="B55" s="20"/>
      <c r="C55" s="7"/>
      <c r="D55" s="7"/>
      <c r="E55" s="7"/>
      <c r="F55" s="7"/>
      <c r="G55" s="7"/>
      <c r="H55" s="7"/>
      <c r="I55" s="5"/>
      <c r="J55" s="5"/>
      <c r="K55" s="5"/>
      <c r="L55" s="5"/>
      <c r="M55" s="5"/>
      <c r="N55" s="5"/>
      <c r="O55" s="5"/>
      <c r="P55" s="5"/>
      <c r="Q55" s="9"/>
      <c r="R55" s="9"/>
      <c r="S55" s="18"/>
      <c r="T55" s="5"/>
      <c r="U55" s="5"/>
      <c r="V55" s="5"/>
      <c r="W55" s="7"/>
      <c r="X55" s="18"/>
      <c r="Y55" s="18"/>
      <c r="Z55" s="7"/>
      <c r="AA55" s="18"/>
      <c r="AB55" s="6"/>
    </row>
    <row r="56" spans="1:28" x14ac:dyDescent="0.25">
      <c r="A56" s="4"/>
      <c r="B56" s="20"/>
      <c r="C56" s="7"/>
      <c r="D56" s="7"/>
      <c r="E56" s="7"/>
      <c r="F56" s="7"/>
      <c r="G56" s="7"/>
      <c r="H56" s="7"/>
      <c r="I56" s="5"/>
      <c r="J56" s="5"/>
      <c r="K56" s="5"/>
      <c r="L56" s="5"/>
      <c r="M56" s="5"/>
      <c r="N56" s="5"/>
      <c r="O56" s="5"/>
      <c r="P56" s="5"/>
      <c r="Q56" s="9"/>
      <c r="R56" s="9"/>
      <c r="S56" s="18"/>
      <c r="T56" s="5"/>
      <c r="U56" s="5"/>
      <c r="V56" s="5"/>
      <c r="W56" s="7"/>
      <c r="X56" s="18"/>
      <c r="Y56" s="18"/>
      <c r="Z56" s="7"/>
      <c r="AA56" s="18"/>
      <c r="AB56" s="6"/>
    </row>
    <row r="57" spans="1:28" x14ac:dyDescent="0.25">
      <c r="A57" s="14"/>
      <c r="B57" s="20"/>
      <c r="C57" s="7"/>
      <c r="D57" s="7"/>
      <c r="E57" s="7"/>
      <c r="F57" s="7"/>
      <c r="G57" s="7"/>
      <c r="H57" s="7"/>
      <c r="I57" s="5"/>
      <c r="J57" s="5"/>
      <c r="K57" s="5"/>
      <c r="L57" s="5"/>
      <c r="M57" s="5"/>
      <c r="N57" s="5"/>
      <c r="O57" s="5"/>
      <c r="P57" s="5"/>
      <c r="Q57" s="9"/>
      <c r="R57" s="9"/>
      <c r="S57" s="18"/>
      <c r="T57" s="5"/>
      <c r="U57" s="5"/>
      <c r="V57" s="5"/>
      <c r="W57" s="7"/>
      <c r="X57" s="18"/>
      <c r="Y57" s="18"/>
      <c r="Z57" s="7"/>
      <c r="AA57" s="18"/>
      <c r="AB57" s="6"/>
    </row>
    <row r="58" spans="1:28" x14ac:dyDescent="0.25">
      <c r="A58" s="4"/>
      <c r="B58" s="20"/>
      <c r="C58" s="7"/>
      <c r="D58" s="7"/>
      <c r="E58" s="7"/>
      <c r="F58" s="7"/>
      <c r="G58" s="7"/>
      <c r="H58" s="7"/>
      <c r="I58" s="5"/>
      <c r="J58" s="5"/>
      <c r="K58" s="5"/>
      <c r="L58" s="5"/>
      <c r="M58" s="5"/>
      <c r="N58" s="5"/>
      <c r="O58" s="5"/>
      <c r="P58" s="5"/>
      <c r="Q58" s="9"/>
      <c r="R58" s="9"/>
      <c r="S58" s="18"/>
      <c r="T58" s="5"/>
      <c r="U58" s="5"/>
      <c r="V58" s="5"/>
      <c r="W58" s="7"/>
      <c r="X58" s="18"/>
      <c r="Y58" s="18"/>
      <c r="Z58" s="7"/>
      <c r="AA58" s="18"/>
      <c r="AB58" s="6"/>
    </row>
    <row r="59" spans="1:28" x14ac:dyDescent="0.25">
      <c r="A59" s="14"/>
      <c r="B59" s="20"/>
      <c r="C59" s="7"/>
      <c r="D59" s="7"/>
      <c r="E59" s="7"/>
      <c r="F59" s="7"/>
      <c r="G59" s="7"/>
      <c r="H59" s="7"/>
      <c r="I59" s="5"/>
      <c r="J59" s="5"/>
      <c r="K59" s="5"/>
      <c r="L59" s="5"/>
      <c r="M59" s="5"/>
      <c r="N59" s="5"/>
      <c r="O59" s="5"/>
      <c r="P59" s="5"/>
      <c r="Q59" s="9"/>
      <c r="R59" s="9"/>
      <c r="S59" s="18"/>
      <c r="T59" s="5"/>
      <c r="U59" s="5"/>
      <c r="V59" s="5"/>
      <c r="W59" s="7"/>
      <c r="X59" s="18"/>
      <c r="Y59" s="18"/>
      <c r="Z59" s="7"/>
      <c r="AA59" s="18"/>
      <c r="AB59" s="6"/>
    </row>
    <row r="60" spans="1:28" x14ac:dyDescent="0.25">
      <c r="A60" s="4"/>
      <c r="B60" s="20"/>
      <c r="C60" s="7"/>
      <c r="D60" s="7"/>
      <c r="E60" s="7"/>
      <c r="F60" s="7"/>
      <c r="G60" s="7"/>
      <c r="H60" s="7"/>
      <c r="I60" s="5"/>
      <c r="J60" s="5"/>
      <c r="K60" s="5"/>
      <c r="L60" s="5"/>
      <c r="M60" s="5"/>
      <c r="N60" s="5"/>
      <c r="O60" s="5"/>
      <c r="P60" s="5"/>
      <c r="Q60" s="9"/>
      <c r="R60" s="9"/>
      <c r="S60" s="18"/>
      <c r="T60" s="5"/>
      <c r="U60" s="5"/>
      <c r="V60" s="5"/>
      <c r="W60" s="7"/>
      <c r="X60" s="18"/>
      <c r="Y60" s="18"/>
      <c r="Z60" s="7"/>
      <c r="AA60" s="18"/>
      <c r="AB60" s="6"/>
    </row>
    <row r="61" spans="1:28" x14ac:dyDescent="0.25">
      <c r="A61" s="14"/>
      <c r="B61" s="20"/>
      <c r="C61" s="7"/>
      <c r="D61" s="7"/>
      <c r="E61" s="7"/>
      <c r="F61" s="7"/>
      <c r="G61" s="7"/>
      <c r="H61" s="7"/>
      <c r="I61" s="5"/>
      <c r="J61" s="5"/>
      <c r="K61" s="5"/>
      <c r="L61" s="5"/>
      <c r="M61" s="5"/>
      <c r="N61" s="5"/>
      <c r="O61" s="5"/>
      <c r="P61" s="5"/>
      <c r="Q61" s="9"/>
      <c r="R61" s="9"/>
      <c r="S61" s="18"/>
      <c r="T61" s="5"/>
      <c r="U61" s="5"/>
      <c r="V61" s="5"/>
      <c r="W61" s="7"/>
      <c r="X61" s="18"/>
      <c r="Y61" s="18"/>
      <c r="Z61" s="7"/>
      <c r="AA61" s="18"/>
      <c r="AB61" s="6"/>
    </row>
    <row r="62" spans="1:28" x14ac:dyDescent="0.25">
      <c r="A62" s="4"/>
      <c r="B62" s="20"/>
      <c r="C62" s="7"/>
      <c r="D62" s="7"/>
      <c r="E62" s="7"/>
      <c r="F62" s="7"/>
      <c r="G62" s="7"/>
      <c r="H62" s="7"/>
      <c r="I62" s="5"/>
      <c r="J62" s="5"/>
      <c r="K62" s="5"/>
      <c r="L62" s="5"/>
      <c r="M62" s="5"/>
      <c r="N62" s="5"/>
      <c r="O62" s="5"/>
      <c r="P62" s="5"/>
      <c r="Q62" s="9"/>
      <c r="R62" s="9"/>
      <c r="S62" s="18"/>
      <c r="T62" s="5"/>
      <c r="U62" s="5"/>
      <c r="V62" s="5"/>
      <c r="W62" s="7"/>
      <c r="X62" s="18"/>
      <c r="Y62" s="18"/>
      <c r="Z62" s="7"/>
      <c r="AA62" s="18"/>
      <c r="AB62" s="6"/>
    </row>
    <row r="63" spans="1:28" x14ac:dyDescent="0.25">
      <c r="A63" s="14"/>
      <c r="B63" s="20"/>
      <c r="C63" s="7"/>
      <c r="D63" s="7"/>
      <c r="E63" s="7"/>
      <c r="F63" s="7"/>
      <c r="G63" s="7"/>
      <c r="H63" s="7"/>
      <c r="I63" s="5"/>
      <c r="J63" s="5"/>
      <c r="K63" s="5"/>
      <c r="L63" s="5"/>
      <c r="M63" s="5"/>
      <c r="N63" s="5"/>
      <c r="O63" s="5"/>
      <c r="P63" s="5"/>
      <c r="Q63" s="9"/>
      <c r="R63" s="9"/>
      <c r="S63" s="18"/>
      <c r="T63" s="5"/>
      <c r="U63" s="5"/>
      <c r="V63" s="5"/>
      <c r="W63" s="7"/>
      <c r="X63" s="18"/>
      <c r="Y63" s="18"/>
      <c r="Z63" s="7"/>
      <c r="AA63" s="18"/>
      <c r="AB63" s="6"/>
    </row>
    <row r="64" spans="1:28" x14ac:dyDescent="0.25">
      <c r="A64" s="4"/>
      <c r="B64" s="20"/>
      <c r="C64" s="7"/>
      <c r="D64" s="7"/>
      <c r="E64" s="7"/>
      <c r="F64" s="7"/>
      <c r="G64" s="7"/>
      <c r="H64" s="7"/>
      <c r="I64" s="5"/>
      <c r="J64" s="5"/>
      <c r="K64" s="5"/>
      <c r="L64" s="5"/>
      <c r="M64" s="5"/>
      <c r="N64" s="5"/>
      <c r="O64" s="5"/>
      <c r="P64" s="5"/>
      <c r="Q64" s="9"/>
      <c r="R64" s="9"/>
      <c r="S64" s="18"/>
      <c r="T64" s="5"/>
      <c r="U64" s="5"/>
      <c r="V64" s="5"/>
      <c r="W64" s="7"/>
      <c r="X64" s="18"/>
      <c r="Y64" s="18"/>
      <c r="Z64" s="7"/>
      <c r="AA64" s="18"/>
      <c r="AB64" s="6"/>
    </row>
    <row r="65" spans="1:28" x14ac:dyDescent="0.25">
      <c r="A65" s="14"/>
      <c r="B65" s="20"/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5"/>
      <c r="Q65" s="9"/>
      <c r="R65" s="9"/>
      <c r="S65" s="18"/>
      <c r="T65" s="5"/>
      <c r="U65" s="5"/>
      <c r="V65" s="5"/>
      <c r="W65" s="7"/>
      <c r="X65" s="18"/>
      <c r="Y65" s="18"/>
      <c r="Z65" s="7"/>
      <c r="AA65" s="18"/>
      <c r="AB65" s="6"/>
    </row>
    <row r="66" spans="1:28" x14ac:dyDescent="0.25">
      <c r="A66" s="4"/>
      <c r="B66" s="21"/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5"/>
      <c r="Q66" s="9"/>
      <c r="R66" s="9"/>
      <c r="S66" s="18"/>
      <c r="T66" s="5"/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14"/>
      <c r="B67" s="22"/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5"/>
      <c r="Q67" s="9"/>
      <c r="R67" s="9"/>
      <c r="S67" s="18"/>
      <c r="T67" s="5"/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5"/>
      <c r="Q68" s="9"/>
      <c r="R68" s="9"/>
      <c r="S68" s="18"/>
      <c r="T68" s="5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4"/>
      <c r="B69" s="5"/>
      <c r="C69" s="7"/>
      <c r="D69" s="7"/>
      <c r="E69" s="7"/>
      <c r="F69" s="7"/>
      <c r="G69" s="7"/>
      <c r="H69" s="7"/>
      <c r="I69" s="5"/>
      <c r="J69" s="5"/>
      <c r="K69" s="5"/>
      <c r="L69" s="5"/>
      <c r="M69" s="5"/>
      <c r="N69" s="5"/>
      <c r="O69" s="5"/>
      <c r="P69" s="5"/>
      <c r="Q69" s="9"/>
      <c r="R69" s="9"/>
      <c r="S69" s="18"/>
      <c r="T69" s="5"/>
      <c r="U69" s="5"/>
      <c r="V69" s="5"/>
      <c r="W69" s="7"/>
      <c r="X69" s="18"/>
      <c r="Y69" s="18"/>
      <c r="Z69" s="7"/>
      <c r="AA69" s="18"/>
      <c r="AB69" s="6"/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5"/>
      <c r="Q70" s="9"/>
      <c r="R70" s="9"/>
      <c r="S70" s="18"/>
      <c r="T70" s="5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4"/>
      <c r="B71" s="5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5"/>
      <c r="Q71" s="9"/>
      <c r="R71" s="9"/>
      <c r="S71" s="18"/>
      <c r="T71" s="5"/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5"/>
      <c r="Q72" s="9"/>
      <c r="R72" s="9"/>
      <c r="S72" s="18"/>
      <c r="T72" s="5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5"/>
      <c r="Q73" s="9"/>
      <c r="R73" s="9"/>
      <c r="S73" s="18"/>
      <c r="T73" s="5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5"/>
      <c r="Q74" s="9"/>
      <c r="R74" s="9"/>
      <c r="S74" s="18"/>
      <c r="T74" s="5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0</v>
      </c>
      <c r="D75" s="11">
        <f t="shared" ref="D75:H75" si="1">SUM(D20:D74)</f>
        <v>0</v>
      </c>
      <c r="E75" s="11">
        <f t="shared" si="1"/>
        <v>0</v>
      </c>
      <c r="F75" s="11">
        <f t="shared" si="1"/>
        <v>0</v>
      </c>
      <c r="G75" s="11"/>
      <c r="H75" s="11">
        <f t="shared" si="1"/>
        <v>0</v>
      </c>
      <c r="I75" s="11">
        <f t="shared" ref="I75:AB75" si="2">SUM(I20:I74)</f>
        <v>0</v>
      </c>
      <c r="J75" s="11">
        <f t="shared" si="2"/>
        <v>0</v>
      </c>
      <c r="K75" s="11">
        <f t="shared" si="2"/>
        <v>0</v>
      </c>
      <c r="L75" s="11">
        <f t="shared" si="2"/>
        <v>0</v>
      </c>
      <c r="M75" s="11">
        <f t="shared" si="2"/>
        <v>0</v>
      </c>
      <c r="N75" s="11">
        <f t="shared" si="2"/>
        <v>0</v>
      </c>
      <c r="O75" s="11">
        <f t="shared" si="2"/>
        <v>0</v>
      </c>
      <c r="P75" s="24">
        <f t="shared" si="2"/>
        <v>2.7</v>
      </c>
      <c r="Q75" s="24">
        <f t="shared" si="2"/>
        <v>5.82</v>
      </c>
      <c r="R75" s="24">
        <f t="shared" si="2"/>
        <v>0.75</v>
      </c>
      <c r="S75" s="11">
        <f t="shared" si="2"/>
        <v>5780</v>
      </c>
      <c r="T75" s="11">
        <f t="shared" si="2"/>
        <v>0</v>
      </c>
      <c r="U75" s="11">
        <f t="shared" si="2"/>
        <v>0</v>
      </c>
      <c r="V75" s="11">
        <f t="shared" si="2"/>
        <v>0</v>
      </c>
      <c r="W75" s="11">
        <f t="shared" si="2"/>
        <v>0</v>
      </c>
      <c r="X75" s="11">
        <f t="shared" si="2"/>
        <v>0</v>
      </c>
      <c r="Y75" s="11">
        <f t="shared" si="2"/>
        <v>0</v>
      </c>
      <c r="Z75" s="11">
        <f t="shared" si="2"/>
        <v>0</v>
      </c>
      <c r="AA75" s="11">
        <f t="shared" si="2"/>
        <v>0</v>
      </c>
      <c r="AB75" s="61">
        <f t="shared" si="2"/>
        <v>0</v>
      </c>
    </row>
  </sheetData>
  <mergeCells count="29">
    <mergeCell ref="A75:B75"/>
    <mergeCell ref="X2:X18"/>
    <mergeCell ref="Y2:Y18"/>
    <mergeCell ref="Z2:Z18"/>
    <mergeCell ref="AA2:AA18"/>
    <mergeCell ref="S2:S18"/>
    <mergeCell ref="U2:U18"/>
    <mergeCell ref="V2:V18"/>
    <mergeCell ref="W2:W18"/>
    <mergeCell ref="A1:A19"/>
    <mergeCell ref="B1:B19"/>
    <mergeCell ref="C2:C18"/>
    <mergeCell ref="I2:I18"/>
    <mergeCell ref="J2:J18"/>
    <mergeCell ref="N2:N18"/>
    <mergeCell ref="O2:O18"/>
    <mergeCell ref="D2:D18"/>
    <mergeCell ref="E2:E18"/>
    <mergeCell ref="F2:F18"/>
    <mergeCell ref="H2:H18"/>
    <mergeCell ref="AB2:AB18"/>
    <mergeCell ref="R2:R18"/>
    <mergeCell ref="L2:L18"/>
    <mergeCell ref="M2:M18"/>
    <mergeCell ref="K2:K18"/>
    <mergeCell ref="P2:P18"/>
    <mergeCell ref="Q2:Q18"/>
    <mergeCell ref="T2:T18"/>
    <mergeCell ref="G2:G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8134D-19F8-4FDA-899D-9542AF6A2374}">
  <dimension ref="A1:AB75"/>
  <sheetViews>
    <sheetView showZeros="0" topLeftCell="A32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1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112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105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105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105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105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105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105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105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105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105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105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105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105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105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105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105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106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68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113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68"/>
      <c r="AA20" s="18"/>
      <c r="AB20" s="6"/>
    </row>
    <row r="21" spans="1:28" x14ac:dyDescent="0.25">
      <c r="A21" s="67" t="s">
        <v>146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>
        <f>300+300</f>
        <v>600</v>
      </c>
      <c r="T21" s="5"/>
      <c r="U21" s="5"/>
      <c r="V21" s="5"/>
      <c r="W21" s="7"/>
      <c r="X21" s="18">
        <f>30+30</f>
        <v>60</v>
      </c>
      <c r="Y21" s="18">
        <f>15+15</f>
        <v>30</v>
      </c>
      <c r="Z21" s="5">
        <f>SUM(X21:Y21)</f>
        <v>90</v>
      </c>
      <c r="AA21" s="18"/>
      <c r="AB21" s="6"/>
    </row>
    <row r="22" spans="1:28" x14ac:dyDescent="0.25">
      <c r="A22" s="67" t="s">
        <v>147</v>
      </c>
      <c r="B22" s="15" t="s">
        <v>20</v>
      </c>
      <c r="C22" s="7"/>
      <c r="D22" s="7"/>
      <c r="E22" s="7"/>
      <c r="F22" s="7"/>
      <c r="G22" s="7"/>
      <c r="H22" s="7"/>
      <c r="I22" s="5">
        <f>444+360</f>
        <v>804</v>
      </c>
      <c r="J22" s="5">
        <v>1</v>
      </c>
      <c r="K22" s="5"/>
      <c r="L22" s="5"/>
      <c r="M22" s="5">
        <f>9+8</f>
        <v>17</v>
      </c>
      <c r="N22" s="5"/>
      <c r="O22" s="5">
        <f>8+8</f>
        <v>16</v>
      </c>
      <c r="P22" s="9"/>
      <c r="Q22" s="9">
        <f t="shared" ref="Q22:R42" si="0">ROUNDUP(((500+500)/5280),2)</f>
        <v>0.19</v>
      </c>
      <c r="R22" s="9">
        <f t="shared" si="0"/>
        <v>0.19</v>
      </c>
      <c r="S22" s="18">
        <f>500+500</f>
        <v>1000</v>
      </c>
      <c r="T22" s="5"/>
      <c r="U22" s="5"/>
      <c r="V22" s="5"/>
      <c r="W22" s="7"/>
      <c r="X22" s="18">
        <f>50+50</f>
        <v>100</v>
      </c>
      <c r="Y22" s="18">
        <f>25+25</f>
        <v>50</v>
      </c>
      <c r="Z22" s="5">
        <f t="shared" ref="Z22:Z67" si="1">SUM(X22:Y22)</f>
        <v>150</v>
      </c>
      <c r="AA22" s="18">
        <f>444+360</f>
        <v>804</v>
      </c>
      <c r="AB22" s="6"/>
    </row>
    <row r="23" spans="1:28" x14ac:dyDescent="0.25">
      <c r="A23" s="67" t="s">
        <v>148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5">
        <f t="shared" ref="M23:M42" si="2">10+10</f>
        <v>20</v>
      </c>
      <c r="N23" s="5"/>
      <c r="O23" s="5">
        <f t="shared" ref="O23:O42" si="3">10+10</f>
        <v>20</v>
      </c>
      <c r="P23" s="9">
        <f>ROUNDUP(((200+200)/5280),2)</f>
        <v>0.08</v>
      </c>
      <c r="Q23" s="9">
        <f t="shared" si="0"/>
        <v>0.19</v>
      </c>
      <c r="R23" s="9">
        <f t="shared" si="0"/>
        <v>0.19</v>
      </c>
      <c r="S23" s="18">
        <f>300+300</f>
        <v>600</v>
      </c>
      <c r="T23" s="5"/>
      <c r="U23" s="5"/>
      <c r="V23" s="5"/>
      <c r="W23" s="7"/>
      <c r="X23" s="18">
        <f>33+33</f>
        <v>66</v>
      </c>
      <c r="Y23" s="18">
        <f>16+16</f>
        <v>32</v>
      </c>
      <c r="Z23" s="5">
        <f t="shared" si="1"/>
        <v>98</v>
      </c>
      <c r="AA23" s="18">
        <f t="shared" ref="AA23:AA41" si="4">500+500</f>
        <v>1000</v>
      </c>
      <c r="AB23" s="6"/>
    </row>
    <row r="24" spans="1:28" x14ac:dyDescent="0.25">
      <c r="A24" s="67" t="s">
        <v>149</v>
      </c>
      <c r="B24" s="15" t="s">
        <v>22</v>
      </c>
      <c r="C24" s="7"/>
      <c r="D24" s="7"/>
      <c r="E24" s="7"/>
      <c r="F24" s="7"/>
      <c r="G24" s="7"/>
      <c r="H24" s="7"/>
      <c r="I24" s="5"/>
      <c r="J24" s="5"/>
      <c r="K24" s="5"/>
      <c r="L24" s="5"/>
      <c r="M24" s="5">
        <f t="shared" si="2"/>
        <v>20</v>
      </c>
      <c r="N24" s="5"/>
      <c r="O24" s="5">
        <f t="shared" si="3"/>
        <v>20</v>
      </c>
      <c r="P24" s="9">
        <f t="shared" ref="P24:P42" si="5">ROUNDUP(((500+500)/5280),2)</f>
        <v>0.19</v>
      </c>
      <c r="Q24" s="9">
        <f t="shared" si="0"/>
        <v>0.19</v>
      </c>
      <c r="R24" s="9">
        <f t="shared" si="0"/>
        <v>0.19</v>
      </c>
      <c r="S24" s="18"/>
      <c r="T24" s="5"/>
      <c r="U24" s="5"/>
      <c r="V24" s="5"/>
      <c r="W24" s="7"/>
      <c r="X24" s="18">
        <f>4+4</f>
        <v>8</v>
      </c>
      <c r="Y24" s="18"/>
      <c r="Z24" s="5">
        <f t="shared" si="1"/>
        <v>8</v>
      </c>
      <c r="AA24" s="18">
        <f t="shared" si="4"/>
        <v>1000</v>
      </c>
      <c r="AB24" s="6"/>
    </row>
    <row r="25" spans="1:28" x14ac:dyDescent="0.25">
      <c r="A25" s="67" t="s">
        <v>150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>
        <f t="shared" si="2"/>
        <v>20</v>
      </c>
      <c r="N25" s="5"/>
      <c r="O25" s="5">
        <f t="shared" si="3"/>
        <v>20</v>
      </c>
      <c r="P25" s="9">
        <f t="shared" si="5"/>
        <v>0.19</v>
      </c>
      <c r="Q25" s="9">
        <f t="shared" si="0"/>
        <v>0.19</v>
      </c>
      <c r="R25" s="9">
        <f t="shared" si="0"/>
        <v>0.19</v>
      </c>
      <c r="S25" s="18"/>
      <c r="T25" s="5"/>
      <c r="U25" s="5"/>
      <c r="V25" s="5"/>
      <c r="W25" s="7"/>
      <c r="X25" s="18">
        <f>4+4</f>
        <v>8</v>
      </c>
      <c r="Y25" s="18"/>
      <c r="Z25" s="5">
        <f t="shared" si="1"/>
        <v>8</v>
      </c>
      <c r="AA25" s="18">
        <f t="shared" si="4"/>
        <v>1000</v>
      </c>
      <c r="AB25" s="6"/>
    </row>
    <row r="26" spans="1:28" x14ac:dyDescent="0.25">
      <c r="A26" s="67" t="s">
        <v>151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>
        <f t="shared" si="2"/>
        <v>20</v>
      </c>
      <c r="N26" s="5"/>
      <c r="O26" s="5">
        <f t="shared" si="3"/>
        <v>20</v>
      </c>
      <c r="P26" s="9">
        <f t="shared" si="5"/>
        <v>0.19</v>
      </c>
      <c r="Q26" s="9">
        <f t="shared" si="0"/>
        <v>0.19</v>
      </c>
      <c r="R26" s="9">
        <f t="shared" si="0"/>
        <v>0.19</v>
      </c>
      <c r="S26" s="18"/>
      <c r="T26" s="5"/>
      <c r="U26" s="5"/>
      <c r="V26" s="5"/>
      <c r="W26" s="7"/>
      <c r="X26" s="18">
        <f>5+5</f>
        <v>10</v>
      </c>
      <c r="Y26" s="18"/>
      <c r="Z26" s="5">
        <f t="shared" si="1"/>
        <v>10</v>
      </c>
      <c r="AA26" s="18">
        <f t="shared" si="4"/>
        <v>1000</v>
      </c>
      <c r="AB26" s="6"/>
    </row>
    <row r="27" spans="1:28" x14ac:dyDescent="0.25">
      <c r="A27" s="67" t="s">
        <v>152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>
        <f t="shared" si="2"/>
        <v>20</v>
      </c>
      <c r="N27" s="5"/>
      <c r="O27" s="5">
        <f t="shared" si="3"/>
        <v>20</v>
      </c>
      <c r="P27" s="9">
        <f t="shared" si="5"/>
        <v>0.19</v>
      </c>
      <c r="Q27" s="9">
        <f t="shared" si="0"/>
        <v>0.19</v>
      </c>
      <c r="R27" s="9">
        <f t="shared" si="0"/>
        <v>0.19</v>
      </c>
      <c r="S27" s="18"/>
      <c r="T27" s="5">
        <f>200+0</f>
        <v>200</v>
      </c>
      <c r="U27" s="5"/>
      <c r="V27" s="5"/>
      <c r="W27" s="7"/>
      <c r="X27" s="18">
        <f>4+4</f>
        <v>8</v>
      </c>
      <c r="Y27" s="18"/>
      <c r="Z27" s="5">
        <f t="shared" si="1"/>
        <v>8</v>
      </c>
      <c r="AA27" s="18">
        <f t="shared" si="4"/>
        <v>1000</v>
      </c>
      <c r="AB27" s="6"/>
    </row>
    <row r="28" spans="1:28" x14ac:dyDescent="0.25">
      <c r="A28" s="67" t="s">
        <v>153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/>
      <c r="L28" s="5"/>
      <c r="M28" s="5">
        <f t="shared" si="2"/>
        <v>20</v>
      </c>
      <c r="N28" s="5"/>
      <c r="O28" s="5">
        <f t="shared" si="3"/>
        <v>20</v>
      </c>
      <c r="P28" s="9">
        <f t="shared" si="5"/>
        <v>0.19</v>
      </c>
      <c r="Q28" s="9">
        <f t="shared" si="0"/>
        <v>0.19</v>
      </c>
      <c r="R28" s="9">
        <f t="shared" si="0"/>
        <v>0.19</v>
      </c>
      <c r="S28" s="18"/>
      <c r="T28" s="5">
        <f>500+400</f>
        <v>900</v>
      </c>
      <c r="U28" s="5"/>
      <c r="V28" s="5"/>
      <c r="W28" s="7"/>
      <c r="X28" s="18">
        <f>4+4</f>
        <v>8</v>
      </c>
      <c r="Y28" s="18"/>
      <c r="Z28" s="5">
        <f t="shared" si="1"/>
        <v>8</v>
      </c>
      <c r="AA28" s="18">
        <f t="shared" si="4"/>
        <v>1000</v>
      </c>
      <c r="AB28" s="6"/>
    </row>
    <row r="29" spans="1:28" x14ac:dyDescent="0.25">
      <c r="A29" s="67" t="s">
        <v>154</v>
      </c>
      <c r="B29" s="15" t="s">
        <v>27</v>
      </c>
      <c r="C29" s="7"/>
      <c r="D29" s="7"/>
      <c r="E29" s="7"/>
      <c r="F29" s="7"/>
      <c r="G29" s="7"/>
      <c r="H29" s="7"/>
      <c r="I29" s="5">
        <f>100+100</f>
        <v>200</v>
      </c>
      <c r="J29" s="5"/>
      <c r="K29" s="5"/>
      <c r="L29" s="5"/>
      <c r="M29" s="5">
        <f t="shared" si="2"/>
        <v>20</v>
      </c>
      <c r="N29" s="5"/>
      <c r="O29" s="5">
        <f t="shared" si="3"/>
        <v>20</v>
      </c>
      <c r="P29" s="9">
        <f t="shared" si="5"/>
        <v>0.19</v>
      </c>
      <c r="Q29" s="9">
        <f t="shared" si="0"/>
        <v>0.19</v>
      </c>
      <c r="R29" s="9">
        <f t="shared" si="0"/>
        <v>0.19</v>
      </c>
      <c r="S29" s="5">
        <f>300+254</f>
        <v>554</v>
      </c>
      <c r="T29" s="5">
        <f>100+50</f>
        <v>150</v>
      </c>
      <c r="U29" s="5"/>
      <c r="V29" s="5"/>
      <c r="W29" s="7"/>
      <c r="X29" s="18">
        <f>12+12</f>
        <v>24</v>
      </c>
      <c r="Y29" s="18"/>
      <c r="Z29" s="5">
        <f t="shared" si="1"/>
        <v>24</v>
      </c>
      <c r="AA29" s="18">
        <f t="shared" si="4"/>
        <v>1000</v>
      </c>
      <c r="AB29" s="6"/>
    </row>
    <row r="30" spans="1:28" x14ac:dyDescent="0.25">
      <c r="A30" s="67" t="s">
        <v>155</v>
      </c>
      <c r="B30" s="15" t="s">
        <v>28</v>
      </c>
      <c r="C30" s="7"/>
      <c r="D30" s="7"/>
      <c r="E30" s="7"/>
      <c r="F30" s="7"/>
      <c r="G30" s="7"/>
      <c r="H30" s="7"/>
      <c r="I30" s="5">
        <f>200+200</f>
        <v>400</v>
      </c>
      <c r="J30" s="5"/>
      <c r="K30" s="5"/>
      <c r="L30" s="5"/>
      <c r="M30" s="5">
        <f t="shared" si="2"/>
        <v>20</v>
      </c>
      <c r="N30" s="5"/>
      <c r="O30" s="5">
        <f t="shared" si="3"/>
        <v>20</v>
      </c>
      <c r="P30" s="9">
        <f t="shared" si="5"/>
        <v>0.19</v>
      </c>
      <c r="Q30" s="9">
        <f t="shared" si="0"/>
        <v>0.19</v>
      </c>
      <c r="R30" s="9">
        <f t="shared" si="0"/>
        <v>0.19</v>
      </c>
      <c r="S30" s="5">
        <f>256+0</f>
        <v>256</v>
      </c>
      <c r="T30" s="5"/>
      <c r="U30" s="5"/>
      <c r="V30" s="5"/>
      <c r="W30" s="7"/>
      <c r="X30" s="18">
        <f>12+4</f>
        <v>16</v>
      </c>
      <c r="Y30" s="18"/>
      <c r="Z30" s="5">
        <f t="shared" si="1"/>
        <v>16</v>
      </c>
      <c r="AA30" s="18">
        <f t="shared" si="4"/>
        <v>1000</v>
      </c>
      <c r="AB30" s="23"/>
    </row>
    <row r="31" spans="1:28" x14ac:dyDescent="0.25">
      <c r="A31" s="67" t="s">
        <v>156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>
        <f t="shared" si="2"/>
        <v>20</v>
      </c>
      <c r="N31" s="5"/>
      <c r="O31" s="5">
        <f t="shared" si="3"/>
        <v>20</v>
      </c>
      <c r="P31" s="9">
        <f t="shared" si="5"/>
        <v>0.19</v>
      </c>
      <c r="Q31" s="9">
        <f t="shared" si="0"/>
        <v>0.19</v>
      </c>
      <c r="R31" s="9">
        <f t="shared" si="0"/>
        <v>0.19</v>
      </c>
      <c r="S31" s="5"/>
      <c r="T31" s="5">
        <f>475+0</f>
        <v>475</v>
      </c>
      <c r="U31" s="5"/>
      <c r="V31" s="5"/>
      <c r="W31" s="7"/>
      <c r="X31" s="18">
        <f>4+4</f>
        <v>8</v>
      </c>
      <c r="Y31" s="18"/>
      <c r="Z31" s="5">
        <f t="shared" si="1"/>
        <v>8</v>
      </c>
      <c r="AA31" s="18">
        <f t="shared" si="4"/>
        <v>1000</v>
      </c>
      <c r="AB31" s="6"/>
    </row>
    <row r="32" spans="1:28" x14ac:dyDescent="0.25">
      <c r="A32" s="67" t="s">
        <v>157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/>
      <c r="L32" s="5"/>
      <c r="M32" s="5">
        <f t="shared" si="2"/>
        <v>20</v>
      </c>
      <c r="N32" s="5"/>
      <c r="O32" s="5">
        <f t="shared" si="3"/>
        <v>20</v>
      </c>
      <c r="P32" s="9">
        <f t="shared" si="5"/>
        <v>0.19</v>
      </c>
      <c r="Q32" s="9">
        <f t="shared" si="0"/>
        <v>0.19</v>
      </c>
      <c r="R32" s="9">
        <f t="shared" si="0"/>
        <v>0.19</v>
      </c>
      <c r="S32" s="5">
        <f>0+303</f>
        <v>303</v>
      </c>
      <c r="T32" s="5">
        <f>0+175</f>
        <v>175</v>
      </c>
      <c r="U32" s="5"/>
      <c r="V32" s="5"/>
      <c r="W32" s="7"/>
      <c r="X32" s="18">
        <f>5+13</f>
        <v>18</v>
      </c>
      <c r="Y32" s="18"/>
      <c r="Z32" s="5">
        <f t="shared" si="1"/>
        <v>18</v>
      </c>
      <c r="AA32" s="18">
        <f t="shared" si="4"/>
        <v>1000</v>
      </c>
      <c r="AB32" s="6"/>
    </row>
    <row r="33" spans="1:28" x14ac:dyDescent="0.25">
      <c r="A33" s="67" t="s">
        <v>158</v>
      </c>
      <c r="B33" s="15" t="s">
        <v>31</v>
      </c>
      <c r="C33" s="7"/>
      <c r="D33" s="7"/>
      <c r="E33" s="7"/>
      <c r="F33" s="7"/>
      <c r="G33" s="7"/>
      <c r="H33" s="7"/>
      <c r="I33" s="5"/>
      <c r="J33" s="5"/>
      <c r="K33" s="5"/>
      <c r="L33" s="5"/>
      <c r="M33" s="5">
        <f t="shared" si="2"/>
        <v>20</v>
      </c>
      <c r="N33" s="5"/>
      <c r="O33" s="5">
        <f t="shared" si="3"/>
        <v>20</v>
      </c>
      <c r="P33" s="9">
        <f t="shared" si="5"/>
        <v>0.19</v>
      </c>
      <c r="Q33" s="9">
        <f t="shared" si="0"/>
        <v>0.19</v>
      </c>
      <c r="R33" s="9">
        <f t="shared" si="0"/>
        <v>0.19</v>
      </c>
      <c r="S33" s="5"/>
      <c r="T33" s="5">
        <f>275+500</f>
        <v>775</v>
      </c>
      <c r="U33" s="5"/>
      <c r="V33" s="5"/>
      <c r="W33" s="7"/>
      <c r="X33" s="18">
        <f>4+4</f>
        <v>8</v>
      </c>
      <c r="Y33" s="18"/>
      <c r="Z33" s="5">
        <f t="shared" si="1"/>
        <v>8</v>
      </c>
      <c r="AA33" s="18">
        <f t="shared" si="4"/>
        <v>1000</v>
      </c>
      <c r="AB33" s="6"/>
    </row>
    <row r="34" spans="1:28" x14ac:dyDescent="0.25">
      <c r="A34" s="67" t="s">
        <v>159</v>
      </c>
      <c r="B34" s="15" t="s">
        <v>32</v>
      </c>
      <c r="C34" s="7"/>
      <c r="D34" s="7"/>
      <c r="E34" s="7"/>
      <c r="F34" s="7"/>
      <c r="G34" s="7"/>
      <c r="H34" s="7"/>
      <c r="I34" s="5"/>
      <c r="J34" s="5"/>
      <c r="K34" s="5"/>
      <c r="L34" s="5"/>
      <c r="M34" s="5">
        <f t="shared" si="2"/>
        <v>20</v>
      </c>
      <c r="N34" s="5"/>
      <c r="O34" s="5">
        <f t="shared" si="3"/>
        <v>20</v>
      </c>
      <c r="P34" s="9">
        <f t="shared" si="5"/>
        <v>0.19</v>
      </c>
      <c r="Q34" s="9">
        <f t="shared" si="0"/>
        <v>0.19</v>
      </c>
      <c r="R34" s="9">
        <f t="shared" si="0"/>
        <v>0.19</v>
      </c>
      <c r="S34" s="5">
        <f>0+302</f>
        <v>302</v>
      </c>
      <c r="T34" s="5">
        <f>500+150</f>
        <v>650</v>
      </c>
      <c r="U34" s="5"/>
      <c r="V34" s="5"/>
      <c r="W34" s="7"/>
      <c r="X34" s="18">
        <f>4+12</f>
        <v>16</v>
      </c>
      <c r="Y34" s="18"/>
      <c r="Z34" s="5">
        <f t="shared" si="1"/>
        <v>16</v>
      </c>
      <c r="AA34" s="18">
        <f t="shared" si="4"/>
        <v>1000</v>
      </c>
      <c r="AB34" s="6"/>
    </row>
    <row r="35" spans="1:28" x14ac:dyDescent="0.25">
      <c r="A35" s="67" t="s">
        <v>160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/>
      <c r="L35" s="5"/>
      <c r="M35" s="5">
        <f t="shared" si="2"/>
        <v>20</v>
      </c>
      <c r="N35" s="5"/>
      <c r="O35" s="5">
        <f t="shared" si="3"/>
        <v>20</v>
      </c>
      <c r="P35" s="9">
        <f t="shared" si="5"/>
        <v>0.19</v>
      </c>
      <c r="Q35" s="9">
        <f t="shared" si="0"/>
        <v>0.19</v>
      </c>
      <c r="R35" s="9">
        <f t="shared" si="0"/>
        <v>0.19</v>
      </c>
      <c r="S35" s="5">
        <f>288+0</f>
        <v>288</v>
      </c>
      <c r="T35" s="5"/>
      <c r="U35" s="5"/>
      <c r="V35" s="5"/>
      <c r="W35" s="7"/>
      <c r="X35" s="18">
        <f>12+4</f>
        <v>16</v>
      </c>
      <c r="Y35" s="18"/>
      <c r="Z35" s="5">
        <f t="shared" si="1"/>
        <v>16</v>
      </c>
      <c r="AA35" s="18">
        <f t="shared" si="4"/>
        <v>1000</v>
      </c>
      <c r="AB35" s="6"/>
    </row>
    <row r="36" spans="1:28" x14ac:dyDescent="0.25">
      <c r="A36" s="67" t="s">
        <v>161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>
        <f t="shared" si="2"/>
        <v>20</v>
      </c>
      <c r="N36" s="5"/>
      <c r="O36" s="5">
        <f t="shared" si="3"/>
        <v>20</v>
      </c>
      <c r="P36" s="9">
        <f t="shared" si="5"/>
        <v>0.19</v>
      </c>
      <c r="Q36" s="9">
        <f t="shared" si="0"/>
        <v>0.19</v>
      </c>
      <c r="R36" s="9">
        <f t="shared" si="0"/>
        <v>0.19</v>
      </c>
      <c r="S36" s="5"/>
      <c r="T36" s="5"/>
      <c r="U36" s="5"/>
      <c r="V36" s="5"/>
      <c r="W36" s="7"/>
      <c r="X36" s="18">
        <f>4+4</f>
        <v>8</v>
      </c>
      <c r="Y36" s="18"/>
      <c r="Z36" s="5">
        <f t="shared" si="1"/>
        <v>8</v>
      </c>
      <c r="AA36" s="18">
        <f t="shared" si="4"/>
        <v>1000</v>
      </c>
      <c r="AB36" s="6"/>
    </row>
    <row r="37" spans="1:28" x14ac:dyDescent="0.25">
      <c r="A37" s="67" t="s">
        <v>162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/>
      <c r="L37" s="5"/>
      <c r="M37" s="5">
        <f t="shared" si="2"/>
        <v>20</v>
      </c>
      <c r="N37" s="5"/>
      <c r="O37" s="5">
        <f t="shared" si="3"/>
        <v>20</v>
      </c>
      <c r="P37" s="9">
        <f t="shared" si="5"/>
        <v>0.19</v>
      </c>
      <c r="Q37" s="9">
        <f t="shared" si="0"/>
        <v>0.19</v>
      </c>
      <c r="R37" s="9">
        <f t="shared" si="0"/>
        <v>0.19</v>
      </c>
      <c r="S37" s="5">
        <f>252+0</f>
        <v>252</v>
      </c>
      <c r="T37" s="5">
        <f>100+0</f>
        <v>100</v>
      </c>
      <c r="U37" s="5"/>
      <c r="V37" s="5"/>
      <c r="W37" s="7"/>
      <c r="X37" s="18">
        <f>12+4</f>
        <v>16</v>
      </c>
      <c r="Y37" s="18"/>
      <c r="Z37" s="5">
        <f t="shared" si="1"/>
        <v>16</v>
      </c>
      <c r="AA37" s="18">
        <f t="shared" si="4"/>
        <v>1000</v>
      </c>
      <c r="AB37" s="6"/>
    </row>
    <row r="38" spans="1:28" x14ac:dyDescent="0.25">
      <c r="A38" s="67" t="s">
        <v>163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/>
      <c r="L38" s="5"/>
      <c r="M38" s="5">
        <f t="shared" si="2"/>
        <v>20</v>
      </c>
      <c r="N38" s="5"/>
      <c r="O38" s="5">
        <f t="shared" si="3"/>
        <v>20</v>
      </c>
      <c r="P38" s="9">
        <f t="shared" si="5"/>
        <v>0.19</v>
      </c>
      <c r="Q38" s="9">
        <f t="shared" si="0"/>
        <v>0.19</v>
      </c>
      <c r="R38" s="9">
        <f t="shared" si="0"/>
        <v>0.19</v>
      </c>
      <c r="S38" s="5">
        <f>0+503</f>
        <v>503</v>
      </c>
      <c r="T38" s="5">
        <f>375+0</f>
        <v>375</v>
      </c>
      <c r="U38" s="5"/>
      <c r="V38" s="5"/>
      <c r="W38" s="7"/>
      <c r="X38" s="18">
        <f>5+19</f>
        <v>24</v>
      </c>
      <c r="Y38" s="18"/>
      <c r="Z38" s="5">
        <f t="shared" si="1"/>
        <v>24</v>
      </c>
      <c r="AA38" s="18">
        <f t="shared" si="4"/>
        <v>1000</v>
      </c>
      <c r="AB38" s="6"/>
    </row>
    <row r="39" spans="1:28" x14ac:dyDescent="0.25">
      <c r="A39" s="67" t="s">
        <v>164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/>
      <c r="L39" s="5"/>
      <c r="M39" s="5">
        <f t="shared" si="2"/>
        <v>20</v>
      </c>
      <c r="N39" s="5"/>
      <c r="O39" s="5">
        <f t="shared" si="3"/>
        <v>20</v>
      </c>
      <c r="P39" s="9">
        <f t="shared" si="5"/>
        <v>0.19</v>
      </c>
      <c r="Q39" s="9">
        <f t="shared" si="0"/>
        <v>0.19</v>
      </c>
      <c r="R39" s="9">
        <f t="shared" si="0"/>
        <v>0.19</v>
      </c>
      <c r="S39" s="18"/>
      <c r="T39" s="5">
        <f>0+500</f>
        <v>500</v>
      </c>
      <c r="U39" s="5"/>
      <c r="V39" s="5"/>
      <c r="W39" s="7"/>
      <c r="X39" s="18">
        <f t="shared" ref="X39:X44" si="6">4+4</f>
        <v>8</v>
      </c>
      <c r="Y39" s="18"/>
      <c r="Z39" s="5">
        <f t="shared" si="1"/>
        <v>8</v>
      </c>
      <c r="AA39" s="18">
        <f t="shared" si="4"/>
        <v>1000</v>
      </c>
      <c r="AB39" s="6"/>
    </row>
    <row r="40" spans="1:28" x14ac:dyDescent="0.25">
      <c r="A40" s="67" t="s">
        <v>165</v>
      </c>
      <c r="B40" s="15" t="s">
        <v>38</v>
      </c>
      <c r="C40" s="7"/>
      <c r="D40" s="7"/>
      <c r="E40" s="7"/>
      <c r="F40" s="7"/>
      <c r="G40" s="7"/>
      <c r="H40" s="7"/>
      <c r="I40" s="5"/>
      <c r="J40" s="5"/>
      <c r="K40" s="5"/>
      <c r="L40" s="5"/>
      <c r="M40" s="5">
        <f t="shared" si="2"/>
        <v>20</v>
      </c>
      <c r="N40" s="5"/>
      <c r="O40" s="5">
        <f t="shared" si="3"/>
        <v>20</v>
      </c>
      <c r="P40" s="9">
        <f t="shared" si="5"/>
        <v>0.19</v>
      </c>
      <c r="Q40" s="9">
        <f t="shared" si="0"/>
        <v>0.19</v>
      </c>
      <c r="R40" s="9">
        <f t="shared" si="0"/>
        <v>0.19</v>
      </c>
      <c r="S40" s="18"/>
      <c r="T40" s="5">
        <f>0+150</f>
        <v>150</v>
      </c>
      <c r="U40" s="5"/>
      <c r="V40" s="5"/>
      <c r="W40" s="7"/>
      <c r="X40" s="18">
        <f t="shared" si="6"/>
        <v>8</v>
      </c>
      <c r="Y40" s="18"/>
      <c r="Z40" s="5">
        <f t="shared" si="1"/>
        <v>8</v>
      </c>
      <c r="AA40" s="18">
        <f t="shared" si="4"/>
        <v>1000</v>
      </c>
      <c r="AB40" s="6"/>
    </row>
    <row r="41" spans="1:28" x14ac:dyDescent="0.25">
      <c r="A41" s="67" t="s">
        <v>166</v>
      </c>
      <c r="B41" s="15" t="s">
        <v>39</v>
      </c>
      <c r="C41" s="7"/>
      <c r="D41" s="7"/>
      <c r="E41" s="7"/>
      <c r="F41" s="7"/>
      <c r="G41" s="7"/>
      <c r="H41" s="7"/>
      <c r="I41" s="5"/>
      <c r="J41" s="5"/>
      <c r="K41" s="5"/>
      <c r="L41" s="5"/>
      <c r="M41" s="5">
        <f t="shared" si="2"/>
        <v>20</v>
      </c>
      <c r="N41" s="5"/>
      <c r="O41" s="5">
        <f t="shared" si="3"/>
        <v>20</v>
      </c>
      <c r="P41" s="9">
        <f t="shared" si="5"/>
        <v>0.19</v>
      </c>
      <c r="Q41" s="9">
        <f t="shared" si="0"/>
        <v>0.19</v>
      </c>
      <c r="R41" s="9">
        <f t="shared" si="0"/>
        <v>0.19</v>
      </c>
      <c r="S41" s="18"/>
      <c r="T41" s="5"/>
      <c r="U41" s="5"/>
      <c r="V41" s="5"/>
      <c r="W41" s="7"/>
      <c r="X41" s="18">
        <f t="shared" si="6"/>
        <v>8</v>
      </c>
      <c r="Y41" s="18"/>
      <c r="Z41" s="5">
        <f t="shared" si="1"/>
        <v>8</v>
      </c>
      <c r="AA41" s="18">
        <f t="shared" si="4"/>
        <v>1000</v>
      </c>
      <c r="AB41" s="6"/>
    </row>
    <row r="42" spans="1:28" x14ac:dyDescent="0.25">
      <c r="A42" s="67" t="s">
        <v>167</v>
      </c>
      <c r="B42" s="15" t="s">
        <v>40</v>
      </c>
      <c r="C42" s="7"/>
      <c r="D42" s="7"/>
      <c r="E42" s="7"/>
      <c r="F42" s="7"/>
      <c r="G42" s="7"/>
      <c r="H42" s="7"/>
      <c r="I42" s="5"/>
      <c r="J42" s="5"/>
      <c r="K42" s="5"/>
      <c r="L42" s="5"/>
      <c r="M42" s="5">
        <f t="shared" si="2"/>
        <v>20</v>
      </c>
      <c r="N42" s="5"/>
      <c r="O42" s="5">
        <f t="shared" si="3"/>
        <v>20</v>
      </c>
      <c r="P42" s="9">
        <f t="shared" si="5"/>
        <v>0.19</v>
      </c>
      <c r="Q42" s="9">
        <f>ROUNDUP(((500+395)/5280),2)</f>
        <v>0.17</v>
      </c>
      <c r="R42" s="9">
        <f t="shared" si="0"/>
        <v>0.19</v>
      </c>
      <c r="S42" s="18">
        <v>125</v>
      </c>
      <c r="T42" s="5"/>
      <c r="U42" s="5"/>
      <c r="V42" s="5">
        <v>2</v>
      </c>
      <c r="W42" s="7"/>
      <c r="X42" s="18">
        <f>4+8</f>
        <v>12</v>
      </c>
      <c r="Y42" s="18"/>
      <c r="Z42" s="5">
        <f t="shared" si="1"/>
        <v>12</v>
      </c>
      <c r="AA42" s="18">
        <f t="shared" ref="AA42:AA64" si="7">500+500</f>
        <v>1000</v>
      </c>
      <c r="AB42" s="6"/>
    </row>
    <row r="43" spans="1:28" x14ac:dyDescent="0.25">
      <c r="A43" s="67" t="s">
        <v>168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/>
      <c r="L43" s="5"/>
      <c r="M43" s="5">
        <f t="shared" ref="M43:M66" si="8">10+10</f>
        <v>20</v>
      </c>
      <c r="N43" s="5"/>
      <c r="O43" s="5">
        <f t="shared" ref="O43:O66" si="9">10+10</f>
        <v>20</v>
      </c>
      <c r="P43" s="9">
        <f t="shared" ref="P43:R65" si="10">ROUNDUP(((500+500)/5280),2)</f>
        <v>0.19</v>
      </c>
      <c r="Q43" s="9">
        <f t="shared" si="10"/>
        <v>0.19</v>
      </c>
      <c r="R43" s="9">
        <f t="shared" si="10"/>
        <v>0.19</v>
      </c>
      <c r="S43" s="18"/>
      <c r="T43" s="5"/>
      <c r="U43" s="5"/>
      <c r="V43" s="5"/>
      <c r="W43" s="7"/>
      <c r="X43" s="18">
        <f t="shared" si="6"/>
        <v>8</v>
      </c>
      <c r="Y43" s="18"/>
      <c r="Z43" s="5">
        <f t="shared" si="1"/>
        <v>8</v>
      </c>
      <c r="AA43" s="18">
        <f t="shared" si="7"/>
        <v>1000</v>
      </c>
      <c r="AB43" s="6"/>
    </row>
    <row r="44" spans="1:28" x14ac:dyDescent="0.25">
      <c r="A44" s="67" t="s">
        <v>169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/>
      <c r="L44" s="5"/>
      <c r="M44" s="5">
        <f t="shared" si="8"/>
        <v>20</v>
      </c>
      <c r="N44" s="5"/>
      <c r="O44" s="5">
        <f t="shared" si="9"/>
        <v>20</v>
      </c>
      <c r="P44" s="9">
        <f t="shared" si="10"/>
        <v>0.19</v>
      </c>
      <c r="Q44" s="9">
        <f t="shared" si="10"/>
        <v>0.19</v>
      </c>
      <c r="R44" s="9">
        <f t="shared" si="10"/>
        <v>0.19</v>
      </c>
      <c r="S44" s="18"/>
      <c r="T44" s="5"/>
      <c r="U44" s="5"/>
      <c r="V44" s="5"/>
      <c r="W44" s="7"/>
      <c r="X44" s="18">
        <f t="shared" si="6"/>
        <v>8</v>
      </c>
      <c r="Y44" s="18"/>
      <c r="Z44" s="5">
        <f t="shared" si="1"/>
        <v>8</v>
      </c>
      <c r="AA44" s="18">
        <f t="shared" si="7"/>
        <v>1000</v>
      </c>
      <c r="AB44" s="6"/>
    </row>
    <row r="45" spans="1:28" x14ac:dyDescent="0.25">
      <c r="A45" s="67" t="s">
        <v>170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/>
      <c r="L45" s="5"/>
      <c r="M45" s="5">
        <f t="shared" si="8"/>
        <v>20</v>
      </c>
      <c r="N45" s="5"/>
      <c r="O45" s="5">
        <f t="shared" si="9"/>
        <v>20</v>
      </c>
      <c r="P45" s="9">
        <f t="shared" si="10"/>
        <v>0.19</v>
      </c>
      <c r="Q45" s="9">
        <f t="shared" si="10"/>
        <v>0.19</v>
      </c>
      <c r="R45" s="9">
        <f t="shared" si="10"/>
        <v>0.19</v>
      </c>
      <c r="S45" s="18"/>
      <c r="T45" s="5"/>
      <c r="U45" s="5"/>
      <c r="V45" s="5"/>
      <c r="W45" s="7"/>
      <c r="X45" s="18">
        <f>5+5</f>
        <v>10</v>
      </c>
      <c r="Y45" s="18"/>
      <c r="Z45" s="5">
        <f t="shared" si="1"/>
        <v>10</v>
      </c>
      <c r="AA45" s="18">
        <f t="shared" si="7"/>
        <v>1000</v>
      </c>
      <c r="AB45" s="23"/>
    </row>
    <row r="46" spans="1:28" x14ac:dyDescent="0.25">
      <c r="A46" s="67" t="s">
        <v>171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/>
      <c r="L46" s="5"/>
      <c r="M46" s="5">
        <f t="shared" si="8"/>
        <v>20</v>
      </c>
      <c r="N46" s="5"/>
      <c r="O46" s="5">
        <f t="shared" si="9"/>
        <v>20</v>
      </c>
      <c r="P46" s="9">
        <f t="shared" si="10"/>
        <v>0.19</v>
      </c>
      <c r="Q46" s="9">
        <f t="shared" si="10"/>
        <v>0.19</v>
      </c>
      <c r="R46" s="9">
        <f t="shared" si="10"/>
        <v>0.19</v>
      </c>
      <c r="S46" s="18"/>
      <c r="T46" s="5"/>
      <c r="U46" s="5"/>
      <c r="V46" s="5"/>
      <c r="W46" s="7"/>
      <c r="X46" s="18">
        <f>4+4</f>
        <v>8</v>
      </c>
      <c r="Y46" s="18"/>
      <c r="Z46" s="5">
        <f t="shared" si="1"/>
        <v>8</v>
      </c>
      <c r="AA46" s="18">
        <f t="shared" si="7"/>
        <v>1000</v>
      </c>
      <c r="AB46" s="6"/>
    </row>
    <row r="47" spans="1:28" x14ac:dyDescent="0.25">
      <c r="A47" s="67" t="s">
        <v>172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/>
      <c r="L47" s="5"/>
      <c r="M47" s="5">
        <f t="shared" si="8"/>
        <v>20</v>
      </c>
      <c r="N47" s="5"/>
      <c r="O47" s="5">
        <f t="shared" si="9"/>
        <v>20</v>
      </c>
      <c r="P47" s="9">
        <f t="shared" si="10"/>
        <v>0.19</v>
      </c>
      <c r="Q47" s="9">
        <f t="shared" si="10"/>
        <v>0.19</v>
      </c>
      <c r="R47" s="9">
        <f t="shared" si="10"/>
        <v>0.19</v>
      </c>
      <c r="S47" s="18"/>
      <c r="T47" s="5"/>
      <c r="U47" s="5"/>
      <c r="V47" s="5"/>
      <c r="W47" s="7"/>
      <c r="X47" s="18">
        <f>4+4</f>
        <v>8</v>
      </c>
      <c r="Y47" s="18"/>
      <c r="Z47" s="5">
        <f t="shared" si="1"/>
        <v>8</v>
      </c>
      <c r="AA47" s="18">
        <f t="shared" si="7"/>
        <v>1000</v>
      </c>
      <c r="AB47" s="6"/>
    </row>
    <row r="48" spans="1:28" x14ac:dyDescent="0.25">
      <c r="A48" s="67" t="s">
        <v>173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/>
      <c r="L48" s="5"/>
      <c r="M48" s="5">
        <f t="shared" si="8"/>
        <v>20</v>
      </c>
      <c r="N48" s="5"/>
      <c r="O48" s="5">
        <f t="shared" si="9"/>
        <v>20</v>
      </c>
      <c r="P48" s="9">
        <f t="shared" si="10"/>
        <v>0.19</v>
      </c>
      <c r="Q48" s="9">
        <f t="shared" si="10"/>
        <v>0.19</v>
      </c>
      <c r="R48" s="9">
        <f t="shared" si="10"/>
        <v>0.19</v>
      </c>
      <c r="S48" s="18"/>
      <c r="T48" s="5"/>
      <c r="U48" s="5"/>
      <c r="V48" s="5"/>
      <c r="W48" s="7"/>
      <c r="X48" s="18">
        <f>4+4</f>
        <v>8</v>
      </c>
      <c r="Y48" s="18"/>
      <c r="Z48" s="5">
        <f t="shared" si="1"/>
        <v>8</v>
      </c>
      <c r="AA48" s="18">
        <f t="shared" si="7"/>
        <v>1000</v>
      </c>
      <c r="AB48" s="6"/>
    </row>
    <row r="49" spans="1:28" x14ac:dyDescent="0.25">
      <c r="A49" s="67" t="s">
        <v>174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/>
      <c r="L49" s="5"/>
      <c r="M49" s="5">
        <f t="shared" si="8"/>
        <v>20</v>
      </c>
      <c r="N49" s="5"/>
      <c r="O49" s="5">
        <f t="shared" si="9"/>
        <v>20</v>
      </c>
      <c r="P49" s="9">
        <f t="shared" si="10"/>
        <v>0.19</v>
      </c>
      <c r="Q49" s="9">
        <f t="shared" si="10"/>
        <v>0.19</v>
      </c>
      <c r="R49" s="9">
        <f t="shared" si="10"/>
        <v>0.19</v>
      </c>
      <c r="S49" s="18"/>
      <c r="T49" s="5"/>
      <c r="U49" s="5"/>
      <c r="V49" s="5"/>
      <c r="W49" s="7"/>
      <c r="X49" s="18">
        <f>4+4</f>
        <v>8</v>
      </c>
      <c r="Y49" s="18"/>
      <c r="Z49" s="5">
        <f t="shared" si="1"/>
        <v>8</v>
      </c>
      <c r="AA49" s="18">
        <f t="shared" si="7"/>
        <v>1000</v>
      </c>
      <c r="AB49" s="6"/>
    </row>
    <row r="50" spans="1:28" x14ac:dyDescent="0.25">
      <c r="A50" s="67" t="s">
        <v>175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/>
      <c r="L50" s="5"/>
      <c r="M50" s="5">
        <f t="shared" si="8"/>
        <v>20</v>
      </c>
      <c r="N50" s="5"/>
      <c r="O50" s="5">
        <f t="shared" si="9"/>
        <v>20</v>
      </c>
      <c r="P50" s="9">
        <f t="shared" si="10"/>
        <v>0.19</v>
      </c>
      <c r="Q50" s="9">
        <f t="shared" si="10"/>
        <v>0.19</v>
      </c>
      <c r="R50" s="9">
        <f t="shared" si="10"/>
        <v>0.19</v>
      </c>
      <c r="S50" s="18"/>
      <c r="T50" s="5"/>
      <c r="U50" s="5"/>
      <c r="V50" s="5"/>
      <c r="W50" s="7"/>
      <c r="X50" s="18">
        <f>4+4</f>
        <v>8</v>
      </c>
      <c r="Y50" s="18"/>
      <c r="Z50" s="5">
        <f t="shared" si="1"/>
        <v>8</v>
      </c>
      <c r="AA50" s="18">
        <f t="shared" si="7"/>
        <v>1000</v>
      </c>
      <c r="AB50" s="6"/>
    </row>
    <row r="51" spans="1:28" x14ac:dyDescent="0.25">
      <c r="A51" s="67" t="s">
        <v>176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/>
      <c r="L51" s="5"/>
      <c r="M51" s="5">
        <f t="shared" si="8"/>
        <v>20</v>
      </c>
      <c r="N51" s="5"/>
      <c r="O51" s="5">
        <f t="shared" si="9"/>
        <v>20</v>
      </c>
      <c r="P51" s="9">
        <f t="shared" si="10"/>
        <v>0.19</v>
      </c>
      <c r="Q51" s="9">
        <f t="shared" si="10"/>
        <v>0.19</v>
      </c>
      <c r="R51" s="9">
        <f t="shared" si="10"/>
        <v>0.19</v>
      </c>
      <c r="S51" s="18"/>
      <c r="T51" s="5"/>
      <c r="U51" s="5"/>
      <c r="V51" s="5"/>
      <c r="W51" s="7"/>
      <c r="X51" s="18">
        <f>5+5</f>
        <v>10</v>
      </c>
      <c r="Y51" s="18"/>
      <c r="Z51" s="5">
        <f t="shared" si="1"/>
        <v>10</v>
      </c>
      <c r="AA51" s="18">
        <f t="shared" si="7"/>
        <v>1000</v>
      </c>
      <c r="AB51" s="6"/>
    </row>
    <row r="52" spans="1:28" x14ac:dyDescent="0.25">
      <c r="A52" s="67" t="s">
        <v>177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/>
      <c r="L52" s="5"/>
      <c r="M52" s="5">
        <f t="shared" si="8"/>
        <v>20</v>
      </c>
      <c r="N52" s="5"/>
      <c r="O52" s="5">
        <f t="shared" si="9"/>
        <v>20</v>
      </c>
      <c r="P52" s="9">
        <f t="shared" si="10"/>
        <v>0.19</v>
      </c>
      <c r="Q52" s="9">
        <f t="shared" si="10"/>
        <v>0.19</v>
      </c>
      <c r="R52" s="9">
        <f t="shared" si="10"/>
        <v>0.19</v>
      </c>
      <c r="S52" s="18"/>
      <c r="T52" s="5"/>
      <c r="U52" s="5"/>
      <c r="V52" s="5"/>
      <c r="W52" s="7"/>
      <c r="X52" s="18">
        <f>4+4</f>
        <v>8</v>
      </c>
      <c r="Y52" s="18"/>
      <c r="Z52" s="5">
        <f t="shared" si="1"/>
        <v>8</v>
      </c>
      <c r="AA52" s="18">
        <f t="shared" si="7"/>
        <v>1000</v>
      </c>
      <c r="AB52" s="6"/>
    </row>
    <row r="53" spans="1:28" x14ac:dyDescent="0.25">
      <c r="A53" s="67" t="s">
        <v>178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/>
      <c r="L53" s="5"/>
      <c r="M53" s="5">
        <f t="shared" si="8"/>
        <v>20</v>
      </c>
      <c r="N53" s="5"/>
      <c r="O53" s="5">
        <f t="shared" si="9"/>
        <v>20</v>
      </c>
      <c r="P53" s="9">
        <f t="shared" si="10"/>
        <v>0.19</v>
      </c>
      <c r="Q53" s="9">
        <f t="shared" si="10"/>
        <v>0.19</v>
      </c>
      <c r="R53" s="9">
        <f t="shared" si="10"/>
        <v>0.19</v>
      </c>
      <c r="S53" s="18"/>
      <c r="T53" s="5"/>
      <c r="U53" s="5"/>
      <c r="V53" s="5"/>
      <c r="W53" s="7"/>
      <c r="X53" s="18">
        <f>4+4</f>
        <v>8</v>
      </c>
      <c r="Y53" s="18"/>
      <c r="Z53" s="5">
        <f t="shared" si="1"/>
        <v>8</v>
      </c>
      <c r="AA53" s="18">
        <f t="shared" si="7"/>
        <v>1000</v>
      </c>
      <c r="AB53" s="6"/>
    </row>
    <row r="54" spans="1:28" x14ac:dyDescent="0.25">
      <c r="A54" s="67" t="s">
        <v>179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/>
      <c r="L54" s="5"/>
      <c r="M54" s="5">
        <f t="shared" si="8"/>
        <v>20</v>
      </c>
      <c r="N54" s="5"/>
      <c r="O54" s="5">
        <f t="shared" si="9"/>
        <v>20</v>
      </c>
      <c r="P54" s="9">
        <f t="shared" si="10"/>
        <v>0.19</v>
      </c>
      <c r="Q54" s="9">
        <f t="shared" si="10"/>
        <v>0.19</v>
      </c>
      <c r="R54" s="9">
        <f t="shared" si="10"/>
        <v>0.19</v>
      </c>
      <c r="S54" s="18"/>
      <c r="T54" s="5"/>
      <c r="U54" s="5"/>
      <c r="V54" s="5"/>
      <c r="W54" s="7"/>
      <c r="X54" s="18">
        <f>4+4</f>
        <v>8</v>
      </c>
      <c r="Y54" s="18"/>
      <c r="Z54" s="5">
        <f t="shared" si="1"/>
        <v>8</v>
      </c>
      <c r="AA54" s="18">
        <f t="shared" si="7"/>
        <v>1000</v>
      </c>
      <c r="AB54" s="6"/>
    </row>
    <row r="55" spans="1:28" x14ac:dyDescent="0.25">
      <c r="A55" s="67" t="s">
        <v>180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/>
      <c r="L55" s="5"/>
      <c r="M55" s="5">
        <f t="shared" si="8"/>
        <v>20</v>
      </c>
      <c r="N55" s="5"/>
      <c r="O55" s="5">
        <f t="shared" si="9"/>
        <v>20</v>
      </c>
      <c r="P55" s="9">
        <f t="shared" si="10"/>
        <v>0.19</v>
      </c>
      <c r="Q55" s="9">
        <f t="shared" si="10"/>
        <v>0.19</v>
      </c>
      <c r="R55" s="9">
        <f t="shared" si="10"/>
        <v>0.19</v>
      </c>
      <c r="S55" s="18"/>
      <c r="T55" s="5"/>
      <c r="U55" s="5"/>
      <c r="V55" s="5"/>
      <c r="W55" s="7"/>
      <c r="X55" s="18">
        <f>4+4</f>
        <v>8</v>
      </c>
      <c r="Y55" s="18"/>
      <c r="Z55" s="5">
        <f t="shared" si="1"/>
        <v>8</v>
      </c>
      <c r="AA55" s="18">
        <f t="shared" si="7"/>
        <v>1000</v>
      </c>
      <c r="AB55" s="6"/>
    </row>
    <row r="56" spans="1:28" x14ac:dyDescent="0.25">
      <c r="A56" s="67" t="s">
        <v>181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/>
      <c r="L56" s="5"/>
      <c r="M56" s="5">
        <f t="shared" si="8"/>
        <v>20</v>
      </c>
      <c r="N56" s="5"/>
      <c r="O56" s="5">
        <f t="shared" si="9"/>
        <v>20</v>
      </c>
      <c r="P56" s="9">
        <f t="shared" si="10"/>
        <v>0.19</v>
      </c>
      <c r="Q56" s="9">
        <f t="shared" si="10"/>
        <v>0.19</v>
      </c>
      <c r="R56" s="9">
        <f t="shared" si="10"/>
        <v>0.19</v>
      </c>
      <c r="S56" s="18"/>
      <c r="T56" s="5"/>
      <c r="U56" s="5"/>
      <c r="V56" s="5"/>
      <c r="W56" s="7"/>
      <c r="X56" s="18">
        <f>5+5</f>
        <v>10</v>
      </c>
      <c r="Y56" s="18"/>
      <c r="Z56" s="5">
        <f t="shared" si="1"/>
        <v>10</v>
      </c>
      <c r="AA56" s="18">
        <f t="shared" si="7"/>
        <v>1000</v>
      </c>
      <c r="AB56" s="6"/>
    </row>
    <row r="57" spans="1:28" x14ac:dyDescent="0.25">
      <c r="A57" s="67" t="s">
        <v>182</v>
      </c>
      <c r="B57" s="20" t="s">
        <v>55</v>
      </c>
      <c r="C57" s="7"/>
      <c r="D57" s="7"/>
      <c r="E57" s="7"/>
      <c r="F57" s="7"/>
      <c r="G57" s="7"/>
      <c r="H57" s="7"/>
      <c r="I57" s="5">
        <f>300+300</f>
        <v>600</v>
      </c>
      <c r="J57" s="5"/>
      <c r="K57" s="5"/>
      <c r="L57" s="5"/>
      <c r="M57" s="5">
        <f t="shared" si="8"/>
        <v>20</v>
      </c>
      <c r="N57" s="5"/>
      <c r="O57" s="5">
        <f t="shared" si="9"/>
        <v>20</v>
      </c>
      <c r="P57" s="9">
        <f t="shared" si="10"/>
        <v>0.19</v>
      </c>
      <c r="Q57" s="9">
        <f t="shared" si="10"/>
        <v>0.19</v>
      </c>
      <c r="R57" s="9">
        <f t="shared" si="10"/>
        <v>0.19</v>
      </c>
      <c r="S57" s="18"/>
      <c r="T57" s="5"/>
      <c r="U57" s="5"/>
      <c r="V57" s="5"/>
      <c r="W57" s="7"/>
      <c r="X57" s="18">
        <f>4+4</f>
        <v>8</v>
      </c>
      <c r="Y57" s="18"/>
      <c r="Z57" s="5">
        <f t="shared" si="1"/>
        <v>8</v>
      </c>
      <c r="AA57" s="18">
        <f t="shared" si="7"/>
        <v>1000</v>
      </c>
      <c r="AB57" s="6"/>
    </row>
    <row r="58" spans="1:28" x14ac:dyDescent="0.25">
      <c r="A58" s="67" t="s">
        <v>183</v>
      </c>
      <c r="B58" s="20" t="s">
        <v>56</v>
      </c>
      <c r="C58" s="7"/>
      <c r="D58" s="7"/>
      <c r="E58" s="7"/>
      <c r="F58" s="7"/>
      <c r="G58" s="7"/>
      <c r="H58" s="7"/>
      <c r="I58" s="5"/>
      <c r="J58" s="5"/>
      <c r="K58" s="5"/>
      <c r="L58" s="5"/>
      <c r="M58" s="5">
        <f t="shared" si="8"/>
        <v>20</v>
      </c>
      <c r="N58" s="5"/>
      <c r="O58" s="5">
        <f t="shared" si="9"/>
        <v>20</v>
      </c>
      <c r="P58" s="9">
        <f t="shared" si="10"/>
        <v>0.19</v>
      </c>
      <c r="Q58" s="9">
        <f t="shared" si="10"/>
        <v>0.19</v>
      </c>
      <c r="R58" s="9">
        <f t="shared" si="10"/>
        <v>0.19</v>
      </c>
      <c r="S58" s="18"/>
      <c r="T58" s="5">
        <f>100</f>
        <v>100</v>
      </c>
      <c r="U58" s="5"/>
      <c r="V58" s="5"/>
      <c r="W58" s="7"/>
      <c r="X58" s="18">
        <f>4+4</f>
        <v>8</v>
      </c>
      <c r="Y58" s="18"/>
      <c r="Z58" s="5">
        <f t="shared" si="1"/>
        <v>8</v>
      </c>
      <c r="AA58" s="18">
        <f t="shared" si="7"/>
        <v>1000</v>
      </c>
      <c r="AB58" s="6"/>
    </row>
    <row r="59" spans="1:28" x14ac:dyDescent="0.25">
      <c r="A59" s="67" t="s">
        <v>184</v>
      </c>
      <c r="B59" s="20" t="s">
        <v>57</v>
      </c>
      <c r="C59" s="7"/>
      <c r="D59" s="7"/>
      <c r="E59" s="7"/>
      <c r="F59" s="7"/>
      <c r="G59" s="7"/>
      <c r="H59" s="7"/>
      <c r="I59" s="5"/>
      <c r="J59" s="5"/>
      <c r="K59" s="5"/>
      <c r="L59" s="5"/>
      <c r="M59" s="5">
        <f t="shared" si="8"/>
        <v>20</v>
      </c>
      <c r="N59" s="5"/>
      <c r="O59" s="5">
        <f t="shared" si="9"/>
        <v>20</v>
      </c>
      <c r="P59" s="9">
        <f t="shared" si="10"/>
        <v>0.19</v>
      </c>
      <c r="Q59" s="9">
        <f t="shared" si="10"/>
        <v>0.19</v>
      </c>
      <c r="R59" s="9">
        <f t="shared" si="10"/>
        <v>0.19</v>
      </c>
      <c r="S59" s="18"/>
      <c r="T59" s="5">
        <f>500+50</f>
        <v>550</v>
      </c>
      <c r="U59" s="5"/>
      <c r="V59" s="5"/>
      <c r="W59" s="7"/>
      <c r="X59" s="18">
        <f>4+4</f>
        <v>8</v>
      </c>
      <c r="Y59" s="18"/>
      <c r="Z59" s="5">
        <f t="shared" si="1"/>
        <v>8</v>
      </c>
      <c r="AA59" s="18">
        <f t="shared" si="7"/>
        <v>1000</v>
      </c>
      <c r="AB59" s="6"/>
    </row>
    <row r="60" spans="1:28" x14ac:dyDescent="0.25">
      <c r="A60" s="67" t="s">
        <v>185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/>
      <c r="L60" s="5"/>
      <c r="M60" s="5">
        <f t="shared" si="8"/>
        <v>20</v>
      </c>
      <c r="N60" s="5"/>
      <c r="O60" s="5">
        <f t="shared" si="9"/>
        <v>20</v>
      </c>
      <c r="P60" s="9">
        <f t="shared" si="10"/>
        <v>0.19</v>
      </c>
      <c r="Q60" s="9">
        <f t="shared" si="10"/>
        <v>0.19</v>
      </c>
      <c r="R60" s="9">
        <f t="shared" si="10"/>
        <v>0.19</v>
      </c>
      <c r="S60" s="5">
        <f>400+0</f>
        <v>400</v>
      </c>
      <c r="T60" s="5">
        <f>300+500</f>
        <v>800</v>
      </c>
      <c r="U60" s="5"/>
      <c r="V60" s="5"/>
      <c r="W60" s="7"/>
      <c r="X60" s="18">
        <f>14+4</f>
        <v>18</v>
      </c>
      <c r="Y60" s="18"/>
      <c r="Z60" s="5">
        <f t="shared" si="1"/>
        <v>18</v>
      </c>
      <c r="AA60" s="18">
        <f t="shared" si="7"/>
        <v>1000</v>
      </c>
      <c r="AB60" s="6"/>
    </row>
    <row r="61" spans="1:28" x14ac:dyDescent="0.25">
      <c r="A61" s="67" t="s">
        <v>186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/>
      <c r="L61" s="5"/>
      <c r="M61" s="5">
        <f t="shared" si="8"/>
        <v>20</v>
      </c>
      <c r="N61" s="5"/>
      <c r="O61" s="5">
        <f t="shared" si="9"/>
        <v>20</v>
      </c>
      <c r="P61" s="9">
        <f t="shared" si="10"/>
        <v>0.19</v>
      </c>
      <c r="Q61" s="9">
        <f t="shared" si="10"/>
        <v>0.19</v>
      </c>
      <c r="R61" s="9">
        <f t="shared" si="10"/>
        <v>0.19</v>
      </c>
      <c r="S61" s="5">
        <f>442+432</f>
        <v>874</v>
      </c>
      <c r="T61" s="5">
        <f>0+50</f>
        <v>50</v>
      </c>
      <c r="U61" s="5"/>
      <c r="V61" s="5"/>
      <c r="W61" s="7"/>
      <c r="X61" s="18">
        <f>16+16</f>
        <v>32</v>
      </c>
      <c r="Y61" s="18"/>
      <c r="Z61" s="5">
        <f t="shared" si="1"/>
        <v>32</v>
      </c>
      <c r="AA61" s="18">
        <f t="shared" si="7"/>
        <v>1000</v>
      </c>
      <c r="AB61" s="6"/>
    </row>
    <row r="62" spans="1:28" x14ac:dyDescent="0.25">
      <c r="A62" s="67" t="s">
        <v>187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/>
      <c r="L62" s="5"/>
      <c r="M62" s="5">
        <f t="shared" si="8"/>
        <v>20</v>
      </c>
      <c r="N62" s="5"/>
      <c r="O62" s="5">
        <f t="shared" si="9"/>
        <v>20</v>
      </c>
      <c r="P62" s="9">
        <f t="shared" si="10"/>
        <v>0.19</v>
      </c>
      <c r="Q62" s="9">
        <f t="shared" si="10"/>
        <v>0.19</v>
      </c>
      <c r="R62" s="9">
        <f t="shared" si="10"/>
        <v>0.19</v>
      </c>
      <c r="S62" s="5">
        <f>0+58</f>
        <v>58</v>
      </c>
      <c r="T62" s="5"/>
      <c r="U62" s="5"/>
      <c r="V62" s="5"/>
      <c r="W62" s="7"/>
      <c r="X62" s="18">
        <f>5+7</f>
        <v>12</v>
      </c>
      <c r="Y62" s="18"/>
      <c r="Z62" s="5">
        <f t="shared" si="1"/>
        <v>12</v>
      </c>
      <c r="AA62" s="18">
        <f t="shared" si="7"/>
        <v>1000</v>
      </c>
      <c r="AB62" s="6"/>
    </row>
    <row r="63" spans="1:28" x14ac:dyDescent="0.25">
      <c r="A63" s="67" t="s">
        <v>188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/>
      <c r="L63" s="5"/>
      <c r="M63" s="5">
        <f t="shared" si="8"/>
        <v>20</v>
      </c>
      <c r="N63" s="5"/>
      <c r="O63" s="5">
        <f t="shared" si="9"/>
        <v>20</v>
      </c>
      <c r="P63" s="9">
        <f t="shared" si="10"/>
        <v>0.19</v>
      </c>
      <c r="Q63" s="9">
        <f t="shared" si="10"/>
        <v>0.19</v>
      </c>
      <c r="R63" s="9">
        <f t="shared" si="10"/>
        <v>0.19</v>
      </c>
      <c r="S63" s="5">
        <f>0+200</f>
        <v>200</v>
      </c>
      <c r="T63" s="5">
        <f>0+400</f>
        <v>400</v>
      </c>
      <c r="U63" s="5"/>
      <c r="V63" s="5"/>
      <c r="W63" s="7"/>
      <c r="X63" s="18">
        <f>4+10</f>
        <v>14</v>
      </c>
      <c r="Y63" s="18"/>
      <c r="Z63" s="5">
        <f t="shared" si="1"/>
        <v>14</v>
      </c>
      <c r="AA63" s="18">
        <f t="shared" si="7"/>
        <v>1000</v>
      </c>
      <c r="AB63" s="6"/>
    </row>
    <row r="64" spans="1:28" x14ac:dyDescent="0.25">
      <c r="A64" s="67" t="s">
        <v>189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/>
      <c r="L64" s="5"/>
      <c r="M64" s="5">
        <f t="shared" si="8"/>
        <v>20</v>
      </c>
      <c r="N64" s="5"/>
      <c r="O64" s="5">
        <f t="shared" si="9"/>
        <v>20</v>
      </c>
      <c r="P64" s="9">
        <f t="shared" si="10"/>
        <v>0.19</v>
      </c>
      <c r="Q64" s="9">
        <f t="shared" si="10"/>
        <v>0.19</v>
      </c>
      <c r="R64" s="9">
        <f t="shared" si="10"/>
        <v>0.19</v>
      </c>
      <c r="S64" s="18"/>
      <c r="T64" s="5">
        <f>0+500</f>
        <v>500</v>
      </c>
      <c r="U64" s="5"/>
      <c r="V64" s="5"/>
      <c r="W64" s="7"/>
      <c r="X64" s="18">
        <f>4+4</f>
        <v>8</v>
      </c>
      <c r="Y64" s="18"/>
      <c r="Z64" s="5">
        <f t="shared" si="1"/>
        <v>8</v>
      </c>
      <c r="AA64" s="18">
        <f t="shared" si="7"/>
        <v>1000</v>
      </c>
      <c r="AB64" s="6"/>
    </row>
    <row r="65" spans="1:28" x14ac:dyDescent="0.25">
      <c r="A65" s="67" t="s">
        <v>190</v>
      </c>
      <c r="B65" s="20" t="s">
        <v>63</v>
      </c>
      <c r="C65" s="7"/>
      <c r="D65" s="7"/>
      <c r="E65" s="7"/>
      <c r="F65" s="7"/>
      <c r="G65" s="7"/>
      <c r="H65" s="7"/>
      <c r="I65" s="5">
        <f>204</f>
        <v>204</v>
      </c>
      <c r="J65" s="5">
        <v>1</v>
      </c>
      <c r="K65" s="5"/>
      <c r="L65" s="5"/>
      <c r="M65" s="5">
        <f t="shared" si="8"/>
        <v>20</v>
      </c>
      <c r="N65" s="5"/>
      <c r="O65" s="5">
        <f t="shared" si="9"/>
        <v>20</v>
      </c>
      <c r="P65" s="9">
        <f>ROUNDUP(((150+100)/5280),2)</f>
        <v>0.05</v>
      </c>
      <c r="Q65" s="9">
        <f t="shared" si="10"/>
        <v>0.19</v>
      </c>
      <c r="R65" s="9">
        <f t="shared" si="10"/>
        <v>0.19</v>
      </c>
      <c r="S65" s="18">
        <f>610+400</f>
        <v>1010</v>
      </c>
      <c r="T65" s="5">
        <f>0+400</f>
        <v>400</v>
      </c>
      <c r="U65" s="5"/>
      <c r="V65" s="5"/>
      <c r="W65" s="7"/>
      <c r="X65" s="18">
        <f>39+28</f>
        <v>67</v>
      </c>
      <c r="Y65" s="18">
        <f>18+20</f>
        <v>38</v>
      </c>
      <c r="Z65" s="5">
        <f t="shared" si="1"/>
        <v>105</v>
      </c>
      <c r="AA65" s="18">
        <f>204+400</f>
        <v>604</v>
      </c>
      <c r="AB65" s="6"/>
    </row>
    <row r="66" spans="1:28" x14ac:dyDescent="0.25">
      <c r="A66" s="67" t="s">
        <v>191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/>
      <c r="L66" s="5"/>
      <c r="M66" s="5">
        <f t="shared" si="8"/>
        <v>20</v>
      </c>
      <c r="N66" s="5"/>
      <c r="O66" s="5">
        <f t="shared" si="9"/>
        <v>20</v>
      </c>
      <c r="P66" s="9"/>
      <c r="Q66" s="9">
        <f>ROUNDUP(((500+400)/5280),2)</f>
        <v>0.18000000000000002</v>
      </c>
      <c r="R66" s="9">
        <f>ROUNDUP(((500+400)/5280),2)</f>
        <v>0.18000000000000002</v>
      </c>
      <c r="S66" s="18">
        <f>700+400</f>
        <v>1100</v>
      </c>
      <c r="T66" s="5">
        <f>400+0</f>
        <v>400</v>
      </c>
      <c r="U66" s="5"/>
      <c r="V66" s="5"/>
      <c r="W66" s="7"/>
      <c r="X66" s="18">
        <f>31+50</f>
        <v>81</v>
      </c>
      <c r="Y66" s="18">
        <f>20+20</f>
        <v>40</v>
      </c>
      <c r="Z66" s="5">
        <f t="shared" si="1"/>
        <v>121</v>
      </c>
      <c r="AA66" s="18"/>
      <c r="AB66" s="6"/>
    </row>
    <row r="67" spans="1:28" x14ac:dyDescent="0.25">
      <c r="A67" s="67" t="s">
        <v>192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/>
      <c r="Q67" s="9">
        <f>ROUNDUP(((200+0)/5280),2)</f>
        <v>0.04</v>
      </c>
      <c r="R67" s="9">
        <f>ROUNDUP(((200+0)/5280),2)</f>
        <v>0.04</v>
      </c>
      <c r="S67" s="18">
        <f>500+200</f>
        <v>700</v>
      </c>
      <c r="T67" s="5">
        <f>200+0</f>
        <v>200</v>
      </c>
      <c r="U67" s="5"/>
      <c r="V67" s="5"/>
      <c r="W67" s="7"/>
      <c r="X67" s="18">
        <f>25+20</f>
        <v>45</v>
      </c>
      <c r="Y67" s="18">
        <f>25+10</f>
        <v>35</v>
      </c>
      <c r="Z67" s="5">
        <f t="shared" si="1"/>
        <v>80</v>
      </c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5"/>
      <c r="U68" s="5"/>
      <c r="V68" s="5"/>
      <c r="W68" s="7"/>
      <c r="X68" s="18"/>
      <c r="Y68" s="18"/>
      <c r="Z68" s="5"/>
      <c r="AA68" s="18"/>
      <c r="AB68" s="6"/>
    </row>
    <row r="69" spans="1:28" x14ac:dyDescent="0.25">
      <c r="A69" s="111" t="s">
        <v>90</v>
      </c>
      <c r="B69" s="75"/>
      <c r="C69" s="18">
        <f>SUM(C20:C68)</f>
        <v>0</v>
      </c>
      <c r="D69" s="18">
        <f t="shared" ref="D69:H69" si="11">SUM(D20:D68)</f>
        <v>0</v>
      </c>
      <c r="E69" s="18">
        <f t="shared" si="11"/>
        <v>0</v>
      </c>
      <c r="F69" s="18">
        <f t="shared" si="11"/>
        <v>0</v>
      </c>
      <c r="G69" s="18"/>
      <c r="H69" s="18">
        <f t="shared" si="11"/>
        <v>0</v>
      </c>
      <c r="I69" s="18">
        <f t="shared" ref="I69:AB69" si="12">SUM(I20:I68)</f>
        <v>2208</v>
      </c>
      <c r="J69" s="18">
        <f t="shared" si="12"/>
        <v>2</v>
      </c>
      <c r="K69" s="18">
        <f t="shared" si="12"/>
        <v>0</v>
      </c>
      <c r="L69" s="18">
        <f t="shared" si="12"/>
        <v>0</v>
      </c>
      <c r="M69" s="18">
        <f t="shared" si="12"/>
        <v>897</v>
      </c>
      <c r="N69" s="18">
        <f t="shared" si="12"/>
        <v>0</v>
      </c>
      <c r="O69" s="18">
        <f t="shared" si="12"/>
        <v>896</v>
      </c>
      <c r="P69" s="9">
        <f t="shared" si="12"/>
        <v>7.920000000000007</v>
      </c>
      <c r="Q69" s="9">
        <f t="shared" si="12"/>
        <v>8.5600000000000058</v>
      </c>
      <c r="R69" s="9">
        <f t="shared" si="12"/>
        <v>8.5800000000000054</v>
      </c>
      <c r="S69" s="18">
        <f t="shared" si="12"/>
        <v>9125</v>
      </c>
      <c r="T69" s="18">
        <f t="shared" ref="T69" si="13">SUM(T20:T68)</f>
        <v>7850</v>
      </c>
      <c r="U69" s="18"/>
      <c r="V69" s="18">
        <f t="shared" si="12"/>
        <v>2</v>
      </c>
      <c r="W69" s="18">
        <f t="shared" si="12"/>
        <v>0</v>
      </c>
      <c r="X69" s="18">
        <f t="shared" si="12"/>
        <v>877</v>
      </c>
      <c r="Y69" s="18">
        <f t="shared" si="12"/>
        <v>225</v>
      </c>
      <c r="Z69" s="5">
        <f t="shared" si="12"/>
        <v>1102</v>
      </c>
      <c r="AA69" s="29">
        <f t="shared" si="12"/>
        <v>43408</v>
      </c>
      <c r="AB69" s="59">
        <f t="shared" si="12"/>
        <v>0</v>
      </c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18"/>
      <c r="U70" s="18"/>
      <c r="V70" s="18"/>
      <c r="W70" s="7"/>
      <c r="X70" s="18"/>
      <c r="Y70" s="18"/>
      <c r="Z70" s="5"/>
      <c r="AA70" s="18"/>
      <c r="AB70" s="6"/>
    </row>
    <row r="71" spans="1:28" x14ac:dyDescent="0.25">
      <c r="A71" s="111" t="s">
        <v>91</v>
      </c>
      <c r="B71" s="75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>
        <f>P69</f>
        <v>7.920000000000007</v>
      </c>
      <c r="Q71" s="9">
        <f t="shared" ref="Q71:V71" si="14">Q69</f>
        <v>8.5600000000000058</v>
      </c>
      <c r="R71" s="9">
        <f t="shared" si="14"/>
        <v>8.5800000000000054</v>
      </c>
      <c r="S71" s="18">
        <f t="shared" si="14"/>
        <v>9125</v>
      </c>
      <c r="T71" s="18">
        <f t="shared" ref="T71" si="15">T69</f>
        <v>7850</v>
      </c>
      <c r="U71" s="18"/>
      <c r="V71" s="18">
        <f t="shared" si="14"/>
        <v>2</v>
      </c>
      <c r="W71" s="7"/>
      <c r="X71" s="18"/>
      <c r="Y71" s="18"/>
      <c r="Z71" s="5"/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/>
      <c r="R72" s="9"/>
      <c r="S72" s="18"/>
      <c r="T72" s="5"/>
      <c r="U72" s="5"/>
      <c r="V72" s="5"/>
      <c r="W72" s="7"/>
      <c r="X72" s="18"/>
      <c r="Y72" s="18"/>
      <c r="Z72" s="5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5"/>
      <c r="U73" s="5"/>
      <c r="V73" s="5"/>
      <c r="W73" s="7"/>
      <c r="X73" s="18"/>
      <c r="Y73" s="18"/>
      <c r="Z73" s="5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5"/>
      <c r="U74" s="5"/>
      <c r="V74" s="5"/>
      <c r="W74" s="7"/>
      <c r="X74" s="18"/>
      <c r="Y74" s="18"/>
      <c r="Z74" s="5"/>
      <c r="AA74" s="18"/>
      <c r="AB74" s="6"/>
    </row>
    <row r="75" spans="1:28" ht="18.95" customHeight="1" x14ac:dyDescent="0.25">
      <c r="A75" s="85" t="s">
        <v>494</v>
      </c>
      <c r="B75" s="86"/>
      <c r="C75" s="11">
        <f>SUM(C69:C74)</f>
        <v>0</v>
      </c>
      <c r="D75" s="11">
        <f t="shared" ref="D75:H75" si="16">SUM(D69:D74)</f>
        <v>0</v>
      </c>
      <c r="E75" s="11">
        <f t="shared" si="16"/>
        <v>0</v>
      </c>
      <c r="F75" s="11">
        <f t="shared" si="16"/>
        <v>0</v>
      </c>
      <c r="G75" s="11"/>
      <c r="H75" s="11">
        <f t="shared" si="16"/>
        <v>0</v>
      </c>
      <c r="I75" s="11">
        <f t="shared" ref="I75:AB75" si="17">SUM(I69:I74)</f>
        <v>2208</v>
      </c>
      <c r="J75" s="11">
        <f t="shared" si="17"/>
        <v>2</v>
      </c>
      <c r="K75" s="11">
        <f t="shared" si="17"/>
        <v>0</v>
      </c>
      <c r="L75" s="11">
        <f t="shared" si="17"/>
        <v>0</v>
      </c>
      <c r="M75" s="11">
        <f t="shared" si="17"/>
        <v>897</v>
      </c>
      <c r="N75" s="11">
        <f t="shared" si="17"/>
        <v>0</v>
      </c>
      <c r="O75" s="11">
        <f t="shared" si="17"/>
        <v>896</v>
      </c>
      <c r="P75" s="24">
        <f t="shared" si="17"/>
        <v>15.840000000000014</v>
      </c>
      <c r="Q75" s="24">
        <f t="shared" si="17"/>
        <v>17.120000000000012</v>
      </c>
      <c r="R75" s="24">
        <f t="shared" si="17"/>
        <v>17.160000000000011</v>
      </c>
      <c r="S75" s="12">
        <f t="shared" si="17"/>
        <v>18250</v>
      </c>
      <c r="T75" s="12">
        <f t="shared" ref="T75" si="18">SUM(T69:T74)</f>
        <v>15700</v>
      </c>
      <c r="U75" s="12">
        <f t="shared" si="17"/>
        <v>0</v>
      </c>
      <c r="V75" s="11">
        <f t="shared" si="17"/>
        <v>4</v>
      </c>
      <c r="W75" s="11">
        <f t="shared" si="17"/>
        <v>0</v>
      </c>
      <c r="X75" s="11">
        <f t="shared" si="17"/>
        <v>877</v>
      </c>
      <c r="Y75" s="11">
        <f t="shared" si="17"/>
        <v>225</v>
      </c>
      <c r="Z75" s="69">
        <f t="shared" si="17"/>
        <v>1102</v>
      </c>
      <c r="AA75" s="12">
        <f t="shared" si="17"/>
        <v>43408</v>
      </c>
      <c r="AB75" s="61">
        <f t="shared" si="17"/>
        <v>0</v>
      </c>
    </row>
  </sheetData>
  <mergeCells count="31">
    <mergeCell ref="A75:B75"/>
    <mergeCell ref="S2:S18"/>
    <mergeCell ref="AB2:AB18"/>
    <mergeCell ref="Q2:Q18"/>
    <mergeCell ref="R2:R18"/>
    <mergeCell ref="W2:W18"/>
    <mergeCell ref="AA2:AA18"/>
    <mergeCell ref="P2:P18"/>
    <mergeCell ref="C2:C18"/>
    <mergeCell ref="I2:I18"/>
    <mergeCell ref="N2:N18"/>
    <mergeCell ref="O2:O18"/>
    <mergeCell ref="J2:J18"/>
    <mergeCell ref="K2:K18"/>
    <mergeCell ref="X2:X18"/>
    <mergeCell ref="A69:B69"/>
    <mergeCell ref="A71:B71"/>
    <mergeCell ref="Y2:Y18"/>
    <mergeCell ref="Z2:Z18"/>
    <mergeCell ref="V2:V18"/>
    <mergeCell ref="A1:A19"/>
    <mergeCell ref="B1:B19"/>
    <mergeCell ref="L2:L18"/>
    <mergeCell ref="M2:M18"/>
    <mergeCell ref="U2:U18"/>
    <mergeCell ref="D2:D18"/>
    <mergeCell ref="E2:E18"/>
    <mergeCell ref="F2:F18"/>
    <mergeCell ref="H2:H18"/>
    <mergeCell ref="T2:T18"/>
    <mergeCell ref="G2:G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492BC-AF2F-45E7-9500-B93BDA8C1B5F}">
  <dimension ref="A1:AB75"/>
  <sheetViews>
    <sheetView showZeros="0" topLeftCell="A33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1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112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105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105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105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105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105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105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105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105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105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105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105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105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105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105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105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106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68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114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68"/>
      <c r="AA20" s="18"/>
      <c r="AB20" s="6"/>
    </row>
    <row r="21" spans="1:28" x14ac:dyDescent="0.25">
      <c r="A21" s="67" t="s">
        <v>193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>
        <f>300+225</f>
        <v>525</v>
      </c>
      <c r="T21" s="5"/>
      <c r="U21" s="5"/>
      <c r="V21" s="5"/>
      <c r="W21" s="7"/>
      <c r="X21" s="18">
        <f>0+24</f>
        <v>24</v>
      </c>
      <c r="Y21" s="18">
        <f>0+12</f>
        <v>12</v>
      </c>
      <c r="Z21" s="18">
        <f>SUM(X21:Y21)</f>
        <v>36</v>
      </c>
      <c r="AA21" s="18"/>
      <c r="AB21" s="6"/>
    </row>
    <row r="22" spans="1:28" x14ac:dyDescent="0.25">
      <c r="A22" s="67" t="s">
        <v>194</v>
      </c>
      <c r="B22" s="15" t="s">
        <v>20</v>
      </c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9"/>
      <c r="Q22" s="9">
        <f t="shared" ref="Q22:R42" si="0">ROUNDUP(((500+500)/5280),2)</f>
        <v>0.19</v>
      </c>
      <c r="R22" s="9">
        <f t="shared" si="0"/>
        <v>0.19</v>
      </c>
      <c r="S22" s="18">
        <f>500+975</f>
        <v>1475</v>
      </c>
      <c r="T22" s="5"/>
      <c r="U22" s="5"/>
      <c r="V22" s="5"/>
      <c r="W22" s="7"/>
      <c r="X22" s="18">
        <f>0+61</f>
        <v>61</v>
      </c>
      <c r="Y22" s="18">
        <f>0+25</f>
        <v>25</v>
      </c>
      <c r="Z22" s="18">
        <f t="shared" ref="Z22:Z72" si="1">SUM(X22:Y22)</f>
        <v>86</v>
      </c>
      <c r="AA22" s="18"/>
      <c r="AB22" s="6"/>
    </row>
    <row r="23" spans="1:28" x14ac:dyDescent="0.25">
      <c r="A23" s="67" t="s">
        <v>195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25">
        <f>0+10</f>
        <v>10</v>
      </c>
      <c r="N23" s="5"/>
      <c r="O23" s="5"/>
      <c r="P23" s="9">
        <f>ROUNDUP(((200+0)/5280),2)</f>
        <v>0.04</v>
      </c>
      <c r="Q23" s="9">
        <f t="shared" si="0"/>
        <v>0.19</v>
      </c>
      <c r="R23" s="9">
        <f t="shared" si="0"/>
        <v>0.19</v>
      </c>
      <c r="S23" s="18">
        <f>300+1000</f>
        <v>1300</v>
      </c>
      <c r="T23" s="5"/>
      <c r="U23" s="5"/>
      <c r="V23" s="5"/>
      <c r="W23" s="7"/>
      <c r="X23" s="18">
        <f>0+75</f>
        <v>75</v>
      </c>
      <c r="Y23" s="18">
        <f>0+25</f>
        <v>25</v>
      </c>
      <c r="Z23" s="18">
        <f t="shared" si="1"/>
        <v>100</v>
      </c>
      <c r="AA23" s="18"/>
      <c r="AB23" s="6">
        <f t="shared" ref="AB23:AB38" si="2">500+0</f>
        <v>500</v>
      </c>
    </row>
    <row r="24" spans="1:28" x14ac:dyDescent="0.25">
      <c r="A24" s="67" t="s">
        <v>196</v>
      </c>
      <c r="B24" s="15" t="s">
        <v>22</v>
      </c>
      <c r="C24" s="7"/>
      <c r="D24" s="7"/>
      <c r="E24" s="7"/>
      <c r="F24" s="7"/>
      <c r="G24" s="7"/>
      <c r="H24" s="7"/>
      <c r="I24" s="5">
        <f>0+204</f>
        <v>204</v>
      </c>
      <c r="J24" s="5">
        <v>1</v>
      </c>
      <c r="K24" s="5"/>
      <c r="L24" s="5"/>
      <c r="M24" s="5">
        <f>0+17</f>
        <v>17</v>
      </c>
      <c r="N24" s="5">
        <f>0+4</f>
        <v>4</v>
      </c>
      <c r="O24" s="5">
        <f>0+6</f>
        <v>6</v>
      </c>
      <c r="P24" s="9">
        <f t="shared" ref="P24:P38" si="3">ROUNDUP(((500+0)/5280),2)</f>
        <v>9.9999999999999992E-2</v>
      </c>
      <c r="Q24" s="9">
        <f>ROUNDUP(((500+600)/5280),2)</f>
        <v>0.21000000000000002</v>
      </c>
      <c r="R24" s="9">
        <f t="shared" si="0"/>
        <v>0.19</v>
      </c>
      <c r="S24" s="18">
        <f>0+900</f>
        <v>900</v>
      </c>
      <c r="T24" s="5"/>
      <c r="U24" s="5"/>
      <c r="V24" s="5"/>
      <c r="W24" s="7"/>
      <c r="X24" s="18">
        <f>0+33</f>
        <v>33</v>
      </c>
      <c r="Y24" s="18">
        <f>0+11</f>
        <v>11</v>
      </c>
      <c r="Z24" s="18">
        <f t="shared" si="1"/>
        <v>44</v>
      </c>
      <c r="AA24" s="18">
        <f>0+304</f>
        <v>304</v>
      </c>
      <c r="AB24" s="6">
        <f t="shared" si="2"/>
        <v>500</v>
      </c>
    </row>
    <row r="25" spans="1:28" x14ac:dyDescent="0.25">
      <c r="A25" s="67" t="s">
        <v>197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>
        <f t="shared" ref="M25:N40" si="4">0+20</f>
        <v>20</v>
      </c>
      <c r="N25" s="5">
        <f>0+20</f>
        <v>20</v>
      </c>
      <c r="O25" s="5">
        <f t="shared" ref="O25:O32" si="5">0+10</f>
        <v>10</v>
      </c>
      <c r="P25" s="9">
        <f t="shared" si="3"/>
        <v>9.9999999999999992E-2</v>
      </c>
      <c r="Q25" s="9">
        <f t="shared" ref="Q25:Q38" si="6">ROUNDUP(((500+1500)/5280),2)</f>
        <v>0.38</v>
      </c>
      <c r="R25" s="9">
        <f t="shared" si="0"/>
        <v>0.19</v>
      </c>
      <c r="S25" s="18"/>
      <c r="T25" s="5"/>
      <c r="U25" s="5"/>
      <c r="V25" s="5"/>
      <c r="W25" s="7"/>
      <c r="X25" s="18"/>
      <c r="Y25" s="18"/>
      <c r="Z25" s="18">
        <f t="shared" si="1"/>
        <v>0</v>
      </c>
      <c r="AA25" s="18">
        <f t="shared" ref="AA25:AA32" si="7">0+500</f>
        <v>500</v>
      </c>
      <c r="AB25" s="6">
        <f t="shared" si="2"/>
        <v>500</v>
      </c>
    </row>
    <row r="26" spans="1:28" x14ac:dyDescent="0.25">
      <c r="A26" s="67" t="s">
        <v>198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>
        <f t="shared" si="4"/>
        <v>20</v>
      </c>
      <c r="N26" s="5">
        <f>0+20</f>
        <v>20</v>
      </c>
      <c r="O26" s="5">
        <f t="shared" si="5"/>
        <v>10</v>
      </c>
      <c r="P26" s="9">
        <f t="shared" si="3"/>
        <v>9.9999999999999992E-2</v>
      </c>
      <c r="Q26" s="9">
        <f t="shared" si="6"/>
        <v>0.38</v>
      </c>
      <c r="R26" s="9">
        <f t="shared" si="0"/>
        <v>0.19</v>
      </c>
      <c r="S26" s="18"/>
      <c r="T26" s="5"/>
      <c r="U26" s="5"/>
      <c r="V26" s="5"/>
      <c r="W26" s="7"/>
      <c r="X26" s="18"/>
      <c r="Y26" s="18"/>
      <c r="Z26" s="18">
        <f t="shared" si="1"/>
        <v>0</v>
      </c>
      <c r="AA26" s="18">
        <f t="shared" si="7"/>
        <v>500</v>
      </c>
      <c r="AB26" s="6">
        <f t="shared" si="2"/>
        <v>500</v>
      </c>
    </row>
    <row r="27" spans="1:28" x14ac:dyDescent="0.25">
      <c r="A27" s="67" t="s">
        <v>199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>
        <f t="shared" si="4"/>
        <v>20</v>
      </c>
      <c r="N27" s="5">
        <f t="shared" si="4"/>
        <v>20</v>
      </c>
      <c r="O27" s="5">
        <f t="shared" si="5"/>
        <v>10</v>
      </c>
      <c r="P27" s="9">
        <f t="shared" si="3"/>
        <v>9.9999999999999992E-2</v>
      </c>
      <c r="Q27" s="9">
        <f t="shared" si="6"/>
        <v>0.38</v>
      </c>
      <c r="R27" s="9">
        <f t="shared" si="0"/>
        <v>0.19</v>
      </c>
      <c r="S27" s="18"/>
      <c r="T27" s="5">
        <f>200+0</f>
        <v>200</v>
      </c>
      <c r="U27" s="5"/>
      <c r="V27" s="5"/>
      <c r="W27" s="7"/>
      <c r="X27" s="18"/>
      <c r="Y27" s="18"/>
      <c r="Z27" s="18">
        <f t="shared" si="1"/>
        <v>0</v>
      </c>
      <c r="AA27" s="18">
        <f t="shared" si="7"/>
        <v>500</v>
      </c>
      <c r="AB27" s="6">
        <f t="shared" si="2"/>
        <v>500</v>
      </c>
    </row>
    <row r="28" spans="1:28" x14ac:dyDescent="0.25">
      <c r="A28" s="67" t="s">
        <v>200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/>
      <c r="L28" s="5"/>
      <c r="M28" s="5">
        <f t="shared" si="4"/>
        <v>20</v>
      </c>
      <c r="N28" s="5">
        <f t="shared" si="4"/>
        <v>20</v>
      </c>
      <c r="O28" s="5">
        <f t="shared" si="5"/>
        <v>10</v>
      </c>
      <c r="P28" s="9">
        <f t="shared" si="3"/>
        <v>9.9999999999999992E-2</v>
      </c>
      <c r="Q28" s="9">
        <f t="shared" si="6"/>
        <v>0.38</v>
      </c>
      <c r="R28" s="9">
        <f t="shared" si="0"/>
        <v>0.19</v>
      </c>
      <c r="S28" s="18"/>
      <c r="T28" s="5">
        <f>500+0</f>
        <v>500</v>
      </c>
      <c r="U28" s="5"/>
      <c r="V28" s="5"/>
      <c r="W28" s="7"/>
      <c r="X28" s="18"/>
      <c r="Y28" s="18"/>
      <c r="Z28" s="18">
        <f t="shared" si="1"/>
        <v>0</v>
      </c>
      <c r="AA28" s="18">
        <f t="shared" si="7"/>
        <v>500</v>
      </c>
      <c r="AB28" s="6">
        <f t="shared" si="2"/>
        <v>500</v>
      </c>
    </row>
    <row r="29" spans="1:28" x14ac:dyDescent="0.25">
      <c r="A29" s="67" t="s">
        <v>201</v>
      </c>
      <c r="B29" s="15" t="s">
        <v>27</v>
      </c>
      <c r="C29" s="7"/>
      <c r="D29" s="7"/>
      <c r="E29" s="7"/>
      <c r="F29" s="7"/>
      <c r="G29" s="7"/>
      <c r="H29" s="7"/>
      <c r="I29" s="5">
        <f>0+100</f>
        <v>100</v>
      </c>
      <c r="J29" s="5"/>
      <c r="K29" s="5"/>
      <c r="L29" s="5"/>
      <c r="M29" s="5">
        <f t="shared" si="4"/>
        <v>20</v>
      </c>
      <c r="N29" s="5">
        <f t="shared" si="4"/>
        <v>20</v>
      </c>
      <c r="O29" s="5">
        <f t="shared" si="5"/>
        <v>10</v>
      </c>
      <c r="P29" s="9">
        <f t="shared" si="3"/>
        <v>9.9999999999999992E-2</v>
      </c>
      <c r="Q29" s="9">
        <f t="shared" si="6"/>
        <v>0.38</v>
      </c>
      <c r="R29" s="9">
        <f t="shared" si="0"/>
        <v>0.19</v>
      </c>
      <c r="S29" s="5">
        <f>300+254</f>
        <v>554</v>
      </c>
      <c r="T29" s="5">
        <f>100+0</f>
        <v>100</v>
      </c>
      <c r="U29" s="5"/>
      <c r="V29" s="5"/>
      <c r="W29" s="7"/>
      <c r="X29" s="18"/>
      <c r="Y29" s="18"/>
      <c r="Z29" s="18">
        <f t="shared" si="1"/>
        <v>0</v>
      </c>
      <c r="AA29" s="18">
        <f t="shared" si="7"/>
        <v>500</v>
      </c>
      <c r="AB29" s="6">
        <f t="shared" si="2"/>
        <v>500</v>
      </c>
    </row>
    <row r="30" spans="1:28" x14ac:dyDescent="0.25">
      <c r="A30" s="67" t="s">
        <v>202</v>
      </c>
      <c r="B30" s="15" t="s">
        <v>28</v>
      </c>
      <c r="C30" s="7"/>
      <c r="D30" s="7"/>
      <c r="E30" s="7"/>
      <c r="F30" s="7"/>
      <c r="G30" s="7"/>
      <c r="H30" s="7"/>
      <c r="I30" s="5">
        <f>0+200</f>
        <v>200</v>
      </c>
      <c r="J30" s="5"/>
      <c r="K30" s="5"/>
      <c r="L30" s="5"/>
      <c r="M30" s="5">
        <f t="shared" si="4"/>
        <v>20</v>
      </c>
      <c r="N30" s="5">
        <f t="shared" si="4"/>
        <v>20</v>
      </c>
      <c r="O30" s="5">
        <f t="shared" si="5"/>
        <v>10</v>
      </c>
      <c r="P30" s="9">
        <f t="shared" si="3"/>
        <v>9.9999999999999992E-2</v>
      </c>
      <c r="Q30" s="9">
        <f t="shared" si="6"/>
        <v>0.38</v>
      </c>
      <c r="R30" s="9">
        <f t="shared" si="0"/>
        <v>0.19</v>
      </c>
      <c r="S30" s="5">
        <f>256+0</f>
        <v>256</v>
      </c>
      <c r="T30" s="5"/>
      <c r="U30" s="5"/>
      <c r="V30" s="5"/>
      <c r="W30" s="7"/>
      <c r="X30" s="18"/>
      <c r="Y30" s="18"/>
      <c r="Z30" s="18">
        <f t="shared" si="1"/>
        <v>0</v>
      </c>
      <c r="AA30" s="18">
        <f t="shared" si="7"/>
        <v>500</v>
      </c>
      <c r="AB30" s="23">
        <f t="shared" si="2"/>
        <v>500</v>
      </c>
    </row>
    <row r="31" spans="1:28" x14ac:dyDescent="0.25">
      <c r="A31" s="67" t="s">
        <v>203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>
        <f t="shared" si="4"/>
        <v>20</v>
      </c>
      <c r="N31" s="5">
        <f t="shared" si="4"/>
        <v>20</v>
      </c>
      <c r="O31" s="5">
        <f t="shared" si="5"/>
        <v>10</v>
      </c>
      <c r="P31" s="9">
        <f t="shared" si="3"/>
        <v>9.9999999999999992E-2</v>
      </c>
      <c r="Q31" s="9">
        <f t="shared" si="6"/>
        <v>0.38</v>
      </c>
      <c r="R31" s="9">
        <f t="shared" si="0"/>
        <v>0.19</v>
      </c>
      <c r="S31" s="5"/>
      <c r="T31" s="5">
        <f>475+0</f>
        <v>475</v>
      </c>
      <c r="U31" s="5"/>
      <c r="V31" s="5"/>
      <c r="W31" s="7"/>
      <c r="X31" s="18"/>
      <c r="Y31" s="18"/>
      <c r="Z31" s="18">
        <f t="shared" si="1"/>
        <v>0</v>
      </c>
      <c r="AA31" s="18">
        <f t="shared" si="7"/>
        <v>500</v>
      </c>
      <c r="AB31" s="6">
        <f t="shared" si="2"/>
        <v>500</v>
      </c>
    </row>
    <row r="32" spans="1:28" x14ac:dyDescent="0.25">
      <c r="A32" s="67" t="s">
        <v>204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/>
      <c r="L32" s="5"/>
      <c r="M32" s="5">
        <f t="shared" si="4"/>
        <v>20</v>
      </c>
      <c r="N32" s="5">
        <f t="shared" si="4"/>
        <v>20</v>
      </c>
      <c r="O32" s="5">
        <f t="shared" si="5"/>
        <v>10</v>
      </c>
      <c r="P32" s="9">
        <f t="shared" si="3"/>
        <v>9.9999999999999992E-2</v>
      </c>
      <c r="Q32" s="9">
        <f t="shared" si="6"/>
        <v>0.38</v>
      </c>
      <c r="R32" s="9">
        <f t="shared" si="0"/>
        <v>0.19</v>
      </c>
      <c r="S32" s="5"/>
      <c r="T32" s="5"/>
      <c r="U32" s="5"/>
      <c r="V32" s="5"/>
      <c r="W32" s="7"/>
      <c r="X32" s="18"/>
      <c r="Y32" s="18"/>
      <c r="Z32" s="18">
        <f t="shared" si="1"/>
        <v>0</v>
      </c>
      <c r="AA32" s="18">
        <f t="shared" si="7"/>
        <v>500</v>
      </c>
      <c r="AB32" s="6">
        <f t="shared" si="2"/>
        <v>500</v>
      </c>
    </row>
    <row r="33" spans="1:28" x14ac:dyDescent="0.25">
      <c r="A33" s="67" t="s">
        <v>205</v>
      </c>
      <c r="B33" s="15" t="s">
        <v>31</v>
      </c>
      <c r="C33" s="7"/>
      <c r="D33" s="7"/>
      <c r="E33" s="7"/>
      <c r="F33" s="7"/>
      <c r="G33" s="7"/>
      <c r="H33" s="7"/>
      <c r="I33" s="5"/>
      <c r="J33" s="5"/>
      <c r="K33" s="5"/>
      <c r="L33" s="5"/>
      <c r="M33" s="5">
        <f>0+15</f>
        <v>15</v>
      </c>
      <c r="N33" s="5">
        <f t="shared" si="4"/>
        <v>20</v>
      </c>
      <c r="O33" s="5">
        <f>0+5</f>
        <v>5</v>
      </c>
      <c r="P33" s="9">
        <f t="shared" si="3"/>
        <v>9.9999999999999992E-2</v>
      </c>
      <c r="Q33" s="9">
        <f t="shared" si="6"/>
        <v>0.38</v>
      </c>
      <c r="R33" s="9">
        <f t="shared" si="0"/>
        <v>0.19</v>
      </c>
      <c r="S33" s="5"/>
      <c r="T33" s="5">
        <f>275+250</f>
        <v>525</v>
      </c>
      <c r="U33" s="5"/>
      <c r="V33" s="5"/>
      <c r="W33" s="7"/>
      <c r="X33" s="18"/>
      <c r="Y33" s="18"/>
      <c r="Z33" s="18">
        <f t="shared" si="1"/>
        <v>0</v>
      </c>
      <c r="AA33" s="18">
        <f>0+250</f>
        <v>250</v>
      </c>
      <c r="AB33" s="6">
        <f t="shared" si="2"/>
        <v>500</v>
      </c>
    </row>
    <row r="34" spans="1:28" x14ac:dyDescent="0.25">
      <c r="A34" s="67" t="s">
        <v>206</v>
      </c>
      <c r="B34" s="15" t="s">
        <v>32</v>
      </c>
      <c r="C34" s="7"/>
      <c r="D34" s="7"/>
      <c r="E34" s="7"/>
      <c r="F34" s="7"/>
      <c r="G34" s="7"/>
      <c r="H34" s="7"/>
      <c r="I34" s="5"/>
      <c r="J34" s="5"/>
      <c r="K34" s="5">
        <f>0+12</f>
        <v>12</v>
      </c>
      <c r="L34" s="5"/>
      <c r="M34" s="5">
        <f t="shared" ref="M34:M39" si="8">0+10</f>
        <v>10</v>
      </c>
      <c r="N34" s="5">
        <f t="shared" si="4"/>
        <v>20</v>
      </c>
      <c r="O34" s="5"/>
      <c r="P34" s="9">
        <f t="shared" si="3"/>
        <v>9.9999999999999992E-2</v>
      </c>
      <c r="Q34" s="9">
        <f t="shared" si="6"/>
        <v>0.38</v>
      </c>
      <c r="R34" s="9">
        <f t="shared" si="0"/>
        <v>0.19</v>
      </c>
      <c r="S34" s="5">
        <f>0+408</f>
        <v>408</v>
      </c>
      <c r="T34" s="5">
        <f>500+100</f>
        <v>600</v>
      </c>
      <c r="U34" s="5"/>
      <c r="V34" s="5"/>
      <c r="W34" s="7"/>
      <c r="X34" s="18"/>
      <c r="Y34" s="18"/>
      <c r="Z34" s="18">
        <f t="shared" si="1"/>
        <v>0</v>
      </c>
      <c r="AA34" s="18"/>
      <c r="AB34" s="6">
        <f t="shared" si="2"/>
        <v>500</v>
      </c>
    </row>
    <row r="35" spans="1:28" x14ac:dyDescent="0.25">
      <c r="A35" s="67" t="s">
        <v>207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/>
      <c r="L35" s="5"/>
      <c r="M35" s="5">
        <f t="shared" si="8"/>
        <v>10</v>
      </c>
      <c r="N35" s="5">
        <f t="shared" si="4"/>
        <v>20</v>
      </c>
      <c r="O35" s="5"/>
      <c r="P35" s="9">
        <f t="shared" si="3"/>
        <v>9.9999999999999992E-2</v>
      </c>
      <c r="Q35" s="9">
        <f t="shared" si="6"/>
        <v>0.38</v>
      </c>
      <c r="R35" s="9">
        <f t="shared" si="0"/>
        <v>0.19</v>
      </c>
      <c r="S35" s="5">
        <f>288+0</f>
        <v>288</v>
      </c>
      <c r="T35" s="5"/>
      <c r="U35" s="5"/>
      <c r="V35" s="5"/>
      <c r="W35" s="7"/>
      <c r="X35" s="18"/>
      <c r="Y35" s="18"/>
      <c r="Z35" s="18">
        <f t="shared" si="1"/>
        <v>0</v>
      </c>
      <c r="AA35" s="18"/>
      <c r="AB35" s="6">
        <f t="shared" si="2"/>
        <v>500</v>
      </c>
    </row>
    <row r="36" spans="1:28" x14ac:dyDescent="0.25">
      <c r="A36" s="67" t="s">
        <v>208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>
        <f t="shared" si="8"/>
        <v>10</v>
      </c>
      <c r="N36" s="5">
        <f t="shared" si="4"/>
        <v>20</v>
      </c>
      <c r="O36" s="5"/>
      <c r="P36" s="9">
        <f t="shared" si="3"/>
        <v>9.9999999999999992E-2</v>
      </c>
      <c r="Q36" s="9">
        <f t="shared" si="6"/>
        <v>0.38</v>
      </c>
      <c r="R36" s="9">
        <f t="shared" si="0"/>
        <v>0.19</v>
      </c>
      <c r="S36" s="5"/>
      <c r="T36" s="5"/>
      <c r="U36" s="5"/>
      <c r="V36" s="5"/>
      <c r="W36" s="7"/>
      <c r="X36" s="18"/>
      <c r="Y36" s="18"/>
      <c r="Z36" s="18">
        <f t="shared" si="1"/>
        <v>0</v>
      </c>
      <c r="AA36" s="18"/>
      <c r="AB36" s="6">
        <f t="shared" si="2"/>
        <v>500</v>
      </c>
    </row>
    <row r="37" spans="1:28" x14ac:dyDescent="0.25">
      <c r="A37" s="67" t="s">
        <v>209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/>
      <c r="L37" s="5"/>
      <c r="M37" s="5">
        <f t="shared" si="8"/>
        <v>10</v>
      </c>
      <c r="N37" s="5">
        <f t="shared" si="4"/>
        <v>20</v>
      </c>
      <c r="O37" s="5"/>
      <c r="P37" s="9">
        <f t="shared" si="3"/>
        <v>9.9999999999999992E-2</v>
      </c>
      <c r="Q37" s="9">
        <f t="shared" si="6"/>
        <v>0.38</v>
      </c>
      <c r="R37" s="9">
        <f t="shared" si="0"/>
        <v>0.19</v>
      </c>
      <c r="S37" s="5">
        <f>252+0</f>
        <v>252</v>
      </c>
      <c r="T37" s="5">
        <f>100+0</f>
        <v>100</v>
      </c>
      <c r="U37" s="5"/>
      <c r="V37" s="5"/>
      <c r="W37" s="7"/>
      <c r="X37" s="18"/>
      <c r="Y37" s="18"/>
      <c r="Z37" s="18">
        <f t="shared" si="1"/>
        <v>0</v>
      </c>
      <c r="AA37" s="18"/>
      <c r="AB37" s="6">
        <f t="shared" si="2"/>
        <v>500</v>
      </c>
    </row>
    <row r="38" spans="1:28" x14ac:dyDescent="0.25">
      <c r="A38" s="67" t="s">
        <v>210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>
        <f>0+14</f>
        <v>14</v>
      </c>
      <c r="L38" s="5"/>
      <c r="M38" s="5">
        <f t="shared" si="8"/>
        <v>10</v>
      </c>
      <c r="N38" s="5">
        <f t="shared" si="4"/>
        <v>20</v>
      </c>
      <c r="O38" s="5"/>
      <c r="P38" s="9">
        <f t="shared" si="3"/>
        <v>9.9999999999999992E-2</v>
      </c>
      <c r="Q38" s="9">
        <f t="shared" si="6"/>
        <v>0.38</v>
      </c>
      <c r="R38" s="9">
        <f>ROUNDUP(((500+500)/5280),2)</f>
        <v>0.19</v>
      </c>
      <c r="S38" s="5">
        <f>0+505</f>
        <v>505</v>
      </c>
      <c r="T38" s="5">
        <f>375+0</f>
        <v>375</v>
      </c>
      <c r="U38" s="5"/>
      <c r="V38" s="5"/>
      <c r="W38" s="7"/>
      <c r="X38" s="18"/>
      <c r="Y38" s="18"/>
      <c r="Z38" s="18">
        <f t="shared" si="1"/>
        <v>0</v>
      </c>
      <c r="AA38" s="18"/>
      <c r="AB38" s="6">
        <f t="shared" si="2"/>
        <v>500</v>
      </c>
    </row>
    <row r="39" spans="1:28" x14ac:dyDescent="0.25">
      <c r="A39" s="67" t="s">
        <v>211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/>
      <c r="L39" s="5"/>
      <c r="M39" s="5">
        <f t="shared" si="8"/>
        <v>10</v>
      </c>
      <c r="N39" s="5">
        <f t="shared" si="4"/>
        <v>20</v>
      </c>
      <c r="O39" s="5"/>
      <c r="P39" s="9">
        <f t="shared" ref="P39:P64" si="9">ROUNDUP(((500+0)/5280),2)</f>
        <v>9.9999999999999992E-2</v>
      </c>
      <c r="Q39" s="9">
        <f>ROUNDUP(((500+1500)/5280),2)</f>
        <v>0.38</v>
      </c>
      <c r="R39" s="9">
        <f t="shared" si="0"/>
        <v>0.19</v>
      </c>
      <c r="S39" s="18"/>
      <c r="T39" s="5">
        <f>0+500</f>
        <v>500</v>
      </c>
      <c r="U39" s="5"/>
      <c r="V39" s="5"/>
      <c r="W39" s="7"/>
      <c r="X39" s="18"/>
      <c r="Y39" s="18"/>
      <c r="Z39" s="18">
        <f t="shared" si="1"/>
        <v>0</v>
      </c>
      <c r="AA39" s="18"/>
      <c r="AB39" s="6">
        <f t="shared" ref="AB39:AB64" si="10">500+0</f>
        <v>500</v>
      </c>
    </row>
    <row r="40" spans="1:28" x14ac:dyDescent="0.25">
      <c r="A40" s="67" t="s">
        <v>212</v>
      </c>
      <c r="B40" s="15" t="s">
        <v>38</v>
      </c>
      <c r="C40" s="7"/>
      <c r="D40" s="7"/>
      <c r="E40" s="7"/>
      <c r="F40" s="7"/>
      <c r="G40" s="7"/>
      <c r="H40" s="7"/>
      <c r="I40" s="5">
        <f>0+140</f>
        <v>140</v>
      </c>
      <c r="J40" s="5">
        <v>1</v>
      </c>
      <c r="K40" s="5"/>
      <c r="L40" s="5"/>
      <c r="M40" s="5">
        <f>0+14</f>
        <v>14</v>
      </c>
      <c r="N40" s="5">
        <f t="shared" si="4"/>
        <v>20</v>
      </c>
      <c r="O40" s="5"/>
      <c r="P40" s="9">
        <f t="shared" si="9"/>
        <v>9.9999999999999992E-2</v>
      </c>
      <c r="Q40" s="9">
        <f>ROUNDUP(((500+1500)/5280),2)</f>
        <v>0.38</v>
      </c>
      <c r="R40" s="9">
        <f t="shared" si="0"/>
        <v>0.19</v>
      </c>
      <c r="S40" s="18"/>
      <c r="T40" s="5">
        <f>0+250</f>
        <v>250</v>
      </c>
      <c r="U40" s="5"/>
      <c r="V40" s="5"/>
      <c r="W40" s="7"/>
      <c r="X40" s="18"/>
      <c r="Y40" s="18"/>
      <c r="Z40" s="18">
        <f t="shared" si="1"/>
        <v>0</v>
      </c>
      <c r="AA40" s="18">
        <f>0+152</f>
        <v>152</v>
      </c>
      <c r="AB40" s="6">
        <f t="shared" si="10"/>
        <v>500</v>
      </c>
    </row>
    <row r="41" spans="1:28" x14ac:dyDescent="0.25">
      <c r="A41" s="67" t="s">
        <v>213</v>
      </c>
      <c r="B41" s="15" t="s">
        <v>39</v>
      </c>
      <c r="C41" s="7"/>
      <c r="D41" s="7"/>
      <c r="E41" s="7"/>
      <c r="F41" s="7"/>
      <c r="G41" s="7"/>
      <c r="H41" s="7"/>
      <c r="I41" s="5">
        <f>0+100</f>
        <v>100</v>
      </c>
      <c r="J41" s="5"/>
      <c r="K41" s="5"/>
      <c r="L41" s="5"/>
      <c r="M41" s="26">
        <f>0+20</f>
        <v>20</v>
      </c>
      <c r="N41" s="5">
        <f t="shared" ref="N41:N62" si="11">0+20</f>
        <v>20</v>
      </c>
      <c r="O41" s="5">
        <f>0+3</f>
        <v>3</v>
      </c>
      <c r="P41" s="9">
        <f t="shared" si="9"/>
        <v>9.9999999999999992E-2</v>
      </c>
      <c r="Q41" s="9">
        <f>ROUNDUP(((500+1500)/5280),2)</f>
        <v>0.38</v>
      </c>
      <c r="R41" s="9">
        <f t="shared" si="0"/>
        <v>0.19</v>
      </c>
      <c r="S41" s="18"/>
      <c r="T41" s="5"/>
      <c r="U41" s="5"/>
      <c r="V41" s="5"/>
      <c r="W41" s="7"/>
      <c r="X41" s="18"/>
      <c r="Y41" s="18"/>
      <c r="Z41" s="18">
        <f t="shared" si="1"/>
        <v>0</v>
      </c>
      <c r="AA41" s="18">
        <f>0+500</f>
        <v>500</v>
      </c>
      <c r="AB41" s="6">
        <f t="shared" si="10"/>
        <v>500</v>
      </c>
    </row>
    <row r="42" spans="1:28" x14ac:dyDescent="0.25">
      <c r="A42" s="67" t="s">
        <v>214</v>
      </c>
      <c r="B42" s="15" t="s">
        <v>40</v>
      </c>
      <c r="C42" s="7"/>
      <c r="D42" s="7"/>
      <c r="E42" s="7"/>
      <c r="F42" s="7"/>
      <c r="G42" s="7"/>
      <c r="H42" s="7"/>
      <c r="I42" s="5"/>
      <c r="J42" s="5"/>
      <c r="K42" s="5"/>
      <c r="L42" s="5"/>
      <c r="M42" s="5">
        <f>0+20</f>
        <v>20</v>
      </c>
      <c r="N42" s="5">
        <f t="shared" si="11"/>
        <v>20</v>
      </c>
      <c r="O42" s="5">
        <f>0+10</f>
        <v>10</v>
      </c>
      <c r="P42" s="9">
        <f t="shared" si="9"/>
        <v>9.9999999999999992E-2</v>
      </c>
      <c r="Q42" s="9">
        <f>ROUNDUP(((500+1465)/5280),2)</f>
        <v>0.38</v>
      </c>
      <c r="R42" s="9">
        <f t="shared" si="0"/>
        <v>0.19</v>
      </c>
      <c r="S42" s="18"/>
      <c r="T42" s="5"/>
      <c r="U42" s="5"/>
      <c r="V42" s="5"/>
      <c r="W42" s="7"/>
      <c r="X42" s="18"/>
      <c r="Y42" s="18"/>
      <c r="Z42" s="18">
        <f t="shared" si="1"/>
        <v>0</v>
      </c>
      <c r="AA42" s="18">
        <f>0+500</f>
        <v>500</v>
      </c>
      <c r="AB42" s="6">
        <f t="shared" si="10"/>
        <v>500</v>
      </c>
    </row>
    <row r="43" spans="1:28" x14ac:dyDescent="0.25">
      <c r="A43" s="67" t="s">
        <v>215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/>
      <c r="L43" s="5"/>
      <c r="M43" s="5">
        <f t="shared" ref="M43:M56" si="12">10+10</f>
        <v>20</v>
      </c>
      <c r="N43" s="5">
        <f t="shared" si="11"/>
        <v>20</v>
      </c>
      <c r="O43" s="5">
        <f t="shared" ref="O43:O56" si="13">0+10</f>
        <v>10</v>
      </c>
      <c r="P43" s="9">
        <f t="shared" si="9"/>
        <v>9.9999999999999992E-2</v>
      </c>
      <c r="Q43" s="9">
        <f t="shared" ref="Q43:Q62" si="14">ROUNDUP(((500+1500)/5280),2)</f>
        <v>0.38</v>
      </c>
      <c r="R43" s="9">
        <f t="shared" ref="R43" si="15">ROUNDUP(((500+500)/5280),2)</f>
        <v>0.19</v>
      </c>
      <c r="S43" s="18"/>
      <c r="T43" s="5"/>
      <c r="U43" s="5"/>
      <c r="V43" s="5"/>
      <c r="W43" s="7"/>
      <c r="X43" s="18"/>
      <c r="Y43" s="18"/>
      <c r="Z43" s="18">
        <f t="shared" si="1"/>
        <v>0</v>
      </c>
      <c r="AA43" s="18">
        <f>500+0</f>
        <v>500</v>
      </c>
      <c r="AB43" s="6">
        <f t="shared" si="10"/>
        <v>500</v>
      </c>
    </row>
    <row r="44" spans="1:28" x14ac:dyDescent="0.25">
      <c r="A44" s="67" t="s">
        <v>216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/>
      <c r="L44" s="5"/>
      <c r="M44" s="5">
        <f t="shared" si="12"/>
        <v>20</v>
      </c>
      <c r="N44" s="5">
        <f t="shared" si="11"/>
        <v>20</v>
      </c>
      <c r="O44" s="5">
        <f t="shared" si="13"/>
        <v>10</v>
      </c>
      <c r="P44" s="9">
        <f t="shared" si="9"/>
        <v>9.9999999999999992E-2</v>
      </c>
      <c r="Q44" s="9">
        <f t="shared" si="14"/>
        <v>0.38</v>
      </c>
      <c r="R44" s="9">
        <f t="shared" ref="Q44:R65" si="16">ROUNDUP(((500+500)/5280),2)</f>
        <v>0.19</v>
      </c>
      <c r="S44" s="18"/>
      <c r="T44" s="5"/>
      <c r="U44" s="5"/>
      <c r="V44" s="5"/>
      <c r="W44" s="7"/>
      <c r="X44" s="18"/>
      <c r="Y44" s="18"/>
      <c r="Z44" s="18">
        <f t="shared" si="1"/>
        <v>0</v>
      </c>
      <c r="AA44" s="18">
        <f t="shared" ref="AA44:AA56" si="17">0+500</f>
        <v>500</v>
      </c>
      <c r="AB44" s="6">
        <f t="shared" si="10"/>
        <v>500</v>
      </c>
    </row>
    <row r="45" spans="1:28" x14ac:dyDescent="0.25">
      <c r="A45" s="67" t="s">
        <v>217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/>
      <c r="L45" s="5"/>
      <c r="M45" s="5">
        <f t="shared" si="12"/>
        <v>20</v>
      </c>
      <c r="N45" s="5">
        <f t="shared" si="11"/>
        <v>20</v>
      </c>
      <c r="O45" s="5">
        <f t="shared" si="13"/>
        <v>10</v>
      </c>
      <c r="P45" s="9">
        <f t="shared" si="9"/>
        <v>9.9999999999999992E-2</v>
      </c>
      <c r="Q45" s="9">
        <f t="shared" si="14"/>
        <v>0.38</v>
      </c>
      <c r="R45" s="9">
        <f t="shared" si="16"/>
        <v>0.19</v>
      </c>
      <c r="S45" s="18"/>
      <c r="T45" s="5"/>
      <c r="U45" s="5"/>
      <c r="V45" s="5"/>
      <c r="W45" s="7"/>
      <c r="X45" s="18"/>
      <c r="Y45" s="18"/>
      <c r="Z45" s="18">
        <f t="shared" si="1"/>
        <v>0</v>
      </c>
      <c r="AA45" s="18">
        <f t="shared" si="17"/>
        <v>500</v>
      </c>
      <c r="AB45" s="23">
        <f t="shared" si="10"/>
        <v>500</v>
      </c>
    </row>
    <row r="46" spans="1:28" x14ac:dyDescent="0.25">
      <c r="A46" s="67" t="s">
        <v>218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/>
      <c r="L46" s="5"/>
      <c r="M46" s="5">
        <f t="shared" si="12"/>
        <v>20</v>
      </c>
      <c r="N46" s="5">
        <f t="shared" si="11"/>
        <v>20</v>
      </c>
      <c r="O46" s="5">
        <f t="shared" si="13"/>
        <v>10</v>
      </c>
      <c r="P46" s="9">
        <f t="shared" si="9"/>
        <v>9.9999999999999992E-2</v>
      </c>
      <c r="Q46" s="9">
        <f t="shared" si="14"/>
        <v>0.38</v>
      </c>
      <c r="R46" s="9">
        <f t="shared" si="16"/>
        <v>0.19</v>
      </c>
      <c r="S46" s="18"/>
      <c r="T46" s="5"/>
      <c r="U46" s="5"/>
      <c r="V46" s="5"/>
      <c r="W46" s="7"/>
      <c r="X46" s="18"/>
      <c r="Y46" s="18"/>
      <c r="Z46" s="18">
        <f t="shared" si="1"/>
        <v>0</v>
      </c>
      <c r="AA46" s="18">
        <f t="shared" si="17"/>
        <v>500</v>
      </c>
      <c r="AB46" s="6">
        <f t="shared" si="10"/>
        <v>500</v>
      </c>
    </row>
    <row r="47" spans="1:28" x14ac:dyDescent="0.25">
      <c r="A47" s="67" t="s">
        <v>219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/>
      <c r="L47" s="5"/>
      <c r="M47" s="5">
        <f t="shared" si="12"/>
        <v>20</v>
      </c>
      <c r="N47" s="5">
        <f t="shared" si="11"/>
        <v>20</v>
      </c>
      <c r="O47" s="5">
        <f t="shared" si="13"/>
        <v>10</v>
      </c>
      <c r="P47" s="9">
        <f t="shared" si="9"/>
        <v>9.9999999999999992E-2</v>
      </c>
      <c r="Q47" s="9">
        <f t="shared" si="14"/>
        <v>0.38</v>
      </c>
      <c r="R47" s="9">
        <f t="shared" si="16"/>
        <v>0.19</v>
      </c>
      <c r="S47" s="18"/>
      <c r="T47" s="5"/>
      <c r="U47" s="5"/>
      <c r="V47" s="5"/>
      <c r="W47" s="7"/>
      <c r="X47" s="18"/>
      <c r="Y47" s="18"/>
      <c r="Z47" s="18">
        <f t="shared" si="1"/>
        <v>0</v>
      </c>
      <c r="AA47" s="18">
        <f t="shared" si="17"/>
        <v>500</v>
      </c>
      <c r="AB47" s="6">
        <f t="shared" si="10"/>
        <v>500</v>
      </c>
    </row>
    <row r="48" spans="1:28" x14ac:dyDescent="0.25">
      <c r="A48" s="67" t="s">
        <v>220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/>
      <c r="L48" s="5"/>
      <c r="M48" s="5">
        <f t="shared" si="12"/>
        <v>20</v>
      </c>
      <c r="N48" s="5">
        <f t="shared" si="11"/>
        <v>20</v>
      </c>
      <c r="O48" s="5">
        <f t="shared" si="13"/>
        <v>10</v>
      </c>
      <c r="P48" s="9">
        <f t="shared" si="9"/>
        <v>9.9999999999999992E-2</v>
      </c>
      <c r="Q48" s="9">
        <f t="shared" si="14"/>
        <v>0.38</v>
      </c>
      <c r="R48" s="9">
        <f t="shared" si="16"/>
        <v>0.19</v>
      </c>
      <c r="S48" s="18"/>
      <c r="T48" s="5"/>
      <c r="U48" s="5"/>
      <c r="V48" s="5"/>
      <c r="W48" s="7"/>
      <c r="X48" s="18"/>
      <c r="Y48" s="18"/>
      <c r="Z48" s="18">
        <f t="shared" si="1"/>
        <v>0</v>
      </c>
      <c r="AA48" s="18">
        <f t="shared" si="17"/>
        <v>500</v>
      </c>
      <c r="AB48" s="6">
        <f t="shared" si="10"/>
        <v>500</v>
      </c>
    </row>
    <row r="49" spans="1:28" x14ac:dyDescent="0.25">
      <c r="A49" s="67" t="s">
        <v>221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/>
      <c r="L49" s="5"/>
      <c r="M49" s="5">
        <f t="shared" si="12"/>
        <v>20</v>
      </c>
      <c r="N49" s="5">
        <f t="shared" si="11"/>
        <v>20</v>
      </c>
      <c r="O49" s="5">
        <f t="shared" si="13"/>
        <v>10</v>
      </c>
      <c r="P49" s="9">
        <f t="shared" si="9"/>
        <v>9.9999999999999992E-2</v>
      </c>
      <c r="Q49" s="9">
        <f t="shared" si="14"/>
        <v>0.38</v>
      </c>
      <c r="R49" s="9">
        <f t="shared" si="16"/>
        <v>0.19</v>
      </c>
      <c r="S49" s="18"/>
      <c r="T49" s="5"/>
      <c r="U49" s="5"/>
      <c r="V49" s="5"/>
      <c r="W49" s="7"/>
      <c r="X49" s="18"/>
      <c r="Y49" s="18"/>
      <c r="Z49" s="18">
        <f t="shared" si="1"/>
        <v>0</v>
      </c>
      <c r="AA49" s="18">
        <f t="shared" si="17"/>
        <v>500</v>
      </c>
      <c r="AB49" s="6">
        <f t="shared" si="10"/>
        <v>500</v>
      </c>
    </row>
    <row r="50" spans="1:28" x14ac:dyDescent="0.25">
      <c r="A50" s="67" t="s">
        <v>222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/>
      <c r="L50" s="5"/>
      <c r="M50" s="5">
        <f t="shared" si="12"/>
        <v>20</v>
      </c>
      <c r="N50" s="5">
        <f t="shared" si="11"/>
        <v>20</v>
      </c>
      <c r="O50" s="5">
        <f t="shared" si="13"/>
        <v>10</v>
      </c>
      <c r="P50" s="9">
        <f t="shared" si="9"/>
        <v>9.9999999999999992E-2</v>
      </c>
      <c r="Q50" s="9">
        <f t="shared" si="14"/>
        <v>0.38</v>
      </c>
      <c r="R50" s="9">
        <f t="shared" si="16"/>
        <v>0.19</v>
      </c>
      <c r="S50" s="18"/>
      <c r="T50" s="5"/>
      <c r="U50" s="5"/>
      <c r="V50" s="5"/>
      <c r="W50" s="7"/>
      <c r="X50" s="18"/>
      <c r="Y50" s="18"/>
      <c r="Z50" s="18">
        <f t="shared" si="1"/>
        <v>0</v>
      </c>
      <c r="AA50" s="18">
        <f t="shared" si="17"/>
        <v>500</v>
      </c>
      <c r="AB50" s="6">
        <f t="shared" si="10"/>
        <v>500</v>
      </c>
    </row>
    <row r="51" spans="1:28" x14ac:dyDescent="0.25">
      <c r="A51" s="67" t="s">
        <v>223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/>
      <c r="L51" s="5"/>
      <c r="M51" s="5">
        <f t="shared" si="12"/>
        <v>20</v>
      </c>
      <c r="N51" s="5">
        <f t="shared" si="11"/>
        <v>20</v>
      </c>
      <c r="O51" s="5">
        <f t="shared" si="13"/>
        <v>10</v>
      </c>
      <c r="P51" s="9">
        <f t="shared" si="9"/>
        <v>9.9999999999999992E-2</v>
      </c>
      <c r="Q51" s="9">
        <f t="shared" si="14"/>
        <v>0.38</v>
      </c>
      <c r="R51" s="9">
        <f t="shared" si="16"/>
        <v>0.19</v>
      </c>
      <c r="S51" s="18"/>
      <c r="T51" s="5"/>
      <c r="U51" s="5"/>
      <c r="V51" s="5"/>
      <c r="W51" s="7"/>
      <c r="X51" s="18"/>
      <c r="Y51" s="18"/>
      <c r="Z51" s="18">
        <f t="shared" si="1"/>
        <v>0</v>
      </c>
      <c r="AA51" s="18">
        <f t="shared" si="17"/>
        <v>500</v>
      </c>
      <c r="AB51" s="6">
        <f t="shared" si="10"/>
        <v>500</v>
      </c>
    </row>
    <row r="52" spans="1:28" x14ac:dyDescent="0.25">
      <c r="A52" s="67" t="s">
        <v>224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/>
      <c r="L52" s="5"/>
      <c r="M52" s="5">
        <f t="shared" si="12"/>
        <v>20</v>
      </c>
      <c r="N52" s="5">
        <f t="shared" si="11"/>
        <v>20</v>
      </c>
      <c r="O52" s="5">
        <f t="shared" si="13"/>
        <v>10</v>
      </c>
      <c r="P52" s="9">
        <f t="shared" si="9"/>
        <v>9.9999999999999992E-2</v>
      </c>
      <c r="Q52" s="9">
        <f t="shared" si="14"/>
        <v>0.38</v>
      </c>
      <c r="R52" s="9">
        <f t="shared" si="16"/>
        <v>0.19</v>
      </c>
      <c r="S52" s="18"/>
      <c r="T52" s="5"/>
      <c r="U52" s="5"/>
      <c r="V52" s="5"/>
      <c r="W52" s="7"/>
      <c r="X52" s="18"/>
      <c r="Y52" s="18"/>
      <c r="Z52" s="18">
        <f t="shared" si="1"/>
        <v>0</v>
      </c>
      <c r="AA52" s="18">
        <f t="shared" si="17"/>
        <v>500</v>
      </c>
      <c r="AB52" s="6">
        <f t="shared" si="10"/>
        <v>500</v>
      </c>
    </row>
    <row r="53" spans="1:28" x14ac:dyDescent="0.25">
      <c r="A53" s="67" t="s">
        <v>225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/>
      <c r="L53" s="5"/>
      <c r="M53" s="5">
        <f t="shared" si="12"/>
        <v>20</v>
      </c>
      <c r="N53" s="5">
        <f t="shared" si="11"/>
        <v>20</v>
      </c>
      <c r="O53" s="5">
        <f t="shared" si="13"/>
        <v>10</v>
      </c>
      <c r="P53" s="9">
        <f t="shared" si="9"/>
        <v>9.9999999999999992E-2</v>
      </c>
      <c r="Q53" s="9">
        <f t="shared" si="14"/>
        <v>0.38</v>
      </c>
      <c r="R53" s="9">
        <f t="shared" si="16"/>
        <v>0.19</v>
      </c>
      <c r="S53" s="18"/>
      <c r="T53" s="5"/>
      <c r="U53" s="5"/>
      <c r="V53" s="5"/>
      <c r="W53" s="7"/>
      <c r="X53" s="18"/>
      <c r="Y53" s="18"/>
      <c r="Z53" s="18">
        <f t="shared" si="1"/>
        <v>0</v>
      </c>
      <c r="AA53" s="18">
        <f t="shared" si="17"/>
        <v>500</v>
      </c>
      <c r="AB53" s="6">
        <f t="shared" si="10"/>
        <v>500</v>
      </c>
    </row>
    <row r="54" spans="1:28" x14ac:dyDescent="0.25">
      <c r="A54" s="67" t="s">
        <v>226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/>
      <c r="L54" s="5"/>
      <c r="M54" s="5">
        <f t="shared" si="12"/>
        <v>20</v>
      </c>
      <c r="N54" s="5">
        <f t="shared" si="11"/>
        <v>20</v>
      </c>
      <c r="O54" s="5">
        <f t="shared" si="13"/>
        <v>10</v>
      </c>
      <c r="P54" s="9">
        <f t="shared" si="9"/>
        <v>9.9999999999999992E-2</v>
      </c>
      <c r="Q54" s="9">
        <f t="shared" si="14"/>
        <v>0.38</v>
      </c>
      <c r="R54" s="9">
        <f t="shared" si="16"/>
        <v>0.19</v>
      </c>
      <c r="S54" s="18"/>
      <c r="T54" s="5"/>
      <c r="U54" s="5"/>
      <c r="V54" s="5"/>
      <c r="W54" s="7"/>
      <c r="X54" s="18"/>
      <c r="Y54" s="18"/>
      <c r="Z54" s="18">
        <f t="shared" si="1"/>
        <v>0</v>
      </c>
      <c r="AA54" s="18">
        <f t="shared" si="17"/>
        <v>500</v>
      </c>
      <c r="AB54" s="6">
        <f t="shared" si="10"/>
        <v>500</v>
      </c>
    </row>
    <row r="55" spans="1:28" x14ac:dyDescent="0.25">
      <c r="A55" s="67" t="s">
        <v>227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/>
      <c r="L55" s="5"/>
      <c r="M55" s="5">
        <f t="shared" si="12"/>
        <v>20</v>
      </c>
      <c r="N55" s="5">
        <f t="shared" si="11"/>
        <v>20</v>
      </c>
      <c r="O55" s="5">
        <f t="shared" si="13"/>
        <v>10</v>
      </c>
      <c r="P55" s="9">
        <f t="shared" si="9"/>
        <v>9.9999999999999992E-2</v>
      </c>
      <c r="Q55" s="9">
        <f t="shared" si="14"/>
        <v>0.38</v>
      </c>
      <c r="R55" s="9">
        <f t="shared" si="16"/>
        <v>0.19</v>
      </c>
      <c r="S55" s="18"/>
      <c r="T55" s="5"/>
      <c r="U55" s="5"/>
      <c r="V55" s="5"/>
      <c r="W55" s="7"/>
      <c r="X55" s="18"/>
      <c r="Y55" s="18"/>
      <c r="Z55" s="18">
        <f t="shared" si="1"/>
        <v>0</v>
      </c>
      <c r="AA55" s="18">
        <f t="shared" si="17"/>
        <v>500</v>
      </c>
      <c r="AB55" s="6">
        <f t="shared" si="10"/>
        <v>500</v>
      </c>
    </row>
    <row r="56" spans="1:28" x14ac:dyDescent="0.25">
      <c r="A56" s="67" t="s">
        <v>228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/>
      <c r="L56" s="5"/>
      <c r="M56" s="5">
        <f t="shared" si="12"/>
        <v>20</v>
      </c>
      <c r="N56" s="5">
        <f t="shared" si="11"/>
        <v>20</v>
      </c>
      <c r="O56" s="5">
        <f t="shared" si="13"/>
        <v>10</v>
      </c>
      <c r="P56" s="9">
        <f t="shared" si="9"/>
        <v>9.9999999999999992E-2</v>
      </c>
      <c r="Q56" s="9">
        <f t="shared" si="14"/>
        <v>0.38</v>
      </c>
      <c r="R56" s="9">
        <f t="shared" si="16"/>
        <v>0.19</v>
      </c>
      <c r="S56" s="18"/>
      <c r="T56" s="5"/>
      <c r="U56" s="5"/>
      <c r="V56" s="5"/>
      <c r="W56" s="7"/>
      <c r="X56" s="18"/>
      <c r="Y56" s="18"/>
      <c r="Z56" s="18">
        <f t="shared" si="1"/>
        <v>0</v>
      </c>
      <c r="AA56" s="18">
        <f t="shared" si="17"/>
        <v>500</v>
      </c>
      <c r="AB56" s="6">
        <f t="shared" si="10"/>
        <v>500</v>
      </c>
    </row>
    <row r="57" spans="1:28" x14ac:dyDescent="0.25">
      <c r="A57" s="67" t="s">
        <v>229</v>
      </c>
      <c r="B57" s="20" t="s">
        <v>55</v>
      </c>
      <c r="C57" s="7"/>
      <c r="D57" s="7"/>
      <c r="E57" s="7"/>
      <c r="F57" s="7"/>
      <c r="G57" s="7"/>
      <c r="H57" s="7"/>
      <c r="I57" s="5">
        <v>300</v>
      </c>
      <c r="J57" s="5"/>
      <c r="K57" s="5"/>
      <c r="L57" s="5"/>
      <c r="M57" s="5">
        <f>10+8</f>
        <v>18</v>
      </c>
      <c r="N57" s="5">
        <f t="shared" si="11"/>
        <v>20</v>
      </c>
      <c r="O57" s="5">
        <f>0+8</f>
        <v>8</v>
      </c>
      <c r="P57" s="9">
        <f t="shared" si="9"/>
        <v>9.9999999999999992E-2</v>
      </c>
      <c r="Q57" s="9">
        <f t="shared" si="14"/>
        <v>0.38</v>
      </c>
      <c r="R57" s="9">
        <f t="shared" si="16"/>
        <v>0.19</v>
      </c>
      <c r="S57" s="18"/>
      <c r="T57" s="5"/>
      <c r="U57" s="5"/>
      <c r="V57" s="5"/>
      <c r="W57" s="7"/>
      <c r="X57" s="18">
        <f>0+40</f>
        <v>40</v>
      </c>
      <c r="Y57" s="18"/>
      <c r="Z57" s="18">
        <f t="shared" si="1"/>
        <v>40</v>
      </c>
      <c r="AA57" s="18">
        <f>0+400</f>
        <v>400</v>
      </c>
      <c r="AB57" s="6">
        <f t="shared" si="10"/>
        <v>500</v>
      </c>
    </row>
    <row r="58" spans="1:28" x14ac:dyDescent="0.25">
      <c r="A58" s="67" t="s">
        <v>230</v>
      </c>
      <c r="B58" s="20" t="s">
        <v>56</v>
      </c>
      <c r="C58" s="7"/>
      <c r="D58" s="7"/>
      <c r="E58" s="7"/>
      <c r="F58" s="7"/>
      <c r="G58" s="7"/>
      <c r="H58" s="7"/>
      <c r="I58" s="5"/>
      <c r="J58" s="5"/>
      <c r="K58" s="5"/>
      <c r="L58" s="5"/>
      <c r="M58" s="5">
        <f>10+0</f>
        <v>10</v>
      </c>
      <c r="N58" s="5">
        <f t="shared" si="11"/>
        <v>20</v>
      </c>
      <c r="O58" s="5"/>
      <c r="P58" s="9">
        <f t="shared" si="9"/>
        <v>9.9999999999999992E-2</v>
      </c>
      <c r="Q58" s="9">
        <f t="shared" si="14"/>
        <v>0.38</v>
      </c>
      <c r="R58" s="9">
        <f t="shared" si="16"/>
        <v>0.19</v>
      </c>
      <c r="S58" s="18"/>
      <c r="T58" s="5">
        <f>100+0</f>
        <v>100</v>
      </c>
      <c r="U58" s="5"/>
      <c r="V58" s="5"/>
      <c r="W58" s="7"/>
      <c r="X58" s="18">
        <f>0+50</f>
        <v>50</v>
      </c>
      <c r="Y58" s="18"/>
      <c r="Z58" s="18">
        <f t="shared" si="1"/>
        <v>50</v>
      </c>
      <c r="AA58" s="18"/>
      <c r="AB58" s="6">
        <f t="shared" si="10"/>
        <v>500</v>
      </c>
    </row>
    <row r="59" spans="1:28" x14ac:dyDescent="0.25">
      <c r="A59" s="67" t="s">
        <v>231</v>
      </c>
      <c r="B59" s="20" t="s">
        <v>57</v>
      </c>
      <c r="C59" s="7"/>
      <c r="D59" s="7"/>
      <c r="E59" s="7"/>
      <c r="F59" s="7"/>
      <c r="G59" s="7"/>
      <c r="H59" s="7"/>
      <c r="I59" s="5"/>
      <c r="J59" s="5"/>
      <c r="K59" s="5"/>
      <c r="L59" s="5"/>
      <c r="M59" s="5">
        <f>10+0</f>
        <v>10</v>
      </c>
      <c r="N59" s="5">
        <f t="shared" si="11"/>
        <v>20</v>
      </c>
      <c r="O59" s="5"/>
      <c r="P59" s="9">
        <f t="shared" si="9"/>
        <v>9.9999999999999992E-2</v>
      </c>
      <c r="Q59" s="9">
        <f t="shared" si="14"/>
        <v>0.38</v>
      </c>
      <c r="R59" s="9">
        <f t="shared" si="16"/>
        <v>0.19</v>
      </c>
      <c r="S59" s="18"/>
      <c r="T59" s="5">
        <f>500+50</f>
        <v>550</v>
      </c>
      <c r="U59" s="5"/>
      <c r="V59" s="5"/>
      <c r="W59" s="7"/>
      <c r="X59" s="18">
        <f>0+47</f>
        <v>47</v>
      </c>
      <c r="Y59" s="18"/>
      <c r="Z59" s="18">
        <f t="shared" si="1"/>
        <v>47</v>
      </c>
      <c r="AA59" s="18"/>
      <c r="AB59" s="6">
        <f t="shared" si="10"/>
        <v>500</v>
      </c>
    </row>
    <row r="60" spans="1:28" x14ac:dyDescent="0.25">
      <c r="A60" s="67" t="s">
        <v>232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/>
      <c r="L60" s="5"/>
      <c r="M60" s="5">
        <f>10+0</f>
        <v>10</v>
      </c>
      <c r="N60" s="5">
        <f t="shared" si="11"/>
        <v>20</v>
      </c>
      <c r="O60" s="5"/>
      <c r="P60" s="9">
        <f t="shared" si="9"/>
        <v>9.9999999999999992E-2</v>
      </c>
      <c r="Q60" s="9">
        <f t="shared" si="14"/>
        <v>0.38</v>
      </c>
      <c r="R60" s="9">
        <f t="shared" si="16"/>
        <v>0.19</v>
      </c>
      <c r="S60" s="5">
        <f>400+0</f>
        <v>400</v>
      </c>
      <c r="T60" s="5">
        <f>300+500</f>
        <v>800</v>
      </c>
      <c r="U60" s="5"/>
      <c r="V60" s="5"/>
      <c r="W60" s="7"/>
      <c r="X60" s="18">
        <f>0+25</f>
        <v>25</v>
      </c>
      <c r="Y60" s="18"/>
      <c r="Z60" s="18">
        <f t="shared" si="1"/>
        <v>25</v>
      </c>
      <c r="AA60" s="18"/>
      <c r="AB60" s="6">
        <f t="shared" si="10"/>
        <v>500</v>
      </c>
    </row>
    <row r="61" spans="1:28" x14ac:dyDescent="0.25">
      <c r="A61" s="67" t="s">
        <v>233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/>
      <c r="L61" s="5"/>
      <c r="M61" s="5">
        <f>10+0</f>
        <v>10</v>
      </c>
      <c r="N61" s="5">
        <f t="shared" si="11"/>
        <v>20</v>
      </c>
      <c r="O61" s="5"/>
      <c r="P61" s="9">
        <f t="shared" si="9"/>
        <v>9.9999999999999992E-2</v>
      </c>
      <c r="Q61" s="9">
        <f t="shared" si="14"/>
        <v>0.38</v>
      </c>
      <c r="R61" s="9">
        <f t="shared" si="16"/>
        <v>0.19</v>
      </c>
      <c r="S61" s="5">
        <f>446+528</f>
        <v>974</v>
      </c>
      <c r="T61" s="5"/>
      <c r="U61" s="5"/>
      <c r="V61" s="5"/>
      <c r="W61" s="7"/>
      <c r="X61" s="18">
        <f>0+14</f>
        <v>14</v>
      </c>
      <c r="Y61" s="18"/>
      <c r="Z61" s="18">
        <f t="shared" si="1"/>
        <v>14</v>
      </c>
      <c r="AA61" s="18"/>
      <c r="AB61" s="6">
        <f t="shared" si="10"/>
        <v>500</v>
      </c>
    </row>
    <row r="62" spans="1:28" x14ac:dyDescent="0.25">
      <c r="A62" s="67" t="s">
        <v>234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/>
      <c r="L62" s="5"/>
      <c r="M62" s="5">
        <f>0+10</f>
        <v>10</v>
      </c>
      <c r="N62" s="5">
        <f t="shared" si="11"/>
        <v>20</v>
      </c>
      <c r="O62" s="5"/>
      <c r="P62" s="9">
        <f t="shared" si="9"/>
        <v>9.9999999999999992E-2</v>
      </c>
      <c r="Q62" s="9">
        <f t="shared" si="14"/>
        <v>0.38</v>
      </c>
      <c r="R62" s="9">
        <f t="shared" si="16"/>
        <v>0.19</v>
      </c>
      <c r="S62" s="5">
        <f>0+60</f>
        <v>60</v>
      </c>
      <c r="T62" s="5"/>
      <c r="U62" s="5"/>
      <c r="V62" s="5"/>
      <c r="W62" s="7"/>
      <c r="X62" s="18">
        <f>0+2</f>
        <v>2</v>
      </c>
      <c r="Y62" s="18"/>
      <c r="Z62" s="18">
        <f t="shared" si="1"/>
        <v>2</v>
      </c>
      <c r="AA62" s="18"/>
      <c r="AB62" s="6">
        <f t="shared" si="10"/>
        <v>500</v>
      </c>
    </row>
    <row r="63" spans="1:28" x14ac:dyDescent="0.25">
      <c r="A63" s="67" t="s">
        <v>235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/>
      <c r="L63" s="5"/>
      <c r="M63" s="5">
        <f>0+10</f>
        <v>10</v>
      </c>
      <c r="N63" s="5">
        <f>0+7</f>
        <v>7</v>
      </c>
      <c r="O63" s="5"/>
      <c r="P63" s="9">
        <f t="shared" si="9"/>
        <v>9.9999999999999992E-2</v>
      </c>
      <c r="Q63" s="9">
        <f>ROUNDUP(((500+1015)/5280),2)</f>
        <v>0.29000000000000004</v>
      </c>
      <c r="R63" s="9">
        <f t="shared" si="16"/>
        <v>0.19</v>
      </c>
      <c r="S63" s="18">
        <f>0+1162</f>
        <v>1162</v>
      </c>
      <c r="T63" s="5">
        <f>0+120</f>
        <v>120</v>
      </c>
      <c r="U63" s="5"/>
      <c r="V63" s="5"/>
      <c r="W63" s="7"/>
      <c r="X63" s="18">
        <f>0+60</f>
        <v>60</v>
      </c>
      <c r="Y63" s="18">
        <f>0+20</f>
        <v>20</v>
      </c>
      <c r="Z63" s="18">
        <f t="shared" si="1"/>
        <v>80</v>
      </c>
      <c r="AA63" s="18"/>
      <c r="AB63" s="6">
        <f t="shared" si="10"/>
        <v>500</v>
      </c>
    </row>
    <row r="64" spans="1:28" x14ac:dyDescent="0.25">
      <c r="A64" s="67" t="s">
        <v>236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/>
      <c r="L64" s="5"/>
      <c r="M64" s="5">
        <f>0+10</f>
        <v>10</v>
      </c>
      <c r="N64" s="5"/>
      <c r="O64" s="5"/>
      <c r="P64" s="9">
        <f t="shared" si="9"/>
        <v>9.9999999999999992E-2</v>
      </c>
      <c r="Q64" s="9">
        <f>ROUNDUP(((500+500)/5280),2)</f>
        <v>0.19</v>
      </c>
      <c r="R64" s="9">
        <f t="shared" si="16"/>
        <v>0.19</v>
      </c>
      <c r="S64" s="18">
        <f>0+1000</f>
        <v>1000</v>
      </c>
      <c r="T64" s="5">
        <f>0+500</f>
        <v>500</v>
      </c>
      <c r="U64" s="5"/>
      <c r="V64" s="5"/>
      <c r="W64" s="7"/>
      <c r="X64" s="18">
        <f>0+50</f>
        <v>50</v>
      </c>
      <c r="Y64" s="18">
        <f>0+25</f>
        <v>25</v>
      </c>
      <c r="Z64" s="18">
        <f t="shared" si="1"/>
        <v>75</v>
      </c>
      <c r="AA64" s="18"/>
      <c r="AB64" s="6">
        <f t="shared" si="10"/>
        <v>500</v>
      </c>
    </row>
    <row r="65" spans="1:28" x14ac:dyDescent="0.25">
      <c r="A65" s="67" t="s">
        <v>237</v>
      </c>
      <c r="B65" s="20" t="s">
        <v>63</v>
      </c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9">
        <f>ROUNDUP(((150+0)/5280),2)</f>
        <v>0.03</v>
      </c>
      <c r="Q65" s="9">
        <f t="shared" si="16"/>
        <v>0.19</v>
      </c>
      <c r="R65" s="9">
        <f t="shared" si="16"/>
        <v>0.19</v>
      </c>
      <c r="S65" s="18">
        <f>614+708</f>
        <v>1322</v>
      </c>
      <c r="T65" s="5">
        <f>0+410</f>
        <v>410</v>
      </c>
      <c r="U65" s="5"/>
      <c r="V65" s="5"/>
      <c r="W65" s="7"/>
      <c r="X65" s="18">
        <f>0+30</f>
        <v>30</v>
      </c>
      <c r="Y65" s="18">
        <f>0+25</f>
        <v>25</v>
      </c>
      <c r="Z65" s="18">
        <f t="shared" si="1"/>
        <v>55</v>
      </c>
      <c r="AA65" s="18"/>
      <c r="AB65" s="6"/>
    </row>
    <row r="66" spans="1:28" x14ac:dyDescent="0.25">
      <c r="A66" s="67" t="s">
        <v>238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9">
        <f>ROUNDUP(((0+490)/5280),2)</f>
        <v>9.9999999999999992E-2</v>
      </c>
      <c r="Q66" s="9">
        <f>ROUNDUP(((500+400)/5280),2)</f>
        <v>0.18000000000000002</v>
      </c>
      <c r="R66" s="9">
        <f>ROUNDUP(((500+400)/5280),2)</f>
        <v>0.18000000000000002</v>
      </c>
      <c r="S66" s="18">
        <f>700+10</f>
        <v>710</v>
      </c>
      <c r="T66" s="5">
        <f>400+0</f>
        <v>400</v>
      </c>
      <c r="U66" s="5"/>
      <c r="V66" s="5"/>
      <c r="W66" s="7"/>
      <c r="X66" s="18">
        <f>0+1</f>
        <v>1</v>
      </c>
      <c r="Y66" s="18">
        <f>0+1</f>
        <v>1</v>
      </c>
      <c r="Z66" s="18">
        <f t="shared" si="1"/>
        <v>2</v>
      </c>
      <c r="AA66" s="18"/>
      <c r="AB66" s="6"/>
    </row>
    <row r="67" spans="1:28" x14ac:dyDescent="0.25">
      <c r="A67" s="67" t="s">
        <v>239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>
        <f>ROUNDUP(((0+200)/5280),2)</f>
        <v>0.04</v>
      </c>
      <c r="Q67" s="9">
        <f>ROUNDUP(((200+0)/5280),2)</f>
        <v>0.04</v>
      </c>
      <c r="R67" s="9">
        <f>ROUNDUP(((200+0)/5280),2)</f>
        <v>0.04</v>
      </c>
      <c r="S67" s="18">
        <f>200+0</f>
        <v>200</v>
      </c>
      <c r="T67" s="5">
        <f>200+0</f>
        <v>200</v>
      </c>
      <c r="U67" s="5"/>
      <c r="V67" s="5"/>
      <c r="W67" s="7"/>
      <c r="X67" s="18"/>
      <c r="Y67" s="18"/>
      <c r="Z67" s="18">
        <f t="shared" si="1"/>
        <v>0</v>
      </c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5"/>
      <c r="U68" s="5"/>
      <c r="V68" s="5"/>
      <c r="W68" s="7"/>
      <c r="X68" s="18"/>
      <c r="Y68" s="18"/>
      <c r="Z68" s="18">
        <f t="shared" si="1"/>
        <v>0</v>
      </c>
      <c r="AA68" s="18"/>
      <c r="AB68" s="6"/>
    </row>
    <row r="69" spans="1:28" x14ac:dyDescent="0.25">
      <c r="A69" s="4"/>
      <c r="B69" s="5"/>
      <c r="C69" s="7"/>
      <c r="D69" s="7"/>
      <c r="E69" s="7"/>
      <c r="F69" s="7"/>
      <c r="G69" s="7"/>
      <c r="H69" s="7"/>
      <c r="I69" s="5"/>
      <c r="J69" s="5"/>
      <c r="K69" s="5"/>
      <c r="L69" s="5"/>
      <c r="M69" s="5"/>
      <c r="N69" s="5"/>
      <c r="O69" s="5"/>
      <c r="P69" s="9"/>
      <c r="Q69" s="9"/>
      <c r="R69" s="9"/>
      <c r="S69" s="18"/>
      <c r="T69" s="5"/>
      <c r="U69" s="5"/>
      <c r="V69" s="5"/>
      <c r="W69" s="7"/>
      <c r="X69" s="18"/>
      <c r="Y69" s="18"/>
      <c r="Z69" s="18">
        <f t="shared" si="1"/>
        <v>0</v>
      </c>
      <c r="AA69" s="18"/>
      <c r="AB69" s="6"/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5"/>
      <c r="U70" s="5"/>
      <c r="V70" s="5"/>
      <c r="W70" s="7"/>
      <c r="X70" s="18"/>
      <c r="Y70" s="18"/>
      <c r="Z70" s="18">
        <f t="shared" si="1"/>
        <v>0</v>
      </c>
      <c r="AA70" s="18"/>
      <c r="AB70" s="6"/>
    </row>
    <row r="71" spans="1:28" x14ac:dyDescent="0.25">
      <c r="A71" s="4"/>
      <c r="B71" s="5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/>
      <c r="Q71" s="9"/>
      <c r="R71" s="9"/>
      <c r="S71" s="18"/>
      <c r="T71" s="5"/>
      <c r="U71" s="5"/>
      <c r="V71" s="5"/>
      <c r="W71" s="7"/>
      <c r="X71" s="18"/>
      <c r="Y71" s="18"/>
      <c r="Z71" s="18">
        <f t="shared" si="1"/>
        <v>0</v>
      </c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/>
      <c r="R72" s="9"/>
      <c r="S72" s="18"/>
      <c r="T72" s="5"/>
      <c r="U72" s="5"/>
      <c r="V72" s="5"/>
      <c r="W72" s="7"/>
      <c r="X72" s="18"/>
      <c r="Y72" s="18"/>
      <c r="Z72" s="18">
        <f t="shared" si="1"/>
        <v>0</v>
      </c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5"/>
      <c r="U73" s="5"/>
      <c r="V73" s="5"/>
      <c r="W73" s="7"/>
      <c r="X73" s="18"/>
      <c r="Y73" s="18"/>
      <c r="Z73" s="5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5"/>
      <c r="U74" s="5"/>
      <c r="V74" s="5"/>
      <c r="W74" s="7"/>
      <c r="X74" s="18"/>
      <c r="Y74" s="18"/>
      <c r="Z74" s="5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0</v>
      </c>
      <c r="D75" s="11">
        <f t="shared" ref="D75:H75" si="18">SUM(D20:D74)</f>
        <v>0</v>
      </c>
      <c r="E75" s="11">
        <f t="shared" si="18"/>
        <v>0</v>
      </c>
      <c r="F75" s="11">
        <f t="shared" si="18"/>
        <v>0</v>
      </c>
      <c r="G75" s="11"/>
      <c r="H75" s="11">
        <f t="shared" si="18"/>
        <v>0</v>
      </c>
      <c r="I75" s="11">
        <f>SUM(I20:I74)</f>
        <v>1044</v>
      </c>
      <c r="J75" s="11">
        <f>SUM(J20:J74)</f>
        <v>2</v>
      </c>
      <c r="K75" s="11">
        <f t="shared" ref="K75:AB75" si="19">SUM(K20:K74)</f>
        <v>26</v>
      </c>
      <c r="L75" s="11">
        <f t="shared" si="19"/>
        <v>0</v>
      </c>
      <c r="M75" s="11">
        <f t="shared" si="19"/>
        <v>684</v>
      </c>
      <c r="N75" s="11">
        <f t="shared" si="19"/>
        <v>771</v>
      </c>
      <c r="O75" s="11">
        <f t="shared" si="19"/>
        <v>252</v>
      </c>
      <c r="P75" s="24">
        <f t="shared" si="19"/>
        <v>4.3100000000000014</v>
      </c>
      <c r="Q75" s="24">
        <f t="shared" si="19"/>
        <v>15.920000000000012</v>
      </c>
      <c r="R75" s="24">
        <f t="shared" si="19"/>
        <v>8.5800000000000054</v>
      </c>
      <c r="S75" s="12">
        <f t="shared" si="19"/>
        <v>12291</v>
      </c>
      <c r="T75" s="11">
        <f t="shared" ref="T75" si="20">SUM(T20:T74)</f>
        <v>6705</v>
      </c>
      <c r="U75" s="11">
        <f t="shared" si="19"/>
        <v>0</v>
      </c>
      <c r="V75" s="11">
        <f t="shared" si="19"/>
        <v>0</v>
      </c>
      <c r="W75" s="11">
        <f t="shared" si="19"/>
        <v>0</v>
      </c>
      <c r="X75" s="11">
        <f t="shared" si="19"/>
        <v>512</v>
      </c>
      <c r="Y75" s="11">
        <f t="shared" si="19"/>
        <v>144</v>
      </c>
      <c r="Z75" s="69">
        <f t="shared" si="19"/>
        <v>656</v>
      </c>
      <c r="AA75" s="12">
        <f t="shared" si="19"/>
        <v>13106</v>
      </c>
      <c r="AB75" s="60">
        <f t="shared" si="19"/>
        <v>21000</v>
      </c>
    </row>
  </sheetData>
  <mergeCells count="29">
    <mergeCell ref="E2:E18"/>
    <mergeCell ref="F2:F18"/>
    <mergeCell ref="H2:H18"/>
    <mergeCell ref="K2:K18"/>
    <mergeCell ref="AA2:AA18"/>
    <mergeCell ref="G2:G18"/>
    <mergeCell ref="AB2:AB18"/>
    <mergeCell ref="R2:R18"/>
    <mergeCell ref="S2:S18"/>
    <mergeCell ref="U2:U18"/>
    <mergeCell ref="V2:V18"/>
    <mergeCell ref="W2:W18"/>
    <mergeCell ref="T2:T18"/>
    <mergeCell ref="A75:B75"/>
    <mergeCell ref="X2:X18"/>
    <mergeCell ref="Y2:Y18"/>
    <mergeCell ref="Z2:Z18"/>
    <mergeCell ref="L2:L18"/>
    <mergeCell ref="M2:M18"/>
    <mergeCell ref="A1:A19"/>
    <mergeCell ref="N2:N18"/>
    <mergeCell ref="O2:O18"/>
    <mergeCell ref="P2:P18"/>
    <mergeCell ref="Q2:Q18"/>
    <mergeCell ref="B1:B19"/>
    <mergeCell ref="C2:C18"/>
    <mergeCell ref="I2:I18"/>
    <mergeCell ref="J2:J18"/>
    <mergeCell ref="D2:D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34B6-D4F4-4EFD-992C-CBAC691D0AFE}">
  <dimension ref="A1:AB75"/>
  <sheetViews>
    <sheetView showZeros="0" topLeftCell="A40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114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67" t="s">
        <v>240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/>
      <c r="T21" s="5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67" t="s">
        <v>241</v>
      </c>
      <c r="B22" s="15" t="s">
        <v>20</v>
      </c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9"/>
      <c r="Q22" s="9"/>
      <c r="R22" s="9"/>
      <c r="S22" s="18"/>
      <c r="T22" s="5"/>
      <c r="U22" s="5"/>
      <c r="V22" s="5"/>
      <c r="W22" s="7"/>
      <c r="X22" s="18"/>
      <c r="Y22" s="18"/>
      <c r="Z22" s="7"/>
      <c r="AA22" s="18"/>
      <c r="AB22" s="6"/>
    </row>
    <row r="23" spans="1:28" x14ac:dyDescent="0.25">
      <c r="A23" s="67" t="s">
        <v>242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25"/>
      <c r="N23" s="5"/>
      <c r="O23" s="5"/>
      <c r="P23" s="9"/>
      <c r="Q23" s="9"/>
      <c r="R23" s="9"/>
      <c r="S23" s="18"/>
      <c r="T23" s="5"/>
      <c r="U23" s="5"/>
      <c r="V23" s="5"/>
      <c r="W23" s="7"/>
      <c r="X23" s="18"/>
      <c r="Y23" s="18"/>
      <c r="Z23" s="7"/>
      <c r="AA23" s="18"/>
      <c r="AB23" s="6"/>
    </row>
    <row r="24" spans="1:28" x14ac:dyDescent="0.25">
      <c r="A24" s="67" t="s">
        <v>243</v>
      </c>
      <c r="B24" s="15" t="s">
        <v>22</v>
      </c>
      <c r="C24" s="7"/>
      <c r="D24" s="7"/>
      <c r="E24" s="7"/>
      <c r="F24" s="7"/>
      <c r="G24" s="7"/>
      <c r="H24" s="7"/>
      <c r="I24" s="5"/>
      <c r="J24" s="5"/>
      <c r="K24" s="5"/>
      <c r="L24" s="5"/>
      <c r="M24" s="5"/>
      <c r="N24" s="5"/>
      <c r="O24" s="5"/>
      <c r="P24" s="9"/>
      <c r="Q24" s="9"/>
      <c r="R24" s="9"/>
      <c r="S24" s="18"/>
      <c r="T24" s="5"/>
      <c r="U24" s="5"/>
      <c r="V24" s="5"/>
      <c r="W24" s="7"/>
      <c r="X24" s="18"/>
      <c r="Y24" s="18"/>
      <c r="Z24" s="7"/>
      <c r="AA24" s="18"/>
      <c r="AB24" s="6"/>
    </row>
    <row r="25" spans="1:28" x14ac:dyDescent="0.25">
      <c r="A25" s="67" t="s">
        <v>244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9"/>
      <c r="Q25" s="9"/>
      <c r="R25" s="9"/>
      <c r="S25" s="18"/>
      <c r="T25" s="5"/>
      <c r="U25" s="5"/>
      <c r="V25" s="5"/>
      <c r="W25" s="7"/>
      <c r="X25" s="18"/>
      <c r="Y25" s="18"/>
      <c r="Z25" s="7"/>
      <c r="AA25" s="18"/>
      <c r="AB25" s="6"/>
    </row>
    <row r="26" spans="1:28" x14ac:dyDescent="0.25">
      <c r="A26" s="67" t="s">
        <v>245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/>
      <c r="N26" s="5"/>
      <c r="O26" s="5"/>
      <c r="P26" s="9"/>
      <c r="Q26" s="9"/>
      <c r="R26" s="9"/>
      <c r="S26" s="18"/>
      <c r="T26" s="5"/>
      <c r="U26" s="5"/>
      <c r="V26" s="5"/>
      <c r="W26" s="7"/>
      <c r="X26" s="18"/>
      <c r="Y26" s="18"/>
      <c r="Z26" s="7"/>
      <c r="AA26" s="18"/>
      <c r="AB26" s="6"/>
    </row>
    <row r="27" spans="1:28" x14ac:dyDescent="0.25">
      <c r="A27" s="67" t="s">
        <v>246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9"/>
      <c r="Q27" s="9"/>
      <c r="R27" s="9"/>
      <c r="S27" s="18"/>
      <c r="T27" s="5"/>
      <c r="U27" s="5"/>
      <c r="V27" s="5"/>
      <c r="W27" s="7"/>
      <c r="X27" s="18"/>
      <c r="Y27" s="18"/>
      <c r="Z27" s="7"/>
      <c r="AA27" s="18"/>
      <c r="AB27" s="6"/>
    </row>
    <row r="28" spans="1:28" x14ac:dyDescent="0.25">
      <c r="A28" s="67" t="s">
        <v>247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>
        <f>0+4</f>
        <v>4</v>
      </c>
      <c r="L28" s="5"/>
      <c r="M28" s="5"/>
      <c r="N28" s="5"/>
      <c r="O28" s="5"/>
      <c r="P28" s="9"/>
      <c r="Q28" s="9">
        <f>ROUNDUP(((0+500)/5280),2)</f>
        <v>9.9999999999999992E-2</v>
      </c>
      <c r="R28" s="9"/>
      <c r="S28" s="5">
        <f>0+100</f>
        <v>100</v>
      </c>
      <c r="T28" s="5">
        <f>0+450</f>
        <v>450</v>
      </c>
      <c r="U28" s="5"/>
      <c r="V28" s="5"/>
      <c r="W28" s="7"/>
      <c r="X28" s="18"/>
      <c r="Y28" s="18"/>
      <c r="Z28" s="7"/>
      <c r="AA28" s="18"/>
      <c r="AB28" s="6"/>
    </row>
    <row r="29" spans="1:28" x14ac:dyDescent="0.25">
      <c r="A29" s="67" t="s">
        <v>248</v>
      </c>
      <c r="B29" s="15" t="s">
        <v>27</v>
      </c>
      <c r="C29" s="7"/>
      <c r="D29" s="7"/>
      <c r="E29" s="7"/>
      <c r="F29" s="7"/>
      <c r="G29" s="7"/>
      <c r="H29" s="7"/>
      <c r="I29" s="5"/>
      <c r="J29" s="5"/>
      <c r="K29" s="5">
        <f>0+8</f>
        <v>8</v>
      </c>
      <c r="L29" s="5"/>
      <c r="M29" s="5"/>
      <c r="N29" s="5"/>
      <c r="O29" s="5"/>
      <c r="P29" s="9"/>
      <c r="Q29" s="9">
        <f>ROUNDUP(((0+180)/5280),2)</f>
        <v>0.04</v>
      </c>
      <c r="R29" s="9"/>
      <c r="S29" s="5">
        <f>0+355</f>
        <v>355</v>
      </c>
      <c r="T29" s="5"/>
      <c r="U29" s="5"/>
      <c r="V29" s="5"/>
      <c r="W29" s="7"/>
      <c r="X29" s="18"/>
      <c r="Y29" s="18"/>
      <c r="Z29" s="7"/>
      <c r="AA29" s="18"/>
      <c r="AB29" s="6"/>
    </row>
    <row r="30" spans="1:28" x14ac:dyDescent="0.25">
      <c r="A30" s="67" t="s">
        <v>249</v>
      </c>
      <c r="B30" s="15" t="s">
        <v>28</v>
      </c>
      <c r="C30" s="7"/>
      <c r="D30" s="7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9"/>
      <c r="Q30" s="9"/>
      <c r="R30" s="9"/>
      <c r="S30" s="5"/>
      <c r="T30" s="5"/>
      <c r="U30" s="5"/>
      <c r="V30" s="5"/>
      <c r="W30" s="7"/>
      <c r="X30" s="18"/>
      <c r="Y30" s="18"/>
      <c r="Z30" s="7"/>
      <c r="AA30" s="18"/>
      <c r="AB30" s="23"/>
    </row>
    <row r="31" spans="1:28" x14ac:dyDescent="0.25">
      <c r="A31" s="67" t="s">
        <v>250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/>
      <c r="N31" s="5"/>
      <c r="O31" s="5"/>
      <c r="P31" s="9"/>
      <c r="Q31" s="9"/>
      <c r="R31" s="9"/>
      <c r="S31" s="5"/>
      <c r="T31" s="5"/>
      <c r="U31" s="5"/>
      <c r="V31" s="5"/>
      <c r="W31" s="7"/>
      <c r="X31" s="18"/>
      <c r="Y31" s="18"/>
      <c r="Z31" s="7"/>
      <c r="AA31" s="18"/>
      <c r="AB31" s="6"/>
    </row>
    <row r="32" spans="1:28" x14ac:dyDescent="0.25">
      <c r="A32" s="67" t="s">
        <v>251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>
        <f>0+10</f>
        <v>10</v>
      </c>
      <c r="L32" s="5"/>
      <c r="M32" s="5"/>
      <c r="N32" s="5"/>
      <c r="O32" s="5"/>
      <c r="P32" s="9"/>
      <c r="Q32" s="9">
        <f>ROUNDUP(((0+330)/5280),2)</f>
        <v>6.9999999999999993E-2</v>
      </c>
      <c r="R32" s="9"/>
      <c r="S32" s="5">
        <f>0+360</f>
        <v>360</v>
      </c>
      <c r="T32" s="5">
        <f>0+150</f>
        <v>150</v>
      </c>
      <c r="U32" s="5"/>
      <c r="V32" s="5"/>
      <c r="W32" s="7"/>
      <c r="X32" s="18"/>
      <c r="Y32" s="18"/>
      <c r="Z32" s="7"/>
      <c r="AA32" s="18"/>
      <c r="AB32" s="6"/>
    </row>
    <row r="33" spans="1:28" x14ac:dyDescent="0.25">
      <c r="A33" s="67" t="s">
        <v>252</v>
      </c>
      <c r="B33" s="15" t="s">
        <v>31</v>
      </c>
      <c r="C33" s="7"/>
      <c r="D33" s="7"/>
      <c r="E33" s="7"/>
      <c r="F33" s="7"/>
      <c r="G33" s="7"/>
      <c r="H33" s="7"/>
      <c r="I33" s="5">
        <f>0+132</f>
        <v>132</v>
      </c>
      <c r="J33" s="5">
        <f>0+1</f>
        <v>1</v>
      </c>
      <c r="K33" s="5"/>
      <c r="L33" s="5"/>
      <c r="M33" s="5">
        <f t="shared" ref="M33:M40" si="0">0+10</f>
        <v>10</v>
      </c>
      <c r="N33" s="5"/>
      <c r="O33" s="5">
        <f>0+9</f>
        <v>9</v>
      </c>
      <c r="P33" s="9"/>
      <c r="Q33" s="9">
        <f>ROUNDUP(((0+250)/5280),2)</f>
        <v>0.05</v>
      </c>
      <c r="R33" s="9"/>
      <c r="S33" s="18"/>
      <c r="T33" s="5"/>
      <c r="U33" s="5"/>
      <c r="V33" s="5"/>
      <c r="W33" s="7"/>
      <c r="X33" s="18"/>
      <c r="Y33" s="18"/>
      <c r="Z33" s="7"/>
      <c r="AA33" s="18">
        <f>0+444</f>
        <v>444</v>
      </c>
      <c r="AB33" s="6"/>
    </row>
    <row r="34" spans="1:28" x14ac:dyDescent="0.25">
      <c r="A34" s="67" t="s">
        <v>253</v>
      </c>
      <c r="B34" s="15" t="s">
        <v>32</v>
      </c>
      <c r="C34" s="7"/>
      <c r="D34" s="7"/>
      <c r="E34" s="7"/>
      <c r="F34" s="7"/>
      <c r="G34" s="7"/>
      <c r="H34" s="7"/>
      <c r="I34" s="5"/>
      <c r="J34" s="5"/>
      <c r="K34" s="5"/>
      <c r="L34" s="5"/>
      <c r="M34" s="5">
        <f t="shared" si="0"/>
        <v>10</v>
      </c>
      <c r="N34" s="5"/>
      <c r="O34" s="5">
        <f t="shared" ref="O34:O40" si="1">0+10</f>
        <v>10</v>
      </c>
      <c r="P34" s="9"/>
      <c r="Q34" s="9">
        <f>ROUNDUP(((0+100)/5280),2)</f>
        <v>0.02</v>
      </c>
      <c r="R34" s="9"/>
      <c r="S34" s="18"/>
      <c r="T34" s="5"/>
      <c r="U34" s="5"/>
      <c r="V34" s="5"/>
      <c r="W34" s="7"/>
      <c r="X34" s="18"/>
      <c r="Y34" s="18"/>
      <c r="Z34" s="7"/>
      <c r="AA34" s="18">
        <f t="shared" ref="AA34:AA40" si="2">0+500</f>
        <v>500</v>
      </c>
      <c r="AB34" s="6"/>
    </row>
    <row r="35" spans="1:28" x14ac:dyDescent="0.25">
      <c r="A35" s="67" t="s">
        <v>254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/>
      <c r="L35" s="5"/>
      <c r="M35" s="5">
        <f t="shared" si="0"/>
        <v>10</v>
      </c>
      <c r="N35" s="5"/>
      <c r="O35" s="5">
        <f t="shared" si="1"/>
        <v>10</v>
      </c>
      <c r="P35" s="9"/>
      <c r="Q35" s="9"/>
      <c r="R35" s="9"/>
      <c r="S35" s="18"/>
      <c r="T35" s="5"/>
      <c r="U35" s="5"/>
      <c r="V35" s="5"/>
      <c r="W35" s="7"/>
      <c r="X35" s="18"/>
      <c r="Y35" s="18"/>
      <c r="Z35" s="7"/>
      <c r="AA35" s="18">
        <f t="shared" si="2"/>
        <v>500</v>
      </c>
      <c r="AB35" s="6"/>
    </row>
    <row r="36" spans="1:28" x14ac:dyDescent="0.25">
      <c r="A36" s="67" t="s">
        <v>255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>
        <f t="shared" si="0"/>
        <v>10</v>
      </c>
      <c r="N36" s="5"/>
      <c r="O36" s="5">
        <f t="shared" si="1"/>
        <v>10</v>
      </c>
      <c r="P36" s="9"/>
      <c r="Q36" s="9"/>
      <c r="R36" s="9"/>
      <c r="S36" s="18"/>
      <c r="T36" s="5"/>
      <c r="U36" s="5"/>
      <c r="V36" s="5"/>
      <c r="W36" s="7"/>
      <c r="X36" s="18"/>
      <c r="Y36" s="18"/>
      <c r="Z36" s="7"/>
      <c r="AA36" s="18">
        <f t="shared" si="2"/>
        <v>500</v>
      </c>
      <c r="AB36" s="6"/>
    </row>
    <row r="37" spans="1:28" x14ac:dyDescent="0.25">
      <c r="A37" s="67" t="s">
        <v>256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/>
      <c r="L37" s="5"/>
      <c r="M37" s="5">
        <f t="shared" si="0"/>
        <v>10</v>
      </c>
      <c r="N37" s="5"/>
      <c r="O37" s="5">
        <f t="shared" si="1"/>
        <v>10</v>
      </c>
      <c r="P37" s="9"/>
      <c r="Q37" s="9"/>
      <c r="R37" s="9"/>
      <c r="S37" s="18"/>
      <c r="T37" s="5"/>
      <c r="U37" s="5"/>
      <c r="V37" s="5"/>
      <c r="W37" s="7"/>
      <c r="X37" s="18"/>
      <c r="Y37" s="18"/>
      <c r="Z37" s="7"/>
      <c r="AA37" s="18">
        <f t="shared" si="2"/>
        <v>500</v>
      </c>
      <c r="AB37" s="6"/>
    </row>
    <row r="38" spans="1:28" x14ac:dyDescent="0.25">
      <c r="A38" s="67" t="s">
        <v>257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/>
      <c r="L38" s="5"/>
      <c r="M38" s="5">
        <f t="shared" si="0"/>
        <v>10</v>
      </c>
      <c r="N38" s="5"/>
      <c r="O38" s="5">
        <f t="shared" si="1"/>
        <v>10</v>
      </c>
      <c r="P38" s="9"/>
      <c r="Q38" s="9">
        <f>ROUNDUP(((0+248)/5280),2)</f>
        <v>0.05</v>
      </c>
      <c r="R38" s="9"/>
      <c r="S38" s="18"/>
      <c r="T38" s="5"/>
      <c r="U38" s="5"/>
      <c r="V38" s="5"/>
      <c r="W38" s="7"/>
      <c r="X38" s="18"/>
      <c r="Y38" s="18"/>
      <c r="Z38" s="7"/>
      <c r="AA38" s="18">
        <f t="shared" si="2"/>
        <v>500</v>
      </c>
      <c r="AB38" s="6"/>
    </row>
    <row r="39" spans="1:28" x14ac:dyDescent="0.25">
      <c r="A39" s="67" t="s">
        <v>258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/>
      <c r="L39" s="5"/>
      <c r="M39" s="5">
        <f t="shared" si="0"/>
        <v>10</v>
      </c>
      <c r="N39" s="5"/>
      <c r="O39" s="5">
        <f t="shared" si="1"/>
        <v>10</v>
      </c>
      <c r="P39" s="9"/>
      <c r="Q39" s="9">
        <f>ROUNDUP(((0+500)/5280),2)</f>
        <v>9.9999999999999992E-2</v>
      </c>
      <c r="R39" s="9"/>
      <c r="S39" s="18"/>
      <c r="T39" s="5"/>
      <c r="U39" s="5"/>
      <c r="V39" s="5"/>
      <c r="W39" s="7"/>
      <c r="X39" s="18"/>
      <c r="Y39" s="18"/>
      <c r="Z39" s="7"/>
      <c r="AA39" s="18">
        <f t="shared" si="2"/>
        <v>500</v>
      </c>
      <c r="AB39" s="6"/>
    </row>
    <row r="40" spans="1:28" x14ac:dyDescent="0.25">
      <c r="A40" s="67" t="s">
        <v>259</v>
      </c>
      <c r="B40" s="15" t="s">
        <v>38</v>
      </c>
      <c r="C40" s="7"/>
      <c r="D40" s="7"/>
      <c r="E40" s="7"/>
      <c r="F40" s="7"/>
      <c r="G40" s="7"/>
      <c r="H40" s="7"/>
      <c r="I40" s="5"/>
      <c r="J40" s="5"/>
      <c r="K40" s="5"/>
      <c r="L40" s="5"/>
      <c r="M40" s="5">
        <f t="shared" si="0"/>
        <v>10</v>
      </c>
      <c r="N40" s="5"/>
      <c r="O40" s="5">
        <f t="shared" si="1"/>
        <v>10</v>
      </c>
      <c r="P40" s="9"/>
      <c r="Q40" s="9">
        <f>ROUNDUP(((0+300)/5280),2)</f>
        <v>6.0000000000000005E-2</v>
      </c>
      <c r="R40" s="9"/>
      <c r="S40" s="18"/>
      <c r="T40" s="5"/>
      <c r="U40" s="5"/>
      <c r="V40" s="5"/>
      <c r="W40" s="7"/>
      <c r="X40" s="18"/>
      <c r="Y40" s="18"/>
      <c r="Z40" s="7"/>
      <c r="AA40" s="18">
        <f t="shared" si="2"/>
        <v>500</v>
      </c>
      <c r="AB40" s="6"/>
    </row>
    <row r="41" spans="1:28" x14ac:dyDescent="0.25">
      <c r="A41" s="67" t="s">
        <v>260</v>
      </c>
      <c r="B41" s="15" t="s">
        <v>39</v>
      </c>
      <c r="C41" s="7"/>
      <c r="D41" s="7"/>
      <c r="E41" s="7"/>
      <c r="F41" s="7"/>
      <c r="G41" s="7"/>
      <c r="H41" s="7"/>
      <c r="I41" s="5"/>
      <c r="J41" s="5"/>
      <c r="K41" s="5"/>
      <c r="L41" s="5"/>
      <c r="M41" s="5">
        <f>0+2</f>
        <v>2</v>
      </c>
      <c r="N41" s="5"/>
      <c r="O41" s="5">
        <f>0+2</f>
        <v>2</v>
      </c>
      <c r="P41" s="9"/>
      <c r="Q41" s="9"/>
      <c r="R41" s="9"/>
      <c r="S41" s="18"/>
      <c r="T41" s="5"/>
      <c r="U41" s="5"/>
      <c r="V41" s="5"/>
      <c r="W41" s="7"/>
      <c r="X41" s="18"/>
      <c r="Y41" s="18"/>
      <c r="Z41" s="7"/>
      <c r="AA41" s="18">
        <f>0+100</f>
        <v>100</v>
      </c>
      <c r="AB41" s="6"/>
    </row>
    <row r="42" spans="1:28" x14ac:dyDescent="0.25">
      <c r="A42" s="67" t="s">
        <v>261</v>
      </c>
      <c r="B42" s="15" t="s">
        <v>40</v>
      </c>
      <c r="C42" s="7"/>
      <c r="D42" s="7"/>
      <c r="E42" s="7"/>
      <c r="F42" s="7"/>
      <c r="G42" s="7"/>
      <c r="H42" s="7"/>
      <c r="I42" s="5">
        <v>84</v>
      </c>
      <c r="J42" s="5">
        <v>1</v>
      </c>
      <c r="K42" s="5"/>
      <c r="L42" s="5"/>
      <c r="M42" s="5">
        <f>0+3</f>
        <v>3</v>
      </c>
      <c r="N42" s="5"/>
      <c r="O42" s="5">
        <f>0+2</f>
        <v>2</v>
      </c>
      <c r="P42" s="9"/>
      <c r="Q42" s="9"/>
      <c r="R42" s="9"/>
      <c r="S42" s="18"/>
      <c r="T42" s="5"/>
      <c r="U42" s="5"/>
      <c r="V42" s="5"/>
      <c r="W42" s="7"/>
      <c r="X42" s="18"/>
      <c r="Y42" s="18"/>
      <c r="Z42" s="7"/>
      <c r="AA42" s="18">
        <f>0+96</f>
        <v>96</v>
      </c>
      <c r="AB42" s="6"/>
    </row>
    <row r="43" spans="1:28" x14ac:dyDescent="0.25">
      <c r="A43" s="67" t="s">
        <v>262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/>
      <c r="L43" s="5"/>
      <c r="M43" s="5"/>
      <c r="N43" s="5"/>
      <c r="O43" s="5"/>
      <c r="P43" s="9"/>
      <c r="Q43" s="9"/>
      <c r="R43" s="9"/>
      <c r="S43" s="18"/>
      <c r="T43" s="5"/>
      <c r="U43" s="5"/>
      <c r="V43" s="5"/>
      <c r="W43" s="7"/>
      <c r="X43" s="18"/>
      <c r="Y43" s="18"/>
      <c r="Z43" s="7"/>
      <c r="AA43" s="18"/>
      <c r="AB43" s="6"/>
    </row>
    <row r="44" spans="1:28" x14ac:dyDescent="0.25">
      <c r="A44" s="67" t="s">
        <v>263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/>
      <c r="L44" s="5"/>
      <c r="M44" s="5"/>
      <c r="N44" s="5"/>
      <c r="O44" s="5"/>
      <c r="P44" s="9"/>
      <c r="Q44" s="9"/>
      <c r="R44" s="9"/>
      <c r="S44" s="18"/>
      <c r="T44" s="5"/>
      <c r="U44" s="5"/>
      <c r="V44" s="5"/>
      <c r="W44" s="7"/>
      <c r="X44" s="18"/>
      <c r="Y44" s="18"/>
      <c r="Z44" s="7"/>
      <c r="AA44" s="18"/>
      <c r="AB44" s="6"/>
    </row>
    <row r="45" spans="1:28" x14ac:dyDescent="0.25">
      <c r="A45" s="67" t="s">
        <v>264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/>
      <c r="L45" s="5"/>
      <c r="M45" s="5"/>
      <c r="N45" s="5"/>
      <c r="O45" s="5"/>
      <c r="P45" s="9"/>
      <c r="Q45" s="9"/>
      <c r="R45" s="9"/>
      <c r="S45" s="18"/>
      <c r="T45" s="5"/>
      <c r="U45" s="5"/>
      <c r="V45" s="5"/>
      <c r="W45" s="7"/>
      <c r="X45" s="18"/>
      <c r="Y45" s="18"/>
      <c r="Z45" s="7"/>
      <c r="AA45" s="18"/>
      <c r="AB45" s="23"/>
    </row>
    <row r="46" spans="1:28" x14ac:dyDescent="0.25">
      <c r="A46" s="67" t="s">
        <v>265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/>
      <c r="L46" s="5"/>
      <c r="M46" s="5"/>
      <c r="N46" s="5"/>
      <c r="O46" s="5"/>
      <c r="P46" s="9"/>
      <c r="Q46" s="9"/>
      <c r="R46" s="9"/>
      <c r="S46" s="18"/>
      <c r="T46" s="5"/>
      <c r="U46" s="5"/>
      <c r="V46" s="5"/>
      <c r="W46" s="7"/>
      <c r="X46" s="18"/>
      <c r="Y46" s="18"/>
      <c r="Z46" s="7"/>
      <c r="AA46" s="18"/>
      <c r="AB46" s="6"/>
    </row>
    <row r="47" spans="1:28" x14ac:dyDescent="0.25">
      <c r="A47" s="67" t="s">
        <v>266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/>
      <c r="L47" s="5"/>
      <c r="M47" s="5"/>
      <c r="N47" s="5"/>
      <c r="O47" s="5"/>
      <c r="P47" s="9"/>
      <c r="Q47" s="9"/>
      <c r="R47" s="9"/>
      <c r="S47" s="18"/>
      <c r="T47" s="5"/>
      <c r="U47" s="5"/>
      <c r="V47" s="5"/>
      <c r="W47" s="7"/>
      <c r="X47" s="18"/>
      <c r="Y47" s="18"/>
      <c r="Z47" s="7"/>
      <c r="AA47" s="18"/>
      <c r="AB47" s="6"/>
    </row>
    <row r="48" spans="1:28" x14ac:dyDescent="0.25">
      <c r="A48" s="67" t="s">
        <v>267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/>
      <c r="L48" s="5"/>
      <c r="M48" s="5"/>
      <c r="N48" s="5"/>
      <c r="O48" s="5"/>
      <c r="P48" s="9"/>
      <c r="Q48" s="9"/>
      <c r="R48" s="9"/>
      <c r="S48" s="18"/>
      <c r="T48" s="5"/>
      <c r="U48" s="5"/>
      <c r="V48" s="5"/>
      <c r="W48" s="7"/>
      <c r="X48" s="18"/>
      <c r="Y48" s="18"/>
      <c r="Z48" s="7"/>
      <c r="AA48" s="18"/>
      <c r="AB48" s="6"/>
    </row>
    <row r="49" spans="1:28" x14ac:dyDescent="0.25">
      <c r="A49" s="67" t="s">
        <v>268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/>
      <c r="L49" s="5"/>
      <c r="M49" s="5"/>
      <c r="N49" s="5"/>
      <c r="O49" s="5"/>
      <c r="P49" s="9"/>
      <c r="Q49" s="9"/>
      <c r="R49" s="9"/>
      <c r="S49" s="18"/>
      <c r="T49" s="5"/>
      <c r="U49" s="5"/>
      <c r="V49" s="5"/>
      <c r="W49" s="7"/>
      <c r="X49" s="18"/>
      <c r="Y49" s="18"/>
      <c r="Z49" s="7"/>
      <c r="AA49" s="18"/>
      <c r="AB49" s="6"/>
    </row>
    <row r="50" spans="1:28" x14ac:dyDescent="0.25">
      <c r="A50" s="67" t="s">
        <v>269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/>
      <c r="L50" s="5"/>
      <c r="M50" s="5"/>
      <c r="N50" s="5"/>
      <c r="O50" s="5"/>
      <c r="P50" s="9"/>
      <c r="Q50" s="9"/>
      <c r="R50" s="9"/>
      <c r="S50" s="18"/>
      <c r="T50" s="5"/>
      <c r="U50" s="5"/>
      <c r="V50" s="5"/>
      <c r="W50" s="7"/>
      <c r="X50" s="18"/>
      <c r="Y50" s="18"/>
      <c r="Z50" s="7"/>
      <c r="AA50" s="18"/>
      <c r="AB50" s="6"/>
    </row>
    <row r="51" spans="1:28" x14ac:dyDescent="0.25">
      <c r="A51" s="67" t="s">
        <v>270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/>
      <c r="L51" s="5"/>
      <c r="M51" s="5"/>
      <c r="N51" s="5"/>
      <c r="O51" s="5"/>
      <c r="P51" s="9"/>
      <c r="Q51" s="9"/>
      <c r="R51" s="9"/>
      <c r="S51" s="18"/>
      <c r="T51" s="5"/>
      <c r="U51" s="5"/>
      <c r="V51" s="5"/>
      <c r="W51" s="7"/>
      <c r="X51" s="18"/>
      <c r="Y51" s="18"/>
      <c r="Z51" s="7"/>
      <c r="AA51" s="18"/>
      <c r="AB51" s="6"/>
    </row>
    <row r="52" spans="1:28" x14ac:dyDescent="0.25">
      <c r="A52" s="67" t="s">
        <v>271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/>
      <c r="L52" s="5"/>
      <c r="M52" s="5"/>
      <c r="N52" s="5"/>
      <c r="O52" s="5"/>
      <c r="P52" s="9"/>
      <c r="Q52" s="9"/>
      <c r="R52" s="9"/>
      <c r="S52" s="18"/>
      <c r="T52" s="5"/>
      <c r="U52" s="5"/>
      <c r="V52" s="5"/>
      <c r="W52" s="7"/>
      <c r="X52" s="18"/>
      <c r="Y52" s="18"/>
      <c r="Z52" s="7"/>
      <c r="AA52" s="18"/>
      <c r="AB52" s="6"/>
    </row>
    <row r="53" spans="1:28" x14ac:dyDescent="0.25">
      <c r="A53" s="67" t="s">
        <v>272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/>
      <c r="L53" s="5"/>
      <c r="M53" s="5"/>
      <c r="N53" s="5"/>
      <c r="O53" s="5"/>
      <c r="P53" s="9"/>
      <c r="Q53" s="9"/>
      <c r="R53" s="9"/>
      <c r="S53" s="18"/>
      <c r="T53" s="5"/>
      <c r="U53" s="5"/>
      <c r="V53" s="5"/>
      <c r="W53" s="7"/>
      <c r="X53" s="18"/>
      <c r="Y53" s="18"/>
      <c r="Z53" s="7"/>
      <c r="AA53" s="18"/>
      <c r="AB53" s="6"/>
    </row>
    <row r="54" spans="1:28" x14ac:dyDescent="0.25">
      <c r="A54" s="67" t="s">
        <v>273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/>
      <c r="L54" s="5"/>
      <c r="M54" s="5"/>
      <c r="N54" s="5"/>
      <c r="O54" s="5"/>
      <c r="P54" s="9"/>
      <c r="Q54" s="9"/>
      <c r="R54" s="9"/>
      <c r="S54" s="18"/>
      <c r="T54" s="5"/>
      <c r="U54" s="5"/>
      <c r="V54" s="5"/>
      <c r="W54" s="7"/>
      <c r="X54" s="18"/>
      <c r="Y54" s="18"/>
      <c r="Z54" s="7"/>
      <c r="AA54" s="18"/>
      <c r="AB54" s="6"/>
    </row>
    <row r="55" spans="1:28" x14ac:dyDescent="0.25">
      <c r="A55" s="67" t="s">
        <v>274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/>
      <c r="L55" s="5"/>
      <c r="M55" s="5"/>
      <c r="N55" s="5"/>
      <c r="O55" s="5"/>
      <c r="P55" s="9"/>
      <c r="Q55" s="9"/>
      <c r="R55" s="9"/>
      <c r="S55" s="18"/>
      <c r="T55" s="5"/>
      <c r="U55" s="5"/>
      <c r="V55" s="5"/>
      <c r="W55" s="7"/>
      <c r="X55" s="18"/>
      <c r="Y55" s="18"/>
      <c r="Z55" s="7"/>
      <c r="AA55" s="18"/>
      <c r="AB55" s="6"/>
    </row>
    <row r="56" spans="1:28" x14ac:dyDescent="0.25">
      <c r="A56" s="67" t="s">
        <v>275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/>
      <c r="L56" s="5"/>
      <c r="M56" s="5"/>
      <c r="N56" s="5"/>
      <c r="O56" s="5"/>
      <c r="P56" s="9"/>
      <c r="Q56" s="9"/>
      <c r="R56" s="9"/>
      <c r="S56" s="18"/>
      <c r="T56" s="5"/>
      <c r="U56" s="5"/>
      <c r="V56" s="5"/>
      <c r="W56" s="7"/>
      <c r="X56" s="18"/>
      <c r="Y56" s="18"/>
      <c r="Z56" s="7"/>
      <c r="AA56" s="18"/>
      <c r="AB56" s="6"/>
    </row>
    <row r="57" spans="1:28" x14ac:dyDescent="0.25">
      <c r="A57" s="67" t="s">
        <v>276</v>
      </c>
      <c r="B57" s="20" t="s">
        <v>55</v>
      </c>
      <c r="C57" s="7"/>
      <c r="D57" s="7"/>
      <c r="E57" s="7"/>
      <c r="F57" s="7"/>
      <c r="G57" s="7"/>
      <c r="H57" s="7"/>
      <c r="I57" s="5"/>
      <c r="J57" s="5"/>
      <c r="K57" s="5"/>
      <c r="L57" s="5"/>
      <c r="M57" s="5"/>
      <c r="N57" s="5"/>
      <c r="O57" s="5"/>
      <c r="P57" s="9"/>
      <c r="Q57" s="9"/>
      <c r="R57" s="9"/>
      <c r="S57" s="18"/>
      <c r="T57" s="5"/>
      <c r="U57" s="5"/>
      <c r="V57" s="5"/>
      <c r="W57" s="7"/>
      <c r="X57" s="18"/>
      <c r="Y57" s="18"/>
      <c r="Z57" s="7"/>
      <c r="AA57" s="18"/>
      <c r="AB57" s="6"/>
    </row>
    <row r="58" spans="1:28" x14ac:dyDescent="0.25">
      <c r="A58" s="67" t="s">
        <v>277</v>
      </c>
      <c r="B58" s="20" t="s">
        <v>56</v>
      </c>
      <c r="C58" s="7"/>
      <c r="D58" s="7"/>
      <c r="E58" s="7"/>
      <c r="F58" s="7"/>
      <c r="G58" s="7"/>
      <c r="H58" s="7"/>
      <c r="I58" s="5"/>
      <c r="J58" s="5"/>
      <c r="K58" s="5"/>
      <c r="L58" s="5"/>
      <c r="M58" s="5"/>
      <c r="N58" s="5"/>
      <c r="O58" s="5"/>
      <c r="P58" s="9"/>
      <c r="Q58" s="9"/>
      <c r="R58" s="9"/>
      <c r="S58" s="18"/>
      <c r="T58" s="5"/>
      <c r="U58" s="5"/>
      <c r="V58" s="5"/>
      <c r="W58" s="7"/>
      <c r="X58" s="18"/>
      <c r="Y58" s="18"/>
      <c r="Z58" s="7"/>
      <c r="AA58" s="18"/>
      <c r="AB58" s="6"/>
    </row>
    <row r="59" spans="1:28" x14ac:dyDescent="0.25">
      <c r="A59" s="67" t="s">
        <v>278</v>
      </c>
      <c r="B59" s="20" t="s">
        <v>57</v>
      </c>
      <c r="C59" s="7"/>
      <c r="D59" s="7"/>
      <c r="E59" s="7"/>
      <c r="F59" s="7"/>
      <c r="G59" s="7"/>
      <c r="H59" s="7"/>
      <c r="I59" s="5"/>
      <c r="J59" s="5"/>
      <c r="K59" s="5"/>
      <c r="L59" s="5"/>
      <c r="M59" s="5"/>
      <c r="N59" s="5"/>
      <c r="O59" s="5"/>
      <c r="P59" s="9"/>
      <c r="Q59" s="9"/>
      <c r="R59" s="9"/>
      <c r="S59" s="18"/>
      <c r="T59" s="5"/>
      <c r="U59" s="5"/>
      <c r="V59" s="5"/>
      <c r="W59" s="7"/>
      <c r="X59" s="18"/>
      <c r="Y59" s="18"/>
      <c r="Z59" s="7"/>
      <c r="AA59" s="18"/>
      <c r="AB59" s="6"/>
    </row>
    <row r="60" spans="1:28" x14ac:dyDescent="0.25">
      <c r="A60" s="67" t="s">
        <v>279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/>
      <c r="L60" s="5"/>
      <c r="M60" s="5"/>
      <c r="N60" s="5"/>
      <c r="O60" s="5"/>
      <c r="P60" s="9"/>
      <c r="Q60" s="9"/>
      <c r="R60" s="9"/>
      <c r="S60" s="18"/>
      <c r="T60" s="5"/>
      <c r="U60" s="5"/>
      <c r="V60" s="5"/>
      <c r="W60" s="7"/>
      <c r="X60" s="18"/>
      <c r="Y60" s="18"/>
      <c r="Z60" s="7"/>
      <c r="AA60" s="18"/>
      <c r="AB60" s="6"/>
    </row>
    <row r="61" spans="1:28" x14ac:dyDescent="0.25">
      <c r="A61" s="67" t="s">
        <v>280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/>
      <c r="L61" s="5"/>
      <c r="M61" s="5"/>
      <c r="N61" s="5"/>
      <c r="O61" s="5"/>
      <c r="P61" s="9"/>
      <c r="Q61" s="9"/>
      <c r="R61" s="9"/>
      <c r="S61" s="18"/>
      <c r="T61" s="5"/>
      <c r="U61" s="5"/>
      <c r="V61" s="5"/>
      <c r="W61" s="7"/>
      <c r="X61" s="18"/>
      <c r="Y61" s="18"/>
      <c r="Z61" s="7"/>
      <c r="AA61" s="18"/>
      <c r="AB61" s="6"/>
    </row>
    <row r="62" spans="1:28" x14ac:dyDescent="0.25">
      <c r="A62" s="67" t="s">
        <v>281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/>
      <c r="L62" s="5"/>
      <c r="M62" s="5"/>
      <c r="N62" s="5"/>
      <c r="O62" s="5"/>
      <c r="P62" s="9"/>
      <c r="Q62" s="9"/>
      <c r="R62" s="9"/>
      <c r="S62" s="18"/>
      <c r="T62" s="5"/>
      <c r="U62" s="5"/>
      <c r="V62" s="5"/>
      <c r="W62" s="7"/>
      <c r="X62" s="18"/>
      <c r="Y62" s="18"/>
      <c r="Z62" s="7"/>
      <c r="AA62" s="18"/>
      <c r="AB62" s="6"/>
    </row>
    <row r="63" spans="1:28" x14ac:dyDescent="0.25">
      <c r="A63" s="67" t="s">
        <v>282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/>
      <c r="L63" s="5"/>
      <c r="M63" s="5"/>
      <c r="N63" s="5"/>
      <c r="O63" s="5"/>
      <c r="P63" s="9"/>
      <c r="Q63" s="9"/>
      <c r="R63" s="9"/>
      <c r="S63" s="18"/>
      <c r="T63" s="5"/>
      <c r="U63" s="5"/>
      <c r="V63" s="5"/>
      <c r="W63" s="7"/>
      <c r="X63" s="18"/>
      <c r="Y63" s="18"/>
      <c r="Z63" s="7"/>
      <c r="AA63" s="18"/>
      <c r="AB63" s="6"/>
    </row>
    <row r="64" spans="1:28" x14ac:dyDescent="0.25">
      <c r="A64" s="67" t="s">
        <v>283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/>
      <c r="L64" s="5"/>
      <c r="M64" s="5"/>
      <c r="N64" s="5"/>
      <c r="O64" s="5"/>
      <c r="P64" s="9"/>
      <c r="Q64" s="9"/>
      <c r="R64" s="9"/>
      <c r="S64" s="18"/>
      <c r="T64" s="5"/>
      <c r="U64" s="5"/>
      <c r="V64" s="5"/>
      <c r="W64" s="7"/>
      <c r="X64" s="18"/>
      <c r="Y64" s="18"/>
      <c r="Z64" s="7"/>
      <c r="AA64" s="18"/>
      <c r="AB64" s="6"/>
    </row>
    <row r="65" spans="1:28" x14ac:dyDescent="0.25">
      <c r="A65" s="67" t="s">
        <v>284</v>
      </c>
      <c r="B65" s="20" t="s">
        <v>63</v>
      </c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9"/>
      <c r="Q65" s="9"/>
      <c r="R65" s="9"/>
      <c r="S65" s="18"/>
      <c r="T65" s="5"/>
      <c r="U65" s="5"/>
      <c r="V65" s="5"/>
      <c r="W65" s="7"/>
      <c r="X65" s="18"/>
      <c r="Y65" s="18"/>
      <c r="Z65" s="7"/>
      <c r="AA65" s="18"/>
      <c r="AB65" s="6"/>
    </row>
    <row r="66" spans="1:28" x14ac:dyDescent="0.25">
      <c r="A66" s="67" t="s">
        <v>285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9"/>
      <c r="Q66" s="9"/>
      <c r="R66" s="9"/>
      <c r="S66" s="18"/>
      <c r="T66" s="5"/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67" t="s">
        <v>286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/>
      <c r="Q67" s="9"/>
      <c r="R67" s="9"/>
      <c r="S67" s="18"/>
      <c r="T67" s="5"/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5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4"/>
      <c r="B69" s="5"/>
      <c r="C69" s="7"/>
      <c r="D69" s="7"/>
      <c r="E69" s="7"/>
      <c r="F69" s="7"/>
      <c r="G69" s="7"/>
      <c r="H69" s="7"/>
      <c r="I69" s="5"/>
      <c r="J69" s="5"/>
      <c r="K69" s="5"/>
      <c r="L69" s="5"/>
      <c r="M69" s="5"/>
      <c r="N69" s="5"/>
      <c r="O69" s="5"/>
      <c r="P69" s="9"/>
      <c r="Q69" s="9"/>
      <c r="R69" s="9"/>
      <c r="S69" s="18"/>
      <c r="T69" s="5"/>
      <c r="U69" s="5"/>
      <c r="V69" s="5"/>
      <c r="W69" s="7"/>
      <c r="X69" s="18"/>
      <c r="Y69" s="18"/>
      <c r="Z69" s="7"/>
      <c r="AA69" s="18"/>
      <c r="AB69" s="6"/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5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4"/>
      <c r="B71" s="5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/>
      <c r="Q71" s="9"/>
      <c r="R71" s="9"/>
      <c r="S71" s="18"/>
      <c r="T71" s="5"/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/>
      <c r="R72" s="9"/>
      <c r="S72" s="18"/>
      <c r="T72" s="5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5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5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0</v>
      </c>
      <c r="D75" s="11">
        <f t="shared" ref="D75:H75" si="3">SUM(D20:D74)</f>
        <v>0</v>
      </c>
      <c r="E75" s="11">
        <f t="shared" si="3"/>
        <v>0</v>
      </c>
      <c r="F75" s="11">
        <f t="shared" si="3"/>
        <v>0</v>
      </c>
      <c r="G75" s="11"/>
      <c r="H75" s="11">
        <f t="shared" si="3"/>
        <v>0</v>
      </c>
      <c r="I75" s="11">
        <f>SUM(I20:I74)</f>
        <v>216</v>
      </c>
      <c r="J75" s="11">
        <f>SUM(J20:J74)</f>
        <v>2</v>
      </c>
      <c r="K75" s="11">
        <f t="shared" ref="K75:AB75" si="4">SUM(K20:K74)</f>
        <v>22</v>
      </c>
      <c r="L75" s="11">
        <f t="shared" si="4"/>
        <v>0</v>
      </c>
      <c r="M75" s="11">
        <f t="shared" si="4"/>
        <v>85</v>
      </c>
      <c r="N75" s="11">
        <f t="shared" si="4"/>
        <v>0</v>
      </c>
      <c r="O75" s="11">
        <f t="shared" si="4"/>
        <v>83</v>
      </c>
      <c r="P75" s="24">
        <f t="shared" si="4"/>
        <v>0</v>
      </c>
      <c r="Q75" s="24">
        <f t="shared" si="4"/>
        <v>0.48999999999999994</v>
      </c>
      <c r="R75" s="24">
        <f t="shared" si="4"/>
        <v>0</v>
      </c>
      <c r="S75" s="11">
        <f t="shared" si="4"/>
        <v>815</v>
      </c>
      <c r="T75" s="11">
        <f t="shared" ref="T75" si="5">SUM(T20:T74)</f>
        <v>600</v>
      </c>
      <c r="U75" s="11">
        <f t="shared" si="4"/>
        <v>0</v>
      </c>
      <c r="V75" s="11">
        <f t="shared" si="4"/>
        <v>0</v>
      </c>
      <c r="W75" s="11">
        <f t="shared" si="4"/>
        <v>0</v>
      </c>
      <c r="X75" s="11">
        <f t="shared" si="4"/>
        <v>0</v>
      </c>
      <c r="Y75" s="11">
        <f t="shared" si="4"/>
        <v>0</v>
      </c>
      <c r="Z75" s="11">
        <f t="shared" si="4"/>
        <v>0</v>
      </c>
      <c r="AA75" s="12">
        <f t="shared" si="4"/>
        <v>4140</v>
      </c>
      <c r="AB75" s="60">
        <f t="shared" si="4"/>
        <v>0</v>
      </c>
    </row>
  </sheetData>
  <mergeCells count="29">
    <mergeCell ref="AB2:AB18"/>
    <mergeCell ref="R2:R18"/>
    <mergeCell ref="S2:S18"/>
    <mergeCell ref="U2:U18"/>
    <mergeCell ref="V2:V18"/>
    <mergeCell ref="W2:W18"/>
    <mergeCell ref="A75:B75"/>
    <mergeCell ref="X2:X18"/>
    <mergeCell ref="Y2:Y18"/>
    <mergeCell ref="Z2:Z18"/>
    <mergeCell ref="AA2:AA18"/>
    <mergeCell ref="L2:L18"/>
    <mergeCell ref="M2:M18"/>
    <mergeCell ref="N2:N18"/>
    <mergeCell ref="O2:O18"/>
    <mergeCell ref="T2:T18"/>
    <mergeCell ref="P2:P18"/>
    <mergeCell ref="Q2:Q18"/>
    <mergeCell ref="A1:A19"/>
    <mergeCell ref="B1:B19"/>
    <mergeCell ref="C2:C18"/>
    <mergeCell ref="I2:I18"/>
    <mergeCell ref="J2:J18"/>
    <mergeCell ref="K2:K18"/>
    <mergeCell ref="D2:D18"/>
    <mergeCell ref="E2:E18"/>
    <mergeCell ref="F2:F18"/>
    <mergeCell ref="H2:H18"/>
    <mergeCell ref="G2:G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E2B0-6C4D-4281-895A-72986E034E24}">
  <dimension ref="A1:AB75"/>
  <sheetViews>
    <sheetView showZeros="0" topLeftCell="A31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114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67" t="s">
        <v>287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/>
      <c r="T21" s="5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67" t="s">
        <v>288</v>
      </c>
      <c r="B22" s="15" t="s">
        <v>20</v>
      </c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9"/>
      <c r="Q22" s="9"/>
      <c r="R22" s="9"/>
      <c r="S22" s="18"/>
      <c r="T22" s="5"/>
      <c r="U22" s="5"/>
      <c r="V22" s="5"/>
      <c r="W22" s="7"/>
      <c r="X22" s="18"/>
      <c r="Y22" s="18"/>
      <c r="Z22" s="7"/>
      <c r="AA22" s="18"/>
      <c r="AB22" s="6"/>
    </row>
    <row r="23" spans="1:28" x14ac:dyDescent="0.25">
      <c r="A23" s="67" t="s">
        <v>289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25"/>
      <c r="N23" s="5"/>
      <c r="O23" s="5"/>
      <c r="P23" s="9"/>
      <c r="Q23" s="9"/>
      <c r="R23" s="9"/>
      <c r="S23" s="18"/>
      <c r="T23" s="5"/>
      <c r="U23" s="5"/>
      <c r="V23" s="5"/>
      <c r="W23" s="7"/>
      <c r="X23" s="18"/>
      <c r="Y23" s="18"/>
      <c r="Z23" s="7"/>
      <c r="AA23" s="18"/>
      <c r="AB23" s="6"/>
    </row>
    <row r="24" spans="1:28" x14ac:dyDescent="0.25">
      <c r="A24" s="67" t="s">
        <v>290</v>
      </c>
      <c r="B24" s="15" t="s">
        <v>22</v>
      </c>
      <c r="C24" s="7"/>
      <c r="D24" s="7"/>
      <c r="E24" s="7"/>
      <c r="F24" s="7"/>
      <c r="G24" s="7"/>
      <c r="H24" s="7"/>
      <c r="I24" s="5"/>
      <c r="J24" s="5"/>
      <c r="K24" s="5"/>
      <c r="L24" s="5"/>
      <c r="M24" s="5"/>
      <c r="N24" s="5"/>
      <c r="O24" s="5"/>
      <c r="P24" s="9"/>
      <c r="Q24" s="9"/>
      <c r="R24" s="9"/>
      <c r="S24" s="18"/>
      <c r="T24" s="5"/>
      <c r="U24" s="5"/>
      <c r="V24" s="5"/>
      <c r="W24" s="7"/>
      <c r="X24" s="18"/>
      <c r="Y24" s="18"/>
      <c r="Z24" s="7"/>
      <c r="AA24" s="18"/>
      <c r="AB24" s="6"/>
    </row>
    <row r="25" spans="1:28" x14ac:dyDescent="0.25">
      <c r="A25" s="67" t="s">
        <v>291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9"/>
      <c r="Q25" s="9"/>
      <c r="R25" s="9"/>
      <c r="S25" s="18"/>
      <c r="T25" s="5"/>
      <c r="U25" s="5"/>
      <c r="V25" s="5"/>
      <c r="W25" s="7"/>
      <c r="X25" s="18"/>
      <c r="Y25" s="18"/>
      <c r="Z25" s="7"/>
      <c r="AA25" s="18"/>
      <c r="AB25" s="6"/>
    </row>
    <row r="26" spans="1:28" x14ac:dyDescent="0.25">
      <c r="A26" s="67" t="s">
        <v>292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/>
      <c r="N26" s="5"/>
      <c r="O26" s="5"/>
      <c r="P26" s="9"/>
      <c r="Q26" s="9"/>
      <c r="R26" s="9"/>
      <c r="S26" s="18"/>
      <c r="T26" s="5"/>
      <c r="U26" s="5"/>
      <c r="V26" s="5"/>
      <c r="W26" s="7"/>
      <c r="X26" s="18"/>
      <c r="Y26" s="18"/>
      <c r="Z26" s="7"/>
      <c r="AA26" s="18"/>
      <c r="AB26" s="6"/>
    </row>
    <row r="27" spans="1:28" x14ac:dyDescent="0.25">
      <c r="A27" s="67" t="s">
        <v>293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9"/>
      <c r="Q27" s="9"/>
      <c r="R27" s="9"/>
      <c r="S27" s="18"/>
      <c r="T27" s="5"/>
      <c r="U27" s="5"/>
      <c r="V27" s="5"/>
      <c r="W27" s="7"/>
      <c r="X27" s="18"/>
      <c r="Y27" s="18"/>
      <c r="Z27" s="7"/>
      <c r="AA27" s="18"/>
      <c r="AB27" s="6"/>
    </row>
    <row r="28" spans="1:28" x14ac:dyDescent="0.25">
      <c r="A28" s="67" t="s">
        <v>294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/>
      <c r="L28" s="5"/>
      <c r="M28" s="5"/>
      <c r="N28" s="5"/>
      <c r="O28" s="5"/>
      <c r="P28" s="9"/>
      <c r="Q28" s="9"/>
      <c r="R28" s="9"/>
      <c r="S28" s="18"/>
      <c r="T28" s="5"/>
      <c r="U28" s="5"/>
      <c r="V28" s="5"/>
      <c r="W28" s="7"/>
      <c r="X28" s="18"/>
      <c r="Y28" s="18"/>
      <c r="Z28" s="7"/>
      <c r="AA28" s="18"/>
      <c r="AB28" s="6"/>
    </row>
    <row r="29" spans="1:28" x14ac:dyDescent="0.25">
      <c r="A29" s="67" t="s">
        <v>295</v>
      </c>
      <c r="B29" s="15" t="s">
        <v>27</v>
      </c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5"/>
      <c r="O29" s="5"/>
      <c r="P29" s="9"/>
      <c r="Q29" s="9"/>
      <c r="R29" s="9"/>
      <c r="S29" s="18"/>
      <c r="T29" s="5"/>
      <c r="U29" s="5"/>
      <c r="V29" s="5"/>
      <c r="W29" s="7"/>
      <c r="X29" s="18"/>
      <c r="Y29" s="18"/>
      <c r="Z29" s="7"/>
      <c r="AA29" s="18"/>
      <c r="AB29" s="6"/>
    </row>
    <row r="30" spans="1:28" x14ac:dyDescent="0.25">
      <c r="A30" s="67" t="s">
        <v>296</v>
      </c>
      <c r="B30" s="15" t="s">
        <v>28</v>
      </c>
      <c r="C30" s="7"/>
      <c r="D30" s="7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9"/>
      <c r="Q30" s="9"/>
      <c r="R30" s="9"/>
      <c r="S30" s="18"/>
      <c r="T30" s="5"/>
      <c r="U30" s="5"/>
      <c r="V30" s="5"/>
      <c r="W30" s="7"/>
      <c r="X30" s="18"/>
      <c r="Y30" s="18"/>
      <c r="Z30" s="7"/>
      <c r="AA30" s="18"/>
      <c r="AB30" s="23"/>
    </row>
    <row r="31" spans="1:28" x14ac:dyDescent="0.25">
      <c r="A31" s="67" t="s">
        <v>297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/>
      <c r="N31" s="5"/>
      <c r="O31" s="5"/>
      <c r="P31" s="9"/>
      <c r="Q31" s="9"/>
      <c r="R31" s="9"/>
      <c r="S31" s="18"/>
      <c r="T31" s="5"/>
      <c r="U31" s="5"/>
      <c r="V31" s="5"/>
      <c r="W31" s="7"/>
      <c r="X31" s="18"/>
      <c r="Y31" s="18"/>
      <c r="Z31" s="7"/>
      <c r="AA31" s="18"/>
      <c r="AB31" s="6"/>
    </row>
    <row r="32" spans="1:28" x14ac:dyDescent="0.25">
      <c r="A32" s="67" t="s">
        <v>298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/>
      <c r="L32" s="5"/>
      <c r="M32" s="5"/>
      <c r="N32" s="5"/>
      <c r="O32" s="5"/>
      <c r="P32" s="9"/>
      <c r="Q32" s="9"/>
      <c r="R32" s="9"/>
      <c r="S32" s="18"/>
      <c r="T32" s="5"/>
      <c r="U32" s="5"/>
      <c r="V32" s="5"/>
      <c r="W32" s="7"/>
      <c r="X32" s="18"/>
      <c r="Y32" s="18"/>
      <c r="Z32" s="7"/>
      <c r="AA32" s="18"/>
      <c r="AB32" s="6"/>
    </row>
    <row r="33" spans="1:28" x14ac:dyDescent="0.25">
      <c r="A33" s="67" t="s">
        <v>299</v>
      </c>
      <c r="B33" s="15" t="s">
        <v>31</v>
      </c>
      <c r="C33" s="7"/>
      <c r="D33" s="7"/>
      <c r="E33" s="7"/>
      <c r="F33" s="7"/>
      <c r="G33" s="7"/>
      <c r="H33" s="7"/>
      <c r="I33" s="5"/>
      <c r="J33" s="5"/>
      <c r="K33" s="5"/>
      <c r="L33" s="5"/>
      <c r="M33" s="5"/>
      <c r="N33" s="5"/>
      <c r="O33" s="5"/>
      <c r="P33" s="9"/>
      <c r="Q33" s="9">
        <f>ROUNDUP(((0+500)/5280),2)</f>
        <v>9.9999999999999992E-2</v>
      </c>
      <c r="R33" s="9"/>
      <c r="S33" s="18"/>
      <c r="T33" s="5">
        <f>0+300</f>
        <v>300</v>
      </c>
      <c r="U33" s="5"/>
      <c r="V33" s="5"/>
      <c r="W33" s="7"/>
      <c r="X33" s="18"/>
      <c r="Y33" s="18"/>
      <c r="Z33" s="7"/>
      <c r="AA33" s="18"/>
      <c r="AB33" s="6"/>
    </row>
    <row r="34" spans="1:28" x14ac:dyDescent="0.25">
      <c r="A34" s="67" t="s">
        <v>300</v>
      </c>
      <c r="B34" s="15" t="s">
        <v>32</v>
      </c>
      <c r="C34" s="7"/>
      <c r="D34" s="7"/>
      <c r="E34" s="7"/>
      <c r="F34" s="7"/>
      <c r="G34" s="7"/>
      <c r="H34" s="7"/>
      <c r="I34" s="5"/>
      <c r="J34" s="5"/>
      <c r="K34" s="5">
        <f>0+10</f>
        <v>10</v>
      </c>
      <c r="L34" s="5"/>
      <c r="M34" s="5"/>
      <c r="N34" s="5"/>
      <c r="O34" s="5"/>
      <c r="P34" s="9"/>
      <c r="Q34" s="9">
        <f>ROUNDUP(((0+300)/5280),2)</f>
        <v>6.0000000000000005E-2</v>
      </c>
      <c r="R34" s="9"/>
      <c r="S34" s="18">
        <v>410</v>
      </c>
      <c r="T34" s="5"/>
      <c r="U34" s="5"/>
      <c r="V34" s="5"/>
      <c r="W34" s="7"/>
      <c r="X34" s="18"/>
      <c r="Y34" s="18"/>
      <c r="Z34" s="7"/>
      <c r="AA34" s="18"/>
      <c r="AB34" s="6"/>
    </row>
    <row r="35" spans="1:28" x14ac:dyDescent="0.25">
      <c r="A35" s="67" t="s">
        <v>301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/>
      <c r="L35" s="5"/>
      <c r="M35" s="5"/>
      <c r="N35" s="5"/>
      <c r="O35" s="5"/>
      <c r="P35" s="9"/>
      <c r="Q35" s="9"/>
      <c r="R35" s="9"/>
      <c r="S35" s="18"/>
      <c r="T35" s="5"/>
      <c r="U35" s="5"/>
      <c r="V35" s="5"/>
      <c r="W35" s="7"/>
      <c r="X35" s="18"/>
      <c r="Y35" s="18"/>
      <c r="Z35" s="7"/>
      <c r="AA35" s="18"/>
      <c r="AB35" s="6"/>
    </row>
    <row r="36" spans="1:28" x14ac:dyDescent="0.25">
      <c r="A36" s="67" t="s">
        <v>302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/>
      <c r="N36" s="5"/>
      <c r="O36" s="5"/>
      <c r="P36" s="9"/>
      <c r="Q36" s="9"/>
      <c r="R36" s="9"/>
      <c r="S36" s="18"/>
      <c r="T36" s="5"/>
      <c r="U36" s="5"/>
      <c r="V36" s="5"/>
      <c r="W36" s="7"/>
      <c r="X36" s="18"/>
      <c r="Y36" s="18"/>
      <c r="Z36" s="7"/>
      <c r="AA36" s="18"/>
      <c r="AB36" s="6"/>
    </row>
    <row r="37" spans="1:28" x14ac:dyDescent="0.25">
      <c r="A37" s="67" t="s">
        <v>303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/>
      <c r="L37" s="5"/>
      <c r="M37" s="5"/>
      <c r="N37" s="5"/>
      <c r="O37" s="5"/>
      <c r="P37" s="9"/>
      <c r="Q37" s="9"/>
      <c r="R37" s="9"/>
      <c r="S37" s="18"/>
      <c r="T37" s="5"/>
      <c r="U37" s="5"/>
      <c r="V37" s="5"/>
      <c r="W37" s="7"/>
      <c r="X37" s="18"/>
      <c r="Y37" s="18"/>
      <c r="Z37" s="7"/>
      <c r="AA37" s="18"/>
      <c r="AB37" s="6"/>
    </row>
    <row r="38" spans="1:28" x14ac:dyDescent="0.25">
      <c r="A38" s="67" t="s">
        <v>304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>
        <f>0+14</f>
        <v>14</v>
      </c>
      <c r="L38" s="5"/>
      <c r="M38" s="5"/>
      <c r="N38" s="5"/>
      <c r="O38" s="5"/>
      <c r="P38" s="9"/>
      <c r="Q38" s="9">
        <f>ROUNDUP(((0+252)/5280),2)</f>
        <v>0.05</v>
      </c>
      <c r="R38" s="9"/>
      <c r="S38" s="18">
        <v>505</v>
      </c>
      <c r="T38" s="5"/>
      <c r="U38" s="5"/>
      <c r="V38" s="5"/>
      <c r="W38" s="7"/>
      <c r="X38" s="18"/>
      <c r="Y38" s="18"/>
      <c r="Z38" s="7"/>
      <c r="AA38" s="18"/>
      <c r="AB38" s="6"/>
    </row>
    <row r="39" spans="1:28" x14ac:dyDescent="0.25">
      <c r="A39" s="67" t="s">
        <v>305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9"/>
      <c r="Q39" s="9">
        <f>ROUNDUP(((0+500)/5280),2)</f>
        <v>9.9999999999999992E-2</v>
      </c>
      <c r="R39" s="9"/>
      <c r="S39" s="18"/>
      <c r="T39" s="5">
        <f>0+500</f>
        <v>500</v>
      </c>
      <c r="U39" s="5"/>
      <c r="V39" s="5"/>
      <c r="W39" s="7"/>
      <c r="X39" s="18"/>
      <c r="Y39" s="18"/>
      <c r="Z39" s="7"/>
      <c r="AA39" s="18"/>
      <c r="AB39" s="6"/>
    </row>
    <row r="40" spans="1:28" x14ac:dyDescent="0.25">
      <c r="A40" s="67" t="s">
        <v>306</v>
      </c>
      <c r="B40" s="15" t="s">
        <v>38</v>
      </c>
      <c r="C40" s="7"/>
      <c r="D40" s="7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9"/>
      <c r="Q40" s="9">
        <f>ROUNDUP(((0+300)/5280),2)</f>
        <v>6.0000000000000005E-2</v>
      </c>
      <c r="R40" s="9"/>
      <c r="S40" s="18"/>
      <c r="T40" s="5">
        <f>0+300</f>
        <v>300</v>
      </c>
      <c r="U40" s="5"/>
      <c r="V40" s="5"/>
      <c r="W40" s="7"/>
      <c r="X40" s="18"/>
      <c r="Y40" s="18"/>
      <c r="Z40" s="7"/>
      <c r="AA40" s="18"/>
      <c r="AB40" s="6"/>
    </row>
    <row r="41" spans="1:28" x14ac:dyDescent="0.25">
      <c r="A41" s="67" t="s">
        <v>307</v>
      </c>
      <c r="B41" s="15" t="s">
        <v>39</v>
      </c>
      <c r="C41" s="7"/>
      <c r="D41" s="7"/>
      <c r="E41" s="7"/>
      <c r="F41" s="7"/>
      <c r="G41" s="7"/>
      <c r="H41" s="7"/>
      <c r="I41" s="5">
        <v>64</v>
      </c>
      <c r="J41" s="5">
        <f>0+1</f>
        <v>1</v>
      </c>
      <c r="K41" s="5"/>
      <c r="L41" s="5"/>
      <c r="M41" s="5">
        <f>0+2</f>
        <v>2</v>
      </c>
      <c r="N41" s="5">
        <f>0+2</f>
        <v>2</v>
      </c>
      <c r="O41" s="5"/>
      <c r="P41" s="9"/>
      <c r="Q41" s="9"/>
      <c r="R41" s="9"/>
      <c r="S41" s="18"/>
      <c r="T41" s="5"/>
      <c r="U41" s="5"/>
      <c r="V41" s="5"/>
      <c r="W41" s="7"/>
      <c r="X41" s="18"/>
      <c r="Y41" s="18"/>
      <c r="Z41" s="7"/>
      <c r="AA41" s="18">
        <f>0+76</f>
        <v>76</v>
      </c>
      <c r="AB41" s="6"/>
    </row>
    <row r="42" spans="1:28" x14ac:dyDescent="0.25">
      <c r="A42" s="67" t="s">
        <v>308</v>
      </c>
      <c r="B42" s="15" t="s">
        <v>40</v>
      </c>
      <c r="C42" s="7"/>
      <c r="D42" s="7"/>
      <c r="E42" s="7"/>
      <c r="F42" s="7"/>
      <c r="G42" s="7"/>
      <c r="H42" s="7"/>
      <c r="I42" s="5">
        <f>0+200</f>
        <v>200</v>
      </c>
      <c r="J42" s="5"/>
      <c r="K42" s="5"/>
      <c r="L42" s="5"/>
      <c r="M42" s="5">
        <f>0+9</f>
        <v>9</v>
      </c>
      <c r="N42" s="5">
        <f>0+4</f>
        <v>4</v>
      </c>
      <c r="O42" s="5"/>
      <c r="P42" s="9"/>
      <c r="Q42" s="9"/>
      <c r="R42" s="9"/>
      <c r="S42" s="18"/>
      <c r="T42" s="5"/>
      <c r="U42" s="5"/>
      <c r="V42" s="5"/>
      <c r="W42" s="7"/>
      <c r="X42" s="18"/>
      <c r="Y42" s="18"/>
      <c r="Z42" s="7"/>
      <c r="AA42" s="18">
        <f>0+424</f>
        <v>424</v>
      </c>
      <c r="AB42" s="6"/>
    </row>
    <row r="43" spans="1:28" x14ac:dyDescent="0.25">
      <c r="A43" s="67" t="s">
        <v>309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/>
      <c r="L43" s="5"/>
      <c r="M43" s="5"/>
      <c r="N43" s="5"/>
      <c r="O43" s="5"/>
      <c r="P43" s="9"/>
      <c r="Q43" s="9"/>
      <c r="R43" s="9"/>
      <c r="S43" s="18"/>
      <c r="T43" s="5"/>
      <c r="U43" s="5"/>
      <c r="V43" s="5"/>
      <c r="W43" s="7"/>
      <c r="X43" s="18"/>
      <c r="Y43" s="18"/>
      <c r="Z43" s="7"/>
      <c r="AA43" s="18"/>
      <c r="AB43" s="6"/>
    </row>
    <row r="44" spans="1:28" x14ac:dyDescent="0.25">
      <c r="A44" s="67" t="s">
        <v>310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/>
      <c r="L44" s="5"/>
      <c r="M44" s="5"/>
      <c r="N44" s="5"/>
      <c r="O44" s="5"/>
      <c r="P44" s="9"/>
      <c r="Q44" s="9"/>
      <c r="R44" s="9"/>
      <c r="S44" s="18"/>
      <c r="T44" s="5"/>
      <c r="U44" s="5"/>
      <c r="V44" s="5"/>
      <c r="W44" s="7"/>
      <c r="X44" s="18"/>
      <c r="Y44" s="18"/>
      <c r="Z44" s="7"/>
      <c r="AA44" s="18"/>
      <c r="AB44" s="6"/>
    </row>
    <row r="45" spans="1:28" x14ac:dyDescent="0.25">
      <c r="A45" s="67" t="s">
        <v>311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/>
      <c r="L45" s="5"/>
      <c r="M45" s="5"/>
      <c r="N45" s="5"/>
      <c r="O45" s="5"/>
      <c r="P45" s="9"/>
      <c r="Q45" s="9"/>
      <c r="R45" s="9"/>
      <c r="S45" s="18"/>
      <c r="T45" s="5"/>
      <c r="U45" s="5"/>
      <c r="V45" s="5"/>
      <c r="W45" s="7"/>
      <c r="X45" s="18"/>
      <c r="Y45" s="18"/>
      <c r="Z45" s="7"/>
      <c r="AA45" s="18"/>
      <c r="AB45" s="23"/>
    </row>
    <row r="46" spans="1:28" x14ac:dyDescent="0.25">
      <c r="A46" s="67" t="s">
        <v>312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/>
      <c r="L46" s="5"/>
      <c r="M46" s="5"/>
      <c r="N46" s="5"/>
      <c r="O46" s="5"/>
      <c r="P46" s="9"/>
      <c r="Q46" s="9"/>
      <c r="R46" s="9"/>
      <c r="S46" s="18"/>
      <c r="T46" s="5"/>
      <c r="U46" s="5"/>
      <c r="V46" s="5"/>
      <c r="W46" s="7"/>
      <c r="X46" s="18"/>
      <c r="Y46" s="18"/>
      <c r="Z46" s="7"/>
      <c r="AA46" s="18"/>
      <c r="AB46" s="6"/>
    </row>
    <row r="47" spans="1:28" x14ac:dyDescent="0.25">
      <c r="A47" s="67" t="s">
        <v>313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/>
      <c r="L47" s="5"/>
      <c r="M47" s="5"/>
      <c r="N47" s="5"/>
      <c r="O47" s="5"/>
      <c r="P47" s="9"/>
      <c r="Q47" s="9"/>
      <c r="R47" s="9"/>
      <c r="S47" s="18"/>
      <c r="T47" s="5"/>
      <c r="U47" s="5"/>
      <c r="V47" s="5"/>
      <c r="W47" s="7"/>
      <c r="X47" s="18"/>
      <c r="Y47" s="18"/>
      <c r="Z47" s="7"/>
      <c r="AA47" s="18"/>
      <c r="AB47" s="6"/>
    </row>
    <row r="48" spans="1:28" x14ac:dyDescent="0.25">
      <c r="A48" s="67" t="s">
        <v>314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/>
      <c r="L48" s="5"/>
      <c r="M48" s="5"/>
      <c r="N48" s="5"/>
      <c r="O48" s="5"/>
      <c r="P48" s="9"/>
      <c r="Q48" s="9"/>
      <c r="R48" s="9"/>
      <c r="S48" s="18"/>
      <c r="T48" s="5"/>
      <c r="U48" s="5"/>
      <c r="V48" s="5"/>
      <c r="W48" s="7"/>
      <c r="X48" s="18"/>
      <c r="Y48" s="18"/>
      <c r="Z48" s="7"/>
      <c r="AA48" s="18"/>
      <c r="AB48" s="6"/>
    </row>
    <row r="49" spans="1:28" x14ac:dyDescent="0.25">
      <c r="A49" s="67" t="s">
        <v>315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/>
      <c r="L49" s="5"/>
      <c r="M49" s="5"/>
      <c r="N49" s="5"/>
      <c r="O49" s="5"/>
      <c r="P49" s="9"/>
      <c r="Q49" s="9"/>
      <c r="R49" s="9"/>
      <c r="S49" s="18"/>
      <c r="T49" s="5"/>
      <c r="U49" s="5"/>
      <c r="V49" s="5"/>
      <c r="W49" s="7"/>
      <c r="X49" s="18"/>
      <c r="Y49" s="18"/>
      <c r="Z49" s="7"/>
      <c r="AA49" s="18"/>
      <c r="AB49" s="6"/>
    </row>
    <row r="50" spans="1:28" x14ac:dyDescent="0.25">
      <c r="A50" s="67" t="s">
        <v>316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/>
      <c r="L50" s="5"/>
      <c r="M50" s="5"/>
      <c r="N50" s="5"/>
      <c r="O50" s="5"/>
      <c r="P50" s="9"/>
      <c r="Q50" s="9"/>
      <c r="R50" s="9"/>
      <c r="S50" s="18"/>
      <c r="T50" s="5"/>
      <c r="U50" s="5"/>
      <c r="V50" s="5"/>
      <c r="W50" s="7"/>
      <c r="X50" s="18"/>
      <c r="Y50" s="18"/>
      <c r="Z50" s="7"/>
      <c r="AA50" s="18"/>
      <c r="AB50" s="6"/>
    </row>
    <row r="51" spans="1:28" x14ac:dyDescent="0.25">
      <c r="A51" s="67" t="s">
        <v>317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/>
      <c r="L51" s="5"/>
      <c r="M51" s="5"/>
      <c r="N51" s="5"/>
      <c r="O51" s="5"/>
      <c r="P51" s="9"/>
      <c r="Q51" s="9"/>
      <c r="R51" s="9"/>
      <c r="S51" s="18"/>
      <c r="T51" s="5"/>
      <c r="U51" s="5"/>
      <c r="V51" s="5"/>
      <c r="W51" s="7"/>
      <c r="X51" s="18"/>
      <c r="Y51" s="18"/>
      <c r="Z51" s="7"/>
      <c r="AA51" s="18"/>
      <c r="AB51" s="6"/>
    </row>
    <row r="52" spans="1:28" x14ac:dyDescent="0.25">
      <c r="A52" s="67" t="s">
        <v>318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/>
      <c r="L52" s="5"/>
      <c r="M52" s="5"/>
      <c r="N52" s="5"/>
      <c r="O52" s="5"/>
      <c r="P52" s="9"/>
      <c r="Q52" s="9"/>
      <c r="R52" s="9"/>
      <c r="S52" s="18"/>
      <c r="T52" s="5"/>
      <c r="U52" s="5"/>
      <c r="V52" s="5"/>
      <c r="W52" s="7"/>
      <c r="X52" s="18"/>
      <c r="Y52" s="18"/>
      <c r="Z52" s="7"/>
      <c r="AA52" s="18"/>
      <c r="AB52" s="6"/>
    </row>
    <row r="53" spans="1:28" x14ac:dyDescent="0.25">
      <c r="A53" s="67" t="s">
        <v>319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/>
      <c r="L53" s="5"/>
      <c r="M53" s="5"/>
      <c r="N53" s="5"/>
      <c r="O53" s="5"/>
      <c r="P53" s="9"/>
      <c r="Q53" s="9"/>
      <c r="R53" s="9"/>
      <c r="S53" s="18"/>
      <c r="T53" s="5"/>
      <c r="U53" s="5"/>
      <c r="V53" s="5"/>
      <c r="W53" s="7"/>
      <c r="X53" s="18"/>
      <c r="Y53" s="18"/>
      <c r="Z53" s="7"/>
      <c r="AA53" s="18"/>
      <c r="AB53" s="6"/>
    </row>
    <row r="54" spans="1:28" x14ac:dyDescent="0.25">
      <c r="A54" s="67" t="s">
        <v>320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/>
      <c r="L54" s="5"/>
      <c r="M54" s="5"/>
      <c r="N54" s="5"/>
      <c r="O54" s="5"/>
      <c r="P54" s="9"/>
      <c r="Q54" s="9"/>
      <c r="R54" s="9"/>
      <c r="S54" s="18"/>
      <c r="T54" s="5"/>
      <c r="U54" s="5"/>
      <c r="V54" s="5"/>
      <c r="W54" s="7"/>
      <c r="X54" s="18"/>
      <c r="Y54" s="18"/>
      <c r="Z54" s="7"/>
      <c r="AA54" s="18"/>
      <c r="AB54" s="6"/>
    </row>
    <row r="55" spans="1:28" x14ac:dyDescent="0.25">
      <c r="A55" s="67" t="s">
        <v>321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/>
      <c r="L55" s="5"/>
      <c r="M55" s="5"/>
      <c r="N55" s="5"/>
      <c r="O55" s="5"/>
      <c r="P55" s="9"/>
      <c r="Q55" s="9"/>
      <c r="R55" s="9"/>
      <c r="S55" s="18"/>
      <c r="T55" s="5"/>
      <c r="U55" s="5"/>
      <c r="V55" s="5"/>
      <c r="W55" s="7"/>
      <c r="X55" s="18"/>
      <c r="Y55" s="18"/>
      <c r="Z55" s="7"/>
      <c r="AA55" s="18"/>
      <c r="AB55" s="6"/>
    </row>
    <row r="56" spans="1:28" x14ac:dyDescent="0.25">
      <c r="A56" s="67" t="s">
        <v>322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/>
      <c r="L56" s="5"/>
      <c r="M56" s="5"/>
      <c r="N56" s="5"/>
      <c r="O56" s="5"/>
      <c r="P56" s="9"/>
      <c r="Q56" s="9"/>
      <c r="R56" s="9"/>
      <c r="S56" s="18"/>
      <c r="T56" s="5"/>
      <c r="U56" s="5"/>
      <c r="V56" s="5"/>
      <c r="W56" s="7"/>
      <c r="X56" s="18"/>
      <c r="Y56" s="18"/>
      <c r="Z56" s="7"/>
      <c r="AA56" s="18"/>
      <c r="AB56" s="6"/>
    </row>
    <row r="57" spans="1:28" x14ac:dyDescent="0.25">
      <c r="A57" s="67" t="s">
        <v>323</v>
      </c>
      <c r="B57" s="20" t="s">
        <v>55</v>
      </c>
      <c r="C57" s="7"/>
      <c r="D57" s="7"/>
      <c r="E57" s="7"/>
      <c r="F57" s="7"/>
      <c r="G57" s="7"/>
      <c r="H57" s="7"/>
      <c r="I57" s="5"/>
      <c r="J57" s="5"/>
      <c r="K57" s="5"/>
      <c r="L57" s="5"/>
      <c r="M57" s="5"/>
      <c r="N57" s="5"/>
      <c r="O57" s="5"/>
      <c r="P57" s="9"/>
      <c r="Q57" s="9"/>
      <c r="R57" s="9"/>
      <c r="S57" s="18"/>
      <c r="T57" s="5"/>
      <c r="U57" s="5"/>
      <c r="V57" s="5"/>
      <c r="W57" s="7"/>
      <c r="X57" s="18"/>
      <c r="Y57" s="18"/>
      <c r="Z57" s="7"/>
      <c r="AA57" s="18"/>
      <c r="AB57" s="6"/>
    </row>
    <row r="58" spans="1:28" x14ac:dyDescent="0.25">
      <c r="A58" s="67" t="s">
        <v>324</v>
      </c>
      <c r="B58" s="20" t="s">
        <v>56</v>
      </c>
      <c r="C58" s="7"/>
      <c r="D58" s="7"/>
      <c r="E58" s="7"/>
      <c r="F58" s="7"/>
      <c r="G58" s="7"/>
      <c r="H58" s="7"/>
      <c r="I58" s="5"/>
      <c r="J58" s="5"/>
      <c r="K58" s="5"/>
      <c r="L58" s="5"/>
      <c r="M58" s="5"/>
      <c r="N58" s="5"/>
      <c r="O58" s="5"/>
      <c r="P58" s="9"/>
      <c r="Q58" s="9"/>
      <c r="R58" s="9"/>
      <c r="S58" s="18"/>
      <c r="T58" s="5"/>
      <c r="U58" s="5"/>
      <c r="V58" s="5"/>
      <c r="W58" s="7"/>
      <c r="X58" s="18"/>
      <c r="Y58" s="18"/>
      <c r="Z58" s="7"/>
      <c r="AA58" s="18"/>
      <c r="AB58" s="6"/>
    </row>
    <row r="59" spans="1:28" x14ac:dyDescent="0.25">
      <c r="A59" s="67" t="s">
        <v>325</v>
      </c>
      <c r="B59" s="20" t="s">
        <v>57</v>
      </c>
      <c r="C59" s="7"/>
      <c r="D59" s="7"/>
      <c r="E59" s="7"/>
      <c r="F59" s="7"/>
      <c r="G59" s="7"/>
      <c r="H59" s="7"/>
      <c r="I59" s="5"/>
      <c r="J59" s="5"/>
      <c r="K59" s="5"/>
      <c r="L59" s="5"/>
      <c r="M59" s="5"/>
      <c r="N59" s="5"/>
      <c r="O59" s="5"/>
      <c r="P59" s="9"/>
      <c r="Q59" s="9"/>
      <c r="R59" s="9"/>
      <c r="S59" s="18"/>
      <c r="T59" s="5"/>
      <c r="U59" s="5"/>
      <c r="V59" s="5"/>
      <c r="W59" s="7"/>
      <c r="X59" s="18"/>
      <c r="Y59" s="18"/>
      <c r="Z59" s="7"/>
      <c r="AA59" s="18"/>
      <c r="AB59" s="6"/>
    </row>
    <row r="60" spans="1:28" x14ac:dyDescent="0.25">
      <c r="A60" s="67" t="s">
        <v>326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/>
      <c r="L60" s="5"/>
      <c r="M60" s="5"/>
      <c r="N60" s="5"/>
      <c r="O60" s="5"/>
      <c r="P60" s="9"/>
      <c r="Q60" s="9"/>
      <c r="R60" s="9"/>
      <c r="S60" s="18"/>
      <c r="T60" s="5"/>
      <c r="U60" s="5"/>
      <c r="V60" s="5"/>
      <c r="W60" s="7"/>
      <c r="X60" s="18"/>
      <c r="Y60" s="18"/>
      <c r="Z60" s="7"/>
      <c r="AA60" s="18"/>
      <c r="AB60" s="6"/>
    </row>
    <row r="61" spans="1:28" x14ac:dyDescent="0.25">
      <c r="A61" s="67" t="s">
        <v>327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/>
      <c r="L61" s="5"/>
      <c r="M61" s="5"/>
      <c r="N61" s="5"/>
      <c r="O61" s="5"/>
      <c r="P61" s="9"/>
      <c r="Q61" s="9"/>
      <c r="R61" s="9"/>
      <c r="S61" s="18"/>
      <c r="T61" s="5"/>
      <c r="U61" s="5"/>
      <c r="V61" s="5"/>
      <c r="W61" s="7"/>
      <c r="X61" s="18"/>
      <c r="Y61" s="18"/>
      <c r="Z61" s="7"/>
      <c r="AA61" s="18"/>
      <c r="AB61" s="6"/>
    </row>
    <row r="62" spans="1:28" x14ac:dyDescent="0.25">
      <c r="A62" s="67" t="s">
        <v>328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/>
      <c r="L62" s="5"/>
      <c r="M62" s="5"/>
      <c r="N62" s="5"/>
      <c r="O62" s="5"/>
      <c r="P62" s="9"/>
      <c r="Q62" s="9"/>
      <c r="R62" s="9"/>
      <c r="S62" s="18"/>
      <c r="T62" s="5"/>
      <c r="U62" s="5"/>
      <c r="V62" s="5"/>
      <c r="W62" s="7"/>
      <c r="X62" s="18"/>
      <c r="Y62" s="18"/>
      <c r="Z62" s="7"/>
      <c r="AA62" s="18"/>
      <c r="AB62" s="6"/>
    </row>
    <row r="63" spans="1:28" x14ac:dyDescent="0.25">
      <c r="A63" s="67" t="s">
        <v>329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/>
      <c r="L63" s="5"/>
      <c r="M63" s="5"/>
      <c r="N63" s="5"/>
      <c r="O63" s="5"/>
      <c r="P63" s="9"/>
      <c r="Q63" s="9"/>
      <c r="R63" s="9"/>
      <c r="S63" s="18"/>
      <c r="T63" s="5"/>
      <c r="U63" s="5"/>
      <c r="V63" s="5"/>
      <c r="W63" s="7"/>
      <c r="X63" s="18"/>
      <c r="Y63" s="18"/>
      <c r="Z63" s="7"/>
      <c r="AA63" s="18"/>
      <c r="AB63" s="6"/>
    </row>
    <row r="64" spans="1:28" x14ac:dyDescent="0.25">
      <c r="A64" s="67" t="s">
        <v>330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/>
      <c r="L64" s="5"/>
      <c r="M64" s="5"/>
      <c r="N64" s="5"/>
      <c r="O64" s="5"/>
      <c r="P64" s="9"/>
      <c r="Q64" s="9"/>
      <c r="R64" s="9"/>
      <c r="S64" s="18"/>
      <c r="T64" s="5"/>
      <c r="U64" s="5"/>
      <c r="V64" s="5"/>
      <c r="W64" s="7"/>
      <c r="X64" s="18"/>
      <c r="Y64" s="18"/>
      <c r="Z64" s="7"/>
      <c r="AA64" s="18"/>
      <c r="AB64" s="6"/>
    </row>
    <row r="65" spans="1:28" x14ac:dyDescent="0.25">
      <c r="A65" s="67" t="s">
        <v>331</v>
      </c>
      <c r="B65" s="20" t="s">
        <v>63</v>
      </c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9"/>
      <c r="Q65" s="9"/>
      <c r="R65" s="9"/>
      <c r="S65" s="18"/>
      <c r="T65" s="5"/>
      <c r="U65" s="5"/>
      <c r="V65" s="5"/>
      <c r="W65" s="7"/>
      <c r="X65" s="18"/>
      <c r="Y65" s="18"/>
      <c r="Z65" s="7"/>
      <c r="AA65" s="18"/>
      <c r="AB65" s="6"/>
    </row>
    <row r="66" spans="1:28" x14ac:dyDescent="0.25">
      <c r="A66" s="67" t="s">
        <v>332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9"/>
      <c r="Q66" s="9"/>
      <c r="R66" s="9"/>
      <c r="S66" s="18"/>
      <c r="T66" s="5"/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67" t="s">
        <v>333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/>
      <c r="Q67" s="9"/>
      <c r="R67" s="9"/>
      <c r="S67" s="18"/>
      <c r="T67" s="5"/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5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114" t="s">
        <v>90</v>
      </c>
      <c r="B69" s="75"/>
      <c r="C69" s="18">
        <f>SUM(C20:C68)</f>
        <v>0</v>
      </c>
      <c r="D69" s="18">
        <f t="shared" ref="D69:H69" si="0">SUM(D20:D68)</f>
        <v>0</v>
      </c>
      <c r="E69" s="18">
        <f t="shared" si="0"/>
        <v>0</v>
      </c>
      <c r="F69" s="18">
        <f t="shared" si="0"/>
        <v>0</v>
      </c>
      <c r="G69" s="18"/>
      <c r="H69" s="18">
        <f t="shared" si="0"/>
        <v>0</v>
      </c>
      <c r="I69" s="18">
        <f t="shared" ref="I69:AB69" si="1">SUM(I20:I68)</f>
        <v>264</v>
      </c>
      <c r="J69" s="18">
        <f t="shared" si="1"/>
        <v>1</v>
      </c>
      <c r="K69" s="18">
        <f t="shared" si="1"/>
        <v>24</v>
      </c>
      <c r="L69" s="18">
        <f t="shared" si="1"/>
        <v>0</v>
      </c>
      <c r="M69" s="18">
        <f t="shared" si="1"/>
        <v>11</v>
      </c>
      <c r="N69" s="18">
        <f t="shared" si="1"/>
        <v>6</v>
      </c>
      <c r="O69" s="18">
        <f t="shared" si="1"/>
        <v>0</v>
      </c>
      <c r="P69" s="9">
        <f t="shared" si="1"/>
        <v>0</v>
      </c>
      <c r="Q69" s="9">
        <f t="shared" si="1"/>
        <v>0.37</v>
      </c>
      <c r="R69" s="9">
        <f t="shared" si="1"/>
        <v>0</v>
      </c>
      <c r="S69" s="18">
        <f t="shared" si="1"/>
        <v>915</v>
      </c>
      <c r="T69" s="18">
        <f t="shared" ref="T69" si="2">SUM(T20:T68)</f>
        <v>1100</v>
      </c>
      <c r="U69" s="18"/>
      <c r="V69" s="18">
        <f t="shared" si="1"/>
        <v>0</v>
      </c>
      <c r="W69" s="18">
        <f t="shared" si="1"/>
        <v>0</v>
      </c>
      <c r="X69" s="18">
        <f t="shared" si="1"/>
        <v>0</v>
      </c>
      <c r="Y69" s="18">
        <f t="shared" si="1"/>
        <v>0</v>
      </c>
      <c r="Z69" s="18">
        <f t="shared" si="1"/>
        <v>0</v>
      </c>
      <c r="AA69" s="18">
        <f t="shared" si="1"/>
        <v>500</v>
      </c>
      <c r="AB69" s="59">
        <f t="shared" si="1"/>
        <v>0</v>
      </c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18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114" t="s">
        <v>92</v>
      </c>
      <c r="B71" s="75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>
        <f>'PHASE 2A'!P75</f>
        <v>4.3100000000000014</v>
      </c>
      <c r="Q71" s="9">
        <f>'PHASE 2A'!Q75</f>
        <v>15.920000000000012</v>
      </c>
      <c r="R71" s="9">
        <f>'PHASE 2A'!R75</f>
        <v>8.5800000000000054</v>
      </c>
      <c r="S71" s="29">
        <f>'PHASE 2A'!S75</f>
        <v>12291</v>
      </c>
      <c r="T71" s="5">
        <f>'PHASE 2A'!T75</f>
        <v>6705</v>
      </c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113" t="s">
        <v>110</v>
      </c>
      <c r="B72" s="7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>
        <v>0.85</v>
      </c>
      <c r="R72" s="9">
        <v>0.85</v>
      </c>
      <c r="S72" s="18"/>
      <c r="T72" s="18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18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18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SUM(C69:C74)</f>
        <v>0</v>
      </c>
      <c r="D75" s="11">
        <f t="shared" ref="D75:H75" si="3">SUM(D69:D74)</f>
        <v>0</v>
      </c>
      <c r="E75" s="11">
        <f t="shared" si="3"/>
        <v>0</v>
      </c>
      <c r="F75" s="11">
        <f t="shared" si="3"/>
        <v>0</v>
      </c>
      <c r="G75" s="11"/>
      <c r="H75" s="11">
        <f t="shared" si="3"/>
        <v>0</v>
      </c>
      <c r="I75" s="11">
        <f t="shared" ref="I75:AB75" si="4">SUM(I69:I74)</f>
        <v>264</v>
      </c>
      <c r="J75" s="11">
        <f t="shared" si="4"/>
        <v>1</v>
      </c>
      <c r="K75" s="11">
        <f t="shared" si="4"/>
        <v>24</v>
      </c>
      <c r="L75" s="11">
        <f t="shared" si="4"/>
        <v>0</v>
      </c>
      <c r="M75" s="11">
        <f t="shared" si="4"/>
        <v>11</v>
      </c>
      <c r="N75" s="11">
        <f t="shared" si="4"/>
        <v>6</v>
      </c>
      <c r="O75" s="11">
        <f t="shared" si="4"/>
        <v>0</v>
      </c>
      <c r="P75" s="24">
        <f t="shared" si="4"/>
        <v>4.3100000000000014</v>
      </c>
      <c r="Q75" s="24">
        <f t="shared" si="4"/>
        <v>17.140000000000015</v>
      </c>
      <c r="R75" s="24">
        <f t="shared" si="4"/>
        <v>9.430000000000005</v>
      </c>
      <c r="S75" s="12">
        <f t="shared" si="4"/>
        <v>13206</v>
      </c>
      <c r="T75" s="12">
        <f t="shared" si="4"/>
        <v>7805</v>
      </c>
      <c r="U75" s="11">
        <f t="shared" si="4"/>
        <v>0</v>
      </c>
      <c r="V75" s="11">
        <f t="shared" si="4"/>
        <v>0</v>
      </c>
      <c r="W75" s="11">
        <f t="shared" si="4"/>
        <v>0</v>
      </c>
      <c r="X75" s="11">
        <f t="shared" si="4"/>
        <v>0</v>
      </c>
      <c r="Y75" s="11">
        <f t="shared" si="4"/>
        <v>0</v>
      </c>
      <c r="Z75" s="11">
        <f t="shared" si="4"/>
        <v>0</v>
      </c>
      <c r="AA75" s="11">
        <f t="shared" si="4"/>
        <v>500</v>
      </c>
      <c r="AB75" s="61">
        <f t="shared" si="4"/>
        <v>0</v>
      </c>
    </row>
  </sheetData>
  <mergeCells count="32">
    <mergeCell ref="D2:D18"/>
    <mergeCell ref="E2:E18"/>
    <mergeCell ref="F2:F18"/>
    <mergeCell ref="H2:H18"/>
    <mergeCell ref="N2:N18"/>
    <mergeCell ref="G2:G18"/>
    <mergeCell ref="AA2:AA18"/>
    <mergeCell ref="AB2:AB18"/>
    <mergeCell ref="R2:R18"/>
    <mergeCell ref="S2:S18"/>
    <mergeCell ref="U2:U18"/>
    <mergeCell ref="V2:V18"/>
    <mergeCell ref="W2:W18"/>
    <mergeCell ref="T2:T18"/>
    <mergeCell ref="Y2:Y18"/>
    <mergeCell ref="Z2:Z18"/>
    <mergeCell ref="O2:O18"/>
    <mergeCell ref="P2:P18"/>
    <mergeCell ref="A72:B72"/>
    <mergeCell ref="A75:B75"/>
    <mergeCell ref="X2:X18"/>
    <mergeCell ref="L2:L18"/>
    <mergeCell ref="M2:M18"/>
    <mergeCell ref="A69:B69"/>
    <mergeCell ref="A71:B71"/>
    <mergeCell ref="Q2:Q18"/>
    <mergeCell ref="A1:A19"/>
    <mergeCell ref="B1:B19"/>
    <mergeCell ref="C2:C18"/>
    <mergeCell ref="I2:I18"/>
    <mergeCell ref="J2:J18"/>
    <mergeCell ref="K2:K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449A2-D1D8-4EF4-98EB-21DB81CA9F9E}">
  <dimension ref="A1:AB75"/>
  <sheetViews>
    <sheetView showZeros="0" topLeftCell="A36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114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67" t="s">
        <v>334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>
        <f>24+3</f>
        <v>27</v>
      </c>
      <c r="L21" s="5">
        <f>12+0</f>
        <v>12</v>
      </c>
      <c r="M21" s="5"/>
      <c r="N21" s="5"/>
      <c r="O21" s="5"/>
      <c r="P21" s="9">
        <f>ROUNDUP(((75+300)/5280),2)</f>
        <v>0.08</v>
      </c>
      <c r="Q21" s="9">
        <f>ROUNDUP(((300+300)/5280),2)</f>
        <v>0.12</v>
      </c>
      <c r="R21" s="9">
        <f>ROUNDUP(((300+300)/5280),2)</f>
        <v>0.12</v>
      </c>
      <c r="S21" s="18">
        <f>225+0</f>
        <v>225</v>
      </c>
      <c r="T21" s="5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67" t="s">
        <v>335</v>
      </c>
      <c r="B22" s="15" t="s">
        <v>20</v>
      </c>
      <c r="C22" s="7"/>
      <c r="D22" s="7"/>
      <c r="E22" s="7"/>
      <c r="F22" s="7"/>
      <c r="G22" s="7"/>
      <c r="H22" s="7"/>
      <c r="I22" s="5">
        <v>72</v>
      </c>
      <c r="J22" s="5">
        <v>1</v>
      </c>
      <c r="K22" s="5">
        <f>66+4</f>
        <v>70</v>
      </c>
      <c r="L22" s="5">
        <f>25+0</f>
        <v>25</v>
      </c>
      <c r="M22" s="5">
        <f>0+2</f>
        <v>2</v>
      </c>
      <c r="N22" s="5"/>
      <c r="O22" s="5">
        <f>0+2</f>
        <v>2</v>
      </c>
      <c r="P22" s="9">
        <f>ROUNDUP(((0+500)/5280),2)</f>
        <v>9.9999999999999992E-2</v>
      </c>
      <c r="Q22" s="9">
        <f>ROUNDUP(((500+500)/5280),2)</f>
        <v>0.19</v>
      </c>
      <c r="R22" s="9">
        <f>ROUNDUP(((500+500)/5280),2)</f>
        <v>0.19</v>
      </c>
      <c r="S22" s="18">
        <f>925+0</f>
        <v>925</v>
      </c>
      <c r="T22" s="5"/>
      <c r="U22" s="5"/>
      <c r="V22" s="5"/>
      <c r="W22" s="7"/>
      <c r="X22" s="18"/>
      <c r="Y22" s="18"/>
      <c r="Z22" s="7"/>
      <c r="AA22" s="18">
        <f>0+72</f>
        <v>72</v>
      </c>
      <c r="AB22" s="6"/>
    </row>
    <row r="23" spans="1:28" x14ac:dyDescent="0.25">
      <c r="A23" s="67" t="s">
        <v>336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>
        <f>75+4</f>
        <v>79</v>
      </c>
      <c r="L23" s="5">
        <f>25+0</f>
        <v>25</v>
      </c>
      <c r="M23" s="25">
        <f>0+20</f>
        <v>20</v>
      </c>
      <c r="N23" s="5"/>
      <c r="O23" s="5"/>
      <c r="P23" s="9">
        <f>ROUNDUP(((0+500)/5280),2)</f>
        <v>9.9999999999999992E-2</v>
      </c>
      <c r="Q23" s="9">
        <f>ROUNDUP(((500+500)/5280),2)</f>
        <v>0.19</v>
      </c>
      <c r="R23" s="9">
        <f>ROUNDUP(((500+500)/5280),2)</f>
        <v>0.19</v>
      </c>
      <c r="S23" s="18">
        <f>1000+0</f>
        <v>1000</v>
      </c>
      <c r="T23" s="5"/>
      <c r="U23" s="5"/>
      <c r="V23" s="5"/>
      <c r="W23" s="7"/>
      <c r="X23" s="18"/>
      <c r="Y23" s="18"/>
      <c r="Z23" s="7"/>
      <c r="AA23" s="18">
        <f>0+500</f>
        <v>500</v>
      </c>
      <c r="AB23" s="6">
        <f>0+500</f>
        <v>500</v>
      </c>
    </row>
    <row r="24" spans="1:28" x14ac:dyDescent="0.25">
      <c r="A24" s="67" t="s">
        <v>337</v>
      </c>
      <c r="B24" s="15" t="s">
        <v>22</v>
      </c>
      <c r="C24" s="7"/>
      <c r="D24" s="7"/>
      <c r="E24" s="7"/>
      <c r="F24" s="7"/>
      <c r="G24" s="7"/>
      <c r="H24" s="7"/>
      <c r="I24" s="5"/>
      <c r="J24" s="5"/>
      <c r="K24" s="5">
        <f>27+4</f>
        <v>31</v>
      </c>
      <c r="L24" s="5">
        <f>9</f>
        <v>9</v>
      </c>
      <c r="M24" s="5">
        <f>2+20</f>
        <v>22</v>
      </c>
      <c r="N24" s="5"/>
      <c r="O24" s="5">
        <f>2+0</f>
        <v>2</v>
      </c>
      <c r="P24" s="9">
        <f>ROUNDUP(((0+500)/5280),2)</f>
        <v>9.9999999999999992E-2</v>
      </c>
      <c r="Q24" s="9">
        <f>ROUNDUP(((600+500)/5280),2)</f>
        <v>0.21000000000000002</v>
      </c>
      <c r="R24" s="9">
        <f>ROUNDUP(((500+500)/5280),2)</f>
        <v>0.19</v>
      </c>
      <c r="S24" s="18">
        <f>900+0</f>
        <v>900</v>
      </c>
      <c r="T24" s="5"/>
      <c r="U24" s="5"/>
      <c r="V24" s="5"/>
      <c r="W24" s="7"/>
      <c r="X24" s="18"/>
      <c r="Y24" s="18"/>
      <c r="Z24" s="7"/>
      <c r="AA24" s="18">
        <f>100+500</f>
        <v>600</v>
      </c>
      <c r="AB24" s="6">
        <f>0+500</f>
        <v>500</v>
      </c>
    </row>
    <row r="25" spans="1:28" x14ac:dyDescent="0.25">
      <c r="A25" s="67" t="s">
        <v>338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>
        <f>0+4</f>
        <v>4</v>
      </c>
      <c r="L25" s="5"/>
      <c r="M25" s="5">
        <f t="shared" ref="M25:M33" si="0">10+20</f>
        <v>30</v>
      </c>
      <c r="N25" s="5"/>
      <c r="O25" s="5">
        <f t="shared" ref="O25:O33" si="1">10+0</f>
        <v>10</v>
      </c>
      <c r="P25" s="9">
        <f>ROUNDUP(((0+500)/5280),2)</f>
        <v>9.9999999999999992E-2</v>
      </c>
      <c r="Q25" s="9">
        <f>ROUNDUP(((1500+500)/5280),2)</f>
        <v>0.38</v>
      </c>
      <c r="R25" s="9">
        <f>ROUNDUP(((500+500)/5280),2)</f>
        <v>0.19</v>
      </c>
      <c r="S25" s="18"/>
      <c r="T25" s="5"/>
      <c r="U25" s="5"/>
      <c r="V25" s="5"/>
      <c r="W25" s="7"/>
      <c r="X25" s="18"/>
      <c r="Y25" s="18"/>
      <c r="Z25" s="7"/>
      <c r="AA25" s="18">
        <f>500+500</f>
        <v>1000</v>
      </c>
      <c r="AB25" s="33">
        <f>0+500</f>
        <v>500</v>
      </c>
    </row>
    <row r="26" spans="1:28" x14ac:dyDescent="0.25">
      <c r="A26" s="67" t="s">
        <v>339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>
        <f>0+4</f>
        <v>4</v>
      </c>
      <c r="L26" s="5"/>
      <c r="M26" s="5">
        <f t="shared" si="0"/>
        <v>30</v>
      </c>
      <c r="N26" s="5"/>
      <c r="O26" s="5">
        <f t="shared" si="1"/>
        <v>10</v>
      </c>
      <c r="P26" s="9">
        <f>ROUNDUP(((0+500)/5280),2)</f>
        <v>9.9999999999999992E-2</v>
      </c>
      <c r="Q26" s="9">
        <f>ROUNDUP(((1500+500)/5280),2)</f>
        <v>0.38</v>
      </c>
      <c r="R26" s="9">
        <f>ROUNDUP(((500+500)/5280),2)</f>
        <v>0.19</v>
      </c>
      <c r="S26" s="18"/>
      <c r="T26" s="5"/>
      <c r="U26" s="5"/>
      <c r="V26" s="5"/>
      <c r="W26" s="7"/>
      <c r="X26" s="18"/>
      <c r="Y26" s="18"/>
      <c r="Z26" s="7"/>
      <c r="AA26" s="18">
        <f t="shared" ref="AA26:AA28" si="2">500+500</f>
        <v>1000</v>
      </c>
      <c r="AB26" s="33">
        <f t="shared" ref="AB26:AB28" si="3">0+500</f>
        <v>500</v>
      </c>
    </row>
    <row r="27" spans="1:28" x14ac:dyDescent="0.25">
      <c r="A27" s="67" t="s">
        <v>340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>
        <f>0+4</f>
        <v>4</v>
      </c>
      <c r="L27" s="5"/>
      <c r="M27" s="5">
        <f t="shared" si="0"/>
        <v>30</v>
      </c>
      <c r="N27" s="5"/>
      <c r="O27" s="5">
        <f t="shared" si="1"/>
        <v>10</v>
      </c>
      <c r="P27" s="9">
        <f t="shared" ref="P27:P65" si="4">ROUNDUP(((0+500)/5280),2)</f>
        <v>9.9999999999999992E-2</v>
      </c>
      <c r="Q27" s="9">
        <f t="shared" ref="Q27:Q41" si="5">ROUNDUP(((1500+500)/5280),2)</f>
        <v>0.38</v>
      </c>
      <c r="R27" s="9">
        <f t="shared" ref="R27:R66" si="6">ROUNDUP(((500+500)/5280),2)</f>
        <v>0.19</v>
      </c>
      <c r="S27" s="18"/>
      <c r="T27" s="5"/>
      <c r="U27" s="5"/>
      <c r="V27" s="5"/>
      <c r="W27" s="7"/>
      <c r="X27" s="18"/>
      <c r="Y27" s="18"/>
      <c r="Z27" s="7"/>
      <c r="AA27" s="18">
        <f t="shared" si="2"/>
        <v>1000</v>
      </c>
      <c r="AB27" s="33">
        <f t="shared" si="3"/>
        <v>500</v>
      </c>
    </row>
    <row r="28" spans="1:28" x14ac:dyDescent="0.25">
      <c r="A28" s="67" t="s">
        <v>341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>
        <f>0+6</f>
        <v>6</v>
      </c>
      <c r="L28" s="5"/>
      <c r="M28" s="5">
        <f t="shared" si="0"/>
        <v>30</v>
      </c>
      <c r="N28" s="5"/>
      <c r="O28" s="5">
        <f t="shared" si="1"/>
        <v>10</v>
      </c>
      <c r="P28" s="9">
        <f t="shared" si="4"/>
        <v>9.9999999999999992E-2</v>
      </c>
      <c r="Q28" s="9">
        <f t="shared" si="5"/>
        <v>0.38</v>
      </c>
      <c r="R28" s="9">
        <f t="shared" si="6"/>
        <v>0.19</v>
      </c>
      <c r="S28" s="18">
        <f>0+50</f>
        <v>50</v>
      </c>
      <c r="T28" s="34">
        <f>0+400</f>
        <v>400</v>
      </c>
      <c r="U28" s="34"/>
      <c r="V28" s="5"/>
      <c r="W28" s="7"/>
      <c r="X28" s="18"/>
      <c r="Y28" s="18"/>
      <c r="Z28" s="7"/>
      <c r="AA28" s="18">
        <f t="shared" si="2"/>
        <v>1000</v>
      </c>
      <c r="AB28" s="33">
        <f t="shared" si="3"/>
        <v>500</v>
      </c>
    </row>
    <row r="29" spans="1:28" x14ac:dyDescent="0.25">
      <c r="A29" s="67" t="s">
        <v>342</v>
      </c>
      <c r="B29" s="15" t="s">
        <v>27</v>
      </c>
      <c r="C29" s="7"/>
      <c r="D29" s="7"/>
      <c r="E29" s="7"/>
      <c r="F29" s="7"/>
      <c r="G29" s="7"/>
      <c r="H29" s="7"/>
      <c r="I29" s="5"/>
      <c r="J29" s="5"/>
      <c r="K29" s="5">
        <f>0+12</f>
        <v>12</v>
      </c>
      <c r="L29" s="5"/>
      <c r="M29" s="5">
        <f t="shared" si="0"/>
        <v>30</v>
      </c>
      <c r="N29" s="5"/>
      <c r="O29" s="5">
        <f t="shared" si="1"/>
        <v>10</v>
      </c>
      <c r="P29" s="9">
        <f t="shared" si="4"/>
        <v>9.9999999999999992E-2</v>
      </c>
      <c r="Q29" s="9">
        <f t="shared" si="5"/>
        <v>0.38</v>
      </c>
      <c r="R29" s="9">
        <f t="shared" si="6"/>
        <v>0.19</v>
      </c>
      <c r="S29" s="18">
        <f>0+360</f>
        <v>360</v>
      </c>
      <c r="T29" s="5"/>
      <c r="U29" s="5"/>
      <c r="V29" s="5"/>
      <c r="W29" s="7"/>
      <c r="X29" s="18"/>
      <c r="Y29" s="18"/>
      <c r="Z29" s="7"/>
      <c r="AA29" s="18">
        <f>500+500</f>
        <v>1000</v>
      </c>
      <c r="AB29" s="6">
        <f t="shared" ref="AB29:AB65" si="7">0+500</f>
        <v>500</v>
      </c>
    </row>
    <row r="30" spans="1:28" x14ac:dyDescent="0.25">
      <c r="A30" s="67" t="s">
        <v>343</v>
      </c>
      <c r="B30" s="15" t="s">
        <v>28</v>
      </c>
      <c r="C30" s="7"/>
      <c r="D30" s="7"/>
      <c r="E30" s="7"/>
      <c r="F30" s="7"/>
      <c r="G30" s="7"/>
      <c r="H30" s="7"/>
      <c r="I30" s="5"/>
      <c r="J30" s="5"/>
      <c r="K30" s="5">
        <f>0+5</f>
        <v>5</v>
      </c>
      <c r="L30" s="5"/>
      <c r="M30" s="5">
        <f t="shared" si="0"/>
        <v>30</v>
      </c>
      <c r="N30" s="5"/>
      <c r="O30" s="5">
        <f t="shared" si="1"/>
        <v>10</v>
      </c>
      <c r="P30" s="9">
        <f t="shared" si="4"/>
        <v>9.9999999999999992E-2</v>
      </c>
      <c r="Q30" s="9">
        <f t="shared" si="5"/>
        <v>0.38</v>
      </c>
      <c r="R30" s="9">
        <f t="shared" si="6"/>
        <v>0.19</v>
      </c>
      <c r="S30" s="18"/>
      <c r="T30" s="5"/>
      <c r="U30" s="5"/>
      <c r="V30" s="5"/>
      <c r="W30" s="7"/>
      <c r="X30" s="18"/>
      <c r="Y30" s="18"/>
      <c r="Z30" s="7"/>
      <c r="AA30" s="18">
        <f>500+500</f>
        <v>1000</v>
      </c>
      <c r="AB30" s="23">
        <f t="shared" si="7"/>
        <v>500</v>
      </c>
    </row>
    <row r="31" spans="1:28" x14ac:dyDescent="0.25">
      <c r="A31" s="67" t="s">
        <v>344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>
        <f>0+4</f>
        <v>4</v>
      </c>
      <c r="L31" s="5"/>
      <c r="M31" s="5">
        <f t="shared" si="0"/>
        <v>30</v>
      </c>
      <c r="N31" s="5"/>
      <c r="O31" s="5">
        <f t="shared" si="1"/>
        <v>10</v>
      </c>
      <c r="P31" s="9">
        <f t="shared" si="4"/>
        <v>9.9999999999999992E-2</v>
      </c>
      <c r="Q31" s="9">
        <f t="shared" si="5"/>
        <v>0.38</v>
      </c>
      <c r="R31" s="9">
        <f t="shared" si="6"/>
        <v>0.19</v>
      </c>
      <c r="S31" s="18"/>
      <c r="T31" s="5"/>
      <c r="U31" s="5"/>
      <c r="V31" s="5"/>
      <c r="W31" s="7"/>
      <c r="X31" s="18"/>
      <c r="Y31" s="18"/>
      <c r="Z31" s="7"/>
      <c r="AA31" s="18">
        <f>500+500</f>
        <v>1000</v>
      </c>
      <c r="AB31" s="23">
        <f t="shared" si="7"/>
        <v>500</v>
      </c>
    </row>
    <row r="32" spans="1:28" x14ac:dyDescent="0.25">
      <c r="A32" s="67" t="s">
        <v>345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>
        <f>0+16</f>
        <v>16</v>
      </c>
      <c r="L32" s="5"/>
      <c r="M32" s="5">
        <f t="shared" si="0"/>
        <v>30</v>
      </c>
      <c r="N32" s="5"/>
      <c r="O32" s="5">
        <f t="shared" si="1"/>
        <v>10</v>
      </c>
      <c r="P32" s="9">
        <f t="shared" si="4"/>
        <v>9.9999999999999992E-2</v>
      </c>
      <c r="Q32" s="9">
        <f t="shared" si="5"/>
        <v>0.38</v>
      </c>
      <c r="R32" s="9">
        <f t="shared" si="6"/>
        <v>0.19</v>
      </c>
      <c r="S32" s="18">
        <f>0+430</f>
        <v>430</v>
      </c>
      <c r="T32" s="5">
        <f>0+112</f>
        <v>112</v>
      </c>
      <c r="U32" s="5"/>
      <c r="V32" s="5"/>
      <c r="W32" s="7"/>
      <c r="X32" s="18"/>
      <c r="Y32" s="18"/>
      <c r="Z32" s="7"/>
      <c r="AA32" s="18">
        <f>500+500</f>
        <v>1000</v>
      </c>
      <c r="AB32" s="23">
        <f t="shared" si="7"/>
        <v>500</v>
      </c>
    </row>
    <row r="33" spans="1:28" x14ac:dyDescent="0.25">
      <c r="A33" s="67" t="s">
        <v>346</v>
      </c>
      <c r="B33" s="15" t="s">
        <v>31</v>
      </c>
      <c r="C33" s="7"/>
      <c r="D33" s="7"/>
      <c r="E33" s="7"/>
      <c r="F33" s="7"/>
      <c r="G33" s="7"/>
      <c r="H33" s="7"/>
      <c r="I33" s="5">
        <v>250</v>
      </c>
      <c r="J33" s="5"/>
      <c r="K33" s="5">
        <f>0+4</f>
        <v>4</v>
      </c>
      <c r="L33" s="5"/>
      <c r="M33" s="5">
        <f t="shared" si="0"/>
        <v>30</v>
      </c>
      <c r="N33" s="5"/>
      <c r="O33" s="5">
        <f t="shared" si="1"/>
        <v>10</v>
      </c>
      <c r="P33" s="9">
        <f t="shared" si="4"/>
        <v>9.9999999999999992E-2</v>
      </c>
      <c r="Q33" s="9">
        <f t="shared" si="5"/>
        <v>0.38</v>
      </c>
      <c r="R33" s="9">
        <f t="shared" si="6"/>
        <v>0.19</v>
      </c>
      <c r="S33" s="18"/>
      <c r="T33" s="5">
        <f>250+500</f>
        <v>750</v>
      </c>
      <c r="U33" s="5"/>
      <c r="V33" s="5"/>
      <c r="W33" s="7"/>
      <c r="X33" s="18"/>
      <c r="Y33" s="18"/>
      <c r="Z33" s="7"/>
      <c r="AA33" s="18">
        <f>500+500</f>
        <v>1000</v>
      </c>
      <c r="AB33" s="23">
        <f t="shared" si="7"/>
        <v>500</v>
      </c>
    </row>
    <row r="34" spans="1:28" x14ac:dyDescent="0.25">
      <c r="A34" s="67" t="s">
        <v>347</v>
      </c>
      <c r="B34" s="15" t="s">
        <v>32</v>
      </c>
      <c r="C34" s="7"/>
      <c r="D34" s="7"/>
      <c r="E34" s="7"/>
      <c r="F34" s="7"/>
      <c r="G34" s="7"/>
      <c r="H34" s="7"/>
      <c r="I34" s="5">
        <v>290</v>
      </c>
      <c r="J34" s="5">
        <v>1</v>
      </c>
      <c r="K34" s="5">
        <f>10+18</f>
        <v>28</v>
      </c>
      <c r="L34" s="5"/>
      <c r="M34" s="5">
        <f>7+20</f>
        <v>27</v>
      </c>
      <c r="N34" s="5"/>
      <c r="O34" s="5">
        <f>6+0</f>
        <v>6</v>
      </c>
      <c r="P34" s="9">
        <f t="shared" si="4"/>
        <v>9.9999999999999992E-2</v>
      </c>
      <c r="Q34" s="9">
        <f t="shared" si="5"/>
        <v>0.38</v>
      </c>
      <c r="R34" s="9">
        <f t="shared" si="6"/>
        <v>0.19</v>
      </c>
      <c r="S34" s="18">
        <f>400+530</f>
        <v>930</v>
      </c>
      <c r="T34" s="5">
        <f>300+36</f>
        <v>336</v>
      </c>
      <c r="U34" s="5"/>
      <c r="V34" s="5"/>
      <c r="W34" s="7"/>
      <c r="X34" s="18"/>
      <c r="Y34" s="18"/>
      <c r="Z34" s="7"/>
      <c r="AA34" s="18">
        <f>302+500</f>
        <v>802</v>
      </c>
      <c r="AB34" s="23">
        <f t="shared" si="7"/>
        <v>500</v>
      </c>
    </row>
    <row r="35" spans="1:28" x14ac:dyDescent="0.25">
      <c r="A35" s="67" t="s">
        <v>348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>
        <f>8+4</f>
        <v>12</v>
      </c>
      <c r="L35" s="5"/>
      <c r="M35" s="5">
        <f>0+20</f>
        <v>20</v>
      </c>
      <c r="N35" s="5"/>
      <c r="O35" s="5"/>
      <c r="P35" s="9">
        <f t="shared" si="4"/>
        <v>9.9999999999999992E-2</v>
      </c>
      <c r="Q35" s="9">
        <f t="shared" si="5"/>
        <v>0.38</v>
      </c>
      <c r="R35" s="9">
        <f t="shared" si="6"/>
        <v>0.19</v>
      </c>
      <c r="S35" s="18">
        <f>290+0</f>
        <v>290</v>
      </c>
      <c r="T35" s="5"/>
      <c r="U35" s="5"/>
      <c r="V35" s="5"/>
      <c r="W35" s="7"/>
      <c r="X35" s="18"/>
      <c r="Y35" s="18"/>
      <c r="Z35" s="7"/>
      <c r="AA35" s="18">
        <f>0+500</f>
        <v>500</v>
      </c>
      <c r="AB35" s="23">
        <f t="shared" si="7"/>
        <v>500</v>
      </c>
    </row>
    <row r="36" spans="1:28" x14ac:dyDescent="0.25">
      <c r="A36" s="67" t="s">
        <v>349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>
        <f>0+5</f>
        <v>5</v>
      </c>
      <c r="L36" s="5"/>
      <c r="M36" s="5">
        <f>0+20</f>
        <v>20</v>
      </c>
      <c r="N36" s="5"/>
      <c r="O36" s="5"/>
      <c r="P36" s="9">
        <f t="shared" si="4"/>
        <v>9.9999999999999992E-2</v>
      </c>
      <c r="Q36" s="9">
        <f t="shared" si="5"/>
        <v>0.38</v>
      </c>
      <c r="R36" s="9">
        <f t="shared" si="6"/>
        <v>0.19</v>
      </c>
      <c r="S36" s="18"/>
      <c r="T36" s="5"/>
      <c r="U36" s="5"/>
      <c r="V36" s="5"/>
      <c r="W36" s="7"/>
      <c r="X36" s="18"/>
      <c r="Y36" s="18"/>
      <c r="Z36" s="7"/>
      <c r="AA36" s="18">
        <f>0+500</f>
        <v>500</v>
      </c>
      <c r="AB36" s="6">
        <f t="shared" si="7"/>
        <v>500</v>
      </c>
    </row>
    <row r="37" spans="1:28" x14ac:dyDescent="0.25">
      <c r="A37" s="67" t="s">
        <v>350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>
        <f>12+4</f>
        <v>16</v>
      </c>
      <c r="L37" s="5"/>
      <c r="M37" s="5">
        <f>0+20</f>
        <v>20</v>
      </c>
      <c r="N37" s="5"/>
      <c r="O37" s="5"/>
      <c r="P37" s="9">
        <f t="shared" si="4"/>
        <v>9.9999999999999992E-2</v>
      </c>
      <c r="Q37" s="9">
        <f t="shared" si="5"/>
        <v>0.38</v>
      </c>
      <c r="R37" s="9">
        <f t="shared" si="6"/>
        <v>0.19</v>
      </c>
      <c r="S37" s="18">
        <f>455+0</f>
        <v>455</v>
      </c>
      <c r="T37" s="5"/>
      <c r="U37" s="5"/>
      <c r="V37" s="5"/>
      <c r="W37" s="7"/>
      <c r="X37" s="18"/>
      <c r="Y37" s="18"/>
      <c r="Z37" s="7"/>
      <c r="AA37" s="18">
        <f>0+500</f>
        <v>500</v>
      </c>
      <c r="AB37" s="6">
        <f t="shared" si="7"/>
        <v>500</v>
      </c>
    </row>
    <row r="38" spans="1:28" x14ac:dyDescent="0.25">
      <c r="A38" s="67" t="s">
        <v>351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>
        <f>6+16</f>
        <v>22</v>
      </c>
      <c r="L38" s="5"/>
      <c r="M38" s="5">
        <f>0+20</f>
        <v>20</v>
      </c>
      <c r="N38" s="5"/>
      <c r="O38" s="5"/>
      <c r="P38" s="9">
        <f t="shared" si="4"/>
        <v>9.9999999999999992E-2</v>
      </c>
      <c r="Q38" s="9">
        <f t="shared" si="5"/>
        <v>0.38</v>
      </c>
      <c r="R38" s="9">
        <f t="shared" si="6"/>
        <v>0.19</v>
      </c>
      <c r="S38" s="18">
        <f>200+460</f>
        <v>660</v>
      </c>
      <c r="T38" s="5">
        <f>400+20</f>
        <v>420</v>
      </c>
      <c r="U38" s="5"/>
      <c r="V38" s="5"/>
      <c r="W38" s="7"/>
      <c r="X38" s="18"/>
      <c r="Y38" s="18"/>
      <c r="Z38" s="7"/>
      <c r="AA38" s="18">
        <f>0+500</f>
        <v>500</v>
      </c>
      <c r="AB38" s="6">
        <f t="shared" si="7"/>
        <v>500</v>
      </c>
    </row>
    <row r="39" spans="1:28" x14ac:dyDescent="0.25">
      <c r="A39" s="67" t="s">
        <v>352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>
        <f>0+4</f>
        <v>4</v>
      </c>
      <c r="L39" s="5"/>
      <c r="M39" s="5">
        <f>8+20</f>
        <v>28</v>
      </c>
      <c r="N39" s="5"/>
      <c r="O39" s="5">
        <f>8+0</f>
        <v>8</v>
      </c>
      <c r="P39" s="9">
        <f t="shared" si="4"/>
        <v>9.9999999999999992E-2</v>
      </c>
      <c r="Q39" s="9">
        <f t="shared" si="5"/>
        <v>0.38</v>
      </c>
      <c r="R39" s="9">
        <f t="shared" si="6"/>
        <v>0.19</v>
      </c>
      <c r="S39" s="18"/>
      <c r="T39" s="5">
        <f>50+500</f>
        <v>550</v>
      </c>
      <c r="U39" s="5"/>
      <c r="V39" s="5"/>
      <c r="W39" s="7"/>
      <c r="X39" s="18"/>
      <c r="Y39" s="18"/>
      <c r="Z39" s="7"/>
      <c r="AA39" s="18">
        <f>400+500</f>
        <v>900</v>
      </c>
      <c r="AB39" s="6">
        <f t="shared" si="7"/>
        <v>500</v>
      </c>
    </row>
    <row r="40" spans="1:28" x14ac:dyDescent="0.25">
      <c r="A40" s="67" t="s">
        <v>353</v>
      </c>
      <c r="B40" s="15" t="s">
        <v>38</v>
      </c>
      <c r="C40" s="7"/>
      <c r="D40" s="7"/>
      <c r="E40" s="7"/>
      <c r="F40" s="7"/>
      <c r="G40" s="7"/>
      <c r="H40" s="7"/>
      <c r="I40" s="5"/>
      <c r="J40" s="5"/>
      <c r="K40" s="5">
        <f>0+4</f>
        <v>4</v>
      </c>
      <c r="L40" s="5"/>
      <c r="M40" s="5">
        <f t="shared" ref="M40:M58" si="8">10+20</f>
        <v>30</v>
      </c>
      <c r="N40" s="5"/>
      <c r="O40" s="5">
        <f t="shared" ref="O40:O58" si="9">10+0</f>
        <v>10</v>
      </c>
      <c r="P40" s="9">
        <f t="shared" si="4"/>
        <v>9.9999999999999992E-2</v>
      </c>
      <c r="Q40" s="9">
        <f t="shared" si="5"/>
        <v>0.38</v>
      </c>
      <c r="R40" s="9">
        <f t="shared" si="6"/>
        <v>0.19</v>
      </c>
      <c r="S40" s="18"/>
      <c r="T40" s="5">
        <f>0+300</f>
        <v>300</v>
      </c>
      <c r="U40" s="5"/>
      <c r="V40" s="5"/>
      <c r="W40" s="7"/>
      <c r="X40" s="18"/>
      <c r="Y40" s="18"/>
      <c r="Z40" s="7"/>
      <c r="AA40" s="18">
        <f t="shared" ref="AA40:AA58" si="10">500+500</f>
        <v>1000</v>
      </c>
      <c r="AB40" s="6">
        <f t="shared" si="7"/>
        <v>500</v>
      </c>
    </row>
    <row r="41" spans="1:28" x14ac:dyDescent="0.25">
      <c r="A41" s="67" t="s">
        <v>354</v>
      </c>
      <c r="B41" s="15" t="s">
        <v>39</v>
      </c>
      <c r="C41" s="7"/>
      <c r="D41" s="7"/>
      <c r="E41" s="7"/>
      <c r="F41" s="7"/>
      <c r="G41" s="7"/>
      <c r="H41" s="7"/>
      <c r="I41" s="5"/>
      <c r="J41" s="5"/>
      <c r="K41" s="5">
        <f>0+6</f>
        <v>6</v>
      </c>
      <c r="L41" s="5"/>
      <c r="M41" s="5">
        <f t="shared" si="8"/>
        <v>30</v>
      </c>
      <c r="N41" s="5"/>
      <c r="O41" s="5">
        <f t="shared" si="9"/>
        <v>10</v>
      </c>
      <c r="P41" s="9">
        <f t="shared" si="4"/>
        <v>9.9999999999999992E-2</v>
      </c>
      <c r="Q41" s="9">
        <f t="shared" si="5"/>
        <v>0.38</v>
      </c>
      <c r="R41" s="9">
        <f t="shared" si="6"/>
        <v>0.19</v>
      </c>
      <c r="S41" s="18">
        <f>0+75</f>
        <v>75</v>
      </c>
      <c r="T41" s="5"/>
      <c r="U41" s="5"/>
      <c r="V41" s="5">
        <v>1</v>
      </c>
      <c r="W41" s="7"/>
      <c r="X41" s="18"/>
      <c r="Y41" s="18"/>
      <c r="Z41" s="7"/>
      <c r="AA41" s="18">
        <f t="shared" si="10"/>
        <v>1000</v>
      </c>
      <c r="AB41" s="6">
        <f t="shared" si="7"/>
        <v>500</v>
      </c>
    </row>
    <row r="42" spans="1:28" x14ac:dyDescent="0.25">
      <c r="A42" s="67" t="s">
        <v>355</v>
      </c>
      <c r="B42" s="15" t="s">
        <v>40</v>
      </c>
      <c r="C42" s="7"/>
      <c r="D42" s="7"/>
      <c r="E42" s="7"/>
      <c r="F42" s="7"/>
      <c r="G42" s="7"/>
      <c r="H42" s="7"/>
      <c r="I42" s="5"/>
      <c r="J42" s="5"/>
      <c r="K42" s="5">
        <f>0+8</f>
        <v>8</v>
      </c>
      <c r="L42" s="5"/>
      <c r="M42" s="5">
        <f t="shared" si="8"/>
        <v>30</v>
      </c>
      <c r="N42" s="5"/>
      <c r="O42" s="5">
        <f t="shared" si="9"/>
        <v>10</v>
      </c>
      <c r="P42" s="9">
        <f t="shared" si="4"/>
        <v>9.9999999999999992E-2</v>
      </c>
      <c r="Q42" s="9">
        <f>ROUNDUP(((1500+565)/5280),2)</f>
        <v>0.4</v>
      </c>
      <c r="R42" s="9">
        <f t="shared" si="6"/>
        <v>0.19</v>
      </c>
      <c r="S42" s="18">
        <f>0+165</f>
        <v>165</v>
      </c>
      <c r="T42" s="5"/>
      <c r="U42" s="5"/>
      <c r="V42" s="5">
        <v>2</v>
      </c>
      <c r="W42" s="7"/>
      <c r="X42" s="18"/>
      <c r="Y42" s="18"/>
      <c r="Z42" s="7"/>
      <c r="AA42" s="18">
        <f t="shared" si="10"/>
        <v>1000</v>
      </c>
      <c r="AB42" s="6">
        <f t="shared" si="7"/>
        <v>500</v>
      </c>
    </row>
    <row r="43" spans="1:28" x14ac:dyDescent="0.25">
      <c r="A43" s="67" t="s">
        <v>356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>
        <f>0+4</f>
        <v>4</v>
      </c>
      <c r="L43" s="5"/>
      <c r="M43" s="5">
        <f t="shared" si="8"/>
        <v>30</v>
      </c>
      <c r="N43" s="5"/>
      <c r="O43" s="5">
        <f t="shared" si="9"/>
        <v>10</v>
      </c>
      <c r="P43" s="9">
        <f t="shared" si="4"/>
        <v>9.9999999999999992E-2</v>
      </c>
      <c r="Q43" s="9">
        <f t="shared" ref="Q43:Q62" si="11">ROUNDUP(((1500+500)/5280),2)</f>
        <v>0.38</v>
      </c>
      <c r="R43" s="9">
        <f t="shared" si="6"/>
        <v>0.19</v>
      </c>
      <c r="S43" s="18"/>
      <c r="T43" s="5"/>
      <c r="U43" s="5"/>
      <c r="V43" s="5"/>
      <c r="W43" s="7"/>
      <c r="X43" s="18"/>
      <c r="Y43" s="18"/>
      <c r="Z43" s="7"/>
      <c r="AA43" s="18">
        <f t="shared" si="10"/>
        <v>1000</v>
      </c>
      <c r="AB43" s="6">
        <f t="shared" si="7"/>
        <v>500</v>
      </c>
    </row>
    <row r="44" spans="1:28" x14ac:dyDescent="0.25">
      <c r="A44" s="67" t="s">
        <v>357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>
        <f>0+4</f>
        <v>4</v>
      </c>
      <c r="L44" s="5"/>
      <c r="M44" s="5">
        <f t="shared" si="8"/>
        <v>30</v>
      </c>
      <c r="N44" s="5"/>
      <c r="O44" s="5">
        <f t="shared" si="9"/>
        <v>10</v>
      </c>
      <c r="P44" s="9">
        <f t="shared" si="4"/>
        <v>9.9999999999999992E-2</v>
      </c>
      <c r="Q44" s="9">
        <f t="shared" si="11"/>
        <v>0.38</v>
      </c>
      <c r="R44" s="9">
        <f t="shared" si="6"/>
        <v>0.19</v>
      </c>
      <c r="S44" s="18"/>
      <c r="T44" s="5"/>
      <c r="U44" s="5"/>
      <c r="V44" s="5"/>
      <c r="W44" s="7"/>
      <c r="X44" s="18"/>
      <c r="Y44" s="18"/>
      <c r="Z44" s="7"/>
      <c r="AA44" s="18">
        <f t="shared" si="10"/>
        <v>1000</v>
      </c>
      <c r="AB44" s="6">
        <f t="shared" si="7"/>
        <v>500</v>
      </c>
    </row>
    <row r="45" spans="1:28" x14ac:dyDescent="0.25">
      <c r="A45" s="67" t="s">
        <v>358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>
        <f>0+4</f>
        <v>4</v>
      </c>
      <c r="L45" s="5"/>
      <c r="M45" s="5">
        <f t="shared" si="8"/>
        <v>30</v>
      </c>
      <c r="N45" s="5"/>
      <c r="O45" s="5">
        <f t="shared" si="9"/>
        <v>10</v>
      </c>
      <c r="P45" s="9">
        <f t="shared" si="4"/>
        <v>9.9999999999999992E-2</v>
      </c>
      <c r="Q45" s="9">
        <f t="shared" si="11"/>
        <v>0.38</v>
      </c>
      <c r="R45" s="9">
        <f t="shared" si="6"/>
        <v>0.19</v>
      </c>
      <c r="S45" s="18"/>
      <c r="T45" s="5"/>
      <c r="U45" s="5"/>
      <c r="V45" s="5"/>
      <c r="W45" s="7"/>
      <c r="X45" s="18"/>
      <c r="Y45" s="18"/>
      <c r="Z45" s="7"/>
      <c r="AA45" s="18">
        <f t="shared" si="10"/>
        <v>1000</v>
      </c>
      <c r="AB45" s="6">
        <f t="shared" si="7"/>
        <v>500</v>
      </c>
    </row>
    <row r="46" spans="1:28" x14ac:dyDescent="0.25">
      <c r="A46" s="67" t="s">
        <v>359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>
        <f>0+4</f>
        <v>4</v>
      </c>
      <c r="L46" s="5"/>
      <c r="M46" s="5">
        <f t="shared" si="8"/>
        <v>30</v>
      </c>
      <c r="N46" s="5"/>
      <c r="O46" s="5">
        <f t="shared" si="9"/>
        <v>10</v>
      </c>
      <c r="P46" s="9">
        <f t="shared" si="4"/>
        <v>9.9999999999999992E-2</v>
      </c>
      <c r="Q46" s="9">
        <f t="shared" si="11"/>
        <v>0.38</v>
      </c>
      <c r="R46" s="9">
        <f t="shared" si="6"/>
        <v>0.19</v>
      </c>
      <c r="S46" s="18"/>
      <c r="T46" s="5"/>
      <c r="U46" s="5"/>
      <c r="V46" s="5"/>
      <c r="W46" s="7"/>
      <c r="X46" s="18"/>
      <c r="Y46" s="18"/>
      <c r="Z46" s="7"/>
      <c r="AA46" s="18">
        <f t="shared" si="10"/>
        <v>1000</v>
      </c>
      <c r="AB46" s="6">
        <f t="shared" si="7"/>
        <v>500</v>
      </c>
    </row>
    <row r="47" spans="1:28" x14ac:dyDescent="0.25">
      <c r="A47" s="67" t="s">
        <v>360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>
        <f>0+5</f>
        <v>5</v>
      </c>
      <c r="L47" s="5"/>
      <c r="M47" s="5">
        <f t="shared" si="8"/>
        <v>30</v>
      </c>
      <c r="N47" s="5"/>
      <c r="O47" s="5">
        <f t="shared" si="9"/>
        <v>10</v>
      </c>
      <c r="P47" s="9">
        <f t="shared" si="4"/>
        <v>9.9999999999999992E-2</v>
      </c>
      <c r="Q47" s="9">
        <f t="shared" si="11"/>
        <v>0.38</v>
      </c>
      <c r="R47" s="9">
        <f t="shared" si="6"/>
        <v>0.19</v>
      </c>
      <c r="S47" s="18"/>
      <c r="T47" s="5"/>
      <c r="U47" s="5"/>
      <c r="V47" s="5"/>
      <c r="W47" s="7"/>
      <c r="X47" s="18"/>
      <c r="Y47" s="18"/>
      <c r="Z47" s="7"/>
      <c r="AA47" s="18">
        <f t="shared" si="10"/>
        <v>1000</v>
      </c>
      <c r="AB47" s="6">
        <f t="shared" si="7"/>
        <v>500</v>
      </c>
    </row>
    <row r="48" spans="1:28" x14ac:dyDescent="0.25">
      <c r="A48" s="67" t="s">
        <v>361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>
        <f t="shared" ref="K48:K53" si="12">0+4</f>
        <v>4</v>
      </c>
      <c r="L48" s="5"/>
      <c r="M48" s="5">
        <f t="shared" si="8"/>
        <v>30</v>
      </c>
      <c r="N48" s="5"/>
      <c r="O48" s="5">
        <f t="shared" si="9"/>
        <v>10</v>
      </c>
      <c r="P48" s="9">
        <f t="shared" si="4"/>
        <v>9.9999999999999992E-2</v>
      </c>
      <c r="Q48" s="9">
        <f t="shared" si="11"/>
        <v>0.38</v>
      </c>
      <c r="R48" s="9">
        <f t="shared" si="6"/>
        <v>0.19</v>
      </c>
      <c r="S48" s="18"/>
      <c r="T48" s="5"/>
      <c r="U48" s="5"/>
      <c r="V48" s="5"/>
      <c r="W48" s="7"/>
      <c r="X48" s="18"/>
      <c r="Y48" s="18"/>
      <c r="Z48" s="7"/>
      <c r="AA48" s="18">
        <f t="shared" si="10"/>
        <v>1000</v>
      </c>
      <c r="AB48" s="6">
        <f t="shared" si="7"/>
        <v>500</v>
      </c>
    </row>
    <row r="49" spans="1:28" x14ac:dyDescent="0.25">
      <c r="A49" s="67" t="s">
        <v>362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>
        <f t="shared" si="12"/>
        <v>4</v>
      </c>
      <c r="L49" s="5"/>
      <c r="M49" s="5">
        <f t="shared" si="8"/>
        <v>30</v>
      </c>
      <c r="N49" s="5"/>
      <c r="O49" s="5">
        <f t="shared" si="9"/>
        <v>10</v>
      </c>
      <c r="P49" s="9">
        <f t="shared" si="4"/>
        <v>9.9999999999999992E-2</v>
      </c>
      <c r="Q49" s="9">
        <f t="shared" si="11"/>
        <v>0.38</v>
      </c>
      <c r="R49" s="9">
        <f t="shared" si="6"/>
        <v>0.19</v>
      </c>
      <c r="S49" s="18"/>
      <c r="T49" s="5"/>
      <c r="U49" s="5"/>
      <c r="V49" s="5"/>
      <c r="W49" s="7"/>
      <c r="X49" s="18"/>
      <c r="Y49" s="18"/>
      <c r="Z49" s="7"/>
      <c r="AA49" s="18">
        <f t="shared" si="10"/>
        <v>1000</v>
      </c>
      <c r="AB49" s="6">
        <f t="shared" si="7"/>
        <v>500</v>
      </c>
    </row>
    <row r="50" spans="1:28" x14ac:dyDescent="0.25">
      <c r="A50" s="67" t="s">
        <v>363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>
        <f t="shared" si="12"/>
        <v>4</v>
      </c>
      <c r="L50" s="5"/>
      <c r="M50" s="5">
        <f t="shared" si="8"/>
        <v>30</v>
      </c>
      <c r="N50" s="5"/>
      <c r="O50" s="5">
        <f t="shared" si="9"/>
        <v>10</v>
      </c>
      <c r="P50" s="9">
        <f t="shared" si="4"/>
        <v>9.9999999999999992E-2</v>
      </c>
      <c r="Q50" s="9">
        <f t="shared" si="11"/>
        <v>0.38</v>
      </c>
      <c r="R50" s="9">
        <f t="shared" si="6"/>
        <v>0.19</v>
      </c>
      <c r="S50" s="18"/>
      <c r="T50" s="5"/>
      <c r="U50" s="5"/>
      <c r="V50" s="5"/>
      <c r="W50" s="7"/>
      <c r="X50" s="18"/>
      <c r="Y50" s="18"/>
      <c r="Z50" s="7"/>
      <c r="AA50" s="18">
        <f t="shared" si="10"/>
        <v>1000</v>
      </c>
      <c r="AB50" s="6">
        <f t="shared" si="7"/>
        <v>500</v>
      </c>
    </row>
    <row r="51" spans="1:28" x14ac:dyDescent="0.25">
      <c r="A51" s="67" t="s">
        <v>364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>
        <f t="shared" si="12"/>
        <v>4</v>
      </c>
      <c r="L51" s="5"/>
      <c r="M51" s="5">
        <f t="shared" si="8"/>
        <v>30</v>
      </c>
      <c r="N51" s="5"/>
      <c r="O51" s="5">
        <f t="shared" si="9"/>
        <v>10</v>
      </c>
      <c r="P51" s="9">
        <f t="shared" si="4"/>
        <v>9.9999999999999992E-2</v>
      </c>
      <c r="Q51" s="9">
        <f t="shared" si="11"/>
        <v>0.38</v>
      </c>
      <c r="R51" s="9">
        <f t="shared" si="6"/>
        <v>0.19</v>
      </c>
      <c r="S51" s="18"/>
      <c r="T51" s="5"/>
      <c r="U51" s="5"/>
      <c r="V51" s="5"/>
      <c r="W51" s="7"/>
      <c r="X51" s="18"/>
      <c r="Y51" s="18"/>
      <c r="Z51" s="7"/>
      <c r="AA51" s="18">
        <f t="shared" si="10"/>
        <v>1000</v>
      </c>
      <c r="AB51" s="6">
        <f t="shared" si="7"/>
        <v>500</v>
      </c>
    </row>
    <row r="52" spans="1:28" x14ac:dyDescent="0.25">
      <c r="A52" s="67" t="s">
        <v>365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>
        <f t="shared" si="12"/>
        <v>4</v>
      </c>
      <c r="L52" s="5"/>
      <c r="M52" s="5">
        <f t="shared" si="8"/>
        <v>30</v>
      </c>
      <c r="N52" s="5"/>
      <c r="O52" s="5">
        <f t="shared" si="9"/>
        <v>10</v>
      </c>
      <c r="P52" s="9">
        <f t="shared" si="4"/>
        <v>9.9999999999999992E-2</v>
      </c>
      <c r="Q52" s="9">
        <f t="shared" si="11"/>
        <v>0.38</v>
      </c>
      <c r="R52" s="9">
        <f t="shared" si="6"/>
        <v>0.19</v>
      </c>
      <c r="S52" s="18"/>
      <c r="T52" s="5"/>
      <c r="U52" s="5"/>
      <c r="V52" s="5"/>
      <c r="W52" s="7"/>
      <c r="X52" s="18"/>
      <c r="Y52" s="18"/>
      <c r="Z52" s="7"/>
      <c r="AA52" s="18">
        <f t="shared" si="10"/>
        <v>1000</v>
      </c>
      <c r="AB52" s="6">
        <f t="shared" si="7"/>
        <v>500</v>
      </c>
    </row>
    <row r="53" spans="1:28" x14ac:dyDescent="0.25">
      <c r="A53" s="67" t="s">
        <v>366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>
        <f t="shared" si="12"/>
        <v>4</v>
      </c>
      <c r="L53" s="5"/>
      <c r="M53" s="5">
        <f t="shared" si="8"/>
        <v>30</v>
      </c>
      <c r="N53" s="5"/>
      <c r="O53" s="5">
        <f t="shared" si="9"/>
        <v>10</v>
      </c>
      <c r="P53" s="9">
        <f t="shared" si="4"/>
        <v>9.9999999999999992E-2</v>
      </c>
      <c r="Q53" s="9">
        <f t="shared" si="11"/>
        <v>0.38</v>
      </c>
      <c r="R53" s="9">
        <f t="shared" si="6"/>
        <v>0.19</v>
      </c>
      <c r="S53" s="18"/>
      <c r="T53" s="5"/>
      <c r="U53" s="5"/>
      <c r="V53" s="5"/>
      <c r="W53" s="7"/>
      <c r="X53" s="18"/>
      <c r="Y53" s="18"/>
      <c r="Z53" s="7"/>
      <c r="AA53" s="18">
        <f t="shared" si="10"/>
        <v>1000</v>
      </c>
      <c r="AB53" s="6">
        <f t="shared" si="7"/>
        <v>500</v>
      </c>
    </row>
    <row r="54" spans="1:28" x14ac:dyDescent="0.25">
      <c r="A54" s="67" t="s">
        <v>367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>
        <f>0+5</f>
        <v>5</v>
      </c>
      <c r="L54" s="5"/>
      <c r="M54" s="5">
        <f t="shared" si="8"/>
        <v>30</v>
      </c>
      <c r="N54" s="5"/>
      <c r="O54" s="5">
        <f t="shared" si="9"/>
        <v>10</v>
      </c>
      <c r="P54" s="9">
        <f t="shared" si="4"/>
        <v>9.9999999999999992E-2</v>
      </c>
      <c r="Q54" s="9">
        <f t="shared" si="11"/>
        <v>0.38</v>
      </c>
      <c r="R54" s="9">
        <f t="shared" si="6"/>
        <v>0.19</v>
      </c>
      <c r="S54" s="18"/>
      <c r="T54" s="5"/>
      <c r="U54" s="5"/>
      <c r="V54" s="5"/>
      <c r="W54" s="7"/>
      <c r="X54" s="18"/>
      <c r="Y54" s="18"/>
      <c r="Z54" s="7"/>
      <c r="AA54" s="18">
        <f t="shared" si="10"/>
        <v>1000</v>
      </c>
      <c r="AB54" s="6">
        <f t="shared" si="7"/>
        <v>500</v>
      </c>
    </row>
    <row r="55" spans="1:28" x14ac:dyDescent="0.25">
      <c r="A55" s="67" t="s">
        <v>368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>
        <f>0+4</f>
        <v>4</v>
      </c>
      <c r="L55" s="5"/>
      <c r="M55" s="5">
        <f t="shared" si="8"/>
        <v>30</v>
      </c>
      <c r="N55" s="5"/>
      <c r="O55" s="5">
        <f t="shared" si="9"/>
        <v>10</v>
      </c>
      <c r="P55" s="9">
        <f t="shared" si="4"/>
        <v>9.9999999999999992E-2</v>
      </c>
      <c r="Q55" s="9">
        <f t="shared" si="11"/>
        <v>0.38</v>
      </c>
      <c r="R55" s="9">
        <f t="shared" si="6"/>
        <v>0.19</v>
      </c>
      <c r="S55" s="18"/>
      <c r="T55" s="5"/>
      <c r="U55" s="5"/>
      <c r="V55" s="5"/>
      <c r="W55" s="7"/>
      <c r="X55" s="18"/>
      <c r="Y55" s="18"/>
      <c r="Z55" s="7"/>
      <c r="AA55" s="18">
        <f t="shared" si="10"/>
        <v>1000</v>
      </c>
      <c r="AB55" s="6">
        <f t="shared" si="7"/>
        <v>500</v>
      </c>
    </row>
    <row r="56" spans="1:28" x14ac:dyDescent="0.25">
      <c r="A56" s="67" t="s">
        <v>369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>
        <f>0+4</f>
        <v>4</v>
      </c>
      <c r="L56" s="5"/>
      <c r="M56" s="5">
        <f t="shared" si="8"/>
        <v>30</v>
      </c>
      <c r="N56" s="5"/>
      <c r="O56" s="5">
        <f t="shared" si="9"/>
        <v>10</v>
      </c>
      <c r="P56" s="9">
        <f t="shared" si="4"/>
        <v>9.9999999999999992E-2</v>
      </c>
      <c r="Q56" s="9">
        <f t="shared" si="11"/>
        <v>0.38</v>
      </c>
      <c r="R56" s="9">
        <f t="shared" si="6"/>
        <v>0.19</v>
      </c>
      <c r="S56" s="18"/>
      <c r="T56" s="5"/>
      <c r="U56" s="5"/>
      <c r="V56" s="5"/>
      <c r="W56" s="7"/>
      <c r="X56" s="18"/>
      <c r="Y56" s="18"/>
      <c r="Z56" s="7"/>
      <c r="AA56" s="18">
        <f t="shared" si="10"/>
        <v>1000</v>
      </c>
      <c r="AB56" s="6">
        <f t="shared" si="7"/>
        <v>500</v>
      </c>
    </row>
    <row r="57" spans="1:28" x14ac:dyDescent="0.25">
      <c r="A57" s="67" t="s">
        <v>370</v>
      </c>
      <c r="B57" s="20" t="s">
        <v>55</v>
      </c>
      <c r="C57" s="7"/>
      <c r="D57" s="7"/>
      <c r="E57" s="7"/>
      <c r="F57" s="7"/>
      <c r="G57" s="7"/>
      <c r="H57" s="7"/>
      <c r="I57" s="5"/>
      <c r="J57" s="5"/>
      <c r="K57" s="5">
        <f>0+4</f>
        <v>4</v>
      </c>
      <c r="L57" s="5"/>
      <c r="M57" s="5">
        <f t="shared" si="8"/>
        <v>30</v>
      </c>
      <c r="N57" s="5"/>
      <c r="O57" s="5">
        <f t="shared" si="9"/>
        <v>10</v>
      </c>
      <c r="P57" s="9">
        <f t="shared" si="4"/>
        <v>9.9999999999999992E-2</v>
      </c>
      <c r="Q57" s="9">
        <f t="shared" si="11"/>
        <v>0.38</v>
      </c>
      <c r="R57" s="9">
        <f t="shared" si="6"/>
        <v>0.19</v>
      </c>
      <c r="S57" s="18"/>
      <c r="T57" s="5"/>
      <c r="U57" s="5"/>
      <c r="V57" s="5"/>
      <c r="W57" s="7"/>
      <c r="X57" s="18"/>
      <c r="Y57" s="18"/>
      <c r="Z57" s="7"/>
      <c r="AA57" s="18">
        <f t="shared" si="10"/>
        <v>1000</v>
      </c>
      <c r="AB57" s="6">
        <f t="shared" si="7"/>
        <v>500</v>
      </c>
    </row>
    <row r="58" spans="1:28" x14ac:dyDescent="0.25">
      <c r="A58" s="67" t="s">
        <v>371</v>
      </c>
      <c r="B58" s="20" t="s">
        <v>56</v>
      </c>
      <c r="C58" s="7"/>
      <c r="D58" s="7"/>
      <c r="E58" s="7"/>
      <c r="F58" s="7"/>
      <c r="G58" s="7"/>
      <c r="H58" s="7"/>
      <c r="I58" s="5">
        <v>150</v>
      </c>
      <c r="J58" s="5"/>
      <c r="K58" s="5">
        <f>0+4</f>
        <v>4</v>
      </c>
      <c r="L58" s="5"/>
      <c r="M58" s="5">
        <f t="shared" si="8"/>
        <v>30</v>
      </c>
      <c r="N58" s="5"/>
      <c r="O58" s="5">
        <f t="shared" si="9"/>
        <v>10</v>
      </c>
      <c r="P58" s="9">
        <f t="shared" si="4"/>
        <v>9.9999999999999992E-2</v>
      </c>
      <c r="Q58" s="9">
        <f t="shared" si="11"/>
        <v>0.38</v>
      </c>
      <c r="R58" s="9">
        <f t="shared" si="6"/>
        <v>0.19</v>
      </c>
      <c r="S58" s="18"/>
      <c r="T58" s="5"/>
      <c r="U58" s="5"/>
      <c r="V58" s="5"/>
      <c r="W58" s="7"/>
      <c r="X58" s="18"/>
      <c r="Y58" s="18"/>
      <c r="Z58" s="7"/>
      <c r="AA58" s="18">
        <f t="shared" si="10"/>
        <v>1000</v>
      </c>
      <c r="AB58" s="6">
        <f t="shared" si="7"/>
        <v>500</v>
      </c>
    </row>
    <row r="59" spans="1:28" x14ac:dyDescent="0.25">
      <c r="A59" s="67" t="s">
        <v>372</v>
      </c>
      <c r="B59" s="20" t="s">
        <v>57</v>
      </c>
      <c r="C59" s="7"/>
      <c r="D59" s="7"/>
      <c r="E59" s="7"/>
      <c r="F59" s="7"/>
      <c r="G59" s="7"/>
      <c r="H59" s="7"/>
      <c r="I59" s="5">
        <v>18</v>
      </c>
      <c r="J59" s="5"/>
      <c r="K59" s="5">
        <f>0+4</f>
        <v>4</v>
      </c>
      <c r="L59" s="5"/>
      <c r="M59" s="5">
        <f>2+20</f>
        <v>22</v>
      </c>
      <c r="N59" s="5"/>
      <c r="O59" s="5"/>
      <c r="P59" s="9">
        <f t="shared" si="4"/>
        <v>9.9999999999999992E-2</v>
      </c>
      <c r="Q59" s="9">
        <f t="shared" si="11"/>
        <v>0.38</v>
      </c>
      <c r="R59" s="9">
        <f t="shared" si="6"/>
        <v>0.19</v>
      </c>
      <c r="S59" s="18"/>
      <c r="T59" s="5">
        <f>500+65</f>
        <v>565</v>
      </c>
      <c r="U59" s="5"/>
      <c r="V59" s="5"/>
      <c r="W59" s="7"/>
      <c r="X59" s="18"/>
      <c r="Y59" s="18"/>
      <c r="Z59" s="7"/>
      <c r="AA59" s="18">
        <f>30+500</f>
        <v>530</v>
      </c>
      <c r="AB59" s="6">
        <f t="shared" si="7"/>
        <v>500</v>
      </c>
    </row>
    <row r="60" spans="1:28" x14ac:dyDescent="0.25">
      <c r="A60" s="67" t="s">
        <v>373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>
        <f>6+9</f>
        <v>15</v>
      </c>
      <c r="L60" s="5"/>
      <c r="M60" s="5">
        <f>0+20</f>
        <v>20</v>
      </c>
      <c r="N60" s="5"/>
      <c r="O60" s="5"/>
      <c r="P60" s="9">
        <f t="shared" si="4"/>
        <v>9.9999999999999992E-2</v>
      </c>
      <c r="Q60" s="9">
        <f t="shared" si="11"/>
        <v>0.38</v>
      </c>
      <c r="R60" s="9">
        <f t="shared" si="6"/>
        <v>0.19</v>
      </c>
      <c r="S60" s="18">
        <f>205+130</f>
        <v>335</v>
      </c>
      <c r="T60" s="5">
        <f>400+435</f>
        <v>835</v>
      </c>
      <c r="U60" s="5"/>
      <c r="V60" s="5"/>
      <c r="W60" s="7"/>
      <c r="X60" s="18"/>
      <c r="Y60" s="18"/>
      <c r="Z60" s="7"/>
      <c r="AA60" s="18">
        <f t="shared" ref="AA60:AA65" si="13">0+500</f>
        <v>500</v>
      </c>
      <c r="AB60" s="6">
        <f t="shared" si="7"/>
        <v>500</v>
      </c>
    </row>
    <row r="61" spans="1:28" x14ac:dyDescent="0.25">
      <c r="A61" s="67" t="s">
        <v>374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>
        <f>12+18</f>
        <v>30</v>
      </c>
      <c r="L61" s="5"/>
      <c r="M61" s="5">
        <f>0+20</f>
        <v>20</v>
      </c>
      <c r="N61" s="5"/>
      <c r="O61" s="5"/>
      <c r="P61" s="9">
        <f t="shared" si="4"/>
        <v>9.9999999999999992E-2</v>
      </c>
      <c r="Q61" s="9">
        <f t="shared" si="11"/>
        <v>0.38</v>
      </c>
      <c r="R61" s="9">
        <f t="shared" si="6"/>
        <v>0.19</v>
      </c>
      <c r="S61" s="18">
        <f>440+530</f>
        <v>970</v>
      </c>
      <c r="T61" s="5"/>
      <c r="U61" s="5"/>
      <c r="V61" s="5"/>
      <c r="W61" s="7"/>
      <c r="X61" s="18"/>
      <c r="Y61" s="18"/>
      <c r="Z61" s="7"/>
      <c r="AA61" s="18">
        <f t="shared" si="13"/>
        <v>500</v>
      </c>
      <c r="AB61" s="6">
        <f t="shared" si="7"/>
        <v>500</v>
      </c>
    </row>
    <row r="62" spans="1:28" x14ac:dyDescent="0.25">
      <c r="A62" s="67" t="s">
        <v>375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>
        <f>0+6</f>
        <v>6</v>
      </c>
      <c r="L62" s="5"/>
      <c r="M62" s="5">
        <f>0+20</f>
        <v>20</v>
      </c>
      <c r="N62" s="5"/>
      <c r="O62" s="5"/>
      <c r="P62" s="9">
        <f t="shared" si="4"/>
        <v>9.9999999999999992E-2</v>
      </c>
      <c r="Q62" s="9">
        <f t="shared" si="11"/>
        <v>0.38</v>
      </c>
      <c r="R62" s="9">
        <f t="shared" si="6"/>
        <v>0.19</v>
      </c>
      <c r="S62" s="18">
        <f>0+55</f>
        <v>55</v>
      </c>
      <c r="T62" s="5"/>
      <c r="U62" s="5"/>
      <c r="V62" s="5"/>
      <c r="W62" s="7"/>
      <c r="X62" s="18"/>
      <c r="Y62" s="18"/>
      <c r="Z62" s="7"/>
      <c r="AA62" s="18">
        <f t="shared" si="13"/>
        <v>500</v>
      </c>
      <c r="AB62" s="6">
        <f t="shared" si="7"/>
        <v>500</v>
      </c>
    </row>
    <row r="63" spans="1:28" x14ac:dyDescent="0.25">
      <c r="A63" s="67" t="s">
        <v>376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>
        <f>60+24</f>
        <v>84</v>
      </c>
      <c r="L63" s="5">
        <f>20+0</f>
        <v>20</v>
      </c>
      <c r="M63" s="5">
        <f>0+20</f>
        <v>20</v>
      </c>
      <c r="N63" s="5"/>
      <c r="O63" s="5"/>
      <c r="P63" s="9">
        <f t="shared" si="4"/>
        <v>9.9999999999999992E-2</v>
      </c>
      <c r="Q63" s="9">
        <f>ROUNDUP(((700+500)/5280),2)</f>
        <v>0.23</v>
      </c>
      <c r="R63" s="9">
        <f t="shared" si="6"/>
        <v>0.19</v>
      </c>
      <c r="S63" s="18">
        <f>800+770</f>
        <v>1570</v>
      </c>
      <c r="T63" s="5">
        <f>0+125</f>
        <v>125</v>
      </c>
      <c r="U63" s="5"/>
      <c r="V63" s="5"/>
      <c r="W63" s="7"/>
      <c r="X63" s="18"/>
      <c r="Y63" s="18"/>
      <c r="Z63" s="7"/>
      <c r="AA63" s="18">
        <f t="shared" si="13"/>
        <v>500</v>
      </c>
      <c r="AB63" s="6">
        <f t="shared" si="7"/>
        <v>500</v>
      </c>
    </row>
    <row r="64" spans="1:28" x14ac:dyDescent="0.25">
      <c r="A64" s="67" t="s">
        <v>377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>
        <f>75+4</f>
        <v>79</v>
      </c>
      <c r="L64" s="5">
        <f>25+0</f>
        <v>25</v>
      </c>
      <c r="M64" s="5">
        <f>0+20</f>
        <v>20</v>
      </c>
      <c r="N64" s="5"/>
      <c r="O64" s="5"/>
      <c r="P64" s="9">
        <f t="shared" si="4"/>
        <v>9.9999999999999992E-2</v>
      </c>
      <c r="Q64" s="9">
        <f>ROUNDUP(((500+500)/5280),2)</f>
        <v>0.19</v>
      </c>
      <c r="R64" s="9">
        <f t="shared" si="6"/>
        <v>0.19</v>
      </c>
      <c r="S64" s="18">
        <f>1000+0</f>
        <v>1000</v>
      </c>
      <c r="T64" s="5">
        <f>0+500</f>
        <v>500</v>
      </c>
      <c r="U64" s="5"/>
      <c r="V64" s="5"/>
      <c r="W64" s="7"/>
      <c r="X64" s="18"/>
      <c r="Y64" s="18"/>
      <c r="Z64" s="7"/>
      <c r="AA64" s="18">
        <f t="shared" si="13"/>
        <v>500</v>
      </c>
      <c r="AB64" s="6">
        <f t="shared" si="7"/>
        <v>500</v>
      </c>
    </row>
    <row r="65" spans="1:28" x14ac:dyDescent="0.25">
      <c r="A65" s="67" t="s">
        <v>378</v>
      </c>
      <c r="B65" s="20" t="s">
        <v>63</v>
      </c>
      <c r="C65" s="7"/>
      <c r="D65" s="7"/>
      <c r="E65" s="7"/>
      <c r="F65" s="7"/>
      <c r="G65" s="7"/>
      <c r="H65" s="7"/>
      <c r="I65" s="5"/>
      <c r="J65" s="5"/>
      <c r="K65" s="5">
        <f>56+5</f>
        <v>61</v>
      </c>
      <c r="L65" s="5">
        <f>24+0</f>
        <v>24</v>
      </c>
      <c r="M65" s="5">
        <f>0+10</f>
        <v>10</v>
      </c>
      <c r="N65" s="5"/>
      <c r="O65" s="5"/>
      <c r="P65" s="9">
        <f t="shared" si="4"/>
        <v>9.9999999999999992E-2</v>
      </c>
      <c r="Q65" s="9">
        <f>ROUNDUP(((500+500)/5280),2)</f>
        <v>0.19</v>
      </c>
      <c r="R65" s="9">
        <f t="shared" si="6"/>
        <v>0.19</v>
      </c>
      <c r="S65" s="18">
        <f>760+0</f>
        <v>760</v>
      </c>
      <c r="T65" s="5">
        <f>0+450</f>
        <v>450</v>
      </c>
      <c r="U65" s="5"/>
      <c r="V65" s="5"/>
      <c r="W65" s="7"/>
      <c r="X65" s="18"/>
      <c r="Y65" s="18"/>
      <c r="Z65" s="7"/>
      <c r="AA65" s="18">
        <f t="shared" si="13"/>
        <v>500</v>
      </c>
      <c r="AB65" s="6">
        <f t="shared" si="7"/>
        <v>500</v>
      </c>
    </row>
    <row r="66" spans="1:28" x14ac:dyDescent="0.25">
      <c r="A66" s="67" t="s">
        <v>379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>
        <f>8+4</f>
        <v>12</v>
      </c>
      <c r="L66" s="5"/>
      <c r="M66" s="5"/>
      <c r="N66" s="5"/>
      <c r="O66" s="5"/>
      <c r="P66" s="9">
        <f>ROUNDUP(((500+500)/5280),2)</f>
        <v>0.19</v>
      </c>
      <c r="Q66" s="9">
        <f>ROUNDUP(((500+500)/5280),2)</f>
        <v>0.19</v>
      </c>
      <c r="R66" s="9">
        <f t="shared" si="6"/>
        <v>0.19</v>
      </c>
      <c r="S66" s="18">
        <f>260+0</f>
        <v>260</v>
      </c>
      <c r="T66" s="5">
        <f>330+0</f>
        <v>330</v>
      </c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67" t="s">
        <v>380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>
        <f>0+1</f>
        <v>1</v>
      </c>
      <c r="L67" s="5"/>
      <c r="M67" s="5"/>
      <c r="N67" s="5"/>
      <c r="O67" s="5"/>
      <c r="P67" s="9">
        <f>ROUNDUP(((200+200)/5280),2)</f>
        <v>0.08</v>
      </c>
      <c r="Q67" s="9">
        <f>ROUNDUP(((200+200)/5280),2)</f>
        <v>0.08</v>
      </c>
      <c r="R67" s="9">
        <f>ROUNDUP(((200+200)/5280),2)</f>
        <v>0.08</v>
      </c>
      <c r="S67" s="18"/>
      <c r="T67" s="5">
        <f>175+0</f>
        <v>175</v>
      </c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5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35"/>
      <c r="B69" s="36"/>
      <c r="C69" s="18">
        <f>SUM(C20:C68)</f>
        <v>0</v>
      </c>
      <c r="D69" s="18">
        <f t="shared" ref="D69:H69" si="14">SUM(D20:D68)</f>
        <v>0</v>
      </c>
      <c r="E69" s="18">
        <f t="shared" si="14"/>
        <v>0</v>
      </c>
      <c r="F69" s="18">
        <f t="shared" si="14"/>
        <v>0</v>
      </c>
      <c r="G69" s="18"/>
      <c r="H69" s="18">
        <f t="shared" si="14"/>
        <v>0</v>
      </c>
      <c r="I69" s="18"/>
      <c r="J69" s="18"/>
      <c r="K69" s="18"/>
      <c r="L69" s="18"/>
      <c r="M69" s="18"/>
      <c r="N69" s="18"/>
      <c r="O69" s="18"/>
      <c r="P69" s="9"/>
      <c r="Q69" s="9"/>
      <c r="R69" s="9"/>
      <c r="S69" s="18"/>
      <c r="T69" s="18"/>
      <c r="U69" s="18"/>
      <c r="V69" s="18"/>
      <c r="W69" s="18"/>
      <c r="X69" s="18"/>
      <c r="Y69" s="18"/>
      <c r="Z69" s="18"/>
      <c r="AA69" s="18"/>
      <c r="AB69" s="59"/>
    </row>
    <row r="70" spans="1:28" x14ac:dyDescent="0.25">
      <c r="A70" s="4"/>
      <c r="B70" s="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/>
      <c r="R70" s="9"/>
      <c r="S70" s="18"/>
      <c r="T70" s="5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35"/>
      <c r="B71" s="36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/>
      <c r="Q71" s="9"/>
      <c r="R71" s="9"/>
      <c r="S71" s="29"/>
      <c r="T71" s="5"/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/>
      <c r="R72" s="9"/>
      <c r="S72" s="18"/>
      <c r="T72" s="5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5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5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0</v>
      </c>
      <c r="D75" s="11">
        <f t="shared" ref="D75:AB75" si="15">SUM(D20:D74)</f>
        <v>0</v>
      </c>
      <c r="E75" s="11">
        <f t="shared" si="15"/>
        <v>0</v>
      </c>
      <c r="F75" s="11">
        <f t="shared" si="15"/>
        <v>0</v>
      </c>
      <c r="G75" s="11"/>
      <c r="H75" s="11">
        <f t="shared" si="15"/>
        <v>0</v>
      </c>
      <c r="I75" s="11">
        <f t="shared" si="15"/>
        <v>780</v>
      </c>
      <c r="J75" s="11">
        <f t="shared" si="15"/>
        <v>2</v>
      </c>
      <c r="K75" s="11">
        <f t="shared" si="15"/>
        <v>729</v>
      </c>
      <c r="L75" s="11">
        <f t="shared" si="15"/>
        <v>140</v>
      </c>
      <c r="M75" s="11">
        <f t="shared" si="15"/>
        <v>1151</v>
      </c>
      <c r="N75" s="11">
        <f t="shared" si="15"/>
        <v>0</v>
      </c>
      <c r="O75" s="11">
        <f t="shared" si="15"/>
        <v>298</v>
      </c>
      <c r="P75" s="24">
        <f t="shared" si="15"/>
        <v>4.7500000000000009</v>
      </c>
      <c r="Q75" s="24">
        <f t="shared" si="15"/>
        <v>16.050000000000011</v>
      </c>
      <c r="R75" s="24">
        <f t="shared" si="15"/>
        <v>8.7500000000000053</v>
      </c>
      <c r="S75" s="12">
        <f t="shared" si="15"/>
        <v>11415</v>
      </c>
      <c r="T75" s="11">
        <f t="shared" ref="T75" si="16">SUM(T20:T74)</f>
        <v>5848</v>
      </c>
      <c r="U75" s="11">
        <f t="shared" si="15"/>
        <v>0</v>
      </c>
      <c r="V75" s="11">
        <f t="shared" si="15"/>
        <v>3</v>
      </c>
      <c r="W75" s="11">
        <f t="shared" si="15"/>
        <v>0</v>
      </c>
      <c r="X75" s="11">
        <f t="shared" si="15"/>
        <v>0</v>
      </c>
      <c r="Y75" s="11">
        <f t="shared" si="15"/>
        <v>0</v>
      </c>
      <c r="Z75" s="11">
        <f t="shared" si="15"/>
        <v>0</v>
      </c>
      <c r="AA75" s="12">
        <f t="shared" si="15"/>
        <v>36404</v>
      </c>
      <c r="AB75" s="60">
        <f t="shared" si="15"/>
        <v>21500</v>
      </c>
    </row>
  </sheetData>
  <mergeCells count="29">
    <mergeCell ref="G2:G18"/>
    <mergeCell ref="S2:S18"/>
    <mergeCell ref="T2:T18"/>
    <mergeCell ref="N2:N18"/>
    <mergeCell ref="O2:O18"/>
    <mergeCell ref="P2:P18"/>
    <mergeCell ref="Q2:Q18"/>
    <mergeCell ref="R2:R18"/>
    <mergeCell ref="AA2:AA18"/>
    <mergeCell ref="AB2:AB18"/>
    <mergeCell ref="Y2:Y18"/>
    <mergeCell ref="Z2:Z18"/>
    <mergeCell ref="X2:X18"/>
    <mergeCell ref="A75:B75"/>
    <mergeCell ref="U2:U18"/>
    <mergeCell ref="V2:V18"/>
    <mergeCell ref="W2:W18"/>
    <mergeCell ref="H2:H18"/>
    <mergeCell ref="I2:I18"/>
    <mergeCell ref="J2:J18"/>
    <mergeCell ref="K2:K18"/>
    <mergeCell ref="L2:L18"/>
    <mergeCell ref="M2:M18"/>
    <mergeCell ref="A1:A19"/>
    <mergeCell ref="B1:B19"/>
    <mergeCell ref="C2:C18"/>
    <mergeCell ref="D2:D18"/>
    <mergeCell ref="E2:E18"/>
    <mergeCell ref="F2:F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5D7FD-B1A0-4E2A-8EBD-95B7FDBD3957}">
  <dimension ref="A1:AB75"/>
  <sheetViews>
    <sheetView showZeros="0" topLeftCell="A37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38" customWidth="1"/>
    <col min="2" max="2" width="40.28515625" style="38" customWidth="1"/>
    <col min="3" max="8" width="8.28515625" style="52" customWidth="1"/>
    <col min="9" max="15" width="8.28515625" style="38" customWidth="1"/>
    <col min="16" max="18" width="8.28515625" style="53" customWidth="1"/>
    <col min="19" max="20" width="8.28515625" style="54" customWidth="1"/>
    <col min="21" max="22" width="8.28515625" style="38" customWidth="1"/>
    <col min="23" max="23" width="8.28515625" style="52" customWidth="1"/>
    <col min="24" max="25" width="8.28515625" style="54" customWidth="1"/>
    <col min="26" max="26" width="8.28515625" style="52" customWidth="1"/>
    <col min="27" max="27" width="8.28515625" style="54" customWidth="1"/>
    <col min="28" max="28" width="8.28515625" style="38" customWidth="1"/>
    <col min="29" max="16384" width="9.7109375" style="38"/>
  </cols>
  <sheetData>
    <row r="1" spans="1:28" x14ac:dyDescent="0.25">
      <c r="A1" s="115" t="s">
        <v>0</v>
      </c>
      <c r="B1" s="117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116"/>
      <c r="B2" s="118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116"/>
      <c r="B3" s="118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116"/>
      <c r="B4" s="118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116"/>
      <c r="B5" s="118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116"/>
      <c r="B6" s="118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116"/>
      <c r="B7" s="118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116"/>
      <c r="B8" s="118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116"/>
      <c r="B9" s="118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116"/>
      <c r="B10" s="118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116"/>
      <c r="B11" s="118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116"/>
      <c r="B12" s="118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116"/>
      <c r="B13" s="118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116"/>
      <c r="B14" s="118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116"/>
      <c r="B15" s="118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116"/>
      <c r="B16" s="118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116"/>
      <c r="B17" s="118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116"/>
      <c r="B18" s="118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116"/>
      <c r="B19" s="118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39"/>
      <c r="B20" s="65" t="s">
        <v>114</v>
      </c>
      <c r="C20" s="41"/>
      <c r="D20" s="41"/>
      <c r="E20" s="41"/>
      <c r="F20" s="41"/>
      <c r="G20" s="41"/>
      <c r="H20" s="41"/>
      <c r="I20" s="40"/>
      <c r="J20" s="40"/>
      <c r="K20" s="40"/>
      <c r="L20" s="40"/>
      <c r="M20" s="40"/>
      <c r="N20" s="40"/>
      <c r="O20" s="40"/>
      <c r="P20" s="43"/>
      <c r="Q20" s="43"/>
      <c r="R20" s="43"/>
      <c r="S20" s="42"/>
      <c r="T20" s="40"/>
      <c r="U20" s="40"/>
      <c r="V20" s="40"/>
      <c r="W20" s="41"/>
      <c r="X20" s="42"/>
      <c r="Y20" s="42"/>
      <c r="Z20" s="41"/>
      <c r="AA20" s="42"/>
      <c r="AB20" s="44"/>
    </row>
    <row r="21" spans="1:28" x14ac:dyDescent="0.25">
      <c r="A21" s="67" t="s">
        <v>381</v>
      </c>
      <c r="B21" s="40" t="s">
        <v>18</v>
      </c>
      <c r="C21" s="41"/>
      <c r="D21" s="41"/>
      <c r="E21" s="41"/>
      <c r="F21" s="41"/>
      <c r="G21" s="41"/>
      <c r="H21" s="41"/>
      <c r="I21" s="40"/>
      <c r="J21" s="40"/>
      <c r="K21" s="40"/>
      <c r="L21" s="40"/>
      <c r="M21" s="40"/>
      <c r="N21" s="40"/>
      <c r="O21" s="40"/>
      <c r="P21" s="43"/>
      <c r="Q21" s="43"/>
      <c r="R21" s="43"/>
      <c r="S21" s="42"/>
      <c r="T21" s="40"/>
      <c r="U21" s="40"/>
      <c r="V21" s="40"/>
      <c r="W21" s="41"/>
      <c r="X21" s="42"/>
      <c r="Y21" s="42"/>
      <c r="Z21" s="41"/>
      <c r="AA21" s="42"/>
      <c r="AB21" s="44"/>
    </row>
    <row r="22" spans="1:28" x14ac:dyDescent="0.25">
      <c r="A22" s="67" t="s">
        <v>382</v>
      </c>
      <c r="B22" s="40" t="s">
        <v>20</v>
      </c>
      <c r="C22" s="41"/>
      <c r="D22" s="41"/>
      <c r="E22" s="41"/>
      <c r="F22" s="41"/>
      <c r="G22" s="41"/>
      <c r="H22" s="41"/>
      <c r="I22" s="40"/>
      <c r="J22" s="40"/>
      <c r="K22" s="40"/>
      <c r="L22" s="40"/>
      <c r="M22" s="40"/>
      <c r="N22" s="40"/>
      <c r="O22" s="40"/>
      <c r="P22" s="43"/>
      <c r="Q22" s="43"/>
      <c r="R22" s="43"/>
      <c r="S22" s="42"/>
      <c r="T22" s="40"/>
      <c r="U22" s="40"/>
      <c r="V22" s="40"/>
      <c r="W22" s="41"/>
      <c r="X22" s="42"/>
      <c r="Y22" s="42"/>
      <c r="Z22" s="41"/>
      <c r="AA22" s="42"/>
      <c r="AB22" s="44"/>
    </row>
    <row r="23" spans="1:28" x14ac:dyDescent="0.25">
      <c r="A23" s="67" t="s">
        <v>383</v>
      </c>
      <c r="B23" s="40" t="s">
        <v>21</v>
      </c>
      <c r="C23" s="41"/>
      <c r="D23" s="41"/>
      <c r="E23" s="41"/>
      <c r="F23" s="41"/>
      <c r="G23" s="41"/>
      <c r="H23" s="41"/>
      <c r="I23" s="40"/>
      <c r="J23" s="40"/>
      <c r="K23" s="40"/>
      <c r="L23" s="40"/>
      <c r="M23" s="40"/>
      <c r="N23" s="40"/>
      <c r="O23" s="40"/>
      <c r="P23" s="43"/>
      <c r="Q23" s="43"/>
      <c r="R23" s="43"/>
      <c r="S23" s="42"/>
      <c r="T23" s="40"/>
      <c r="U23" s="40"/>
      <c r="V23" s="40"/>
      <c r="W23" s="41"/>
      <c r="X23" s="42"/>
      <c r="Y23" s="42"/>
      <c r="Z23" s="41"/>
      <c r="AA23" s="42"/>
      <c r="AB23" s="44"/>
    </row>
    <row r="24" spans="1:28" x14ac:dyDescent="0.25">
      <c r="A24" s="67" t="s">
        <v>384</v>
      </c>
      <c r="B24" s="40" t="s">
        <v>22</v>
      </c>
      <c r="C24" s="41"/>
      <c r="D24" s="41"/>
      <c r="E24" s="41"/>
      <c r="F24" s="41"/>
      <c r="G24" s="41"/>
      <c r="H24" s="41"/>
      <c r="I24" s="40"/>
      <c r="J24" s="40"/>
      <c r="K24" s="40"/>
      <c r="L24" s="40"/>
      <c r="M24" s="40"/>
      <c r="N24" s="40"/>
      <c r="O24" s="40"/>
      <c r="P24" s="43"/>
      <c r="Q24" s="43"/>
      <c r="R24" s="43"/>
      <c r="S24" s="42"/>
      <c r="T24" s="40"/>
      <c r="U24" s="40"/>
      <c r="V24" s="40"/>
      <c r="W24" s="41"/>
      <c r="X24" s="42"/>
      <c r="Y24" s="42"/>
      <c r="Z24" s="41"/>
      <c r="AA24" s="42"/>
      <c r="AB24" s="44"/>
    </row>
    <row r="25" spans="1:28" x14ac:dyDescent="0.25">
      <c r="A25" s="67" t="s">
        <v>385</v>
      </c>
      <c r="B25" s="40" t="s">
        <v>23</v>
      </c>
      <c r="C25" s="41"/>
      <c r="D25" s="41"/>
      <c r="E25" s="41"/>
      <c r="F25" s="41"/>
      <c r="G25" s="41"/>
      <c r="H25" s="41"/>
      <c r="I25" s="40"/>
      <c r="J25" s="40"/>
      <c r="K25" s="40"/>
      <c r="L25" s="40"/>
      <c r="M25" s="40"/>
      <c r="N25" s="40"/>
      <c r="O25" s="40"/>
      <c r="P25" s="43"/>
      <c r="Q25" s="43"/>
      <c r="R25" s="43"/>
      <c r="S25" s="42"/>
      <c r="T25" s="40"/>
      <c r="U25" s="40"/>
      <c r="V25" s="40"/>
      <c r="W25" s="41"/>
      <c r="X25" s="42"/>
      <c r="Y25" s="42"/>
      <c r="Z25" s="41"/>
      <c r="AA25" s="42"/>
      <c r="AB25" s="44"/>
    </row>
    <row r="26" spans="1:28" x14ac:dyDescent="0.25">
      <c r="A26" s="67" t="s">
        <v>386</v>
      </c>
      <c r="B26" s="40" t="s">
        <v>24</v>
      </c>
      <c r="C26" s="41"/>
      <c r="D26" s="41"/>
      <c r="E26" s="41"/>
      <c r="F26" s="41"/>
      <c r="G26" s="41"/>
      <c r="H26" s="41"/>
      <c r="I26" s="40"/>
      <c r="J26" s="40"/>
      <c r="K26" s="40"/>
      <c r="L26" s="40"/>
      <c r="M26" s="40"/>
      <c r="N26" s="40"/>
      <c r="O26" s="40"/>
      <c r="P26" s="43"/>
      <c r="Q26" s="43"/>
      <c r="R26" s="43"/>
      <c r="S26" s="42"/>
      <c r="T26" s="40"/>
      <c r="U26" s="40"/>
      <c r="V26" s="40"/>
      <c r="W26" s="41"/>
      <c r="X26" s="42"/>
      <c r="Y26" s="42"/>
      <c r="Z26" s="41"/>
      <c r="AA26" s="42"/>
      <c r="AB26" s="44"/>
    </row>
    <row r="27" spans="1:28" x14ac:dyDescent="0.25">
      <c r="A27" s="67" t="s">
        <v>387</v>
      </c>
      <c r="B27" s="40" t="s">
        <v>25</v>
      </c>
      <c r="C27" s="41"/>
      <c r="D27" s="41"/>
      <c r="E27" s="41"/>
      <c r="F27" s="41"/>
      <c r="G27" s="41"/>
      <c r="H27" s="41"/>
      <c r="I27" s="40"/>
      <c r="J27" s="40"/>
      <c r="K27" s="40"/>
      <c r="L27" s="40"/>
      <c r="M27" s="40"/>
      <c r="N27" s="40"/>
      <c r="O27" s="40"/>
      <c r="P27" s="43"/>
      <c r="Q27" s="43">
        <f>ROUNDUP(((100+0)/5280),2)</f>
        <v>0.02</v>
      </c>
      <c r="R27" s="43"/>
      <c r="S27" s="42"/>
      <c r="T27" s="40">
        <f>100+0</f>
        <v>100</v>
      </c>
      <c r="U27" s="40"/>
      <c r="V27" s="40"/>
      <c r="W27" s="41"/>
      <c r="X27" s="42"/>
      <c r="Y27" s="42"/>
      <c r="Z27" s="41"/>
      <c r="AA27" s="42"/>
      <c r="AB27" s="44"/>
    </row>
    <row r="28" spans="1:28" x14ac:dyDescent="0.25">
      <c r="A28" s="67" t="s">
        <v>388</v>
      </c>
      <c r="B28" s="40" t="s">
        <v>26</v>
      </c>
      <c r="C28" s="41"/>
      <c r="D28" s="41"/>
      <c r="E28" s="41"/>
      <c r="F28" s="41"/>
      <c r="G28" s="41"/>
      <c r="H28" s="41"/>
      <c r="I28" s="40"/>
      <c r="J28" s="40">
        <f>4+0</f>
        <v>4</v>
      </c>
      <c r="K28" s="40"/>
      <c r="L28" s="40"/>
      <c r="M28" s="40"/>
      <c r="N28" s="40"/>
      <c r="O28" s="40"/>
      <c r="P28" s="43"/>
      <c r="Q28" s="43">
        <f>ROUNDUP(((500+0)/5280),2)</f>
        <v>9.9999999999999992E-2</v>
      </c>
      <c r="R28" s="43"/>
      <c r="S28" s="42">
        <f>100+0</f>
        <v>100</v>
      </c>
      <c r="T28" s="40">
        <f>450+0</f>
        <v>450</v>
      </c>
      <c r="U28" s="40"/>
      <c r="V28" s="40"/>
      <c r="W28" s="41"/>
      <c r="X28" s="42"/>
      <c r="Y28" s="42"/>
      <c r="Z28" s="41"/>
      <c r="AA28" s="42"/>
      <c r="AB28" s="44"/>
    </row>
    <row r="29" spans="1:28" x14ac:dyDescent="0.25">
      <c r="A29" s="67" t="s">
        <v>389</v>
      </c>
      <c r="B29" s="40" t="s">
        <v>27</v>
      </c>
      <c r="C29" s="41"/>
      <c r="D29" s="41"/>
      <c r="E29" s="41"/>
      <c r="F29" s="41"/>
      <c r="G29" s="41"/>
      <c r="H29" s="41"/>
      <c r="I29" s="40"/>
      <c r="J29" s="40">
        <f>12+0</f>
        <v>12</v>
      </c>
      <c r="K29" s="40"/>
      <c r="L29" s="40"/>
      <c r="M29" s="40"/>
      <c r="N29" s="40"/>
      <c r="O29" s="40"/>
      <c r="P29" s="43"/>
      <c r="Q29" s="43">
        <f>ROUNDUP(((250+0)/5280),2)</f>
        <v>0.05</v>
      </c>
      <c r="R29" s="43"/>
      <c r="S29" s="42">
        <f>505</f>
        <v>505</v>
      </c>
      <c r="T29" s="40"/>
      <c r="U29" s="40"/>
      <c r="V29" s="40"/>
      <c r="W29" s="41"/>
      <c r="X29" s="42"/>
      <c r="Y29" s="42"/>
      <c r="Z29" s="41"/>
      <c r="AA29" s="42"/>
      <c r="AB29" s="44"/>
    </row>
    <row r="30" spans="1:28" x14ac:dyDescent="0.25">
      <c r="A30" s="67" t="s">
        <v>390</v>
      </c>
      <c r="B30" s="40" t="s">
        <v>28</v>
      </c>
      <c r="C30" s="41"/>
      <c r="D30" s="41"/>
      <c r="E30" s="41"/>
      <c r="F30" s="41"/>
      <c r="G30" s="41"/>
      <c r="H30" s="41"/>
      <c r="I30" s="40"/>
      <c r="J30" s="40">
        <f>6+0</f>
        <v>6</v>
      </c>
      <c r="K30" s="40"/>
      <c r="L30" s="40"/>
      <c r="M30" s="40"/>
      <c r="N30" s="40"/>
      <c r="O30" s="40"/>
      <c r="P30" s="43"/>
      <c r="Q30" s="43">
        <f>ROUNDUP(((130+0)/5280),2)</f>
        <v>0.03</v>
      </c>
      <c r="R30" s="43"/>
      <c r="S30" s="42">
        <f>260+0</f>
        <v>260</v>
      </c>
      <c r="T30" s="40"/>
      <c r="U30" s="40"/>
      <c r="V30" s="40"/>
      <c r="W30" s="41"/>
      <c r="X30" s="42"/>
      <c r="Y30" s="42"/>
      <c r="Z30" s="41"/>
      <c r="AA30" s="42"/>
      <c r="AB30" s="45"/>
    </row>
    <row r="31" spans="1:28" x14ac:dyDescent="0.25">
      <c r="A31" s="67" t="s">
        <v>391</v>
      </c>
      <c r="B31" s="40" t="s">
        <v>29</v>
      </c>
      <c r="C31" s="41"/>
      <c r="D31" s="41"/>
      <c r="E31" s="41"/>
      <c r="F31" s="41"/>
      <c r="G31" s="41"/>
      <c r="H31" s="41"/>
      <c r="I31" s="40">
        <v>48</v>
      </c>
      <c r="J31" s="40">
        <f>6+0</f>
        <v>6</v>
      </c>
      <c r="K31" s="40"/>
      <c r="L31" s="40"/>
      <c r="M31" s="40">
        <f>1+0</f>
        <v>1</v>
      </c>
      <c r="N31" s="40"/>
      <c r="O31" s="40">
        <f>1+0</f>
        <v>1</v>
      </c>
      <c r="P31" s="43"/>
      <c r="Q31" s="43">
        <f>ROUNDUP(((500+0)/5280),2)</f>
        <v>9.9999999999999992E-2</v>
      </c>
      <c r="R31" s="43"/>
      <c r="S31" s="42">
        <f>200+0</f>
        <v>200</v>
      </c>
      <c r="T31" s="40">
        <f>400+0</f>
        <v>400</v>
      </c>
      <c r="U31" s="40"/>
      <c r="V31" s="40"/>
      <c r="W31" s="41"/>
      <c r="X31" s="42"/>
      <c r="Y31" s="42"/>
      <c r="Z31" s="41"/>
      <c r="AA31" s="42">
        <f>48+0</f>
        <v>48</v>
      </c>
      <c r="AB31" s="45"/>
    </row>
    <row r="32" spans="1:28" x14ac:dyDescent="0.25">
      <c r="A32" s="67" t="s">
        <v>392</v>
      </c>
      <c r="B32" s="40" t="s">
        <v>30</v>
      </c>
      <c r="C32" s="41"/>
      <c r="D32" s="41"/>
      <c r="E32" s="41"/>
      <c r="F32" s="41"/>
      <c r="G32" s="41"/>
      <c r="H32" s="41"/>
      <c r="I32" s="40">
        <v>48</v>
      </c>
      <c r="J32" s="40"/>
      <c r="K32" s="40"/>
      <c r="L32" s="40"/>
      <c r="M32" s="40">
        <f t="shared" ref="M32:M38" si="0">10+0</f>
        <v>10</v>
      </c>
      <c r="N32" s="40"/>
      <c r="O32" s="40">
        <f t="shared" ref="O32:O38" si="1">10+0</f>
        <v>10</v>
      </c>
      <c r="P32" s="43"/>
      <c r="Q32" s="43">
        <f>ROUNDUP(((50+0)/5280),2)</f>
        <v>0.01</v>
      </c>
      <c r="R32" s="43"/>
      <c r="S32" s="42"/>
      <c r="T32" s="40">
        <f>50+0</f>
        <v>50</v>
      </c>
      <c r="U32" s="40"/>
      <c r="V32" s="40"/>
      <c r="W32" s="41"/>
      <c r="X32" s="42"/>
      <c r="Y32" s="42"/>
      <c r="Z32" s="41"/>
      <c r="AA32" s="42">
        <f t="shared" ref="AA32:AA38" si="2">500+0</f>
        <v>500</v>
      </c>
      <c r="AB32" s="45"/>
    </row>
    <row r="33" spans="1:28" x14ac:dyDescent="0.25">
      <c r="A33" s="67" t="s">
        <v>393</v>
      </c>
      <c r="B33" s="40" t="s">
        <v>31</v>
      </c>
      <c r="C33" s="41"/>
      <c r="D33" s="41"/>
      <c r="E33" s="41"/>
      <c r="F33" s="41"/>
      <c r="G33" s="41"/>
      <c r="H33" s="41"/>
      <c r="I33" s="40"/>
      <c r="J33" s="40"/>
      <c r="K33" s="40"/>
      <c r="L33" s="40"/>
      <c r="M33" s="40">
        <f t="shared" si="0"/>
        <v>10</v>
      </c>
      <c r="N33" s="40"/>
      <c r="O33" s="40">
        <f t="shared" si="1"/>
        <v>10</v>
      </c>
      <c r="P33" s="43"/>
      <c r="Q33" s="43">
        <f>ROUNDUP(((250+0)/5280),2)</f>
        <v>0.05</v>
      </c>
      <c r="R33" s="43"/>
      <c r="S33" s="42"/>
      <c r="T33" s="40"/>
      <c r="U33" s="40"/>
      <c r="V33" s="40"/>
      <c r="W33" s="41"/>
      <c r="X33" s="42"/>
      <c r="Y33" s="42"/>
      <c r="Z33" s="41"/>
      <c r="AA33" s="42">
        <f t="shared" si="2"/>
        <v>500</v>
      </c>
      <c r="AB33" s="45"/>
    </row>
    <row r="34" spans="1:28" x14ac:dyDescent="0.25">
      <c r="A34" s="67" t="s">
        <v>394</v>
      </c>
      <c r="B34" s="40" t="s">
        <v>32</v>
      </c>
      <c r="C34" s="41"/>
      <c r="D34" s="41"/>
      <c r="E34" s="41"/>
      <c r="F34" s="41"/>
      <c r="G34" s="41"/>
      <c r="H34" s="41"/>
      <c r="I34" s="40"/>
      <c r="J34" s="40"/>
      <c r="K34" s="40"/>
      <c r="L34" s="40"/>
      <c r="M34" s="40">
        <f t="shared" si="0"/>
        <v>10</v>
      </c>
      <c r="N34" s="40"/>
      <c r="O34" s="40">
        <f t="shared" si="1"/>
        <v>10</v>
      </c>
      <c r="P34" s="43"/>
      <c r="Q34" s="43">
        <f>ROUNDUP(((300+0)/5280),2)</f>
        <v>6.0000000000000005E-2</v>
      </c>
      <c r="R34" s="43"/>
      <c r="S34" s="42"/>
      <c r="T34" s="40"/>
      <c r="U34" s="40"/>
      <c r="V34" s="40"/>
      <c r="W34" s="41"/>
      <c r="X34" s="42"/>
      <c r="Y34" s="42"/>
      <c r="Z34" s="41"/>
      <c r="AA34" s="42">
        <f t="shared" si="2"/>
        <v>500</v>
      </c>
      <c r="AB34" s="45"/>
    </row>
    <row r="35" spans="1:28" x14ac:dyDescent="0.25">
      <c r="A35" s="67" t="s">
        <v>395</v>
      </c>
      <c r="B35" s="40" t="s">
        <v>33</v>
      </c>
      <c r="C35" s="41"/>
      <c r="D35" s="41"/>
      <c r="E35" s="41"/>
      <c r="F35" s="41"/>
      <c r="G35" s="41"/>
      <c r="H35" s="41"/>
      <c r="I35" s="40"/>
      <c r="J35" s="40"/>
      <c r="K35" s="40"/>
      <c r="L35" s="40"/>
      <c r="M35" s="40">
        <f t="shared" si="0"/>
        <v>10</v>
      </c>
      <c r="N35" s="40"/>
      <c r="O35" s="40">
        <f t="shared" si="1"/>
        <v>10</v>
      </c>
      <c r="P35" s="43"/>
      <c r="Q35" s="43"/>
      <c r="R35" s="43"/>
      <c r="S35" s="42"/>
      <c r="T35" s="40"/>
      <c r="U35" s="40"/>
      <c r="V35" s="40"/>
      <c r="W35" s="41"/>
      <c r="X35" s="42"/>
      <c r="Y35" s="42"/>
      <c r="Z35" s="41"/>
      <c r="AA35" s="42">
        <f t="shared" si="2"/>
        <v>500</v>
      </c>
      <c r="AB35" s="45"/>
    </row>
    <row r="36" spans="1:28" x14ac:dyDescent="0.25">
      <c r="A36" s="67" t="s">
        <v>396</v>
      </c>
      <c r="B36" s="40" t="s">
        <v>34</v>
      </c>
      <c r="C36" s="41"/>
      <c r="D36" s="41"/>
      <c r="E36" s="41"/>
      <c r="F36" s="41"/>
      <c r="G36" s="41"/>
      <c r="H36" s="41"/>
      <c r="I36" s="40"/>
      <c r="J36" s="40"/>
      <c r="K36" s="40"/>
      <c r="L36" s="40"/>
      <c r="M36" s="40">
        <f t="shared" si="0"/>
        <v>10</v>
      </c>
      <c r="N36" s="40"/>
      <c r="O36" s="40">
        <f t="shared" si="1"/>
        <v>10</v>
      </c>
      <c r="P36" s="43"/>
      <c r="Q36" s="43"/>
      <c r="R36" s="43"/>
      <c r="S36" s="42"/>
      <c r="T36" s="40"/>
      <c r="U36" s="40"/>
      <c r="V36" s="40"/>
      <c r="W36" s="41"/>
      <c r="X36" s="42"/>
      <c r="Y36" s="42"/>
      <c r="Z36" s="41"/>
      <c r="AA36" s="42">
        <f t="shared" si="2"/>
        <v>500</v>
      </c>
      <c r="AB36" s="44"/>
    </row>
    <row r="37" spans="1:28" x14ac:dyDescent="0.25">
      <c r="A37" s="67" t="s">
        <v>397</v>
      </c>
      <c r="B37" s="40" t="s">
        <v>35</v>
      </c>
      <c r="C37" s="41"/>
      <c r="D37" s="41"/>
      <c r="E37" s="41"/>
      <c r="F37" s="41"/>
      <c r="G37" s="41"/>
      <c r="H37" s="41"/>
      <c r="I37" s="40"/>
      <c r="J37" s="40"/>
      <c r="K37" s="40"/>
      <c r="L37" s="40"/>
      <c r="M37" s="40">
        <f t="shared" si="0"/>
        <v>10</v>
      </c>
      <c r="N37" s="40"/>
      <c r="O37" s="40">
        <f t="shared" si="1"/>
        <v>10</v>
      </c>
      <c r="P37" s="43"/>
      <c r="Q37" s="43"/>
      <c r="R37" s="43"/>
      <c r="S37" s="42"/>
      <c r="T37" s="40"/>
      <c r="U37" s="40"/>
      <c r="V37" s="40"/>
      <c r="W37" s="41"/>
      <c r="X37" s="42"/>
      <c r="Y37" s="42"/>
      <c r="Z37" s="41"/>
      <c r="AA37" s="42">
        <f t="shared" si="2"/>
        <v>500</v>
      </c>
      <c r="AB37" s="44"/>
    </row>
    <row r="38" spans="1:28" x14ac:dyDescent="0.25">
      <c r="A38" s="67" t="s">
        <v>398</v>
      </c>
      <c r="B38" s="40" t="s">
        <v>36</v>
      </c>
      <c r="C38" s="41"/>
      <c r="D38" s="41"/>
      <c r="E38" s="41"/>
      <c r="F38" s="41"/>
      <c r="G38" s="41"/>
      <c r="H38" s="41"/>
      <c r="I38" s="40"/>
      <c r="J38" s="40"/>
      <c r="K38" s="40"/>
      <c r="L38" s="40"/>
      <c r="M38" s="40">
        <f t="shared" si="0"/>
        <v>10</v>
      </c>
      <c r="N38" s="40"/>
      <c r="O38" s="40">
        <f t="shared" si="1"/>
        <v>10</v>
      </c>
      <c r="P38" s="43"/>
      <c r="Q38" s="43">
        <f>ROUNDUP(((400+0)/5280),2)</f>
        <v>0.08</v>
      </c>
      <c r="R38" s="43"/>
      <c r="S38" s="42"/>
      <c r="T38" s="40"/>
      <c r="U38" s="40"/>
      <c r="V38" s="40"/>
      <c r="W38" s="41"/>
      <c r="X38" s="42"/>
      <c r="Y38" s="42"/>
      <c r="Z38" s="41"/>
      <c r="AA38" s="42">
        <f t="shared" si="2"/>
        <v>500</v>
      </c>
      <c r="AB38" s="44"/>
    </row>
    <row r="39" spans="1:28" x14ac:dyDescent="0.25">
      <c r="A39" s="67" t="s">
        <v>399</v>
      </c>
      <c r="B39" s="40" t="s">
        <v>37</v>
      </c>
      <c r="C39" s="41"/>
      <c r="D39" s="41"/>
      <c r="E39" s="41"/>
      <c r="F39" s="41"/>
      <c r="G39" s="41"/>
      <c r="H39" s="41"/>
      <c r="I39" s="40"/>
      <c r="J39" s="40"/>
      <c r="K39" s="40"/>
      <c r="L39" s="40"/>
      <c r="M39" s="40">
        <f>3+0</f>
        <v>3</v>
      </c>
      <c r="N39" s="40"/>
      <c r="O39" s="40">
        <f>2+0</f>
        <v>2</v>
      </c>
      <c r="P39" s="43"/>
      <c r="Q39" s="43">
        <f>ROUNDUP(((100+0)/5280),2)</f>
        <v>0.02</v>
      </c>
      <c r="R39" s="43"/>
      <c r="S39" s="42"/>
      <c r="T39" s="40"/>
      <c r="U39" s="40"/>
      <c r="V39" s="40"/>
      <c r="W39" s="41"/>
      <c r="X39" s="42"/>
      <c r="Y39" s="42"/>
      <c r="Z39" s="41"/>
      <c r="AA39" s="42">
        <f>100+0</f>
        <v>100</v>
      </c>
      <c r="AB39" s="44"/>
    </row>
    <row r="40" spans="1:28" x14ac:dyDescent="0.25">
      <c r="A40" s="67" t="s">
        <v>400</v>
      </c>
      <c r="B40" s="40" t="s">
        <v>38</v>
      </c>
      <c r="C40" s="41"/>
      <c r="D40" s="41"/>
      <c r="E40" s="41"/>
      <c r="F40" s="41"/>
      <c r="G40" s="41"/>
      <c r="H40" s="41"/>
      <c r="I40" s="40"/>
      <c r="J40" s="40"/>
      <c r="K40" s="40"/>
      <c r="L40" s="40"/>
      <c r="M40" s="40"/>
      <c r="N40" s="40"/>
      <c r="O40" s="40"/>
      <c r="P40" s="43"/>
      <c r="Q40" s="43"/>
      <c r="R40" s="43"/>
      <c r="S40" s="42"/>
      <c r="T40" s="40"/>
      <c r="U40" s="40"/>
      <c r="V40" s="40"/>
      <c r="W40" s="41"/>
      <c r="X40" s="42"/>
      <c r="Y40" s="42"/>
      <c r="Z40" s="41"/>
      <c r="AA40" s="42"/>
      <c r="AB40" s="44"/>
    </row>
    <row r="41" spans="1:28" x14ac:dyDescent="0.25">
      <c r="A41" s="67" t="s">
        <v>401</v>
      </c>
      <c r="B41" s="40" t="s">
        <v>39</v>
      </c>
      <c r="C41" s="41"/>
      <c r="D41" s="41"/>
      <c r="E41" s="41"/>
      <c r="F41" s="41"/>
      <c r="G41" s="41"/>
      <c r="H41" s="41"/>
      <c r="I41" s="40"/>
      <c r="J41" s="40"/>
      <c r="K41" s="40"/>
      <c r="L41" s="40"/>
      <c r="M41" s="40"/>
      <c r="N41" s="40"/>
      <c r="O41" s="40"/>
      <c r="P41" s="43"/>
      <c r="Q41" s="43"/>
      <c r="R41" s="43"/>
      <c r="S41" s="42"/>
      <c r="T41" s="40"/>
      <c r="U41" s="40"/>
      <c r="V41" s="40"/>
      <c r="W41" s="41"/>
      <c r="X41" s="42"/>
      <c r="Y41" s="42"/>
      <c r="Z41" s="41"/>
      <c r="AA41" s="42"/>
      <c r="AB41" s="44"/>
    </row>
    <row r="42" spans="1:28" x14ac:dyDescent="0.25">
      <c r="A42" s="67" t="s">
        <v>402</v>
      </c>
      <c r="B42" s="40" t="s">
        <v>40</v>
      </c>
      <c r="C42" s="41"/>
      <c r="D42" s="41"/>
      <c r="E42" s="41"/>
      <c r="F42" s="41"/>
      <c r="G42" s="41"/>
      <c r="H42" s="41"/>
      <c r="I42" s="40">
        <f>180</f>
        <v>180</v>
      </c>
      <c r="J42" s="40">
        <v>1</v>
      </c>
      <c r="K42" s="40"/>
      <c r="L42" s="40"/>
      <c r="M42" s="40">
        <f>7+0</f>
        <v>7</v>
      </c>
      <c r="N42" s="40"/>
      <c r="O42" s="40">
        <f>6+0</f>
        <v>6</v>
      </c>
      <c r="P42" s="43"/>
      <c r="Q42" s="43"/>
      <c r="R42" s="43"/>
      <c r="S42" s="42"/>
      <c r="T42" s="40"/>
      <c r="U42" s="40"/>
      <c r="V42" s="40"/>
      <c r="W42" s="41"/>
      <c r="X42" s="42"/>
      <c r="Y42" s="42"/>
      <c r="Z42" s="41"/>
      <c r="AA42" s="42">
        <f>280</f>
        <v>280</v>
      </c>
      <c r="AB42" s="44"/>
    </row>
    <row r="43" spans="1:28" x14ac:dyDescent="0.25">
      <c r="A43" s="67" t="s">
        <v>403</v>
      </c>
      <c r="B43" s="40" t="s">
        <v>41</v>
      </c>
      <c r="C43" s="41"/>
      <c r="D43" s="41"/>
      <c r="E43" s="41"/>
      <c r="F43" s="41"/>
      <c r="G43" s="41"/>
      <c r="H43" s="41"/>
      <c r="I43" s="40"/>
      <c r="J43" s="40"/>
      <c r="K43" s="40"/>
      <c r="L43" s="40"/>
      <c r="M43" s="40">
        <f>10+0</f>
        <v>10</v>
      </c>
      <c r="N43" s="40"/>
      <c r="O43" s="40">
        <f>10+0</f>
        <v>10</v>
      </c>
      <c r="P43" s="43"/>
      <c r="Q43" s="43"/>
      <c r="R43" s="43"/>
      <c r="S43" s="42"/>
      <c r="T43" s="40"/>
      <c r="U43" s="40"/>
      <c r="V43" s="40"/>
      <c r="W43" s="41"/>
      <c r="X43" s="42"/>
      <c r="Y43" s="42"/>
      <c r="Z43" s="41"/>
      <c r="AA43" s="42">
        <f>500+0</f>
        <v>500</v>
      </c>
      <c r="AB43" s="44"/>
    </row>
    <row r="44" spans="1:28" x14ac:dyDescent="0.25">
      <c r="A44" s="67" t="s">
        <v>404</v>
      </c>
      <c r="B44" s="40" t="s">
        <v>42</v>
      </c>
      <c r="C44" s="41"/>
      <c r="D44" s="41"/>
      <c r="E44" s="41"/>
      <c r="F44" s="41"/>
      <c r="G44" s="41"/>
      <c r="H44" s="41"/>
      <c r="I44" s="40"/>
      <c r="J44" s="40"/>
      <c r="K44" s="40"/>
      <c r="L44" s="40"/>
      <c r="M44" s="40">
        <f>2+0</f>
        <v>2</v>
      </c>
      <c r="N44" s="40"/>
      <c r="O44" s="40">
        <f>1+0</f>
        <v>1</v>
      </c>
      <c r="P44" s="43"/>
      <c r="Q44" s="43"/>
      <c r="R44" s="43"/>
      <c r="S44" s="42"/>
      <c r="T44" s="40"/>
      <c r="U44" s="40"/>
      <c r="V44" s="40"/>
      <c r="W44" s="41"/>
      <c r="X44" s="42"/>
      <c r="Y44" s="42"/>
      <c r="Z44" s="41"/>
      <c r="AA44" s="42">
        <f>72+0</f>
        <v>72</v>
      </c>
      <c r="AB44" s="44"/>
    </row>
    <row r="45" spans="1:28" x14ac:dyDescent="0.25">
      <c r="A45" s="67" t="s">
        <v>405</v>
      </c>
      <c r="B45" s="40" t="s">
        <v>43</v>
      </c>
      <c r="C45" s="41"/>
      <c r="D45" s="41"/>
      <c r="E45" s="41"/>
      <c r="F45" s="41"/>
      <c r="G45" s="41"/>
      <c r="H45" s="41"/>
      <c r="I45" s="40"/>
      <c r="J45" s="40"/>
      <c r="K45" s="40"/>
      <c r="L45" s="40"/>
      <c r="M45" s="40"/>
      <c r="N45" s="40"/>
      <c r="O45" s="40"/>
      <c r="P45" s="43"/>
      <c r="Q45" s="43"/>
      <c r="R45" s="43"/>
      <c r="S45" s="42"/>
      <c r="T45" s="40"/>
      <c r="U45" s="40"/>
      <c r="V45" s="40"/>
      <c r="W45" s="41"/>
      <c r="X45" s="42"/>
      <c r="Y45" s="42"/>
      <c r="Z45" s="41"/>
      <c r="AA45" s="42"/>
      <c r="AB45" s="44"/>
    </row>
    <row r="46" spans="1:28" x14ac:dyDescent="0.25">
      <c r="A46" s="67" t="s">
        <v>406</v>
      </c>
      <c r="B46" s="40" t="s">
        <v>44</v>
      </c>
      <c r="C46" s="41"/>
      <c r="D46" s="41"/>
      <c r="E46" s="41"/>
      <c r="F46" s="41"/>
      <c r="G46" s="41"/>
      <c r="H46" s="41"/>
      <c r="I46" s="40"/>
      <c r="J46" s="40"/>
      <c r="K46" s="40"/>
      <c r="L46" s="40"/>
      <c r="M46" s="40"/>
      <c r="N46" s="40"/>
      <c r="O46" s="40"/>
      <c r="P46" s="43"/>
      <c r="Q46" s="43"/>
      <c r="R46" s="43"/>
      <c r="S46" s="42"/>
      <c r="T46" s="40"/>
      <c r="U46" s="40"/>
      <c r="V46" s="40"/>
      <c r="W46" s="41"/>
      <c r="X46" s="42"/>
      <c r="Y46" s="42"/>
      <c r="Z46" s="41"/>
      <c r="AA46" s="42"/>
      <c r="AB46" s="44"/>
    </row>
    <row r="47" spans="1:28" x14ac:dyDescent="0.25">
      <c r="A47" s="67" t="s">
        <v>407</v>
      </c>
      <c r="B47" s="40" t="s">
        <v>45</v>
      </c>
      <c r="C47" s="41"/>
      <c r="D47" s="41"/>
      <c r="E47" s="41"/>
      <c r="F47" s="41"/>
      <c r="G47" s="41"/>
      <c r="H47" s="41"/>
      <c r="I47" s="40"/>
      <c r="J47" s="40"/>
      <c r="K47" s="40"/>
      <c r="L47" s="40"/>
      <c r="M47" s="40"/>
      <c r="N47" s="40"/>
      <c r="O47" s="40"/>
      <c r="P47" s="43"/>
      <c r="Q47" s="43"/>
      <c r="R47" s="43"/>
      <c r="S47" s="42"/>
      <c r="T47" s="40"/>
      <c r="U47" s="40"/>
      <c r="V47" s="40"/>
      <c r="W47" s="41"/>
      <c r="X47" s="42"/>
      <c r="Y47" s="42"/>
      <c r="Z47" s="41"/>
      <c r="AA47" s="42"/>
      <c r="AB47" s="44"/>
    </row>
    <row r="48" spans="1:28" x14ac:dyDescent="0.25">
      <c r="A48" s="67" t="s">
        <v>408</v>
      </c>
      <c r="B48" s="40" t="s">
        <v>46</v>
      </c>
      <c r="C48" s="41"/>
      <c r="D48" s="41"/>
      <c r="E48" s="41"/>
      <c r="F48" s="41"/>
      <c r="G48" s="41"/>
      <c r="H48" s="41"/>
      <c r="I48" s="40"/>
      <c r="J48" s="40"/>
      <c r="K48" s="40"/>
      <c r="L48" s="40"/>
      <c r="M48" s="40"/>
      <c r="N48" s="40"/>
      <c r="O48" s="40"/>
      <c r="P48" s="43"/>
      <c r="Q48" s="43"/>
      <c r="R48" s="43"/>
      <c r="S48" s="42"/>
      <c r="T48" s="40"/>
      <c r="U48" s="40"/>
      <c r="V48" s="40"/>
      <c r="W48" s="41"/>
      <c r="X48" s="42"/>
      <c r="Y48" s="42"/>
      <c r="Z48" s="41"/>
      <c r="AA48" s="42"/>
      <c r="AB48" s="44"/>
    </row>
    <row r="49" spans="1:28" x14ac:dyDescent="0.25">
      <c r="A49" s="67" t="s">
        <v>409</v>
      </c>
      <c r="B49" s="40" t="s">
        <v>47</v>
      </c>
      <c r="C49" s="41"/>
      <c r="D49" s="41"/>
      <c r="E49" s="41"/>
      <c r="F49" s="41"/>
      <c r="G49" s="41"/>
      <c r="H49" s="41"/>
      <c r="I49" s="40"/>
      <c r="J49" s="40"/>
      <c r="K49" s="40"/>
      <c r="L49" s="40"/>
      <c r="M49" s="40"/>
      <c r="N49" s="40"/>
      <c r="O49" s="40"/>
      <c r="P49" s="43"/>
      <c r="Q49" s="43"/>
      <c r="R49" s="43"/>
      <c r="S49" s="42"/>
      <c r="T49" s="40"/>
      <c r="U49" s="40"/>
      <c r="V49" s="40"/>
      <c r="W49" s="41"/>
      <c r="X49" s="42"/>
      <c r="Y49" s="42"/>
      <c r="Z49" s="41"/>
      <c r="AA49" s="42"/>
      <c r="AB49" s="44"/>
    </row>
    <row r="50" spans="1:28" x14ac:dyDescent="0.25">
      <c r="A50" s="67" t="s">
        <v>410</v>
      </c>
      <c r="B50" s="40" t="s">
        <v>48</v>
      </c>
      <c r="C50" s="41"/>
      <c r="D50" s="41"/>
      <c r="E50" s="41"/>
      <c r="F50" s="41"/>
      <c r="G50" s="41"/>
      <c r="H50" s="41"/>
      <c r="I50" s="40"/>
      <c r="J50" s="40"/>
      <c r="K50" s="40"/>
      <c r="L50" s="40"/>
      <c r="M50" s="40"/>
      <c r="N50" s="40"/>
      <c r="O50" s="40"/>
      <c r="P50" s="43"/>
      <c r="Q50" s="43"/>
      <c r="R50" s="43"/>
      <c r="S50" s="42"/>
      <c r="T50" s="40"/>
      <c r="U50" s="40"/>
      <c r="V50" s="40"/>
      <c r="W50" s="41"/>
      <c r="X50" s="42"/>
      <c r="Y50" s="42"/>
      <c r="Z50" s="41"/>
      <c r="AA50" s="42"/>
      <c r="AB50" s="44"/>
    </row>
    <row r="51" spans="1:28" x14ac:dyDescent="0.25">
      <c r="A51" s="67" t="s">
        <v>411</v>
      </c>
      <c r="B51" s="40" t="s">
        <v>49</v>
      </c>
      <c r="C51" s="41"/>
      <c r="D51" s="41"/>
      <c r="E51" s="41"/>
      <c r="F51" s="41"/>
      <c r="G51" s="41"/>
      <c r="H51" s="41"/>
      <c r="I51" s="40"/>
      <c r="J51" s="40"/>
      <c r="K51" s="40"/>
      <c r="L51" s="40"/>
      <c r="M51" s="40"/>
      <c r="N51" s="40"/>
      <c r="O51" s="40"/>
      <c r="P51" s="43"/>
      <c r="Q51" s="43"/>
      <c r="R51" s="43"/>
      <c r="S51" s="42"/>
      <c r="T51" s="40"/>
      <c r="U51" s="40"/>
      <c r="V51" s="40"/>
      <c r="W51" s="41"/>
      <c r="X51" s="42"/>
      <c r="Y51" s="42"/>
      <c r="Z51" s="41"/>
      <c r="AA51" s="42"/>
      <c r="AB51" s="44"/>
    </row>
    <row r="52" spans="1:28" x14ac:dyDescent="0.25">
      <c r="A52" s="67" t="s">
        <v>412</v>
      </c>
      <c r="B52" s="40" t="s">
        <v>50</v>
      </c>
      <c r="C52" s="41"/>
      <c r="D52" s="41"/>
      <c r="E52" s="41"/>
      <c r="F52" s="41"/>
      <c r="G52" s="41"/>
      <c r="H52" s="41"/>
      <c r="I52" s="40"/>
      <c r="J52" s="40"/>
      <c r="K52" s="40"/>
      <c r="L52" s="40"/>
      <c r="M52" s="40"/>
      <c r="N52" s="40"/>
      <c r="O52" s="40"/>
      <c r="P52" s="43"/>
      <c r="Q52" s="43"/>
      <c r="R52" s="43"/>
      <c r="S52" s="42"/>
      <c r="T52" s="40"/>
      <c r="U52" s="40"/>
      <c r="V52" s="40"/>
      <c r="W52" s="41"/>
      <c r="X52" s="42"/>
      <c r="Y52" s="42"/>
      <c r="Z52" s="41"/>
      <c r="AA52" s="42"/>
      <c r="AB52" s="44"/>
    </row>
    <row r="53" spans="1:28" x14ac:dyDescent="0.25">
      <c r="A53" s="67" t="s">
        <v>413</v>
      </c>
      <c r="B53" s="40" t="s">
        <v>51</v>
      </c>
      <c r="C53" s="41"/>
      <c r="D53" s="41"/>
      <c r="E53" s="41"/>
      <c r="F53" s="41"/>
      <c r="G53" s="41"/>
      <c r="H53" s="41"/>
      <c r="I53" s="40"/>
      <c r="J53" s="40"/>
      <c r="K53" s="40"/>
      <c r="L53" s="40"/>
      <c r="M53" s="40"/>
      <c r="N53" s="40"/>
      <c r="O53" s="40"/>
      <c r="P53" s="43"/>
      <c r="Q53" s="43"/>
      <c r="R53" s="43"/>
      <c r="S53" s="42"/>
      <c r="T53" s="40"/>
      <c r="U53" s="40"/>
      <c r="V53" s="40"/>
      <c r="W53" s="41"/>
      <c r="X53" s="42"/>
      <c r="Y53" s="42"/>
      <c r="Z53" s="41"/>
      <c r="AA53" s="42"/>
      <c r="AB53" s="44"/>
    </row>
    <row r="54" spans="1:28" x14ac:dyDescent="0.25">
      <c r="A54" s="67" t="s">
        <v>414</v>
      </c>
      <c r="B54" s="40" t="s">
        <v>52</v>
      </c>
      <c r="C54" s="41"/>
      <c r="D54" s="41"/>
      <c r="E54" s="41"/>
      <c r="F54" s="41"/>
      <c r="G54" s="41"/>
      <c r="H54" s="41"/>
      <c r="I54" s="40"/>
      <c r="J54" s="40"/>
      <c r="K54" s="40"/>
      <c r="L54" s="40"/>
      <c r="M54" s="40"/>
      <c r="N54" s="40"/>
      <c r="O54" s="40"/>
      <c r="P54" s="43"/>
      <c r="Q54" s="43"/>
      <c r="R54" s="43"/>
      <c r="S54" s="42"/>
      <c r="T54" s="40"/>
      <c r="U54" s="40"/>
      <c r="V54" s="40"/>
      <c r="W54" s="41"/>
      <c r="X54" s="42"/>
      <c r="Y54" s="42"/>
      <c r="Z54" s="41"/>
      <c r="AA54" s="42"/>
      <c r="AB54" s="44"/>
    </row>
    <row r="55" spans="1:28" x14ac:dyDescent="0.25">
      <c r="A55" s="67" t="s">
        <v>415</v>
      </c>
      <c r="B55" s="40" t="s">
        <v>53</v>
      </c>
      <c r="C55" s="41"/>
      <c r="D55" s="41"/>
      <c r="E55" s="41"/>
      <c r="F55" s="41"/>
      <c r="G55" s="41"/>
      <c r="H55" s="41"/>
      <c r="I55" s="40"/>
      <c r="J55" s="40"/>
      <c r="K55" s="40"/>
      <c r="L55" s="40"/>
      <c r="M55" s="40"/>
      <c r="N55" s="40"/>
      <c r="O55" s="40"/>
      <c r="P55" s="43"/>
      <c r="Q55" s="43"/>
      <c r="R55" s="43"/>
      <c r="S55" s="42"/>
      <c r="T55" s="40"/>
      <c r="U55" s="40"/>
      <c r="V55" s="40"/>
      <c r="W55" s="41"/>
      <c r="X55" s="42"/>
      <c r="Y55" s="42"/>
      <c r="Z55" s="41"/>
      <c r="AA55" s="42"/>
      <c r="AB55" s="44"/>
    </row>
    <row r="56" spans="1:28" x14ac:dyDescent="0.25">
      <c r="A56" s="67" t="s">
        <v>416</v>
      </c>
      <c r="B56" s="40" t="s">
        <v>54</v>
      </c>
      <c r="C56" s="41"/>
      <c r="D56" s="41"/>
      <c r="E56" s="41"/>
      <c r="F56" s="41"/>
      <c r="G56" s="41"/>
      <c r="H56" s="41"/>
      <c r="I56" s="40"/>
      <c r="J56" s="40"/>
      <c r="K56" s="40"/>
      <c r="L56" s="40"/>
      <c r="M56" s="40"/>
      <c r="N56" s="40"/>
      <c r="O56" s="40"/>
      <c r="P56" s="43"/>
      <c r="Q56" s="43"/>
      <c r="R56" s="43"/>
      <c r="S56" s="42"/>
      <c r="T56" s="40"/>
      <c r="U56" s="40"/>
      <c r="V56" s="40"/>
      <c r="W56" s="41"/>
      <c r="X56" s="42"/>
      <c r="Y56" s="42"/>
      <c r="Z56" s="41"/>
      <c r="AA56" s="42"/>
      <c r="AB56" s="44"/>
    </row>
    <row r="57" spans="1:28" x14ac:dyDescent="0.25">
      <c r="A57" s="67" t="s">
        <v>417</v>
      </c>
      <c r="B57" s="40" t="s">
        <v>55</v>
      </c>
      <c r="C57" s="41"/>
      <c r="D57" s="41"/>
      <c r="E57" s="41"/>
      <c r="F57" s="41"/>
      <c r="G57" s="41"/>
      <c r="H57" s="41"/>
      <c r="I57" s="40"/>
      <c r="J57" s="40"/>
      <c r="K57" s="40"/>
      <c r="L57" s="40"/>
      <c r="M57" s="40"/>
      <c r="N57" s="40"/>
      <c r="O57" s="40"/>
      <c r="P57" s="43"/>
      <c r="Q57" s="43"/>
      <c r="R57" s="43"/>
      <c r="S57" s="42"/>
      <c r="T57" s="40"/>
      <c r="U57" s="40"/>
      <c r="V57" s="40"/>
      <c r="W57" s="41"/>
      <c r="X57" s="42"/>
      <c r="Y57" s="42"/>
      <c r="Z57" s="41"/>
      <c r="AA57" s="42"/>
      <c r="AB57" s="44"/>
    </row>
    <row r="58" spans="1:28" x14ac:dyDescent="0.25">
      <c r="A58" s="67" t="s">
        <v>418</v>
      </c>
      <c r="B58" s="40" t="s">
        <v>56</v>
      </c>
      <c r="C58" s="41"/>
      <c r="D58" s="41"/>
      <c r="E58" s="41"/>
      <c r="F58" s="41"/>
      <c r="G58" s="41"/>
      <c r="H58" s="41"/>
      <c r="I58" s="40"/>
      <c r="J58" s="40"/>
      <c r="K58" s="40"/>
      <c r="L58" s="40"/>
      <c r="M58" s="40"/>
      <c r="N58" s="40"/>
      <c r="O58" s="40"/>
      <c r="P58" s="43"/>
      <c r="Q58" s="43"/>
      <c r="R58" s="43"/>
      <c r="S58" s="42"/>
      <c r="T58" s="40"/>
      <c r="U58" s="40"/>
      <c r="V58" s="40"/>
      <c r="W58" s="41"/>
      <c r="X58" s="42"/>
      <c r="Y58" s="42"/>
      <c r="Z58" s="41"/>
      <c r="AA58" s="42"/>
      <c r="AB58" s="44"/>
    </row>
    <row r="59" spans="1:28" x14ac:dyDescent="0.25">
      <c r="A59" s="67" t="s">
        <v>419</v>
      </c>
      <c r="B59" s="40" t="s">
        <v>57</v>
      </c>
      <c r="C59" s="41"/>
      <c r="D59" s="41"/>
      <c r="E59" s="41"/>
      <c r="F59" s="41"/>
      <c r="G59" s="41"/>
      <c r="H59" s="41"/>
      <c r="I59" s="40"/>
      <c r="J59" s="40"/>
      <c r="K59" s="40"/>
      <c r="L59" s="40"/>
      <c r="M59" s="40"/>
      <c r="N59" s="40"/>
      <c r="O59" s="40"/>
      <c r="P59" s="43"/>
      <c r="Q59" s="43"/>
      <c r="R59" s="43"/>
      <c r="S59" s="42"/>
      <c r="T59" s="40"/>
      <c r="U59" s="40"/>
      <c r="V59" s="40"/>
      <c r="W59" s="41"/>
      <c r="X59" s="42"/>
      <c r="Y59" s="42"/>
      <c r="Z59" s="41"/>
      <c r="AA59" s="42"/>
      <c r="AB59" s="44"/>
    </row>
    <row r="60" spans="1:28" x14ac:dyDescent="0.25">
      <c r="A60" s="67" t="s">
        <v>420</v>
      </c>
      <c r="B60" s="40" t="s">
        <v>58</v>
      </c>
      <c r="C60" s="41"/>
      <c r="D60" s="41"/>
      <c r="E60" s="41"/>
      <c r="F60" s="41"/>
      <c r="G60" s="41"/>
      <c r="H60" s="41"/>
      <c r="I60" s="40"/>
      <c r="J60" s="40"/>
      <c r="K60" s="40"/>
      <c r="L60" s="40"/>
      <c r="M60" s="40"/>
      <c r="N60" s="40"/>
      <c r="O60" s="40"/>
      <c r="P60" s="43"/>
      <c r="Q60" s="43"/>
      <c r="R60" s="43"/>
      <c r="S60" s="42"/>
      <c r="T60" s="40"/>
      <c r="U60" s="40"/>
      <c r="V60" s="40"/>
      <c r="W60" s="41"/>
      <c r="X60" s="42"/>
      <c r="Y60" s="42"/>
      <c r="Z60" s="41"/>
      <c r="AA60" s="42"/>
      <c r="AB60" s="44"/>
    </row>
    <row r="61" spans="1:28" x14ac:dyDescent="0.25">
      <c r="A61" s="67" t="s">
        <v>421</v>
      </c>
      <c r="B61" s="40" t="s">
        <v>59</v>
      </c>
      <c r="C61" s="41"/>
      <c r="D61" s="41"/>
      <c r="E61" s="41"/>
      <c r="F61" s="41"/>
      <c r="G61" s="41"/>
      <c r="H61" s="41"/>
      <c r="I61" s="40"/>
      <c r="J61" s="40"/>
      <c r="K61" s="40"/>
      <c r="L61" s="40"/>
      <c r="M61" s="40"/>
      <c r="N61" s="40"/>
      <c r="O61" s="40"/>
      <c r="P61" s="43"/>
      <c r="Q61" s="43"/>
      <c r="R61" s="43"/>
      <c r="S61" s="42"/>
      <c r="T61" s="40"/>
      <c r="U61" s="40"/>
      <c r="V61" s="40"/>
      <c r="W61" s="41"/>
      <c r="X61" s="42"/>
      <c r="Y61" s="42"/>
      <c r="Z61" s="41"/>
      <c r="AA61" s="42"/>
      <c r="AB61" s="44"/>
    </row>
    <row r="62" spans="1:28" x14ac:dyDescent="0.25">
      <c r="A62" s="67" t="s">
        <v>422</v>
      </c>
      <c r="B62" s="40" t="s">
        <v>60</v>
      </c>
      <c r="C62" s="41"/>
      <c r="D62" s="41"/>
      <c r="E62" s="41"/>
      <c r="F62" s="41"/>
      <c r="G62" s="41"/>
      <c r="H62" s="41"/>
      <c r="I62" s="40"/>
      <c r="J62" s="40"/>
      <c r="K62" s="40"/>
      <c r="L62" s="40"/>
      <c r="M62" s="40"/>
      <c r="N62" s="40"/>
      <c r="O62" s="40"/>
      <c r="P62" s="43"/>
      <c r="Q62" s="43"/>
      <c r="R62" s="43"/>
      <c r="S62" s="42"/>
      <c r="T62" s="40"/>
      <c r="U62" s="40"/>
      <c r="V62" s="40"/>
      <c r="W62" s="41"/>
      <c r="X62" s="42"/>
      <c r="Y62" s="42"/>
      <c r="Z62" s="41"/>
      <c r="AA62" s="42"/>
      <c r="AB62" s="44"/>
    </row>
    <row r="63" spans="1:28" x14ac:dyDescent="0.25">
      <c r="A63" s="67" t="s">
        <v>423</v>
      </c>
      <c r="B63" s="40" t="s">
        <v>61</v>
      </c>
      <c r="C63" s="41"/>
      <c r="D63" s="41"/>
      <c r="E63" s="41"/>
      <c r="F63" s="41"/>
      <c r="G63" s="41"/>
      <c r="H63" s="41"/>
      <c r="I63" s="40"/>
      <c r="J63" s="40"/>
      <c r="K63" s="40"/>
      <c r="L63" s="40"/>
      <c r="M63" s="40"/>
      <c r="N63" s="40"/>
      <c r="O63" s="40"/>
      <c r="P63" s="43"/>
      <c r="Q63" s="43"/>
      <c r="R63" s="43"/>
      <c r="S63" s="42"/>
      <c r="T63" s="40"/>
      <c r="U63" s="40"/>
      <c r="V63" s="40"/>
      <c r="W63" s="41"/>
      <c r="X63" s="42"/>
      <c r="Y63" s="42"/>
      <c r="Z63" s="41"/>
      <c r="AA63" s="42"/>
      <c r="AB63" s="44"/>
    </row>
    <row r="64" spans="1:28" x14ac:dyDescent="0.25">
      <c r="A64" s="67" t="s">
        <v>424</v>
      </c>
      <c r="B64" s="40" t="s">
        <v>62</v>
      </c>
      <c r="C64" s="41"/>
      <c r="D64" s="41"/>
      <c r="E64" s="41"/>
      <c r="F64" s="41"/>
      <c r="G64" s="41"/>
      <c r="H64" s="41"/>
      <c r="I64" s="40"/>
      <c r="J64" s="40"/>
      <c r="K64" s="40"/>
      <c r="L64" s="40"/>
      <c r="M64" s="40"/>
      <c r="N64" s="40"/>
      <c r="O64" s="40"/>
      <c r="P64" s="43"/>
      <c r="Q64" s="43"/>
      <c r="R64" s="43"/>
      <c r="S64" s="42"/>
      <c r="T64" s="40"/>
      <c r="U64" s="40"/>
      <c r="V64" s="40"/>
      <c r="W64" s="41"/>
      <c r="X64" s="42"/>
      <c r="Y64" s="42"/>
      <c r="Z64" s="41"/>
      <c r="AA64" s="42"/>
      <c r="AB64" s="44"/>
    </row>
    <row r="65" spans="1:28" x14ac:dyDescent="0.25">
      <c r="A65" s="67" t="s">
        <v>425</v>
      </c>
      <c r="B65" s="40" t="s">
        <v>63</v>
      </c>
      <c r="C65" s="41"/>
      <c r="D65" s="41"/>
      <c r="E65" s="41"/>
      <c r="F65" s="41"/>
      <c r="G65" s="41"/>
      <c r="H65" s="41"/>
      <c r="I65" s="40"/>
      <c r="J65" s="40"/>
      <c r="K65" s="40"/>
      <c r="L65" s="40"/>
      <c r="M65" s="40"/>
      <c r="N65" s="40"/>
      <c r="O65" s="40"/>
      <c r="P65" s="43"/>
      <c r="Q65" s="43"/>
      <c r="R65" s="43"/>
      <c r="S65" s="42"/>
      <c r="T65" s="40"/>
      <c r="U65" s="40"/>
      <c r="V65" s="40"/>
      <c r="W65" s="41"/>
      <c r="X65" s="42"/>
      <c r="Y65" s="42"/>
      <c r="Z65" s="41"/>
      <c r="AA65" s="42"/>
      <c r="AB65" s="44"/>
    </row>
    <row r="66" spans="1:28" x14ac:dyDescent="0.25">
      <c r="A66" s="67" t="s">
        <v>426</v>
      </c>
      <c r="B66" s="40" t="s">
        <v>64</v>
      </c>
      <c r="C66" s="41"/>
      <c r="D66" s="41"/>
      <c r="E66" s="41"/>
      <c r="F66" s="41"/>
      <c r="G66" s="41"/>
      <c r="H66" s="41"/>
      <c r="I66" s="40"/>
      <c r="J66" s="40"/>
      <c r="K66" s="40"/>
      <c r="L66" s="40"/>
      <c r="M66" s="40"/>
      <c r="N66" s="40"/>
      <c r="O66" s="40"/>
      <c r="P66" s="43"/>
      <c r="Q66" s="43"/>
      <c r="R66" s="43"/>
      <c r="S66" s="42"/>
      <c r="T66" s="40"/>
      <c r="U66" s="40"/>
      <c r="V66" s="40"/>
      <c r="W66" s="41"/>
      <c r="X66" s="42"/>
      <c r="Y66" s="42"/>
      <c r="Z66" s="41"/>
      <c r="AA66" s="42"/>
      <c r="AB66" s="44"/>
    </row>
    <row r="67" spans="1:28" x14ac:dyDescent="0.25">
      <c r="A67" s="67" t="s">
        <v>427</v>
      </c>
      <c r="B67" s="40" t="s">
        <v>65</v>
      </c>
      <c r="C67" s="41"/>
      <c r="D67" s="41"/>
      <c r="E67" s="41"/>
      <c r="F67" s="41"/>
      <c r="G67" s="41"/>
      <c r="H67" s="41"/>
      <c r="I67" s="40"/>
      <c r="J67" s="40"/>
      <c r="K67" s="40"/>
      <c r="L67" s="40"/>
      <c r="M67" s="40"/>
      <c r="N67" s="40"/>
      <c r="O67" s="40"/>
      <c r="P67" s="43"/>
      <c r="Q67" s="43"/>
      <c r="R67" s="43"/>
      <c r="S67" s="42"/>
      <c r="T67" s="40"/>
      <c r="U67" s="40"/>
      <c r="V67" s="40"/>
      <c r="W67" s="41"/>
      <c r="X67" s="42"/>
      <c r="Y67" s="42"/>
      <c r="Z67" s="41"/>
      <c r="AA67" s="42"/>
      <c r="AB67" s="44"/>
    </row>
    <row r="68" spans="1:28" x14ac:dyDescent="0.25">
      <c r="A68" s="39"/>
      <c r="B68" s="40"/>
      <c r="C68" s="41"/>
      <c r="D68" s="41"/>
      <c r="E68" s="41"/>
      <c r="F68" s="41"/>
      <c r="G68" s="41"/>
      <c r="H68" s="41"/>
      <c r="I68" s="40"/>
      <c r="J68" s="40"/>
      <c r="K68" s="40"/>
      <c r="L68" s="40"/>
      <c r="M68" s="40"/>
      <c r="N68" s="40"/>
      <c r="O68" s="40"/>
      <c r="P68" s="43"/>
      <c r="Q68" s="43"/>
      <c r="R68" s="43"/>
      <c r="S68" s="42"/>
      <c r="T68" s="40"/>
      <c r="U68" s="40"/>
      <c r="V68" s="40"/>
      <c r="W68" s="41"/>
      <c r="X68" s="42"/>
      <c r="Y68" s="42"/>
      <c r="Z68" s="41"/>
      <c r="AA68" s="42"/>
      <c r="AB68" s="44"/>
    </row>
    <row r="69" spans="1:28" x14ac:dyDescent="0.25">
      <c r="A69" s="46"/>
      <c r="B69" s="47"/>
      <c r="C69" s="42">
        <f>SUM(C20:C68)</f>
        <v>0</v>
      </c>
      <c r="D69" s="42">
        <f t="shared" ref="D69:H69" si="3">SUM(D20:D68)</f>
        <v>0</v>
      </c>
      <c r="E69" s="42">
        <f t="shared" si="3"/>
        <v>0</v>
      </c>
      <c r="F69" s="42">
        <f t="shared" si="3"/>
        <v>0</v>
      </c>
      <c r="G69" s="42"/>
      <c r="H69" s="42">
        <f t="shared" si="3"/>
        <v>0</v>
      </c>
      <c r="I69" s="42"/>
      <c r="J69" s="42"/>
      <c r="K69" s="42"/>
      <c r="L69" s="42"/>
      <c r="M69" s="42"/>
      <c r="N69" s="42"/>
      <c r="O69" s="42"/>
      <c r="P69" s="43"/>
      <c r="Q69" s="43"/>
      <c r="R69" s="43"/>
      <c r="S69" s="42"/>
      <c r="T69" s="42"/>
      <c r="U69" s="42"/>
      <c r="V69" s="42"/>
      <c r="W69" s="42"/>
      <c r="X69" s="42"/>
      <c r="Y69" s="42"/>
      <c r="Z69" s="42"/>
      <c r="AA69" s="42"/>
      <c r="AB69" s="62"/>
    </row>
    <row r="70" spans="1:28" x14ac:dyDescent="0.25">
      <c r="A70" s="39"/>
      <c r="B70" s="40"/>
      <c r="C70" s="41"/>
      <c r="D70" s="41"/>
      <c r="E70" s="41"/>
      <c r="F70" s="41"/>
      <c r="G70" s="41"/>
      <c r="H70" s="41"/>
      <c r="I70" s="40"/>
      <c r="J70" s="40"/>
      <c r="K70" s="40"/>
      <c r="L70" s="40"/>
      <c r="M70" s="40"/>
      <c r="N70" s="40"/>
      <c r="O70" s="40"/>
      <c r="P70" s="43"/>
      <c r="Q70" s="43"/>
      <c r="R70" s="43"/>
      <c r="S70" s="42"/>
      <c r="T70" s="40"/>
      <c r="U70" s="40"/>
      <c r="V70" s="40"/>
      <c r="W70" s="41"/>
      <c r="X70" s="42"/>
      <c r="Y70" s="42"/>
      <c r="Z70" s="41"/>
      <c r="AA70" s="42"/>
      <c r="AB70" s="44"/>
    </row>
    <row r="71" spans="1:28" x14ac:dyDescent="0.25">
      <c r="A71" s="46"/>
      <c r="B71" s="47"/>
      <c r="C71" s="41"/>
      <c r="D71" s="41"/>
      <c r="E71" s="41"/>
      <c r="F71" s="41"/>
      <c r="G71" s="41"/>
      <c r="H71" s="41"/>
      <c r="I71" s="40"/>
      <c r="J71" s="40"/>
      <c r="K71" s="40"/>
      <c r="L71" s="40"/>
      <c r="M71" s="40"/>
      <c r="N71" s="40"/>
      <c r="O71" s="40"/>
      <c r="P71" s="43"/>
      <c r="Q71" s="43"/>
      <c r="R71" s="43"/>
      <c r="S71" s="48"/>
      <c r="T71" s="40"/>
      <c r="U71" s="40"/>
      <c r="V71" s="40"/>
      <c r="W71" s="41"/>
      <c r="X71" s="42"/>
      <c r="Y71" s="42"/>
      <c r="Z71" s="41"/>
      <c r="AA71" s="42"/>
      <c r="AB71" s="44"/>
    </row>
    <row r="72" spans="1:28" x14ac:dyDescent="0.25">
      <c r="A72" s="39"/>
      <c r="B72" s="40"/>
      <c r="C72" s="41"/>
      <c r="D72" s="41"/>
      <c r="E72" s="41"/>
      <c r="F72" s="41"/>
      <c r="G72" s="41"/>
      <c r="H72" s="41"/>
      <c r="I72" s="40"/>
      <c r="J72" s="40"/>
      <c r="K72" s="40"/>
      <c r="L72" s="40"/>
      <c r="M72" s="40"/>
      <c r="N72" s="40"/>
      <c r="O72" s="40"/>
      <c r="P72" s="43"/>
      <c r="Q72" s="43"/>
      <c r="R72" s="43"/>
      <c r="S72" s="42"/>
      <c r="T72" s="40"/>
      <c r="U72" s="40"/>
      <c r="V72" s="40"/>
      <c r="W72" s="41"/>
      <c r="X72" s="42"/>
      <c r="Y72" s="42"/>
      <c r="Z72" s="41"/>
      <c r="AA72" s="42"/>
      <c r="AB72" s="44"/>
    </row>
    <row r="73" spans="1:28" x14ac:dyDescent="0.25">
      <c r="A73" s="39"/>
      <c r="B73" s="40"/>
      <c r="C73" s="41"/>
      <c r="D73" s="41"/>
      <c r="E73" s="41"/>
      <c r="F73" s="41"/>
      <c r="G73" s="41"/>
      <c r="H73" s="41"/>
      <c r="I73" s="40"/>
      <c r="J73" s="40"/>
      <c r="K73" s="40"/>
      <c r="L73" s="40"/>
      <c r="M73" s="40"/>
      <c r="N73" s="40"/>
      <c r="O73" s="40"/>
      <c r="P73" s="43"/>
      <c r="Q73" s="43"/>
      <c r="R73" s="43"/>
      <c r="S73" s="42"/>
      <c r="T73" s="40"/>
      <c r="U73" s="40"/>
      <c r="V73" s="40"/>
      <c r="W73" s="41"/>
      <c r="X73" s="42"/>
      <c r="Y73" s="42"/>
      <c r="Z73" s="41"/>
      <c r="AA73" s="42"/>
      <c r="AB73" s="44"/>
    </row>
    <row r="74" spans="1:28" x14ac:dyDescent="0.25">
      <c r="A74" s="39"/>
      <c r="B74" s="40"/>
      <c r="C74" s="41"/>
      <c r="D74" s="41"/>
      <c r="E74" s="41"/>
      <c r="F74" s="41"/>
      <c r="G74" s="41"/>
      <c r="H74" s="41"/>
      <c r="I74" s="40"/>
      <c r="J74" s="40"/>
      <c r="K74" s="40"/>
      <c r="L74" s="40"/>
      <c r="M74" s="40"/>
      <c r="N74" s="40"/>
      <c r="O74" s="40"/>
      <c r="P74" s="43"/>
      <c r="Q74" s="43"/>
      <c r="R74" s="43"/>
      <c r="S74" s="42"/>
      <c r="T74" s="40"/>
      <c r="U74" s="40"/>
      <c r="V74" s="40"/>
      <c r="W74" s="41"/>
      <c r="X74" s="42"/>
      <c r="Y74" s="42"/>
      <c r="Z74" s="41"/>
      <c r="AA74" s="42"/>
      <c r="AB74" s="44"/>
    </row>
    <row r="75" spans="1:28" ht="18.95" customHeight="1" x14ac:dyDescent="0.25">
      <c r="A75" s="85" t="s">
        <v>494</v>
      </c>
      <c r="B75" s="86"/>
      <c r="C75" s="49">
        <f>SUM(C20:C74)</f>
        <v>0</v>
      </c>
      <c r="D75" s="49">
        <f t="shared" ref="D75:AB75" si="4">SUM(D20:D74)</f>
        <v>0</v>
      </c>
      <c r="E75" s="49">
        <f t="shared" si="4"/>
        <v>0</v>
      </c>
      <c r="F75" s="49">
        <f t="shared" si="4"/>
        <v>0</v>
      </c>
      <c r="G75" s="49"/>
      <c r="H75" s="49">
        <f t="shared" si="4"/>
        <v>0</v>
      </c>
      <c r="I75" s="49">
        <f t="shared" si="4"/>
        <v>276</v>
      </c>
      <c r="J75" s="49">
        <f t="shared" si="4"/>
        <v>29</v>
      </c>
      <c r="K75" s="49">
        <f t="shared" si="4"/>
        <v>0</v>
      </c>
      <c r="L75" s="49">
        <f t="shared" si="4"/>
        <v>0</v>
      </c>
      <c r="M75" s="49">
        <f t="shared" si="4"/>
        <v>93</v>
      </c>
      <c r="N75" s="49">
        <f t="shared" si="4"/>
        <v>0</v>
      </c>
      <c r="O75" s="49">
        <f t="shared" si="4"/>
        <v>90</v>
      </c>
      <c r="P75" s="50">
        <f t="shared" si="4"/>
        <v>0</v>
      </c>
      <c r="Q75" s="50">
        <f t="shared" si="4"/>
        <v>0.52</v>
      </c>
      <c r="R75" s="50">
        <f t="shared" si="4"/>
        <v>0</v>
      </c>
      <c r="S75" s="51">
        <f t="shared" si="4"/>
        <v>1065</v>
      </c>
      <c r="T75" s="49">
        <f t="shared" ref="T75" si="5">SUM(T20:T74)</f>
        <v>1000</v>
      </c>
      <c r="U75" s="49">
        <f t="shared" si="4"/>
        <v>0</v>
      </c>
      <c r="V75" s="49">
        <f t="shared" si="4"/>
        <v>0</v>
      </c>
      <c r="W75" s="49">
        <f t="shared" si="4"/>
        <v>0</v>
      </c>
      <c r="X75" s="49">
        <f t="shared" si="4"/>
        <v>0</v>
      </c>
      <c r="Y75" s="49">
        <f t="shared" si="4"/>
        <v>0</v>
      </c>
      <c r="Z75" s="49">
        <f t="shared" si="4"/>
        <v>0</v>
      </c>
      <c r="AA75" s="49">
        <f t="shared" si="4"/>
        <v>4500</v>
      </c>
      <c r="AB75" s="63">
        <f t="shared" si="4"/>
        <v>0</v>
      </c>
    </row>
  </sheetData>
  <mergeCells count="29">
    <mergeCell ref="AA2:AA18"/>
    <mergeCell ref="AB2:AB18"/>
    <mergeCell ref="A75:B75"/>
    <mergeCell ref="U2:U18"/>
    <mergeCell ref="V2:V18"/>
    <mergeCell ref="W2:W18"/>
    <mergeCell ref="X2:X18"/>
    <mergeCell ref="Y2:Y18"/>
    <mergeCell ref="Z2:Z18"/>
    <mergeCell ref="N2:N18"/>
    <mergeCell ref="O2:O18"/>
    <mergeCell ref="P2:P18"/>
    <mergeCell ref="Q2:Q18"/>
    <mergeCell ref="R2:R18"/>
    <mergeCell ref="S2:S18"/>
    <mergeCell ref="T2:T18"/>
    <mergeCell ref="M2:M18"/>
    <mergeCell ref="A1:A19"/>
    <mergeCell ref="B1:B19"/>
    <mergeCell ref="C2:C18"/>
    <mergeCell ref="D2:D18"/>
    <mergeCell ref="E2:E18"/>
    <mergeCell ref="F2:F18"/>
    <mergeCell ref="H2:H18"/>
    <mergeCell ref="I2:I18"/>
    <mergeCell ref="J2:J18"/>
    <mergeCell ref="K2:K18"/>
    <mergeCell ref="L2:L18"/>
    <mergeCell ref="G2:G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49F2-A816-4E8F-865B-BDC8AC19DA5F}">
  <dimension ref="A1:AB75"/>
  <sheetViews>
    <sheetView showZeros="0" topLeftCell="A28" zoomScale="85" zoomScaleNormal="85" workbookViewId="0">
      <selection activeCell="A75" sqref="A75:B75"/>
    </sheetView>
  </sheetViews>
  <sheetFormatPr defaultColWidth="9.7109375" defaultRowHeight="12.75" x14ac:dyDescent="0.25"/>
  <cols>
    <col min="1" max="1" width="8.7109375" style="1" customWidth="1"/>
    <col min="2" max="2" width="40.28515625" style="1" customWidth="1"/>
    <col min="3" max="8" width="8.28515625" style="8" customWidth="1"/>
    <col min="9" max="15" width="8.28515625" style="1" customWidth="1"/>
    <col min="16" max="18" width="8.28515625" style="10" customWidth="1"/>
    <col min="19" max="20" width="8.28515625" style="19" customWidth="1"/>
    <col min="21" max="22" width="8.28515625" style="1" customWidth="1"/>
    <col min="23" max="23" width="8.28515625" style="8" customWidth="1"/>
    <col min="24" max="25" width="8.28515625" style="19" customWidth="1"/>
    <col min="26" max="26" width="8.28515625" style="8" customWidth="1"/>
    <col min="27" max="27" width="8.28515625" style="19" customWidth="1"/>
    <col min="28" max="28" width="8.28515625" style="1" customWidth="1"/>
    <col min="29" max="16384" width="9.7109375" style="1"/>
  </cols>
  <sheetData>
    <row r="1" spans="1:28" x14ac:dyDescent="0.25">
      <c r="A1" s="74" t="s">
        <v>0</v>
      </c>
      <c r="B1" s="76" t="s">
        <v>19</v>
      </c>
      <c r="C1" s="2">
        <v>411</v>
      </c>
      <c r="D1" s="16">
        <v>611</v>
      </c>
      <c r="E1" s="16">
        <v>611</v>
      </c>
      <c r="F1" s="16">
        <v>611</v>
      </c>
      <c r="G1" s="16">
        <v>611</v>
      </c>
      <c r="H1" s="16">
        <v>611</v>
      </c>
      <c r="I1" s="2">
        <v>614</v>
      </c>
      <c r="J1" s="2">
        <v>614</v>
      </c>
      <c r="K1" s="2">
        <v>614</v>
      </c>
      <c r="L1" s="2">
        <v>614</v>
      </c>
      <c r="M1" s="2">
        <v>614</v>
      </c>
      <c r="N1" s="2">
        <v>614</v>
      </c>
      <c r="O1" s="2">
        <v>614</v>
      </c>
      <c r="P1" s="2">
        <v>614</v>
      </c>
      <c r="Q1" s="2">
        <v>614</v>
      </c>
      <c r="R1" s="2">
        <v>614</v>
      </c>
      <c r="S1" s="16">
        <v>614</v>
      </c>
      <c r="T1" s="16">
        <v>614</v>
      </c>
      <c r="U1" s="2">
        <v>614</v>
      </c>
      <c r="V1" s="2">
        <v>614</v>
      </c>
      <c r="W1" s="2">
        <v>615</v>
      </c>
      <c r="X1" s="16">
        <v>621</v>
      </c>
      <c r="Y1" s="16">
        <v>621</v>
      </c>
      <c r="Z1" s="2">
        <v>621</v>
      </c>
      <c r="AA1" s="16">
        <v>622</v>
      </c>
      <c r="AB1" s="3">
        <v>622</v>
      </c>
    </row>
    <row r="2" spans="1:28" ht="12.75" customHeight="1" x14ac:dyDescent="0.25">
      <c r="A2" s="75"/>
      <c r="B2" s="77"/>
      <c r="C2" s="78" t="s">
        <v>4</v>
      </c>
      <c r="D2" s="87" t="s">
        <v>95</v>
      </c>
      <c r="E2" s="87" t="s">
        <v>96</v>
      </c>
      <c r="F2" s="89" t="s">
        <v>101</v>
      </c>
      <c r="G2" s="92" t="s">
        <v>111</v>
      </c>
      <c r="H2" s="87" t="s">
        <v>97</v>
      </c>
      <c r="I2" s="80" t="s">
        <v>5</v>
      </c>
      <c r="J2" s="80" t="s">
        <v>6</v>
      </c>
      <c r="K2" s="82" t="s">
        <v>115</v>
      </c>
      <c r="L2" s="82" t="s">
        <v>116</v>
      </c>
      <c r="M2" s="83" t="s">
        <v>12</v>
      </c>
      <c r="N2" s="83" t="s">
        <v>13</v>
      </c>
      <c r="O2" s="84" t="s">
        <v>7</v>
      </c>
      <c r="P2" s="72" t="s">
        <v>71</v>
      </c>
      <c r="Q2" s="72" t="s">
        <v>72</v>
      </c>
      <c r="R2" s="72" t="s">
        <v>73</v>
      </c>
      <c r="S2" s="101" t="s">
        <v>74</v>
      </c>
      <c r="T2" s="110" t="s">
        <v>75</v>
      </c>
      <c r="U2" s="104" t="s">
        <v>118</v>
      </c>
      <c r="V2" s="107" t="s">
        <v>17</v>
      </c>
      <c r="W2" s="78" t="s">
        <v>9</v>
      </c>
      <c r="X2" s="93" t="s">
        <v>14</v>
      </c>
      <c r="Y2" s="93" t="s">
        <v>15</v>
      </c>
      <c r="Z2" s="96" t="s">
        <v>16</v>
      </c>
      <c r="AA2" s="99" t="s">
        <v>66</v>
      </c>
      <c r="AB2" s="100" t="s">
        <v>11</v>
      </c>
    </row>
    <row r="3" spans="1:28" x14ac:dyDescent="0.25">
      <c r="A3" s="75"/>
      <c r="B3" s="77"/>
      <c r="C3" s="79"/>
      <c r="D3" s="88"/>
      <c r="E3" s="88"/>
      <c r="F3" s="88"/>
      <c r="G3" s="88"/>
      <c r="H3" s="88"/>
      <c r="I3" s="81"/>
      <c r="J3" s="81"/>
      <c r="K3" s="81"/>
      <c r="L3" s="81"/>
      <c r="M3" s="81"/>
      <c r="N3" s="81"/>
      <c r="O3" s="81"/>
      <c r="P3" s="73"/>
      <c r="Q3" s="73"/>
      <c r="R3" s="73"/>
      <c r="S3" s="102"/>
      <c r="T3" s="105"/>
      <c r="U3" s="105"/>
      <c r="V3" s="108"/>
      <c r="W3" s="79"/>
      <c r="X3" s="94"/>
      <c r="Y3" s="94"/>
      <c r="Z3" s="97"/>
      <c r="AA3" s="88"/>
      <c r="AB3" s="100"/>
    </row>
    <row r="4" spans="1:28" x14ac:dyDescent="0.25">
      <c r="A4" s="75"/>
      <c r="B4" s="77"/>
      <c r="C4" s="79"/>
      <c r="D4" s="88"/>
      <c r="E4" s="88"/>
      <c r="F4" s="88"/>
      <c r="G4" s="88"/>
      <c r="H4" s="88"/>
      <c r="I4" s="81"/>
      <c r="J4" s="81"/>
      <c r="K4" s="81"/>
      <c r="L4" s="81"/>
      <c r="M4" s="81"/>
      <c r="N4" s="81"/>
      <c r="O4" s="81"/>
      <c r="P4" s="73"/>
      <c r="Q4" s="73"/>
      <c r="R4" s="73"/>
      <c r="S4" s="102"/>
      <c r="T4" s="105"/>
      <c r="U4" s="105"/>
      <c r="V4" s="108"/>
      <c r="W4" s="79"/>
      <c r="X4" s="94"/>
      <c r="Y4" s="94"/>
      <c r="Z4" s="97"/>
      <c r="AA4" s="88"/>
      <c r="AB4" s="100"/>
    </row>
    <row r="5" spans="1:28" ht="6.6" customHeight="1" x14ac:dyDescent="0.25">
      <c r="A5" s="75"/>
      <c r="B5" s="77"/>
      <c r="C5" s="79"/>
      <c r="D5" s="88"/>
      <c r="E5" s="88"/>
      <c r="F5" s="88"/>
      <c r="G5" s="88"/>
      <c r="H5" s="88"/>
      <c r="I5" s="81"/>
      <c r="J5" s="81"/>
      <c r="K5" s="81"/>
      <c r="L5" s="81"/>
      <c r="M5" s="81"/>
      <c r="N5" s="81"/>
      <c r="O5" s="81"/>
      <c r="P5" s="73"/>
      <c r="Q5" s="73"/>
      <c r="R5" s="73"/>
      <c r="S5" s="102"/>
      <c r="T5" s="105"/>
      <c r="U5" s="105"/>
      <c r="V5" s="108"/>
      <c r="W5" s="79"/>
      <c r="X5" s="94"/>
      <c r="Y5" s="94"/>
      <c r="Z5" s="97"/>
      <c r="AA5" s="88"/>
      <c r="AB5" s="100"/>
    </row>
    <row r="6" spans="1:28" x14ac:dyDescent="0.25">
      <c r="A6" s="75"/>
      <c r="B6" s="77"/>
      <c r="C6" s="79"/>
      <c r="D6" s="88"/>
      <c r="E6" s="88"/>
      <c r="F6" s="88"/>
      <c r="G6" s="88"/>
      <c r="H6" s="88"/>
      <c r="I6" s="81"/>
      <c r="J6" s="81"/>
      <c r="K6" s="81"/>
      <c r="L6" s="81"/>
      <c r="M6" s="81"/>
      <c r="N6" s="81"/>
      <c r="O6" s="81"/>
      <c r="P6" s="73"/>
      <c r="Q6" s="73"/>
      <c r="R6" s="73"/>
      <c r="S6" s="102"/>
      <c r="T6" s="105"/>
      <c r="U6" s="105"/>
      <c r="V6" s="108"/>
      <c r="W6" s="79"/>
      <c r="X6" s="94"/>
      <c r="Y6" s="94"/>
      <c r="Z6" s="97"/>
      <c r="AA6" s="88"/>
      <c r="AB6" s="100"/>
    </row>
    <row r="7" spans="1:28" x14ac:dyDescent="0.25">
      <c r="A7" s="75"/>
      <c r="B7" s="77"/>
      <c r="C7" s="79"/>
      <c r="D7" s="88"/>
      <c r="E7" s="88"/>
      <c r="F7" s="88"/>
      <c r="G7" s="88"/>
      <c r="H7" s="88"/>
      <c r="I7" s="81"/>
      <c r="J7" s="81"/>
      <c r="K7" s="81"/>
      <c r="L7" s="81"/>
      <c r="M7" s="81"/>
      <c r="N7" s="81"/>
      <c r="O7" s="81"/>
      <c r="P7" s="73"/>
      <c r="Q7" s="73"/>
      <c r="R7" s="73"/>
      <c r="S7" s="102"/>
      <c r="T7" s="105"/>
      <c r="U7" s="105"/>
      <c r="V7" s="108"/>
      <c r="W7" s="79"/>
      <c r="X7" s="94"/>
      <c r="Y7" s="94"/>
      <c r="Z7" s="97"/>
      <c r="AA7" s="88"/>
      <c r="AB7" s="100"/>
    </row>
    <row r="8" spans="1:28" x14ac:dyDescent="0.25">
      <c r="A8" s="75"/>
      <c r="B8" s="77"/>
      <c r="C8" s="79"/>
      <c r="D8" s="88"/>
      <c r="E8" s="88"/>
      <c r="F8" s="88"/>
      <c r="G8" s="88"/>
      <c r="H8" s="88"/>
      <c r="I8" s="81"/>
      <c r="J8" s="81"/>
      <c r="K8" s="81"/>
      <c r="L8" s="81"/>
      <c r="M8" s="81"/>
      <c r="N8" s="81"/>
      <c r="O8" s="81"/>
      <c r="P8" s="73"/>
      <c r="Q8" s="73"/>
      <c r="R8" s="73"/>
      <c r="S8" s="102"/>
      <c r="T8" s="105"/>
      <c r="U8" s="105"/>
      <c r="V8" s="108"/>
      <c r="W8" s="79"/>
      <c r="X8" s="94"/>
      <c r="Y8" s="94"/>
      <c r="Z8" s="97"/>
      <c r="AA8" s="88"/>
      <c r="AB8" s="100"/>
    </row>
    <row r="9" spans="1:28" x14ac:dyDescent="0.25">
      <c r="A9" s="75"/>
      <c r="B9" s="77"/>
      <c r="C9" s="79"/>
      <c r="D9" s="88"/>
      <c r="E9" s="88"/>
      <c r="F9" s="88"/>
      <c r="G9" s="88"/>
      <c r="H9" s="88"/>
      <c r="I9" s="81"/>
      <c r="J9" s="81"/>
      <c r="K9" s="81"/>
      <c r="L9" s="81"/>
      <c r="M9" s="81"/>
      <c r="N9" s="81"/>
      <c r="O9" s="81"/>
      <c r="P9" s="73"/>
      <c r="Q9" s="73"/>
      <c r="R9" s="73"/>
      <c r="S9" s="102"/>
      <c r="T9" s="105"/>
      <c r="U9" s="105"/>
      <c r="V9" s="108"/>
      <c r="W9" s="79"/>
      <c r="X9" s="94"/>
      <c r="Y9" s="94"/>
      <c r="Z9" s="97"/>
      <c r="AA9" s="88"/>
      <c r="AB9" s="100"/>
    </row>
    <row r="10" spans="1:28" x14ac:dyDescent="0.25">
      <c r="A10" s="75"/>
      <c r="B10" s="77"/>
      <c r="C10" s="79"/>
      <c r="D10" s="88"/>
      <c r="E10" s="88"/>
      <c r="F10" s="88"/>
      <c r="G10" s="88"/>
      <c r="H10" s="88"/>
      <c r="I10" s="81"/>
      <c r="J10" s="81"/>
      <c r="K10" s="81"/>
      <c r="L10" s="81"/>
      <c r="M10" s="81"/>
      <c r="N10" s="81"/>
      <c r="O10" s="81"/>
      <c r="P10" s="73"/>
      <c r="Q10" s="73"/>
      <c r="R10" s="73"/>
      <c r="S10" s="102"/>
      <c r="T10" s="105"/>
      <c r="U10" s="105"/>
      <c r="V10" s="108"/>
      <c r="W10" s="79"/>
      <c r="X10" s="94"/>
      <c r="Y10" s="94"/>
      <c r="Z10" s="97"/>
      <c r="AA10" s="88"/>
      <c r="AB10" s="100"/>
    </row>
    <row r="11" spans="1:28" x14ac:dyDescent="0.25">
      <c r="A11" s="75"/>
      <c r="B11" s="77"/>
      <c r="C11" s="79"/>
      <c r="D11" s="88"/>
      <c r="E11" s="88"/>
      <c r="F11" s="88"/>
      <c r="G11" s="88"/>
      <c r="H11" s="88"/>
      <c r="I11" s="81"/>
      <c r="J11" s="81"/>
      <c r="K11" s="81"/>
      <c r="L11" s="81"/>
      <c r="M11" s="81"/>
      <c r="N11" s="81"/>
      <c r="O11" s="81"/>
      <c r="P11" s="73"/>
      <c r="Q11" s="73"/>
      <c r="R11" s="73"/>
      <c r="S11" s="102"/>
      <c r="T11" s="105"/>
      <c r="U11" s="105"/>
      <c r="V11" s="108"/>
      <c r="W11" s="79"/>
      <c r="X11" s="94"/>
      <c r="Y11" s="94"/>
      <c r="Z11" s="97"/>
      <c r="AA11" s="88"/>
      <c r="AB11" s="100"/>
    </row>
    <row r="12" spans="1:28" x14ac:dyDescent="0.25">
      <c r="A12" s="75"/>
      <c r="B12" s="77"/>
      <c r="C12" s="79"/>
      <c r="D12" s="88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73"/>
      <c r="Q12" s="73"/>
      <c r="R12" s="73"/>
      <c r="S12" s="102"/>
      <c r="T12" s="105"/>
      <c r="U12" s="105"/>
      <c r="V12" s="108"/>
      <c r="W12" s="79"/>
      <c r="X12" s="94"/>
      <c r="Y12" s="94"/>
      <c r="Z12" s="97"/>
      <c r="AA12" s="88"/>
      <c r="AB12" s="100"/>
    </row>
    <row r="13" spans="1:28" x14ac:dyDescent="0.25">
      <c r="A13" s="75"/>
      <c r="B13" s="77"/>
      <c r="C13" s="79"/>
      <c r="D13" s="88"/>
      <c r="E13" s="88"/>
      <c r="F13" s="88"/>
      <c r="G13" s="88"/>
      <c r="H13" s="88"/>
      <c r="I13" s="81"/>
      <c r="J13" s="81"/>
      <c r="K13" s="81"/>
      <c r="L13" s="81"/>
      <c r="M13" s="81"/>
      <c r="N13" s="81"/>
      <c r="O13" s="81"/>
      <c r="P13" s="73"/>
      <c r="Q13" s="73"/>
      <c r="R13" s="73"/>
      <c r="S13" s="102"/>
      <c r="T13" s="105"/>
      <c r="U13" s="105"/>
      <c r="V13" s="108"/>
      <c r="W13" s="79"/>
      <c r="X13" s="94"/>
      <c r="Y13" s="94"/>
      <c r="Z13" s="97"/>
      <c r="AA13" s="88"/>
      <c r="AB13" s="100"/>
    </row>
    <row r="14" spans="1:28" x14ac:dyDescent="0.25">
      <c r="A14" s="75"/>
      <c r="B14" s="77"/>
      <c r="C14" s="79"/>
      <c r="D14" s="88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73"/>
      <c r="Q14" s="73"/>
      <c r="R14" s="73"/>
      <c r="S14" s="102"/>
      <c r="T14" s="105"/>
      <c r="U14" s="105"/>
      <c r="V14" s="108"/>
      <c r="W14" s="79"/>
      <c r="X14" s="94"/>
      <c r="Y14" s="94"/>
      <c r="Z14" s="97"/>
      <c r="AA14" s="88"/>
      <c r="AB14" s="100"/>
    </row>
    <row r="15" spans="1:28" x14ac:dyDescent="0.25">
      <c r="A15" s="75"/>
      <c r="B15" s="77"/>
      <c r="C15" s="79"/>
      <c r="D15" s="88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73"/>
      <c r="Q15" s="73"/>
      <c r="R15" s="73"/>
      <c r="S15" s="102"/>
      <c r="T15" s="105"/>
      <c r="U15" s="105"/>
      <c r="V15" s="108"/>
      <c r="W15" s="79"/>
      <c r="X15" s="94"/>
      <c r="Y15" s="94"/>
      <c r="Z15" s="97"/>
      <c r="AA15" s="88"/>
      <c r="AB15" s="100"/>
    </row>
    <row r="16" spans="1:28" x14ac:dyDescent="0.25">
      <c r="A16" s="75"/>
      <c r="B16" s="77"/>
      <c r="C16" s="79"/>
      <c r="D16" s="88"/>
      <c r="E16" s="88"/>
      <c r="F16" s="88"/>
      <c r="G16" s="88"/>
      <c r="H16" s="88"/>
      <c r="I16" s="81"/>
      <c r="J16" s="81"/>
      <c r="K16" s="81"/>
      <c r="L16" s="81"/>
      <c r="M16" s="81"/>
      <c r="N16" s="81"/>
      <c r="O16" s="81"/>
      <c r="P16" s="73"/>
      <c r="Q16" s="73"/>
      <c r="R16" s="73"/>
      <c r="S16" s="102"/>
      <c r="T16" s="105"/>
      <c r="U16" s="105"/>
      <c r="V16" s="108"/>
      <c r="W16" s="79"/>
      <c r="X16" s="94"/>
      <c r="Y16" s="94"/>
      <c r="Z16" s="97"/>
      <c r="AA16" s="88"/>
      <c r="AB16" s="100"/>
    </row>
    <row r="17" spans="1:28" x14ac:dyDescent="0.25">
      <c r="A17" s="75"/>
      <c r="B17" s="77"/>
      <c r="C17" s="79"/>
      <c r="D17" s="88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73"/>
      <c r="Q17" s="73"/>
      <c r="R17" s="73"/>
      <c r="S17" s="102"/>
      <c r="T17" s="105"/>
      <c r="U17" s="105"/>
      <c r="V17" s="108"/>
      <c r="W17" s="79"/>
      <c r="X17" s="94"/>
      <c r="Y17" s="94"/>
      <c r="Z17" s="97"/>
      <c r="AA17" s="88"/>
      <c r="AB17" s="100"/>
    </row>
    <row r="18" spans="1:28" x14ac:dyDescent="0.25">
      <c r="A18" s="75"/>
      <c r="B18" s="77"/>
      <c r="C18" s="79"/>
      <c r="D18" s="88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73"/>
      <c r="Q18" s="73"/>
      <c r="R18" s="73"/>
      <c r="S18" s="103"/>
      <c r="T18" s="106"/>
      <c r="U18" s="106"/>
      <c r="V18" s="109"/>
      <c r="W18" s="79"/>
      <c r="X18" s="95"/>
      <c r="Y18" s="95"/>
      <c r="Z18" s="98"/>
      <c r="AA18" s="88"/>
      <c r="AB18" s="100"/>
    </row>
    <row r="19" spans="1:28" x14ac:dyDescent="0.25">
      <c r="A19" s="75"/>
      <c r="B19" s="77"/>
      <c r="C19" s="7" t="s">
        <v>1</v>
      </c>
      <c r="D19" s="32" t="s">
        <v>2</v>
      </c>
      <c r="E19" s="32" t="s">
        <v>2</v>
      </c>
      <c r="F19" s="32" t="s">
        <v>3</v>
      </c>
      <c r="G19" s="32" t="s">
        <v>3</v>
      </c>
      <c r="H19" s="32" t="s">
        <v>3</v>
      </c>
      <c r="I19" s="5" t="s">
        <v>2</v>
      </c>
      <c r="J19" s="5" t="s">
        <v>3</v>
      </c>
      <c r="K19" s="5" t="s">
        <v>3</v>
      </c>
      <c r="L19" s="5" t="s">
        <v>3</v>
      </c>
      <c r="M19" s="5" t="s">
        <v>3</v>
      </c>
      <c r="N19" s="5" t="s">
        <v>3</v>
      </c>
      <c r="O19" s="5" t="s">
        <v>3</v>
      </c>
      <c r="P19" s="9" t="s">
        <v>8</v>
      </c>
      <c r="Q19" s="9" t="s">
        <v>8</v>
      </c>
      <c r="R19" s="9" t="s">
        <v>8</v>
      </c>
      <c r="S19" s="18" t="s">
        <v>2</v>
      </c>
      <c r="T19" s="15" t="s">
        <v>2</v>
      </c>
      <c r="U19" s="15" t="s">
        <v>2</v>
      </c>
      <c r="V19" s="15" t="s">
        <v>3</v>
      </c>
      <c r="W19" s="7" t="s">
        <v>10</v>
      </c>
      <c r="X19" s="17" t="s">
        <v>3</v>
      </c>
      <c r="Y19" s="17" t="s">
        <v>3</v>
      </c>
      <c r="Z19" s="13" t="s">
        <v>3</v>
      </c>
      <c r="AA19" s="18" t="s">
        <v>2</v>
      </c>
      <c r="AB19" s="6" t="s">
        <v>2</v>
      </c>
    </row>
    <row r="20" spans="1:28" x14ac:dyDescent="0.25">
      <c r="A20" s="4"/>
      <c r="B20" s="65" t="s">
        <v>114</v>
      </c>
      <c r="C20" s="7"/>
      <c r="D20" s="7"/>
      <c r="E20" s="7"/>
      <c r="F20" s="7"/>
      <c r="G20" s="7"/>
      <c r="H20" s="7"/>
      <c r="I20" s="5"/>
      <c r="J20" s="5"/>
      <c r="K20" s="5"/>
      <c r="L20" s="5"/>
      <c r="M20" s="5"/>
      <c r="N20" s="5"/>
      <c r="O20" s="5"/>
      <c r="P20" s="9"/>
      <c r="Q20" s="9"/>
      <c r="R20" s="9"/>
      <c r="S20" s="18"/>
      <c r="T20" s="15"/>
      <c r="U20" s="15"/>
      <c r="V20" s="15"/>
      <c r="W20" s="7"/>
      <c r="X20" s="17"/>
      <c r="Y20" s="17"/>
      <c r="Z20" s="13"/>
      <c r="AA20" s="18"/>
      <c r="AB20" s="6"/>
    </row>
    <row r="21" spans="1:28" x14ac:dyDescent="0.25">
      <c r="A21" s="67" t="s">
        <v>428</v>
      </c>
      <c r="B21" s="15" t="s">
        <v>18</v>
      </c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9"/>
      <c r="Q21" s="9"/>
      <c r="R21" s="9"/>
      <c r="S21" s="18"/>
      <c r="T21" s="5"/>
      <c r="U21" s="5"/>
      <c r="V21" s="5"/>
      <c r="W21" s="7"/>
      <c r="X21" s="18"/>
      <c r="Y21" s="18"/>
      <c r="Z21" s="7"/>
      <c r="AA21" s="18"/>
      <c r="AB21" s="6"/>
    </row>
    <row r="22" spans="1:28" x14ac:dyDescent="0.25">
      <c r="A22" s="67" t="s">
        <v>429</v>
      </c>
      <c r="B22" s="15" t="s">
        <v>20</v>
      </c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9"/>
      <c r="Q22" s="9"/>
      <c r="R22" s="9"/>
      <c r="S22" s="18"/>
      <c r="T22" s="5"/>
      <c r="U22" s="5"/>
      <c r="V22" s="5"/>
      <c r="W22" s="7"/>
      <c r="X22" s="18"/>
      <c r="Y22" s="18"/>
      <c r="Z22" s="7"/>
      <c r="AA22" s="18"/>
      <c r="AB22" s="6"/>
    </row>
    <row r="23" spans="1:28" x14ac:dyDescent="0.25">
      <c r="A23" s="67" t="s">
        <v>430</v>
      </c>
      <c r="B23" s="15" t="s">
        <v>21</v>
      </c>
      <c r="C23" s="7"/>
      <c r="D23" s="7"/>
      <c r="E23" s="7"/>
      <c r="F23" s="7"/>
      <c r="G23" s="7"/>
      <c r="H23" s="7"/>
      <c r="I23" s="5"/>
      <c r="J23" s="5"/>
      <c r="K23" s="5"/>
      <c r="L23" s="5"/>
      <c r="M23" s="25"/>
      <c r="N23" s="5"/>
      <c r="O23" s="5"/>
      <c r="P23" s="9"/>
      <c r="Q23" s="9"/>
      <c r="R23" s="9"/>
      <c r="S23" s="18"/>
      <c r="T23" s="5"/>
      <c r="U23" s="5"/>
      <c r="V23" s="5"/>
      <c r="W23" s="7"/>
      <c r="X23" s="18"/>
      <c r="Y23" s="18"/>
      <c r="Z23" s="7"/>
      <c r="AA23" s="18"/>
      <c r="AB23" s="6"/>
    </row>
    <row r="24" spans="1:28" x14ac:dyDescent="0.25">
      <c r="A24" s="67" t="s">
        <v>431</v>
      </c>
      <c r="B24" s="15" t="s">
        <v>22</v>
      </c>
      <c r="C24" s="7"/>
      <c r="D24" s="7"/>
      <c r="E24" s="7"/>
      <c r="F24" s="7"/>
      <c r="G24" s="7"/>
      <c r="H24" s="7"/>
      <c r="I24" s="5"/>
      <c r="J24" s="5"/>
      <c r="K24" s="5"/>
      <c r="L24" s="5"/>
      <c r="M24" s="5"/>
      <c r="N24" s="5"/>
      <c r="O24" s="5"/>
      <c r="P24" s="9"/>
      <c r="Q24" s="9"/>
      <c r="R24" s="9"/>
      <c r="S24" s="18"/>
      <c r="T24" s="5"/>
      <c r="U24" s="5"/>
      <c r="V24" s="5"/>
      <c r="W24" s="7"/>
      <c r="X24" s="18"/>
      <c r="Y24" s="18"/>
      <c r="Z24" s="7"/>
      <c r="AA24" s="18"/>
      <c r="AB24" s="6"/>
    </row>
    <row r="25" spans="1:28" x14ac:dyDescent="0.25">
      <c r="A25" s="67" t="s">
        <v>432</v>
      </c>
      <c r="B25" s="15" t="s">
        <v>23</v>
      </c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9"/>
      <c r="Q25" s="9"/>
      <c r="R25" s="9"/>
      <c r="S25" s="18"/>
      <c r="T25" s="5"/>
      <c r="U25" s="5"/>
      <c r="V25" s="5"/>
      <c r="W25" s="7"/>
      <c r="X25" s="18"/>
      <c r="Y25" s="18"/>
      <c r="Z25" s="7"/>
      <c r="AA25" s="18"/>
      <c r="AB25" s="33"/>
    </row>
    <row r="26" spans="1:28" x14ac:dyDescent="0.25">
      <c r="A26" s="67" t="s">
        <v>433</v>
      </c>
      <c r="B26" s="15" t="s">
        <v>24</v>
      </c>
      <c r="C26" s="7"/>
      <c r="D26" s="7"/>
      <c r="E26" s="7"/>
      <c r="F26" s="7"/>
      <c r="G26" s="7"/>
      <c r="H26" s="7"/>
      <c r="I26" s="5"/>
      <c r="J26" s="5"/>
      <c r="K26" s="5"/>
      <c r="L26" s="5"/>
      <c r="M26" s="5"/>
      <c r="N26" s="5"/>
      <c r="O26" s="5"/>
      <c r="P26" s="9"/>
      <c r="Q26" s="9"/>
      <c r="R26" s="9"/>
      <c r="S26" s="18"/>
      <c r="T26" s="5"/>
      <c r="U26" s="5"/>
      <c r="V26" s="5"/>
      <c r="W26" s="7"/>
      <c r="X26" s="18"/>
      <c r="Y26" s="18"/>
      <c r="Z26" s="7"/>
      <c r="AA26" s="18"/>
      <c r="AB26" s="33"/>
    </row>
    <row r="27" spans="1:28" x14ac:dyDescent="0.25">
      <c r="A27" s="67" t="s">
        <v>434</v>
      </c>
      <c r="B27" s="15" t="s">
        <v>25</v>
      </c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37"/>
      <c r="Q27" s="9"/>
      <c r="R27" s="9"/>
      <c r="S27" s="18"/>
      <c r="T27" s="5"/>
      <c r="U27" s="5"/>
      <c r="V27" s="5"/>
      <c r="W27" s="7"/>
      <c r="X27" s="18"/>
      <c r="Y27" s="18"/>
      <c r="Z27" s="7"/>
      <c r="AA27" s="18"/>
      <c r="AB27" s="33"/>
    </row>
    <row r="28" spans="1:28" x14ac:dyDescent="0.25">
      <c r="A28" s="67" t="s">
        <v>435</v>
      </c>
      <c r="B28" s="15" t="s">
        <v>26</v>
      </c>
      <c r="C28" s="7"/>
      <c r="D28" s="7"/>
      <c r="E28" s="7"/>
      <c r="F28" s="7"/>
      <c r="G28" s="7"/>
      <c r="H28" s="7"/>
      <c r="I28" s="5"/>
      <c r="J28" s="5"/>
      <c r="K28" s="5"/>
      <c r="L28" s="5"/>
      <c r="M28" s="5"/>
      <c r="N28" s="5"/>
      <c r="O28" s="5"/>
      <c r="P28" s="9"/>
      <c r="Q28" s="9"/>
      <c r="R28" s="9"/>
      <c r="S28" s="18"/>
      <c r="T28" s="34"/>
      <c r="U28" s="34"/>
      <c r="V28" s="5"/>
      <c r="W28" s="7"/>
      <c r="X28" s="18"/>
      <c r="Y28" s="18"/>
      <c r="Z28" s="7"/>
      <c r="AA28" s="18"/>
      <c r="AB28" s="33"/>
    </row>
    <row r="29" spans="1:28" x14ac:dyDescent="0.25">
      <c r="A29" s="67" t="s">
        <v>436</v>
      </c>
      <c r="B29" s="15" t="s">
        <v>27</v>
      </c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5"/>
      <c r="O29" s="5"/>
      <c r="P29" s="9"/>
      <c r="Q29" s="9"/>
      <c r="R29" s="9"/>
      <c r="S29" s="18"/>
      <c r="T29" s="5"/>
      <c r="U29" s="5"/>
      <c r="V29" s="5"/>
      <c r="W29" s="7"/>
      <c r="X29" s="18"/>
      <c r="Y29" s="18"/>
      <c r="Z29" s="7"/>
      <c r="AA29" s="18"/>
      <c r="AB29" s="6"/>
    </row>
    <row r="30" spans="1:28" x14ac:dyDescent="0.25">
      <c r="A30" s="67" t="s">
        <v>437</v>
      </c>
      <c r="B30" s="15" t="s">
        <v>28</v>
      </c>
      <c r="C30" s="7"/>
      <c r="D30" s="7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9"/>
      <c r="Q30" s="9"/>
      <c r="R30" s="9"/>
      <c r="S30" s="18"/>
      <c r="T30" s="5"/>
      <c r="U30" s="5"/>
      <c r="V30" s="5"/>
      <c r="W30" s="7"/>
      <c r="X30" s="18"/>
      <c r="Y30" s="18"/>
      <c r="Z30" s="7"/>
      <c r="AA30" s="18"/>
      <c r="AB30" s="23"/>
    </row>
    <row r="31" spans="1:28" x14ac:dyDescent="0.25">
      <c r="A31" s="67" t="s">
        <v>438</v>
      </c>
      <c r="B31" s="15" t="s">
        <v>29</v>
      </c>
      <c r="C31" s="7"/>
      <c r="D31" s="7"/>
      <c r="E31" s="7"/>
      <c r="F31" s="7"/>
      <c r="G31" s="7"/>
      <c r="H31" s="7"/>
      <c r="I31" s="5"/>
      <c r="J31" s="5"/>
      <c r="K31" s="5"/>
      <c r="L31" s="5"/>
      <c r="M31" s="5"/>
      <c r="N31" s="5"/>
      <c r="O31" s="5"/>
      <c r="P31" s="9"/>
      <c r="Q31" s="9"/>
      <c r="R31" s="9"/>
      <c r="S31" s="18"/>
      <c r="T31" s="5"/>
      <c r="U31" s="5"/>
      <c r="V31" s="5"/>
      <c r="W31" s="7"/>
      <c r="X31" s="18"/>
      <c r="Y31" s="18"/>
      <c r="Z31" s="7"/>
      <c r="AA31" s="18"/>
      <c r="AB31" s="23"/>
    </row>
    <row r="32" spans="1:28" x14ac:dyDescent="0.25">
      <c r="A32" s="67" t="s">
        <v>439</v>
      </c>
      <c r="B32" s="15" t="s">
        <v>30</v>
      </c>
      <c r="C32" s="7"/>
      <c r="D32" s="7"/>
      <c r="E32" s="7"/>
      <c r="F32" s="7"/>
      <c r="G32" s="7"/>
      <c r="H32" s="7"/>
      <c r="I32" s="5"/>
      <c r="J32" s="5"/>
      <c r="K32" s="5"/>
      <c r="L32" s="5"/>
      <c r="M32" s="5"/>
      <c r="N32" s="5"/>
      <c r="O32" s="5"/>
      <c r="P32" s="9"/>
      <c r="Q32" s="9"/>
      <c r="R32" s="9"/>
      <c r="S32" s="18"/>
      <c r="T32" s="5"/>
      <c r="U32" s="5"/>
      <c r="V32" s="5"/>
      <c r="W32" s="7"/>
      <c r="X32" s="18"/>
      <c r="Y32" s="18"/>
      <c r="Z32" s="7"/>
      <c r="AA32" s="18"/>
      <c r="AB32" s="23"/>
    </row>
    <row r="33" spans="1:28" x14ac:dyDescent="0.25">
      <c r="A33" s="67" t="s">
        <v>440</v>
      </c>
      <c r="B33" s="15" t="s">
        <v>31</v>
      </c>
      <c r="C33" s="7"/>
      <c r="D33" s="7"/>
      <c r="E33" s="7"/>
      <c r="F33" s="7"/>
      <c r="G33" s="7"/>
      <c r="H33" s="7"/>
      <c r="I33" s="5"/>
      <c r="J33" s="5"/>
      <c r="K33" s="5"/>
      <c r="L33" s="5"/>
      <c r="M33" s="5"/>
      <c r="N33" s="5"/>
      <c r="O33" s="5"/>
      <c r="P33" s="9"/>
      <c r="Q33" s="9">
        <f>ROUNDUP(((250+0)/5280),2)</f>
        <v>0.05</v>
      </c>
      <c r="R33" s="9"/>
      <c r="S33" s="18"/>
      <c r="T33" s="5">
        <f>250+0</f>
        <v>250</v>
      </c>
      <c r="U33" s="5"/>
      <c r="V33" s="5"/>
      <c r="W33" s="7"/>
      <c r="X33" s="18"/>
      <c r="Y33" s="18"/>
      <c r="Z33" s="7"/>
      <c r="AA33" s="18"/>
      <c r="AB33" s="23"/>
    </row>
    <row r="34" spans="1:28" x14ac:dyDescent="0.25">
      <c r="A34" s="67" t="s">
        <v>441</v>
      </c>
      <c r="B34" s="15" t="s">
        <v>32</v>
      </c>
      <c r="C34" s="7"/>
      <c r="D34" s="7"/>
      <c r="E34" s="7"/>
      <c r="F34" s="7"/>
      <c r="G34" s="7"/>
      <c r="H34" s="7"/>
      <c r="I34" s="5"/>
      <c r="J34" s="5"/>
      <c r="K34" s="5">
        <f>10+0</f>
        <v>10</v>
      </c>
      <c r="L34" s="5"/>
      <c r="M34" s="5"/>
      <c r="N34" s="5"/>
      <c r="O34" s="5"/>
      <c r="P34" s="9"/>
      <c r="Q34" s="9">
        <f>ROUNDUP(((500+0)/5280),2)</f>
        <v>9.9999999999999992E-2</v>
      </c>
      <c r="R34" s="9"/>
      <c r="S34" s="18">
        <f>400+0</f>
        <v>400</v>
      </c>
      <c r="T34" s="5">
        <f>300+0</f>
        <v>300</v>
      </c>
      <c r="U34" s="5"/>
      <c r="V34" s="5"/>
      <c r="W34" s="7"/>
      <c r="X34" s="18"/>
      <c r="Y34" s="18"/>
      <c r="Z34" s="7"/>
      <c r="AA34" s="18"/>
      <c r="AB34" s="23"/>
    </row>
    <row r="35" spans="1:28" x14ac:dyDescent="0.25">
      <c r="A35" s="67" t="s">
        <v>442</v>
      </c>
      <c r="B35" s="15" t="s">
        <v>33</v>
      </c>
      <c r="C35" s="7"/>
      <c r="D35" s="7"/>
      <c r="E35" s="7"/>
      <c r="F35" s="7"/>
      <c r="G35" s="7"/>
      <c r="H35" s="7"/>
      <c r="I35" s="5"/>
      <c r="J35" s="5"/>
      <c r="K35" s="5">
        <f>8+0</f>
        <v>8</v>
      </c>
      <c r="L35" s="5"/>
      <c r="M35" s="5"/>
      <c r="N35" s="5"/>
      <c r="O35" s="5"/>
      <c r="P35" s="9"/>
      <c r="Q35" s="9">
        <f>ROUNDUP(((145+0)/5280),2)</f>
        <v>0.03</v>
      </c>
      <c r="R35" s="9"/>
      <c r="S35" s="18">
        <f>290+0</f>
        <v>290</v>
      </c>
      <c r="T35" s="5"/>
      <c r="U35" s="5"/>
      <c r="V35" s="5"/>
      <c r="W35" s="7"/>
      <c r="X35" s="18"/>
      <c r="Y35" s="18"/>
      <c r="Z35" s="7"/>
      <c r="AA35" s="18"/>
      <c r="AB35" s="23"/>
    </row>
    <row r="36" spans="1:28" x14ac:dyDescent="0.25">
      <c r="A36" s="67" t="s">
        <v>443</v>
      </c>
      <c r="B36" s="15" t="s">
        <v>34</v>
      </c>
      <c r="C36" s="7"/>
      <c r="D36" s="7"/>
      <c r="E36" s="7"/>
      <c r="F36" s="7"/>
      <c r="G36" s="7"/>
      <c r="H36" s="7"/>
      <c r="I36" s="5"/>
      <c r="J36" s="5"/>
      <c r="K36" s="5"/>
      <c r="L36" s="5"/>
      <c r="M36" s="5"/>
      <c r="N36" s="5"/>
      <c r="O36" s="5"/>
      <c r="P36" s="9"/>
      <c r="Q36" s="9"/>
      <c r="R36" s="9"/>
      <c r="S36" s="18"/>
      <c r="T36" s="5"/>
      <c r="U36" s="5"/>
      <c r="V36" s="5"/>
      <c r="W36" s="7"/>
      <c r="X36" s="18"/>
      <c r="Y36" s="18"/>
      <c r="Z36" s="7"/>
      <c r="AA36" s="18"/>
      <c r="AB36" s="6"/>
    </row>
    <row r="37" spans="1:28" x14ac:dyDescent="0.25">
      <c r="A37" s="67" t="s">
        <v>444</v>
      </c>
      <c r="B37" s="15" t="s">
        <v>35</v>
      </c>
      <c r="C37" s="7"/>
      <c r="D37" s="7"/>
      <c r="E37" s="7"/>
      <c r="F37" s="7"/>
      <c r="G37" s="7"/>
      <c r="H37" s="7"/>
      <c r="I37" s="5"/>
      <c r="J37" s="5"/>
      <c r="K37" s="5">
        <f>12+0</f>
        <v>12</v>
      </c>
      <c r="L37" s="5"/>
      <c r="M37" s="5"/>
      <c r="N37" s="5"/>
      <c r="O37" s="5"/>
      <c r="P37" s="9"/>
      <c r="Q37" s="9">
        <f>ROUNDUP(((225+0)/5280),2)</f>
        <v>0.05</v>
      </c>
      <c r="R37" s="9"/>
      <c r="S37" s="18">
        <f>455+0</f>
        <v>455</v>
      </c>
      <c r="T37" s="5"/>
      <c r="U37" s="5"/>
      <c r="V37" s="5"/>
      <c r="W37" s="7"/>
      <c r="X37" s="18"/>
      <c r="Y37" s="18"/>
      <c r="Z37" s="7"/>
      <c r="AA37" s="18"/>
      <c r="AB37" s="6"/>
    </row>
    <row r="38" spans="1:28" x14ac:dyDescent="0.25">
      <c r="A38" s="67" t="s">
        <v>445</v>
      </c>
      <c r="B38" s="15" t="s">
        <v>36</v>
      </c>
      <c r="C38" s="7"/>
      <c r="D38" s="7"/>
      <c r="E38" s="7"/>
      <c r="F38" s="7"/>
      <c r="G38" s="7"/>
      <c r="H38" s="7"/>
      <c r="I38" s="5"/>
      <c r="J38" s="5"/>
      <c r="K38" s="5">
        <f>6+0</f>
        <v>6</v>
      </c>
      <c r="L38" s="5"/>
      <c r="M38" s="5"/>
      <c r="N38" s="5"/>
      <c r="O38" s="5"/>
      <c r="P38" s="9"/>
      <c r="Q38" s="9">
        <f>ROUNDUP(((500+0)/5280),2)</f>
        <v>9.9999999999999992E-2</v>
      </c>
      <c r="R38" s="9"/>
      <c r="S38" s="18">
        <f>200+0</f>
        <v>200</v>
      </c>
      <c r="T38" s="5">
        <f>400+0</f>
        <v>400</v>
      </c>
      <c r="U38" s="5"/>
      <c r="V38" s="5"/>
      <c r="W38" s="7"/>
      <c r="X38" s="18"/>
      <c r="Y38" s="18"/>
      <c r="Z38" s="7"/>
      <c r="AA38" s="18"/>
      <c r="AB38" s="6"/>
    </row>
    <row r="39" spans="1:28" x14ac:dyDescent="0.25">
      <c r="A39" s="67" t="s">
        <v>446</v>
      </c>
      <c r="B39" s="15" t="s">
        <v>37</v>
      </c>
      <c r="C39" s="7"/>
      <c r="D39" s="7"/>
      <c r="E39" s="7"/>
      <c r="F39" s="7"/>
      <c r="G39" s="7"/>
      <c r="H39" s="7"/>
      <c r="I39" s="5"/>
      <c r="J39" s="5"/>
      <c r="K39" s="5"/>
      <c r="L39" s="5"/>
      <c r="M39" s="5"/>
      <c r="N39" s="5"/>
      <c r="O39" s="5"/>
      <c r="P39" s="9"/>
      <c r="Q39" s="9">
        <f>ROUNDUP(((50+0)/5280),2)</f>
        <v>0.01</v>
      </c>
      <c r="R39" s="9"/>
      <c r="S39" s="18"/>
      <c r="T39" s="5">
        <f>50+0</f>
        <v>50</v>
      </c>
      <c r="U39" s="5"/>
      <c r="V39" s="5"/>
      <c r="W39" s="7"/>
      <c r="X39" s="18"/>
      <c r="Y39" s="18"/>
      <c r="Z39" s="7"/>
      <c r="AA39" s="18"/>
      <c r="AB39" s="6"/>
    </row>
    <row r="40" spans="1:28" x14ac:dyDescent="0.25">
      <c r="A40" s="67" t="s">
        <v>447</v>
      </c>
      <c r="B40" s="15" t="s">
        <v>38</v>
      </c>
      <c r="C40" s="7"/>
      <c r="D40" s="7"/>
      <c r="E40" s="7"/>
      <c r="F40" s="7"/>
      <c r="G40" s="7"/>
      <c r="H40" s="7"/>
      <c r="I40" s="5"/>
      <c r="J40" s="5"/>
      <c r="K40" s="5"/>
      <c r="L40" s="5"/>
      <c r="M40" s="5"/>
      <c r="N40" s="5"/>
      <c r="O40" s="5"/>
      <c r="P40" s="9"/>
      <c r="Q40" s="9"/>
      <c r="R40" s="9"/>
      <c r="S40" s="18"/>
      <c r="T40" s="5"/>
      <c r="U40" s="5"/>
      <c r="V40" s="5"/>
      <c r="W40" s="7"/>
      <c r="X40" s="18"/>
      <c r="Y40" s="18"/>
      <c r="Z40" s="7"/>
      <c r="AA40" s="18"/>
      <c r="AB40" s="6"/>
    </row>
    <row r="41" spans="1:28" x14ac:dyDescent="0.25">
      <c r="A41" s="67" t="s">
        <v>448</v>
      </c>
      <c r="B41" s="15" t="s">
        <v>39</v>
      </c>
      <c r="C41" s="7"/>
      <c r="D41" s="7"/>
      <c r="E41" s="7"/>
      <c r="F41" s="7"/>
      <c r="G41" s="7"/>
      <c r="H41" s="7"/>
      <c r="I41" s="5"/>
      <c r="J41" s="5"/>
      <c r="K41" s="5"/>
      <c r="L41" s="5"/>
      <c r="M41" s="5"/>
      <c r="N41" s="5"/>
      <c r="O41" s="5"/>
      <c r="P41" s="9"/>
      <c r="Q41" s="9"/>
      <c r="R41" s="9"/>
      <c r="S41" s="18"/>
      <c r="T41" s="5"/>
      <c r="U41" s="5"/>
      <c r="V41" s="5"/>
      <c r="W41" s="7"/>
      <c r="X41" s="18"/>
      <c r="Y41" s="18"/>
      <c r="Z41" s="7"/>
      <c r="AA41" s="18"/>
      <c r="AB41" s="6"/>
    </row>
    <row r="42" spans="1:28" x14ac:dyDescent="0.25">
      <c r="A42" s="67" t="s">
        <v>449</v>
      </c>
      <c r="B42" s="15" t="s">
        <v>40</v>
      </c>
      <c r="C42" s="7"/>
      <c r="D42" s="7"/>
      <c r="E42" s="7"/>
      <c r="F42" s="7"/>
      <c r="G42" s="7"/>
      <c r="H42" s="7"/>
      <c r="I42" s="5"/>
      <c r="J42" s="5"/>
      <c r="K42" s="5"/>
      <c r="L42" s="5"/>
      <c r="M42" s="5">
        <f>8+0</f>
        <v>8</v>
      </c>
      <c r="N42" s="5"/>
      <c r="O42" s="5">
        <f>8+0</f>
        <v>8</v>
      </c>
      <c r="P42" s="9"/>
      <c r="Q42" s="9"/>
      <c r="R42" s="9"/>
      <c r="S42" s="18"/>
      <c r="T42" s="5"/>
      <c r="U42" s="5"/>
      <c r="V42" s="5"/>
      <c r="W42" s="7"/>
      <c r="X42" s="18"/>
      <c r="Y42" s="18"/>
      <c r="Z42" s="7"/>
      <c r="AA42" s="18">
        <f>400+0</f>
        <v>400</v>
      </c>
      <c r="AB42" s="6"/>
    </row>
    <row r="43" spans="1:28" x14ac:dyDescent="0.25">
      <c r="A43" s="67" t="s">
        <v>450</v>
      </c>
      <c r="B43" s="20" t="s">
        <v>41</v>
      </c>
      <c r="C43" s="7"/>
      <c r="D43" s="7"/>
      <c r="E43" s="7"/>
      <c r="F43" s="7"/>
      <c r="G43" s="7"/>
      <c r="H43" s="7"/>
      <c r="I43" s="5"/>
      <c r="J43" s="5"/>
      <c r="K43" s="5"/>
      <c r="L43" s="5"/>
      <c r="M43" s="5">
        <f>10+0</f>
        <v>10</v>
      </c>
      <c r="N43" s="5"/>
      <c r="O43" s="5">
        <f>10+0</f>
        <v>10</v>
      </c>
      <c r="P43" s="9"/>
      <c r="Q43" s="9"/>
      <c r="R43" s="9"/>
      <c r="S43" s="18"/>
      <c r="T43" s="5"/>
      <c r="U43" s="5"/>
      <c r="V43" s="5"/>
      <c r="W43" s="7"/>
      <c r="X43" s="18"/>
      <c r="Y43" s="18"/>
      <c r="Z43" s="7"/>
      <c r="AA43" s="18">
        <f>500+0</f>
        <v>500</v>
      </c>
      <c r="AB43" s="6"/>
    </row>
    <row r="44" spans="1:28" x14ac:dyDescent="0.25">
      <c r="A44" s="67" t="s">
        <v>451</v>
      </c>
      <c r="B44" s="20" t="s">
        <v>42</v>
      </c>
      <c r="C44" s="7"/>
      <c r="D44" s="7"/>
      <c r="E44" s="7"/>
      <c r="F44" s="7"/>
      <c r="G44" s="7"/>
      <c r="H44" s="7"/>
      <c r="I44" s="5"/>
      <c r="J44" s="5"/>
      <c r="K44" s="5"/>
      <c r="L44" s="5"/>
      <c r="M44" s="5">
        <f>2+0</f>
        <v>2</v>
      </c>
      <c r="N44" s="5"/>
      <c r="O44" s="5">
        <f>1+0</f>
        <v>1</v>
      </c>
      <c r="P44" s="9"/>
      <c r="Q44" s="9"/>
      <c r="R44" s="9"/>
      <c r="S44" s="18"/>
      <c r="T44" s="5"/>
      <c r="U44" s="5"/>
      <c r="V44" s="5"/>
      <c r="W44" s="7"/>
      <c r="X44" s="18"/>
      <c r="Y44" s="18"/>
      <c r="Z44" s="7"/>
      <c r="AA44" s="18">
        <f>62+0</f>
        <v>62</v>
      </c>
      <c r="AB44" s="6"/>
    </row>
    <row r="45" spans="1:28" x14ac:dyDescent="0.25">
      <c r="A45" s="67" t="s">
        <v>452</v>
      </c>
      <c r="B45" s="20" t="s">
        <v>43</v>
      </c>
      <c r="C45" s="7"/>
      <c r="D45" s="7"/>
      <c r="E45" s="7"/>
      <c r="F45" s="7"/>
      <c r="G45" s="7"/>
      <c r="H45" s="7"/>
      <c r="I45" s="5"/>
      <c r="J45" s="5"/>
      <c r="K45" s="5"/>
      <c r="L45" s="5"/>
      <c r="M45" s="5"/>
      <c r="N45" s="5"/>
      <c r="O45" s="5"/>
      <c r="P45" s="9"/>
      <c r="Q45" s="9"/>
      <c r="R45" s="9"/>
      <c r="S45" s="18"/>
      <c r="T45" s="5"/>
      <c r="U45" s="5"/>
      <c r="V45" s="5"/>
      <c r="W45" s="7"/>
      <c r="X45" s="18"/>
      <c r="Y45" s="18"/>
      <c r="Z45" s="7"/>
      <c r="AA45" s="18"/>
      <c r="AB45" s="6"/>
    </row>
    <row r="46" spans="1:28" x14ac:dyDescent="0.25">
      <c r="A46" s="67" t="s">
        <v>453</v>
      </c>
      <c r="B46" s="20" t="s">
        <v>44</v>
      </c>
      <c r="C46" s="7"/>
      <c r="D46" s="7"/>
      <c r="E46" s="7"/>
      <c r="F46" s="7"/>
      <c r="G46" s="7"/>
      <c r="H46" s="7"/>
      <c r="I46" s="5"/>
      <c r="J46" s="5"/>
      <c r="K46" s="5"/>
      <c r="L46" s="5"/>
      <c r="M46" s="5"/>
      <c r="N46" s="5"/>
      <c r="O46" s="5"/>
      <c r="P46" s="9"/>
      <c r="Q46" s="9"/>
      <c r="R46" s="9"/>
      <c r="S46" s="18"/>
      <c r="T46" s="5"/>
      <c r="U46" s="5"/>
      <c r="V46" s="5"/>
      <c r="W46" s="7"/>
      <c r="X46" s="18"/>
      <c r="Y46" s="18"/>
      <c r="Z46" s="7"/>
      <c r="AA46" s="18"/>
      <c r="AB46" s="6"/>
    </row>
    <row r="47" spans="1:28" x14ac:dyDescent="0.25">
      <c r="A47" s="67" t="s">
        <v>454</v>
      </c>
      <c r="B47" s="20" t="s">
        <v>45</v>
      </c>
      <c r="C47" s="7"/>
      <c r="D47" s="7"/>
      <c r="E47" s="7"/>
      <c r="F47" s="7"/>
      <c r="G47" s="7"/>
      <c r="H47" s="7"/>
      <c r="I47" s="5"/>
      <c r="J47" s="5"/>
      <c r="K47" s="5"/>
      <c r="L47" s="5"/>
      <c r="M47" s="5"/>
      <c r="N47" s="5"/>
      <c r="O47" s="5"/>
      <c r="P47" s="9"/>
      <c r="Q47" s="9"/>
      <c r="R47" s="9"/>
      <c r="S47" s="18"/>
      <c r="T47" s="5"/>
      <c r="U47" s="5"/>
      <c r="V47" s="5"/>
      <c r="W47" s="7"/>
      <c r="X47" s="18"/>
      <c r="Y47" s="18"/>
      <c r="Z47" s="7"/>
      <c r="AA47" s="18"/>
      <c r="AB47" s="6"/>
    </row>
    <row r="48" spans="1:28" x14ac:dyDescent="0.25">
      <c r="A48" s="67" t="s">
        <v>455</v>
      </c>
      <c r="B48" s="20" t="s">
        <v>46</v>
      </c>
      <c r="C48" s="7"/>
      <c r="D48" s="7"/>
      <c r="E48" s="7"/>
      <c r="F48" s="7"/>
      <c r="G48" s="7"/>
      <c r="H48" s="7"/>
      <c r="I48" s="5"/>
      <c r="J48" s="5"/>
      <c r="K48" s="5"/>
      <c r="L48" s="5"/>
      <c r="M48" s="5"/>
      <c r="N48" s="5"/>
      <c r="O48" s="5"/>
      <c r="P48" s="9"/>
      <c r="Q48" s="9"/>
      <c r="R48" s="9"/>
      <c r="S48" s="18"/>
      <c r="T48" s="5"/>
      <c r="U48" s="5"/>
      <c r="V48" s="5"/>
      <c r="W48" s="7"/>
      <c r="X48" s="18"/>
      <c r="Y48" s="18"/>
      <c r="Z48" s="7"/>
      <c r="AA48" s="18"/>
      <c r="AB48" s="6"/>
    </row>
    <row r="49" spans="1:28" x14ac:dyDescent="0.25">
      <c r="A49" s="67" t="s">
        <v>456</v>
      </c>
      <c r="B49" s="20" t="s">
        <v>47</v>
      </c>
      <c r="C49" s="7"/>
      <c r="D49" s="7"/>
      <c r="E49" s="7"/>
      <c r="F49" s="7"/>
      <c r="G49" s="7"/>
      <c r="H49" s="7"/>
      <c r="I49" s="5"/>
      <c r="J49" s="5"/>
      <c r="K49" s="5"/>
      <c r="L49" s="5"/>
      <c r="M49" s="5"/>
      <c r="N49" s="5"/>
      <c r="O49" s="5"/>
      <c r="P49" s="9"/>
      <c r="Q49" s="9"/>
      <c r="R49" s="9"/>
      <c r="S49" s="18"/>
      <c r="T49" s="5"/>
      <c r="U49" s="5"/>
      <c r="V49" s="5"/>
      <c r="W49" s="7"/>
      <c r="X49" s="18"/>
      <c r="Y49" s="18"/>
      <c r="Z49" s="7"/>
      <c r="AA49" s="18"/>
      <c r="AB49" s="6"/>
    </row>
    <row r="50" spans="1:28" x14ac:dyDescent="0.25">
      <c r="A50" s="67" t="s">
        <v>457</v>
      </c>
      <c r="B50" s="20" t="s">
        <v>48</v>
      </c>
      <c r="C50" s="7"/>
      <c r="D50" s="7"/>
      <c r="E50" s="7"/>
      <c r="F50" s="7"/>
      <c r="G50" s="7"/>
      <c r="H50" s="7"/>
      <c r="I50" s="5"/>
      <c r="J50" s="5"/>
      <c r="K50" s="5"/>
      <c r="L50" s="5"/>
      <c r="M50" s="5"/>
      <c r="N50" s="5"/>
      <c r="O50" s="5"/>
      <c r="P50" s="9"/>
      <c r="Q50" s="9"/>
      <c r="R50" s="9"/>
      <c r="S50" s="18"/>
      <c r="T50" s="5"/>
      <c r="U50" s="5"/>
      <c r="V50" s="5"/>
      <c r="W50" s="7"/>
      <c r="X50" s="18"/>
      <c r="Y50" s="18"/>
      <c r="Z50" s="7"/>
      <c r="AA50" s="18"/>
      <c r="AB50" s="6"/>
    </row>
    <row r="51" spans="1:28" x14ac:dyDescent="0.25">
      <c r="A51" s="67" t="s">
        <v>458</v>
      </c>
      <c r="B51" s="20" t="s">
        <v>49</v>
      </c>
      <c r="C51" s="7"/>
      <c r="D51" s="7"/>
      <c r="E51" s="7"/>
      <c r="F51" s="7"/>
      <c r="G51" s="7"/>
      <c r="H51" s="7"/>
      <c r="I51" s="5"/>
      <c r="J51" s="5"/>
      <c r="K51" s="5"/>
      <c r="L51" s="5"/>
      <c r="M51" s="5"/>
      <c r="N51" s="5"/>
      <c r="O51" s="5"/>
      <c r="P51" s="9"/>
      <c r="Q51" s="9"/>
      <c r="R51" s="9"/>
      <c r="S51" s="18"/>
      <c r="T51" s="5"/>
      <c r="U51" s="5"/>
      <c r="V51" s="5"/>
      <c r="W51" s="7"/>
      <c r="X51" s="18"/>
      <c r="Y51" s="18"/>
      <c r="Z51" s="7"/>
      <c r="AA51" s="18"/>
      <c r="AB51" s="6"/>
    </row>
    <row r="52" spans="1:28" x14ac:dyDescent="0.25">
      <c r="A52" s="67" t="s">
        <v>459</v>
      </c>
      <c r="B52" s="20" t="s">
        <v>50</v>
      </c>
      <c r="C52" s="7"/>
      <c r="D52" s="7"/>
      <c r="E52" s="7"/>
      <c r="F52" s="7"/>
      <c r="G52" s="7"/>
      <c r="H52" s="7"/>
      <c r="I52" s="5"/>
      <c r="J52" s="5"/>
      <c r="K52" s="5"/>
      <c r="L52" s="5"/>
      <c r="M52" s="5"/>
      <c r="N52" s="5"/>
      <c r="O52" s="5"/>
      <c r="P52" s="9"/>
      <c r="Q52" s="9"/>
      <c r="R52" s="9"/>
      <c r="S52" s="18"/>
      <c r="T52" s="5"/>
      <c r="U52" s="5"/>
      <c r="V52" s="5"/>
      <c r="W52" s="7"/>
      <c r="X52" s="18"/>
      <c r="Y52" s="18"/>
      <c r="Z52" s="7"/>
      <c r="AA52" s="18"/>
      <c r="AB52" s="6"/>
    </row>
    <row r="53" spans="1:28" x14ac:dyDescent="0.25">
      <c r="A53" s="67" t="s">
        <v>460</v>
      </c>
      <c r="B53" s="20" t="s">
        <v>51</v>
      </c>
      <c r="C53" s="7"/>
      <c r="D53" s="7"/>
      <c r="E53" s="7"/>
      <c r="F53" s="7"/>
      <c r="G53" s="7"/>
      <c r="H53" s="7"/>
      <c r="I53" s="5"/>
      <c r="J53" s="5"/>
      <c r="K53" s="5"/>
      <c r="L53" s="5"/>
      <c r="M53" s="5"/>
      <c r="N53" s="5"/>
      <c r="O53" s="5"/>
      <c r="P53" s="9"/>
      <c r="Q53" s="9"/>
      <c r="R53" s="9"/>
      <c r="S53" s="18"/>
      <c r="T53" s="5"/>
      <c r="U53" s="5"/>
      <c r="V53" s="5"/>
      <c r="W53" s="7"/>
      <c r="X53" s="18"/>
      <c r="Y53" s="18"/>
      <c r="Z53" s="7"/>
      <c r="AA53" s="18"/>
      <c r="AB53" s="6"/>
    </row>
    <row r="54" spans="1:28" x14ac:dyDescent="0.25">
      <c r="A54" s="67" t="s">
        <v>461</v>
      </c>
      <c r="B54" s="20" t="s">
        <v>52</v>
      </c>
      <c r="C54" s="7"/>
      <c r="D54" s="7"/>
      <c r="E54" s="7"/>
      <c r="F54" s="7"/>
      <c r="G54" s="7"/>
      <c r="H54" s="7"/>
      <c r="I54" s="5"/>
      <c r="J54" s="5"/>
      <c r="K54" s="5"/>
      <c r="L54" s="5"/>
      <c r="M54" s="5"/>
      <c r="N54" s="5"/>
      <c r="O54" s="5"/>
      <c r="P54" s="9"/>
      <c r="Q54" s="9"/>
      <c r="R54" s="9"/>
      <c r="S54" s="18"/>
      <c r="T54" s="5"/>
      <c r="U54" s="5"/>
      <c r="V54" s="5"/>
      <c r="W54" s="7"/>
      <c r="X54" s="18"/>
      <c r="Y54" s="18"/>
      <c r="Z54" s="7"/>
      <c r="AA54" s="18"/>
      <c r="AB54" s="6"/>
    </row>
    <row r="55" spans="1:28" x14ac:dyDescent="0.25">
      <c r="A55" s="67" t="s">
        <v>462</v>
      </c>
      <c r="B55" s="20" t="s">
        <v>53</v>
      </c>
      <c r="C55" s="7"/>
      <c r="D55" s="7"/>
      <c r="E55" s="7"/>
      <c r="F55" s="7"/>
      <c r="G55" s="7"/>
      <c r="H55" s="7"/>
      <c r="I55" s="5"/>
      <c r="J55" s="5"/>
      <c r="K55" s="5"/>
      <c r="L55" s="5"/>
      <c r="M55" s="5"/>
      <c r="N55" s="5"/>
      <c r="O55" s="5"/>
      <c r="P55" s="9"/>
      <c r="Q55" s="9"/>
      <c r="R55" s="9"/>
      <c r="S55" s="18"/>
      <c r="T55" s="5"/>
      <c r="U55" s="5"/>
      <c r="V55" s="5"/>
      <c r="W55" s="7"/>
      <c r="X55" s="18"/>
      <c r="Y55" s="18"/>
      <c r="Z55" s="7"/>
      <c r="AA55" s="18"/>
      <c r="AB55" s="6"/>
    </row>
    <row r="56" spans="1:28" x14ac:dyDescent="0.25">
      <c r="A56" s="67" t="s">
        <v>463</v>
      </c>
      <c r="B56" s="20" t="s">
        <v>54</v>
      </c>
      <c r="C56" s="7"/>
      <c r="D56" s="7"/>
      <c r="E56" s="7"/>
      <c r="F56" s="7"/>
      <c r="G56" s="7"/>
      <c r="H56" s="7"/>
      <c r="I56" s="5"/>
      <c r="J56" s="5"/>
      <c r="K56" s="5"/>
      <c r="L56" s="5"/>
      <c r="M56" s="5"/>
      <c r="N56" s="5"/>
      <c r="O56" s="5"/>
      <c r="P56" s="9"/>
      <c r="Q56" s="9"/>
      <c r="R56" s="9"/>
      <c r="S56" s="18"/>
      <c r="T56" s="5"/>
      <c r="U56" s="5"/>
      <c r="V56" s="5"/>
      <c r="W56" s="7"/>
      <c r="X56" s="18"/>
      <c r="Y56" s="18"/>
      <c r="Z56" s="7"/>
      <c r="AA56" s="18"/>
      <c r="AB56" s="6"/>
    </row>
    <row r="57" spans="1:28" x14ac:dyDescent="0.25">
      <c r="A57" s="67" t="s">
        <v>464</v>
      </c>
      <c r="B57" s="20" t="s">
        <v>55</v>
      </c>
      <c r="C57" s="7"/>
      <c r="D57" s="7"/>
      <c r="E57" s="7"/>
      <c r="F57" s="7"/>
      <c r="G57" s="7"/>
      <c r="H57" s="7"/>
      <c r="I57" s="5"/>
      <c r="J57" s="5"/>
      <c r="K57" s="5"/>
      <c r="L57" s="5"/>
      <c r="M57" s="5"/>
      <c r="N57" s="5"/>
      <c r="O57" s="5"/>
      <c r="P57" s="9"/>
      <c r="Q57" s="9"/>
      <c r="R57" s="9"/>
      <c r="S57" s="18"/>
      <c r="T57" s="5"/>
      <c r="U57" s="5"/>
      <c r="V57" s="5"/>
      <c r="W57" s="7"/>
      <c r="X57" s="18"/>
      <c r="Y57" s="18"/>
      <c r="Z57" s="7"/>
      <c r="AA57" s="18"/>
      <c r="AB57" s="6"/>
    </row>
    <row r="58" spans="1:28" x14ac:dyDescent="0.25">
      <c r="A58" s="67" t="s">
        <v>465</v>
      </c>
      <c r="B58" s="20" t="s">
        <v>56</v>
      </c>
      <c r="C58" s="7"/>
      <c r="D58" s="7"/>
      <c r="E58" s="7"/>
      <c r="F58" s="7"/>
      <c r="G58" s="7"/>
      <c r="H58" s="7"/>
      <c r="I58" s="5"/>
      <c r="J58" s="5"/>
      <c r="K58" s="5"/>
      <c r="L58" s="5"/>
      <c r="M58" s="5"/>
      <c r="N58" s="5"/>
      <c r="O58" s="5"/>
      <c r="P58" s="9"/>
      <c r="Q58" s="9"/>
      <c r="R58" s="9"/>
      <c r="S58" s="18"/>
      <c r="T58" s="5"/>
      <c r="U58" s="5"/>
      <c r="V58" s="5"/>
      <c r="W58" s="7"/>
      <c r="X58" s="18"/>
      <c r="Y58" s="18"/>
      <c r="Z58" s="7"/>
      <c r="AA58" s="18"/>
      <c r="AB58" s="6"/>
    </row>
    <row r="59" spans="1:28" x14ac:dyDescent="0.25">
      <c r="A59" s="67" t="s">
        <v>466</v>
      </c>
      <c r="B59" s="20" t="s">
        <v>57</v>
      </c>
      <c r="C59" s="7"/>
      <c r="D59" s="7"/>
      <c r="E59" s="7"/>
      <c r="F59" s="7"/>
      <c r="G59" s="7"/>
      <c r="H59" s="7"/>
      <c r="I59" s="5"/>
      <c r="J59" s="5"/>
      <c r="K59" s="5"/>
      <c r="L59" s="5"/>
      <c r="M59" s="5"/>
      <c r="N59" s="5"/>
      <c r="O59" s="5"/>
      <c r="P59" s="9"/>
      <c r="Q59" s="9"/>
      <c r="R59" s="9"/>
      <c r="S59" s="18"/>
      <c r="T59" s="5"/>
      <c r="U59" s="5"/>
      <c r="V59" s="5"/>
      <c r="W59" s="7"/>
      <c r="X59" s="18"/>
      <c r="Y59" s="18"/>
      <c r="Z59" s="7"/>
      <c r="AA59" s="18"/>
      <c r="AB59" s="6"/>
    </row>
    <row r="60" spans="1:28" x14ac:dyDescent="0.25">
      <c r="A60" s="67" t="s">
        <v>467</v>
      </c>
      <c r="B60" s="20" t="s">
        <v>58</v>
      </c>
      <c r="C60" s="7"/>
      <c r="D60" s="7"/>
      <c r="E60" s="7"/>
      <c r="F60" s="7"/>
      <c r="G60" s="7"/>
      <c r="H60" s="7"/>
      <c r="I60" s="5"/>
      <c r="J60" s="5"/>
      <c r="K60" s="5"/>
      <c r="L60" s="5"/>
      <c r="M60" s="5"/>
      <c r="N60" s="5"/>
      <c r="O60" s="5"/>
      <c r="P60" s="9"/>
      <c r="Q60" s="9"/>
      <c r="R60" s="9"/>
      <c r="S60" s="18"/>
      <c r="T60" s="5"/>
      <c r="U60" s="5"/>
      <c r="V60" s="5"/>
      <c r="W60" s="7"/>
      <c r="X60" s="18"/>
      <c r="Y60" s="18"/>
      <c r="Z60" s="7"/>
      <c r="AA60" s="18"/>
      <c r="AB60" s="6"/>
    </row>
    <row r="61" spans="1:28" x14ac:dyDescent="0.25">
      <c r="A61" s="67" t="s">
        <v>468</v>
      </c>
      <c r="B61" s="20" t="s">
        <v>59</v>
      </c>
      <c r="C61" s="7"/>
      <c r="D61" s="7"/>
      <c r="E61" s="7"/>
      <c r="F61" s="7"/>
      <c r="G61" s="7"/>
      <c r="H61" s="7"/>
      <c r="I61" s="5"/>
      <c r="J61" s="5"/>
      <c r="K61" s="5"/>
      <c r="L61" s="5"/>
      <c r="M61" s="5"/>
      <c r="N61" s="5"/>
      <c r="O61" s="5"/>
      <c r="P61" s="9"/>
      <c r="Q61" s="9"/>
      <c r="R61" s="9"/>
      <c r="S61" s="18"/>
      <c r="T61" s="5"/>
      <c r="U61" s="5"/>
      <c r="V61" s="5"/>
      <c r="W61" s="7"/>
      <c r="X61" s="18"/>
      <c r="Y61" s="18"/>
      <c r="Z61" s="7"/>
      <c r="AA61" s="18"/>
      <c r="AB61" s="6"/>
    </row>
    <row r="62" spans="1:28" x14ac:dyDescent="0.25">
      <c r="A62" s="67" t="s">
        <v>469</v>
      </c>
      <c r="B62" s="20" t="s">
        <v>60</v>
      </c>
      <c r="C62" s="7"/>
      <c r="D62" s="7"/>
      <c r="E62" s="7"/>
      <c r="F62" s="7"/>
      <c r="G62" s="7"/>
      <c r="H62" s="7"/>
      <c r="I62" s="5"/>
      <c r="J62" s="5"/>
      <c r="K62" s="5"/>
      <c r="L62" s="5"/>
      <c r="M62" s="5"/>
      <c r="N62" s="5"/>
      <c r="O62" s="5"/>
      <c r="P62" s="9"/>
      <c r="Q62" s="9"/>
      <c r="R62" s="9"/>
      <c r="S62" s="18"/>
      <c r="T62" s="5"/>
      <c r="U62" s="5"/>
      <c r="V62" s="5"/>
      <c r="W62" s="7"/>
      <c r="X62" s="18"/>
      <c r="Y62" s="18"/>
      <c r="Z62" s="7"/>
      <c r="AA62" s="18"/>
      <c r="AB62" s="6"/>
    </row>
    <row r="63" spans="1:28" x14ac:dyDescent="0.25">
      <c r="A63" s="67" t="s">
        <v>470</v>
      </c>
      <c r="B63" s="20" t="s">
        <v>61</v>
      </c>
      <c r="C63" s="7"/>
      <c r="D63" s="7"/>
      <c r="E63" s="7"/>
      <c r="F63" s="7"/>
      <c r="G63" s="7"/>
      <c r="H63" s="7"/>
      <c r="I63" s="5"/>
      <c r="J63" s="5"/>
      <c r="K63" s="5"/>
      <c r="L63" s="5"/>
      <c r="M63" s="5"/>
      <c r="N63" s="5"/>
      <c r="O63" s="5"/>
      <c r="P63" s="9"/>
      <c r="Q63" s="9"/>
      <c r="R63" s="9"/>
      <c r="S63" s="18"/>
      <c r="T63" s="5"/>
      <c r="U63" s="5"/>
      <c r="V63" s="5"/>
      <c r="W63" s="7"/>
      <c r="X63" s="18"/>
      <c r="Y63" s="18"/>
      <c r="Z63" s="7"/>
      <c r="AA63" s="18"/>
      <c r="AB63" s="6"/>
    </row>
    <row r="64" spans="1:28" x14ac:dyDescent="0.25">
      <c r="A64" s="67" t="s">
        <v>471</v>
      </c>
      <c r="B64" s="20" t="s">
        <v>62</v>
      </c>
      <c r="C64" s="7"/>
      <c r="D64" s="7"/>
      <c r="E64" s="7"/>
      <c r="F64" s="7"/>
      <c r="G64" s="7"/>
      <c r="H64" s="7"/>
      <c r="I64" s="5"/>
      <c r="J64" s="5"/>
      <c r="K64" s="5"/>
      <c r="L64" s="5"/>
      <c r="M64" s="5"/>
      <c r="N64" s="5"/>
      <c r="O64" s="5"/>
      <c r="P64" s="9"/>
      <c r="Q64" s="9"/>
      <c r="R64" s="9"/>
      <c r="S64" s="18"/>
      <c r="T64" s="5"/>
      <c r="U64" s="5"/>
      <c r="V64" s="5"/>
      <c r="W64" s="7"/>
      <c r="X64" s="18"/>
      <c r="Y64" s="18"/>
      <c r="Z64" s="7"/>
      <c r="AA64" s="18"/>
      <c r="AB64" s="6"/>
    </row>
    <row r="65" spans="1:28" x14ac:dyDescent="0.25">
      <c r="A65" s="67" t="s">
        <v>472</v>
      </c>
      <c r="B65" s="20" t="s">
        <v>63</v>
      </c>
      <c r="C65" s="7"/>
      <c r="D65" s="7"/>
      <c r="E65" s="7"/>
      <c r="F65" s="7"/>
      <c r="G65" s="7"/>
      <c r="H65" s="7"/>
      <c r="I65" s="5"/>
      <c r="J65" s="5"/>
      <c r="K65" s="5"/>
      <c r="L65" s="5"/>
      <c r="M65" s="5"/>
      <c r="N65" s="5"/>
      <c r="O65" s="5"/>
      <c r="P65" s="9"/>
      <c r="Q65" s="9"/>
      <c r="R65" s="9"/>
      <c r="S65" s="18"/>
      <c r="T65" s="5"/>
      <c r="U65" s="5"/>
      <c r="V65" s="5"/>
      <c r="W65" s="7"/>
      <c r="X65" s="18"/>
      <c r="Y65" s="18"/>
      <c r="Z65" s="7"/>
      <c r="AA65" s="18"/>
      <c r="AB65" s="6"/>
    </row>
    <row r="66" spans="1:28" x14ac:dyDescent="0.25">
      <c r="A66" s="67" t="s">
        <v>473</v>
      </c>
      <c r="B66" s="21" t="s">
        <v>64</v>
      </c>
      <c r="C66" s="7"/>
      <c r="D66" s="7"/>
      <c r="E66" s="7"/>
      <c r="F66" s="7"/>
      <c r="G66" s="7"/>
      <c r="H66" s="7"/>
      <c r="I66" s="5"/>
      <c r="J66" s="5"/>
      <c r="K66" s="5"/>
      <c r="L66" s="5"/>
      <c r="M66" s="5"/>
      <c r="N66" s="5"/>
      <c r="O66" s="5"/>
      <c r="P66" s="9"/>
      <c r="Q66" s="9"/>
      <c r="R66" s="9"/>
      <c r="S66" s="18"/>
      <c r="T66" s="5"/>
      <c r="U66" s="5"/>
      <c r="V66" s="5"/>
      <c r="W66" s="7"/>
      <c r="X66" s="18"/>
      <c r="Y66" s="18"/>
      <c r="Z66" s="7"/>
      <c r="AA66" s="18"/>
      <c r="AB66" s="6"/>
    </row>
    <row r="67" spans="1:28" x14ac:dyDescent="0.25">
      <c r="A67" s="67" t="s">
        <v>474</v>
      </c>
      <c r="B67" s="22" t="s">
        <v>65</v>
      </c>
      <c r="C67" s="7"/>
      <c r="D67" s="7"/>
      <c r="E67" s="7"/>
      <c r="F67" s="7"/>
      <c r="G67" s="7"/>
      <c r="H67" s="7"/>
      <c r="I67" s="5"/>
      <c r="J67" s="5"/>
      <c r="K67" s="5"/>
      <c r="L67" s="5"/>
      <c r="M67" s="5"/>
      <c r="N67" s="5"/>
      <c r="O67" s="5"/>
      <c r="P67" s="9"/>
      <c r="Q67" s="9"/>
      <c r="R67" s="9"/>
      <c r="S67" s="18"/>
      <c r="T67" s="18"/>
      <c r="U67" s="5"/>
      <c r="V67" s="5"/>
      <c r="W67" s="7"/>
      <c r="X67" s="18"/>
      <c r="Y67" s="18"/>
      <c r="Z67" s="7"/>
      <c r="AA67" s="18"/>
      <c r="AB67" s="6"/>
    </row>
    <row r="68" spans="1:28" x14ac:dyDescent="0.25">
      <c r="A68" s="4"/>
      <c r="B68" s="5"/>
      <c r="C68" s="7"/>
      <c r="D68" s="7"/>
      <c r="E68" s="7"/>
      <c r="F68" s="7"/>
      <c r="G68" s="7"/>
      <c r="H68" s="7"/>
      <c r="I68" s="5"/>
      <c r="J68" s="5"/>
      <c r="K68" s="5"/>
      <c r="L68" s="5"/>
      <c r="M68" s="5"/>
      <c r="N68" s="5"/>
      <c r="O68" s="5"/>
      <c r="P68" s="9"/>
      <c r="Q68" s="9"/>
      <c r="R68" s="9"/>
      <c r="S68" s="18"/>
      <c r="T68" s="18"/>
      <c r="U68" s="5"/>
      <c r="V68" s="5"/>
      <c r="W68" s="7"/>
      <c r="X68" s="18"/>
      <c r="Y68" s="18"/>
      <c r="Z68" s="7"/>
      <c r="AA68" s="18"/>
      <c r="AB68" s="6"/>
    </row>
    <row r="69" spans="1:28" x14ac:dyDescent="0.25">
      <c r="A69" s="119" t="s">
        <v>107</v>
      </c>
      <c r="B69" s="120"/>
      <c r="C69" s="18">
        <f>SUM(C20:C68)</f>
        <v>0</v>
      </c>
      <c r="D69" s="18">
        <f t="shared" ref="D69:H69" si="0">SUM(D20:D68)</f>
        <v>0</v>
      </c>
      <c r="E69" s="18">
        <f t="shared" si="0"/>
        <v>0</v>
      </c>
      <c r="F69" s="18">
        <f t="shared" si="0"/>
        <v>0</v>
      </c>
      <c r="G69" s="18"/>
      <c r="H69" s="18">
        <f t="shared" si="0"/>
        <v>0</v>
      </c>
      <c r="I69" s="18"/>
      <c r="J69" s="18"/>
      <c r="K69" s="18"/>
      <c r="L69" s="18"/>
      <c r="M69" s="18"/>
      <c r="N69" s="18"/>
      <c r="O69" s="18"/>
      <c r="P69" s="9">
        <f>'PHASE 3A'!P75</f>
        <v>4.7500000000000009</v>
      </c>
      <c r="Q69" s="9">
        <f>'PHASE 3A'!Q75</f>
        <v>16.050000000000011</v>
      </c>
      <c r="R69" s="9">
        <f>'PHASE 3A'!R75</f>
        <v>8.7500000000000053</v>
      </c>
      <c r="S69" s="29">
        <f>'PHASE 3A'!S75</f>
        <v>11415</v>
      </c>
      <c r="T69" s="18">
        <f>'PHASE 3A'!T75</f>
        <v>5848</v>
      </c>
      <c r="U69" s="18">
        <f>'PHASE 3A'!U75</f>
        <v>0</v>
      </c>
      <c r="V69" s="18"/>
      <c r="W69" s="18"/>
      <c r="X69" s="18"/>
      <c r="Y69" s="18"/>
      <c r="Z69" s="18"/>
      <c r="AA69" s="18"/>
      <c r="AB69" s="59"/>
    </row>
    <row r="70" spans="1:28" x14ac:dyDescent="0.25">
      <c r="A70" s="113" t="s">
        <v>110</v>
      </c>
      <c r="B70" s="75"/>
      <c r="C70" s="7"/>
      <c r="D70" s="7"/>
      <c r="E70" s="7"/>
      <c r="F70" s="7"/>
      <c r="G70" s="7"/>
      <c r="H70" s="7"/>
      <c r="I70" s="5"/>
      <c r="J70" s="5"/>
      <c r="K70" s="5"/>
      <c r="L70" s="5"/>
      <c r="M70" s="5"/>
      <c r="N70" s="5"/>
      <c r="O70" s="5"/>
      <c r="P70" s="9"/>
      <c r="Q70" s="9">
        <v>0.85</v>
      </c>
      <c r="R70" s="9">
        <v>0.85</v>
      </c>
      <c r="S70" s="18"/>
      <c r="T70" s="18"/>
      <c r="U70" s="5"/>
      <c r="V70" s="5"/>
      <c r="W70" s="7"/>
      <c r="X70" s="18"/>
      <c r="Y70" s="18"/>
      <c r="Z70" s="7"/>
      <c r="AA70" s="18"/>
      <c r="AB70" s="6"/>
    </row>
    <row r="71" spans="1:28" x14ac:dyDescent="0.25">
      <c r="A71" s="35"/>
      <c r="B71" s="36"/>
      <c r="C71" s="7"/>
      <c r="D71" s="7"/>
      <c r="E71" s="7"/>
      <c r="F71" s="7"/>
      <c r="G71" s="7"/>
      <c r="H71" s="7"/>
      <c r="I71" s="5"/>
      <c r="J71" s="5"/>
      <c r="K71" s="5"/>
      <c r="L71" s="5"/>
      <c r="M71" s="5"/>
      <c r="N71" s="5"/>
      <c r="O71" s="5"/>
      <c r="P71" s="9"/>
      <c r="Q71" s="9"/>
      <c r="R71" s="9"/>
      <c r="S71" s="29"/>
      <c r="T71" s="29"/>
      <c r="U71" s="5"/>
      <c r="V71" s="5"/>
      <c r="W71" s="7"/>
      <c r="X71" s="18"/>
      <c r="Y71" s="18"/>
      <c r="Z71" s="7"/>
      <c r="AA71" s="18"/>
      <c r="AB71" s="6"/>
    </row>
    <row r="72" spans="1:28" x14ac:dyDescent="0.25">
      <c r="A72" s="4"/>
      <c r="B72" s="5"/>
      <c r="C72" s="7"/>
      <c r="D72" s="7"/>
      <c r="E72" s="7"/>
      <c r="F72" s="7"/>
      <c r="G72" s="7"/>
      <c r="H72" s="7"/>
      <c r="I72" s="5"/>
      <c r="J72" s="5"/>
      <c r="K72" s="5"/>
      <c r="L72" s="5"/>
      <c r="M72" s="5"/>
      <c r="N72" s="5"/>
      <c r="O72" s="5"/>
      <c r="P72" s="9"/>
      <c r="Q72" s="9"/>
      <c r="R72" s="9"/>
      <c r="S72" s="18"/>
      <c r="T72" s="18"/>
      <c r="U72" s="5"/>
      <c r="V72" s="5"/>
      <c r="W72" s="7"/>
      <c r="X72" s="18"/>
      <c r="Y72" s="18"/>
      <c r="Z72" s="7"/>
      <c r="AA72" s="18"/>
      <c r="AB72" s="6"/>
    </row>
    <row r="73" spans="1:28" x14ac:dyDescent="0.25">
      <c r="A73" s="4"/>
      <c r="B73" s="5"/>
      <c r="C73" s="7"/>
      <c r="D73" s="7"/>
      <c r="E73" s="7"/>
      <c r="F73" s="7"/>
      <c r="G73" s="7"/>
      <c r="H73" s="7"/>
      <c r="I73" s="5"/>
      <c r="J73" s="5"/>
      <c r="K73" s="5"/>
      <c r="L73" s="5"/>
      <c r="M73" s="5"/>
      <c r="N73" s="5"/>
      <c r="O73" s="5"/>
      <c r="P73" s="9"/>
      <c r="Q73" s="9"/>
      <c r="R73" s="9"/>
      <c r="S73" s="18"/>
      <c r="T73" s="18"/>
      <c r="U73" s="5"/>
      <c r="V73" s="5"/>
      <c r="W73" s="7"/>
      <c r="X73" s="18"/>
      <c r="Y73" s="18"/>
      <c r="Z73" s="7"/>
      <c r="AA73" s="18"/>
      <c r="AB73" s="6"/>
    </row>
    <row r="74" spans="1:28" x14ac:dyDescent="0.25">
      <c r="A74" s="4"/>
      <c r="B74" s="5"/>
      <c r="C74" s="7"/>
      <c r="D74" s="7"/>
      <c r="E74" s="7"/>
      <c r="F74" s="7"/>
      <c r="G74" s="7"/>
      <c r="H74" s="7"/>
      <c r="I74" s="5"/>
      <c r="J74" s="5"/>
      <c r="K74" s="5"/>
      <c r="L74" s="5"/>
      <c r="M74" s="5"/>
      <c r="N74" s="5"/>
      <c r="O74" s="5"/>
      <c r="P74" s="9"/>
      <c r="Q74" s="9"/>
      <c r="R74" s="9"/>
      <c r="S74" s="18"/>
      <c r="T74" s="18"/>
      <c r="U74" s="5"/>
      <c r="V74" s="5"/>
      <c r="W74" s="7"/>
      <c r="X74" s="18"/>
      <c r="Y74" s="18"/>
      <c r="Z74" s="7"/>
      <c r="AA74" s="18"/>
      <c r="AB74" s="6"/>
    </row>
    <row r="75" spans="1:28" ht="18.95" customHeight="1" x14ac:dyDescent="0.25">
      <c r="A75" s="85" t="s">
        <v>494</v>
      </c>
      <c r="B75" s="86"/>
      <c r="C75" s="11">
        <f>SUM(C20:C74)</f>
        <v>0</v>
      </c>
      <c r="D75" s="11">
        <f t="shared" ref="D75:AB75" si="1">SUM(D20:D74)</f>
        <v>0</v>
      </c>
      <c r="E75" s="11">
        <f t="shared" si="1"/>
        <v>0</v>
      </c>
      <c r="F75" s="11">
        <f t="shared" si="1"/>
        <v>0</v>
      </c>
      <c r="G75" s="11"/>
      <c r="H75" s="11">
        <f t="shared" si="1"/>
        <v>0</v>
      </c>
      <c r="I75" s="11">
        <f t="shared" si="1"/>
        <v>0</v>
      </c>
      <c r="J75" s="11">
        <f t="shared" si="1"/>
        <v>0</v>
      </c>
      <c r="K75" s="11">
        <f t="shared" si="1"/>
        <v>36</v>
      </c>
      <c r="L75" s="11">
        <f t="shared" si="1"/>
        <v>0</v>
      </c>
      <c r="M75" s="11">
        <f t="shared" si="1"/>
        <v>20</v>
      </c>
      <c r="N75" s="11">
        <f t="shared" si="1"/>
        <v>0</v>
      </c>
      <c r="O75" s="11">
        <f t="shared" si="1"/>
        <v>19</v>
      </c>
      <c r="P75" s="24">
        <f t="shared" si="1"/>
        <v>4.7500000000000009</v>
      </c>
      <c r="Q75" s="24">
        <f t="shared" si="1"/>
        <v>17.240000000000013</v>
      </c>
      <c r="R75" s="24">
        <f t="shared" si="1"/>
        <v>9.600000000000005</v>
      </c>
      <c r="S75" s="12">
        <f t="shared" si="1"/>
        <v>12760</v>
      </c>
      <c r="T75" s="12">
        <f t="shared" si="1"/>
        <v>6848</v>
      </c>
      <c r="U75" s="11">
        <f t="shared" si="1"/>
        <v>0</v>
      </c>
      <c r="V75" s="11">
        <f t="shared" si="1"/>
        <v>0</v>
      </c>
      <c r="W75" s="11">
        <f t="shared" si="1"/>
        <v>0</v>
      </c>
      <c r="X75" s="11">
        <f t="shared" si="1"/>
        <v>0</v>
      </c>
      <c r="Y75" s="11">
        <f t="shared" si="1"/>
        <v>0</v>
      </c>
      <c r="Z75" s="11">
        <f t="shared" si="1"/>
        <v>0</v>
      </c>
      <c r="AA75" s="11">
        <f t="shared" si="1"/>
        <v>962</v>
      </c>
      <c r="AB75" s="60">
        <f t="shared" si="1"/>
        <v>0</v>
      </c>
    </row>
  </sheetData>
  <mergeCells count="31">
    <mergeCell ref="A75:B75"/>
    <mergeCell ref="U2:U18"/>
    <mergeCell ref="V2:V18"/>
    <mergeCell ref="W2:W18"/>
    <mergeCell ref="X2:X18"/>
    <mergeCell ref="N2:N18"/>
    <mergeCell ref="O2:O18"/>
    <mergeCell ref="P2:P18"/>
    <mergeCell ref="Q2:Q18"/>
    <mergeCell ref="R2:R18"/>
    <mergeCell ref="S2:S18"/>
    <mergeCell ref="M2:M18"/>
    <mergeCell ref="A1:A19"/>
    <mergeCell ref="B1:B19"/>
    <mergeCell ref="C2:C18"/>
    <mergeCell ref="D2:D18"/>
    <mergeCell ref="A70:B70"/>
    <mergeCell ref="A69:B69"/>
    <mergeCell ref="T2:T18"/>
    <mergeCell ref="AA2:AA18"/>
    <mergeCell ref="AB2:AB18"/>
    <mergeCell ref="Y2:Y18"/>
    <mergeCell ref="Z2:Z18"/>
    <mergeCell ref="E2:E18"/>
    <mergeCell ref="F2:F18"/>
    <mergeCell ref="H2:H18"/>
    <mergeCell ref="I2:I18"/>
    <mergeCell ref="J2:J18"/>
    <mergeCell ref="K2:K18"/>
    <mergeCell ref="L2:L18"/>
    <mergeCell ref="G2:G18"/>
  </mergeCells>
  <phoneticPr fontId="33" type="noConversion"/>
  <pageMargins left="0.7" right="0.7" top="0.75" bottom="0.75" header="0.3" footer="0.3"/>
  <pageSetup orientation="portrait" horizontalDpi="300" verticalDpi="300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TEMP PAVT</vt:lpstr>
      <vt:lpstr>PRE-PHASE 1</vt:lpstr>
      <vt:lpstr>PHASE 1</vt:lpstr>
      <vt:lpstr>PHASE 2A</vt:lpstr>
      <vt:lpstr>PHASE 2B</vt:lpstr>
      <vt:lpstr>PHASE 2C</vt:lpstr>
      <vt:lpstr>PHASE 3A</vt:lpstr>
      <vt:lpstr>PHASE 3B</vt:lpstr>
      <vt:lpstr>PHASE 3C</vt:lpstr>
      <vt:lpstr>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Harlow</dc:creator>
  <cp:lastModifiedBy>Harlow, Brian</cp:lastModifiedBy>
  <dcterms:created xsi:type="dcterms:W3CDTF">2022-09-16T11:27:12Z</dcterms:created>
  <dcterms:modified xsi:type="dcterms:W3CDTF">2025-10-07T19:39:59Z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