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bharlow\appdata\local\bentley\projectwise\workingdir\ohiodot-pw.bentley.com_ohiodot-pw-02\bharlow\d1303292\"/>
    </mc:Choice>
  </mc:AlternateContent>
  <xr:revisionPtr revIDLastSave="0" documentId="13_ncr:1_{69C5955C-5CAE-49AB-9372-969958EDB228}" xr6:coauthVersionLast="47" xr6:coauthVersionMax="47" xr10:uidLastSave="{00000000-0000-0000-0000-000000000000}"/>
  <bookViews>
    <workbookView xWindow="28680" yWindow="-120" windowWidth="29040" windowHeight="15720" activeTab="12" xr2:uid="{038D1F03-B87E-444B-8CBD-E6BE533C7C2E}"/>
  </bookViews>
  <sheets>
    <sheet name="Sheet1" sheetId="1" r:id="rId1"/>
    <sheet name="Sheet2" sheetId="2" r:id="rId2"/>
    <sheet name="Sheet3" sheetId="3" r:id="rId3"/>
    <sheet name="Sheet4" sheetId="4" r:id="rId4"/>
    <sheet name="Sheet5" sheetId="5" r:id="rId5"/>
    <sheet name="Sheet6" sheetId="6" r:id="rId6"/>
    <sheet name="Sheet7" sheetId="7" r:id="rId7"/>
    <sheet name="Sheet8" sheetId="8" r:id="rId8"/>
    <sheet name="Sheet9" sheetId="10" r:id="rId9"/>
    <sheet name="Sheet10" sheetId="14" r:id="rId10"/>
    <sheet name="Sheet11" sheetId="12" r:id="rId11"/>
    <sheet name="Sheet12" sheetId="13" r:id="rId12"/>
    <sheet name="Sheet13" sheetId="15" r:id="rId1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Y24" i="5" l="1"/>
  <c r="Y24" i="3" l="1"/>
  <c r="T71" i="15"/>
  <c r="Q39" i="15"/>
  <c r="Q37" i="15"/>
  <c r="Q35" i="15"/>
  <c r="Q34" i="15"/>
  <c r="Q33" i="15"/>
  <c r="Q32" i="15"/>
  <c r="Q31" i="15"/>
  <c r="Q22" i="15"/>
  <c r="Q21" i="15"/>
  <c r="Q24" i="15" s="1"/>
  <c r="Q71" i="15" s="1"/>
  <c r="K31" i="15"/>
  <c r="L31" i="15"/>
  <c r="M31" i="15"/>
  <c r="N31" i="15"/>
  <c r="O31" i="15"/>
  <c r="P31" i="15"/>
  <c r="T31" i="15"/>
  <c r="U31" i="15"/>
  <c r="W31" i="15"/>
  <c r="X31" i="15"/>
  <c r="Z31" i="15"/>
  <c r="AA31" i="15"/>
  <c r="AB31" i="15"/>
  <c r="K32" i="15"/>
  <c r="L32" i="15"/>
  <c r="M32" i="15"/>
  <c r="N32" i="15"/>
  <c r="O32" i="15"/>
  <c r="P32" i="15"/>
  <c r="T32" i="15"/>
  <c r="U32" i="15"/>
  <c r="V32" i="15"/>
  <c r="W32" i="15"/>
  <c r="X32" i="15"/>
  <c r="Y32" i="15"/>
  <c r="Z32" i="15"/>
  <c r="AA32" i="15"/>
  <c r="AB32" i="15"/>
  <c r="K33" i="15"/>
  <c r="L33" i="15"/>
  <c r="M33" i="15"/>
  <c r="N33" i="15"/>
  <c r="O33" i="15"/>
  <c r="P33" i="15"/>
  <c r="T33" i="15"/>
  <c r="U33" i="15"/>
  <c r="W33" i="15"/>
  <c r="X33" i="15"/>
  <c r="Z33" i="15"/>
  <c r="AA33" i="15"/>
  <c r="AB33" i="15"/>
  <c r="K34" i="15"/>
  <c r="L34" i="15"/>
  <c r="M34" i="15"/>
  <c r="N34" i="15"/>
  <c r="O34" i="15"/>
  <c r="P34" i="15"/>
  <c r="T34" i="15"/>
  <c r="U34" i="15"/>
  <c r="V34" i="15"/>
  <c r="W34" i="15"/>
  <c r="X34" i="15"/>
  <c r="Y34" i="15"/>
  <c r="Z34" i="15"/>
  <c r="AA34" i="15"/>
  <c r="AB34" i="15"/>
  <c r="K35" i="15"/>
  <c r="L35" i="15"/>
  <c r="M35" i="15"/>
  <c r="N35" i="15"/>
  <c r="O35" i="15"/>
  <c r="P35" i="15"/>
  <c r="T35" i="15"/>
  <c r="U35" i="15"/>
  <c r="V35" i="15"/>
  <c r="W35" i="15"/>
  <c r="X35" i="15"/>
  <c r="Y35" i="15"/>
  <c r="Z35" i="15"/>
  <c r="AA35" i="15"/>
  <c r="AB35" i="15"/>
  <c r="K37" i="15"/>
  <c r="L37" i="15"/>
  <c r="M37" i="15"/>
  <c r="N37" i="15"/>
  <c r="O37" i="15"/>
  <c r="P37" i="15"/>
  <c r="T37" i="15"/>
  <c r="U37" i="15"/>
  <c r="V37" i="15"/>
  <c r="W37" i="15"/>
  <c r="X37" i="15"/>
  <c r="Y37" i="15"/>
  <c r="Z37" i="15"/>
  <c r="AA37" i="15"/>
  <c r="AB37" i="15"/>
  <c r="K38" i="15"/>
  <c r="M38" i="15"/>
  <c r="P38" i="15"/>
  <c r="T38" i="15"/>
  <c r="Z38" i="15"/>
  <c r="AA38" i="15"/>
  <c r="AB38" i="15"/>
  <c r="K39" i="15"/>
  <c r="L39" i="15"/>
  <c r="M39" i="15"/>
  <c r="N39" i="15"/>
  <c r="O39" i="15"/>
  <c r="P39" i="15"/>
  <c r="T39" i="15"/>
  <c r="U39" i="15"/>
  <c r="V39" i="15"/>
  <c r="W39" i="15"/>
  <c r="X39" i="15"/>
  <c r="Y39" i="15"/>
  <c r="Z39" i="15"/>
  <c r="AA39" i="15"/>
  <c r="AB39" i="15"/>
  <c r="N40" i="15"/>
  <c r="Z40" i="15"/>
  <c r="AA40" i="15"/>
  <c r="J39" i="15"/>
  <c r="J38" i="15"/>
  <c r="J37" i="15"/>
  <c r="J35" i="15"/>
  <c r="J34" i="15"/>
  <c r="J33" i="15"/>
  <c r="J32" i="15"/>
  <c r="J31" i="15"/>
  <c r="K22" i="15"/>
  <c r="L22" i="15"/>
  <c r="M22" i="15"/>
  <c r="N22" i="15"/>
  <c r="O22" i="15"/>
  <c r="P22" i="15"/>
  <c r="T22" i="15"/>
  <c r="U22" i="15"/>
  <c r="V22" i="15"/>
  <c r="W22" i="15"/>
  <c r="X22" i="15"/>
  <c r="Y22" i="15"/>
  <c r="Z22" i="15"/>
  <c r="AA22" i="15"/>
  <c r="AB22" i="15"/>
  <c r="J22" i="15"/>
  <c r="K21" i="15"/>
  <c r="K24" i="15" s="1"/>
  <c r="K71" i="15" s="1"/>
  <c r="L21" i="15"/>
  <c r="M21" i="15"/>
  <c r="N21" i="15"/>
  <c r="O21" i="15"/>
  <c r="P21" i="15"/>
  <c r="T21" i="15"/>
  <c r="U21" i="15"/>
  <c r="V21" i="15"/>
  <c r="W21" i="15"/>
  <c r="X21" i="15"/>
  <c r="Y21" i="15"/>
  <c r="Z21" i="15"/>
  <c r="AA21" i="15"/>
  <c r="AB21" i="15"/>
  <c r="J21" i="15"/>
  <c r="I62" i="13"/>
  <c r="H62" i="13" s="1"/>
  <c r="I59" i="13"/>
  <c r="H59" i="13" s="1"/>
  <c r="I55" i="13"/>
  <c r="H55" i="13" s="1"/>
  <c r="I52" i="13"/>
  <c r="G48" i="13"/>
  <c r="I48" i="13" s="1"/>
  <c r="I45" i="13"/>
  <c r="W45" i="13" s="1"/>
  <c r="V45" i="13" s="1"/>
  <c r="G45" i="13"/>
  <c r="H45" i="13" s="1"/>
  <c r="G41" i="13"/>
  <c r="I41" i="13" s="1"/>
  <c r="W41" i="13" s="1"/>
  <c r="I38" i="13"/>
  <c r="G38" i="13"/>
  <c r="G34" i="13"/>
  <c r="I34" i="13" s="1"/>
  <c r="I31" i="13"/>
  <c r="G31" i="13"/>
  <c r="G27" i="13"/>
  <c r="I27" i="13" s="1"/>
  <c r="I24" i="13"/>
  <c r="W24" i="13" s="1"/>
  <c r="G24" i="13"/>
  <c r="G62" i="13"/>
  <c r="G59" i="13"/>
  <c r="G55" i="13"/>
  <c r="L60" i="12"/>
  <c r="S60" i="12"/>
  <c r="W60" i="12"/>
  <c r="L57" i="12"/>
  <c r="S57" i="12"/>
  <c r="W57" i="12"/>
  <c r="I60" i="12"/>
  <c r="I59" i="12"/>
  <c r="I58" i="12"/>
  <c r="S58" i="12" s="1"/>
  <c r="I57" i="12"/>
  <c r="G60" i="12"/>
  <c r="H60" i="12" s="1"/>
  <c r="G57" i="12"/>
  <c r="I57" i="8"/>
  <c r="W57" i="8" s="1"/>
  <c r="G57" i="8"/>
  <c r="I42" i="12"/>
  <c r="I41" i="12"/>
  <c r="S41" i="12" s="1"/>
  <c r="I37" i="12"/>
  <c r="S37" i="12" s="1"/>
  <c r="I36" i="12"/>
  <c r="L36" i="12" s="1"/>
  <c r="I45" i="14"/>
  <c r="I44" i="14"/>
  <c r="H44" i="14" s="1"/>
  <c r="W66" i="10"/>
  <c r="S66" i="10"/>
  <c r="L66" i="10"/>
  <c r="W63" i="10"/>
  <c r="V63" i="10"/>
  <c r="S63" i="10"/>
  <c r="L63" i="10"/>
  <c r="W59" i="10"/>
  <c r="S59" i="10"/>
  <c r="L59" i="10"/>
  <c r="W56" i="10"/>
  <c r="V56" i="10" s="1"/>
  <c r="S56" i="10"/>
  <c r="L56" i="10"/>
  <c r="I66" i="10"/>
  <c r="I63" i="10"/>
  <c r="I59" i="10"/>
  <c r="G66" i="10"/>
  <c r="H66" i="10" s="1"/>
  <c r="G63" i="10"/>
  <c r="G59" i="10"/>
  <c r="I56" i="10"/>
  <c r="H56" i="10" s="1"/>
  <c r="G56" i="10"/>
  <c r="G40" i="14"/>
  <c r="I40" i="14" s="1"/>
  <c r="G39" i="14"/>
  <c r="I39" i="14" s="1"/>
  <c r="G38" i="14"/>
  <c r="I38" i="14" s="1"/>
  <c r="G37" i="14"/>
  <c r="I37" i="14" s="1"/>
  <c r="G36" i="14"/>
  <c r="I36" i="14" s="1"/>
  <c r="G35" i="14"/>
  <c r="I35" i="14" s="1"/>
  <c r="L35" i="14" s="1"/>
  <c r="G34" i="14"/>
  <c r="I34" i="14" s="1"/>
  <c r="L34" i="14" s="1"/>
  <c r="G33" i="14"/>
  <c r="I33" i="14" s="1"/>
  <c r="G32" i="14"/>
  <c r="I32" i="14" s="1"/>
  <c r="G31" i="14"/>
  <c r="I31" i="14" s="1"/>
  <c r="G30" i="14"/>
  <c r="I30" i="14" s="1"/>
  <c r="L30" i="14" s="1"/>
  <c r="G29" i="14"/>
  <c r="I29" i="14" s="1"/>
  <c r="L29" i="14" s="1"/>
  <c r="G28" i="14"/>
  <c r="I28" i="14" s="1"/>
  <c r="L28" i="14" s="1"/>
  <c r="G27" i="14"/>
  <c r="I27" i="14" s="1"/>
  <c r="G26" i="14"/>
  <c r="I26" i="14" s="1"/>
  <c r="S26" i="14" s="1"/>
  <c r="G25" i="14"/>
  <c r="I25" i="14" s="1"/>
  <c r="L25" i="14" s="1"/>
  <c r="AB74" i="14"/>
  <c r="AA74" i="14"/>
  <c r="Z74" i="14"/>
  <c r="Y74" i="14"/>
  <c r="Y38" i="15" s="1"/>
  <c r="X74" i="14"/>
  <c r="X38" i="15" s="1"/>
  <c r="U74" i="14"/>
  <c r="U38" i="15" s="1"/>
  <c r="T74" i="14"/>
  <c r="P74" i="14"/>
  <c r="O74" i="14"/>
  <c r="O38" i="15" s="1"/>
  <c r="N74" i="14"/>
  <c r="N38" i="15" s="1"/>
  <c r="M74" i="14"/>
  <c r="K74" i="14"/>
  <c r="J74" i="14"/>
  <c r="G66" i="14"/>
  <c r="I66" i="14" s="1"/>
  <c r="G65" i="14"/>
  <c r="I65" i="14" s="1"/>
  <c r="L65" i="14" s="1"/>
  <c r="G64" i="14"/>
  <c r="I64" i="14" s="1"/>
  <c r="G63" i="14"/>
  <c r="I63" i="14" s="1"/>
  <c r="G62" i="14"/>
  <c r="I62" i="14" s="1"/>
  <c r="G61" i="14"/>
  <c r="I61" i="14" s="1"/>
  <c r="W61" i="14" s="1"/>
  <c r="G60" i="14"/>
  <c r="I60" i="14" s="1"/>
  <c r="W60" i="14" s="1"/>
  <c r="G59" i="14"/>
  <c r="I59" i="14" s="1"/>
  <c r="G58" i="14"/>
  <c r="I58" i="14" s="1"/>
  <c r="G57" i="14"/>
  <c r="I57" i="14" s="1"/>
  <c r="G56" i="14"/>
  <c r="I56" i="14" s="1"/>
  <c r="G55" i="14"/>
  <c r="I55" i="14" s="1"/>
  <c r="G54" i="14"/>
  <c r="I54" i="14" s="1"/>
  <c r="G53" i="14"/>
  <c r="I53" i="14" s="1"/>
  <c r="G52" i="14"/>
  <c r="I52" i="14" s="1"/>
  <c r="G51" i="14"/>
  <c r="I51" i="14" s="1"/>
  <c r="W51" i="14" s="1"/>
  <c r="G50" i="14"/>
  <c r="I50" i="14" s="1"/>
  <c r="G49" i="14"/>
  <c r="I49" i="14" s="1"/>
  <c r="G48" i="14"/>
  <c r="I48" i="14" s="1"/>
  <c r="G47" i="14"/>
  <c r="I47" i="14" s="1"/>
  <c r="G46" i="14"/>
  <c r="I46" i="14" s="1"/>
  <c r="W46" i="14" s="1"/>
  <c r="W45" i="14"/>
  <c r="G45" i="14"/>
  <c r="H45" i="14" s="1"/>
  <c r="I24" i="14"/>
  <c r="W24" i="14" s="1"/>
  <c r="AB74" i="13"/>
  <c r="AB40" i="15" s="1"/>
  <c r="AA74" i="13"/>
  <c r="Z74" i="13"/>
  <c r="Y74" i="13"/>
  <c r="Y40" i="15" s="1"/>
  <c r="X74" i="13"/>
  <c r="X40" i="15" s="1"/>
  <c r="U74" i="13"/>
  <c r="U40" i="15" s="1"/>
  <c r="T74" i="13"/>
  <c r="T40" i="15" s="1"/>
  <c r="P74" i="13"/>
  <c r="P40" i="15" s="1"/>
  <c r="O74" i="13"/>
  <c r="O40" i="15" s="1"/>
  <c r="N74" i="13"/>
  <c r="M74" i="13"/>
  <c r="M40" i="15" s="1"/>
  <c r="K74" i="13"/>
  <c r="K40" i="15" s="1"/>
  <c r="J74" i="13"/>
  <c r="J40" i="15" s="1"/>
  <c r="G52" i="13"/>
  <c r="L38" i="13"/>
  <c r="AB74" i="12"/>
  <c r="AA74" i="12"/>
  <c r="Y74" i="12"/>
  <c r="X74" i="12"/>
  <c r="V74" i="12"/>
  <c r="U74" i="12"/>
  <c r="P74" i="12"/>
  <c r="O74" i="12"/>
  <c r="N74" i="12"/>
  <c r="M74" i="12"/>
  <c r="K74" i="12"/>
  <c r="J74" i="12"/>
  <c r="G68" i="12"/>
  <c r="I68" i="12" s="1"/>
  <c r="G67" i="12"/>
  <c r="I67" i="12" s="1"/>
  <c r="G66" i="12"/>
  <c r="I66" i="12" s="1"/>
  <c r="G65" i="12"/>
  <c r="I65" i="12" s="1"/>
  <c r="I64" i="12"/>
  <c r="Z64" i="12" s="1"/>
  <c r="G59" i="12"/>
  <c r="G58" i="12"/>
  <c r="G56" i="12"/>
  <c r="I56" i="12" s="1"/>
  <c r="G55" i="12"/>
  <c r="I55" i="12" s="1"/>
  <c r="G54" i="12"/>
  <c r="I54" i="12" s="1"/>
  <c r="G53" i="12"/>
  <c r="I53" i="12" s="1"/>
  <c r="G52" i="12"/>
  <c r="I52" i="12" s="1"/>
  <c r="G51" i="12"/>
  <c r="I51" i="12" s="1"/>
  <c r="G50" i="12"/>
  <c r="I50" i="12" s="1"/>
  <c r="G49" i="12"/>
  <c r="I49" i="12" s="1"/>
  <c r="G48" i="12"/>
  <c r="I48" i="12" s="1"/>
  <c r="G47" i="12"/>
  <c r="I47" i="12" s="1"/>
  <c r="G46" i="12"/>
  <c r="I46" i="12" s="1"/>
  <c r="G45" i="12"/>
  <c r="I45" i="12" s="1"/>
  <c r="G44" i="12"/>
  <c r="I44" i="12" s="1"/>
  <c r="W44" i="12" s="1"/>
  <c r="G43" i="12"/>
  <c r="I43" i="12" s="1"/>
  <c r="W42" i="12"/>
  <c r="G42" i="12"/>
  <c r="H42" i="12" s="1"/>
  <c r="G41" i="12"/>
  <c r="G37" i="12"/>
  <c r="G36" i="12"/>
  <c r="G35" i="12"/>
  <c r="I35" i="12" s="1"/>
  <c r="G34" i="12"/>
  <c r="I34" i="12" s="1"/>
  <c r="G33" i="12"/>
  <c r="I33" i="12" s="1"/>
  <c r="G32" i="12"/>
  <c r="I32" i="12" s="1"/>
  <c r="G31" i="12"/>
  <c r="I31" i="12" s="1"/>
  <c r="G30" i="12"/>
  <c r="I30" i="12" s="1"/>
  <c r="G29" i="12"/>
  <c r="I29" i="12" s="1"/>
  <c r="G28" i="12"/>
  <c r="I28" i="12" s="1"/>
  <c r="G27" i="12"/>
  <c r="I27" i="12" s="1"/>
  <c r="G26" i="12"/>
  <c r="I26" i="12" s="1"/>
  <c r="G25" i="12"/>
  <c r="I25" i="12" s="1"/>
  <c r="G24" i="12"/>
  <c r="I24" i="12" s="1"/>
  <c r="G23" i="12"/>
  <c r="I23" i="12" s="1"/>
  <c r="L27" i="10"/>
  <c r="S27" i="10"/>
  <c r="W27" i="10"/>
  <c r="L48" i="10"/>
  <c r="S48" i="10"/>
  <c r="W48" i="10"/>
  <c r="G52" i="10"/>
  <c r="I52" i="10" s="1"/>
  <c r="L52" i="10" s="1"/>
  <c r="G48" i="10"/>
  <c r="H48" i="10" s="1"/>
  <c r="I45" i="10"/>
  <c r="S45" i="10" s="1"/>
  <c r="G45" i="10"/>
  <c r="I41" i="10"/>
  <c r="L41" i="10" s="1"/>
  <c r="G41" i="10"/>
  <c r="I38" i="10"/>
  <c r="L38" i="10" s="1"/>
  <c r="G38" i="10"/>
  <c r="H38" i="10" s="1"/>
  <c r="G34" i="10"/>
  <c r="I34" i="10" s="1"/>
  <c r="W34" i="10" s="1"/>
  <c r="I31" i="10"/>
  <c r="L31" i="10" s="1"/>
  <c r="G31" i="10"/>
  <c r="G27" i="10"/>
  <c r="I27" i="10" s="1"/>
  <c r="I24" i="10"/>
  <c r="L24" i="10" s="1"/>
  <c r="G24" i="10"/>
  <c r="AB74" i="10"/>
  <c r="AA74" i="10"/>
  <c r="Y74" i="10"/>
  <c r="X74" i="10"/>
  <c r="U74" i="10"/>
  <c r="P74" i="10"/>
  <c r="O74" i="10"/>
  <c r="N74" i="10"/>
  <c r="M74" i="10"/>
  <c r="K74" i="10"/>
  <c r="J74" i="10"/>
  <c r="G65" i="8"/>
  <c r="I65" i="8" s="1"/>
  <c r="G66" i="8"/>
  <c r="I66" i="8" s="1"/>
  <c r="G67" i="8"/>
  <c r="I67" i="8" s="1"/>
  <c r="G68" i="8"/>
  <c r="I68" i="8" s="1"/>
  <c r="G69" i="8"/>
  <c r="I69" i="8" s="1"/>
  <c r="T69" i="8" s="1"/>
  <c r="G64" i="8"/>
  <c r="I64" i="8" s="1"/>
  <c r="T64" i="8" s="1"/>
  <c r="J74" i="5"/>
  <c r="G56" i="4"/>
  <c r="I56" i="4" s="1"/>
  <c r="L24" i="15" l="1"/>
  <c r="L71" i="15" s="1"/>
  <c r="O24" i="15"/>
  <c r="O71" i="15" s="1"/>
  <c r="M24" i="15"/>
  <c r="M71" i="15" s="1"/>
  <c r="H24" i="13"/>
  <c r="H38" i="13"/>
  <c r="H52" i="13"/>
  <c r="H31" i="13"/>
  <c r="W31" i="13"/>
  <c r="V31" i="13" s="1"/>
  <c r="H57" i="8"/>
  <c r="P24" i="15"/>
  <c r="P71" i="15" s="1"/>
  <c r="J24" i="15"/>
  <c r="J71" i="15" s="1"/>
  <c r="AB24" i="15"/>
  <c r="AB71" i="15" s="1"/>
  <c r="Z24" i="15"/>
  <c r="Z71" i="15" s="1"/>
  <c r="Y24" i="15"/>
  <c r="Y71" i="15" s="1"/>
  <c r="W24" i="15"/>
  <c r="W71" i="15" s="1"/>
  <c r="AA24" i="15"/>
  <c r="AA71" i="15" s="1"/>
  <c r="V24" i="15"/>
  <c r="V71" i="15" s="1"/>
  <c r="X24" i="15"/>
  <c r="X71" i="15" s="1"/>
  <c r="U24" i="15"/>
  <c r="U71" i="15" s="1"/>
  <c r="N24" i="15"/>
  <c r="N71" i="15" s="1"/>
  <c r="W48" i="13"/>
  <c r="S48" i="13"/>
  <c r="L48" i="13"/>
  <c r="H41" i="12"/>
  <c r="H57" i="12"/>
  <c r="H58" i="12"/>
  <c r="S36" i="12"/>
  <c r="W36" i="12"/>
  <c r="W58" i="12"/>
  <c r="H36" i="12"/>
  <c r="L57" i="8"/>
  <c r="S57" i="8"/>
  <c r="S53" i="12"/>
  <c r="L53" i="12"/>
  <c r="W53" i="12"/>
  <c r="W44" i="14"/>
  <c r="L38" i="14"/>
  <c r="S38" i="14"/>
  <c r="W38" i="14"/>
  <c r="V38" i="14" s="1"/>
  <c r="L39" i="14"/>
  <c r="S39" i="14"/>
  <c r="W39" i="14"/>
  <c r="V39" i="14" s="1"/>
  <c r="W32" i="14"/>
  <c r="V32" i="14" s="1"/>
  <c r="L32" i="14"/>
  <c r="S32" i="14"/>
  <c r="L27" i="14"/>
  <c r="W27" i="14"/>
  <c r="V27" i="14" s="1"/>
  <c r="S31" i="14"/>
  <c r="L31" i="14"/>
  <c r="W31" i="14"/>
  <c r="V31" i="14" s="1"/>
  <c r="S36" i="14"/>
  <c r="W36" i="14"/>
  <c r="V36" i="14" s="1"/>
  <c r="L36" i="14"/>
  <c r="L40" i="14"/>
  <c r="S40" i="14"/>
  <c r="W40" i="14"/>
  <c r="V40" i="14" s="1"/>
  <c r="L33" i="14"/>
  <c r="S33" i="14"/>
  <c r="W33" i="14"/>
  <c r="V33" i="14" s="1"/>
  <c r="L37" i="14"/>
  <c r="S37" i="14"/>
  <c r="W37" i="14"/>
  <c r="V37" i="14" s="1"/>
  <c r="L46" i="14"/>
  <c r="S46" i="14"/>
  <c r="S25" i="14"/>
  <c r="W29" i="14"/>
  <c r="V29" i="14" s="1"/>
  <c r="W25" i="14"/>
  <c r="V25" i="14" s="1"/>
  <c r="S29" i="14"/>
  <c r="W30" i="14"/>
  <c r="V30" i="14" s="1"/>
  <c r="S30" i="14"/>
  <c r="W35" i="14"/>
  <c r="V35" i="14" s="1"/>
  <c r="S35" i="14"/>
  <c r="H63" i="10"/>
  <c r="H59" i="10"/>
  <c r="H24" i="10"/>
  <c r="S24" i="10"/>
  <c r="W24" i="10"/>
  <c r="V24" i="10" s="1"/>
  <c r="S52" i="10"/>
  <c r="W52" i="10"/>
  <c r="V52" i="10" s="1"/>
  <c r="W45" i="10"/>
  <c r="V45" i="10" s="1"/>
  <c r="L45" i="10"/>
  <c r="W41" i="10"/>
  <c r="H31" i="10"/>
  <c r="S41" i="10"/>
  <c r="S38" i="10"/>
  <c r="H41" i="10"/>
  <c r="L34" i="10"/>
  <c r="H45" i="10"/>
  <c r="S34" i="10"/>
  <c r="W31" i="10"/>
  <c r="V31" i="10" s="1"/>
  <c r="S31" i="10"/>
  <c r="W38" i="10"/>
  <c r="V38" i="10" s="1"/>
  <c r="W34" i="14"/>
  <c r="V34" i="14" s="1"/>
  <c r="S34" i="14"/>
  <c r="W26" i="14"/>
  <c r="V26" i="14" s="1"/>
  <c r="L26" i="14"/>
  <c r="W28" i="14"/>
  <c r="V28" i="14" s="1"/>
  <c r="S28" i="14"/>
  <c r="S27" i="14"/>
  <c r="L57" i="14"/>
  <c r="S57" i="14"/>
  <c r="W57" i="14"/>
  <c r="W47" i="14"/>
  <c r="S47" i="14"/>
  <c r="L47" i="14"/>
  <c r="W52" i="14"/>
  <c r="L52" i="14"/>
  <c r="S52" i="14"/>
  <c r="W66" i="14"/>
  <c r="L66" i="14"/>
  <c r="S66" i="14"/>
  <c r="W62" i="14"/>
  <c r="S62" i="14"/>
  <c r="L62" i="14"/>
  <c r="W48" i="14"/>
  <c r="S48" i="14"/>
  <c r="L48" i="14"/>
  <c r="S56" i="14"/>
  <c r="L56" i="14"/>
  <c r="W56" i="14"/>
  <c r="W55" i="14"/>
  <c r="S55" i="14"/>
  <c r="L55" i="14"/>
  <c r="W65" i="14"/>
  <c r="L51" i="14"/>
  <c r="W50" i="14"/>
  <c r="S50" i="14"/>
  <c r="L50" i="14"/>
  <c r="S51" i="14"/>
  <c r="W49" i="14"/>
  <c r="S49" i="14"/>
  <c r="L49" i="14"/>
  <c r="W63" i="14"/>
  <c r="S63" i="14"/>
  <c r="L63" i="14"/>
  <c r="W58" i="14"/>
  <c r="L58" i="14"/>
  <c r="S58" i="14"/>
  <c r="W59" i="14"/>
  <c r="S59" i="14"/>
  <c r="L59" i="14"/>
  <c r="L61" i="14"/>
  <c r="S61" i="14"/>
  <c r="S53" i="14"/>
  <c r="L53" i="14"/>
  <c r="W53" i="14"/>
  <c r="W64" i="14"/>
  <c r="S64" i="14"/>
  <c r="L64" i="14"/>
  <c r="S65" i="14"/>
  <c r="S60" i="14"/>
  <c r="L60" i="14"/>
  <c r="V24" i="14"/>
  <c r="W54" i="14"/>
  <c r="S54" i="14"/>
  <c r="L54" i="14"/>
  <c r="L44" i="14"/>
  <c r="S44" i="14"/>
  <c r="L24" i="14"/>
  <c r="L45" i="14"/>
  <c r="S24" i="14"/>
  <c r="S45" i="14"/>
  <c r="W27" i="13"/>
  <c r="L27" i="13"/>
  <c r="S27" i="13"/>
  <c r="W52" i="13"/>
  <c r="V52" i="13" s="1"/>
  <c r="S52" i="13"/>
  <c r="L52" i="13"/>
  <c r="W34" i="13"/>
  <c r="S34" i="13"/>
  <c r="L34" i="13"/>
  <c r="V24" i="13"/>
  <c r="L24" i="13"/>
  <c r="S24" i="13"/>
  <c r="W38" i="13"/>
  <c r="V38" i="13" s="1"/>
  <c r="S38" i="13"/>
  <c r="L41" i="13"/>
  <c r="S41" i="13"/>
  <c r="L31" i="13"/>
  <c r="S31" i="13"/>
  <c r="L45" i="13"/>
  <c r="S45" i="13"/>
  <c r="L27" i="12"/>
  <c r="W27" i="12"/>
  <c r="S27" i="12"/>
  <c r="S24" i="12"/>
  <c r="L24" i="12"/>
  <c r="W24" i="12"/>
  <c r="W50" i="12"/>
  <c r="L50" i="12"/>
  <c r="S50" i="12"/>
  <c r="H59" i="12"/>
  <c r="Z66" i="12"/>
  <c r="T66" i="12"/>
  <c r="W32" i="12"/>
  <c r="S32" i="12"/>
  <c r="L32" i="12"/>
  <c r="S43" i="12"/>
  <c r="L43" i="12"/>
  <c r="W43" i="12"/>
  <c r="W26" i="12"/>
  <c r="S26" i="12"/>
  <c r="L26" i="12"/>
  <c r="W46" i="12"/>
  <c r="S46" i="12"/>
  <c r="L46" i="12"/>
  <c r="W29" i="12"/>
  <c r="S29" i="12"/>
  <c r="L29" i="12"/>
  <c r="W31" i="12"/>
  <c r="S31" i="12"/>
  <c r="L31" i="12"/>
  <c r="L33" i="12"/>
  <c r="W33" i="12"/>
  <c r="S33" i="12"/>
  <c r="W35" i="12"/>
  <c r="S35" i="12"/>
  <c r="L35" i="12"/>
  <c r="S54" i="12"/>
  <c r="W54" i="12"/>
  <c r="L54" i="12"/>
  <c r="L23" i="12"/>
  <c r="W23" i="12"/>
  <c r="T65" i="12"/>
  <c r="Z65" i="12"/>
  <c r="T68" i="12"/>
  <c r="Z68" i="12"/>
  <c r="W28" i="12"/>
  <c r="L28" i="12"/>
  <c r="S28" i="12"/>
  <c r="W48" i="12"/>
  <c r="L48" i="12"/>
  <c r="S48" i="12"/>
  <c r="W34" i="12"/>
  <c r="S34" i="12"/>
  <c r="L34" i="12"/>
  <c r="W55" i="12"/>
  <c r="S55" i="12"/>
  <c r="L55" i="12"/>
  <c r="Z67" i="12"/>
  <c r="T67" i="12"/>
  <c r="W49" i="12"/>
  <c r="L49" i="12"/>
  <c r="S49" i="12"/>
  <c r="W51" i="12"/>
  <c r="S51" i="12"/>
  <c r="L51" i="12"/>
  <c r="W56" i="12"/>
  <c r="S56" i="12"/>
  <c r="L56" i="12"/>
  <c r="S23" i="12"/>
  <c r="W25" i="12"/>
  <c r="S25" i="12"/>
  <c r="L25" i="12"/>
  <c r="W45" i="12"/>
  <c r="S45" i="12"/>
  <c r="L45" i="12"/>
  <c r="W47" i="12"/>
  <c r="S47" i="12"/>
  <c r="L47" i="12"/>
  <c r="W30" i="12"/>
  <c r="S30" i="12"/>
  <c r="L30" i="12"/>
  <c r="W52" i="12"/>
  <c r="S52" i="12"/>
  <c r="L52" i="12"/>
  <c r="L44" i="12"/>
  <c r="L59" i="12"/>
  <c r="S44" i="12"/>
  <c r="L37" i="12"/>
  <c r="W37" i="12"/>
  <c r="T64" i="12"/>
  <c r="L41" i="12"/>
  <c r="W41" i="12"/>
  <c r="W59" i="12"/>
  <c r="H37" i="12"/>
  <c r="S59" i="12"/>
  <c r="L42" i="12"/>
  <c r="S42" i="12"/>
  <c r="L58" i="12"/>
  <c r="V74" i="10"/>
  <c r="Z74" i="10"/>
  <c r="T74" i="10"/>
  <c r="Z67" i="8"/>
  <c r="T67" i="8"/>
  <c r="T65" i="8"/>
  <c r="Z65" i="8"/>
  <c r="T68" i="8"/>
  <c r="Z68" i="8"/>
  <c r="Z66" i="8"/>
  <c r="T66" i="8"/>
  <c r="Z69" i="8"/>
  <c r="Z64" i="8"/>
  <c r="Q56" i="4"/>
  <c r="N56" i="4"/>
  <c r="Y56" i="4"/>
  <c r="X56" i="4"/>
  <c r="P56" i="4"/>
  <c r="O56" i="4"/>
  <c r="J56" i="4"/>
  <c r="T74" i="12" l="1"/>
  <c r="Z74" i="12"/>
  <c r="Q74" i="12"/>
  <c r="Q74" i="14"/>
  <c r="Q38" i="15" s="1"/>
  <c r="L74" i="14"/>
  <c r="L38" i="15" s="1"/>
  <c r="W74" i="14"/>
  <c r="W38" i="15" s="1"/>
  <c r="V74" i="14"/>
  <c r="V38" i="15" s="1"/>
  <c r="L74" i="12"/>
  <c r="W74" i="12"/>
  <c r="W74" i="10"/>
  <c r="L74" i="10"/>
  <c r="Q74" i="10"/>
  <c r="R56" i="4"/>
  <c r="K56" i="4"/>
  <c r="V56" i="4"/>
  <c r="I63" i="8" l="1"/>
  <c r="I59" i="8"/>
  <c r="W59" i="8" s="1"/>
  <c r="I58" i="8"/>
  <c r="S58" i="8" s="1"/>
  <c r="G59" i="8"/>
  <c r="G58" i="8"/>
  <c r="G45" i="8"/>
  <c r="I45" i="8" s="1"/>
  <c r="L45" i="8" s="1"/>
  <c r="G46" i="8"/>
  <c r="I46" i="8" s="1"/>
  <c r="L46" i="8" s="1"/>
  <c r="G47" i="8"/>
  <c r="I47" i="8" s="1"/>
  <c r="S47" i="8" s="1"/>
  <c r="G48" i="8"/>
  <c r="I48" i="8" s="1"/>
  <c r="L48" i="8" s="1"/>
  <c r="G49" i="8"/>
  <c r="I49" i="8" s="1"/>
  <c r="S49" i="8" s="1"/>
  <c r="G50" i="8"/>
  <c r="I50" i="8" s="1"/>
  <c r="L50" i="8" s="1"/>
  <c r="G51" i="8"/>
  <c r="I51" i="8" s="1"/>
  <c r="L51" i="8" s="1"/>
  <c r="G52" i="8"/>
  <c r="I52" i="8" s="1"/>
  <c r="L52" i="8" s="1"/>
  <c r="G53" i="8"/>
  <c r="I53" i="8" s="1"/>
  <c r="W53" i="8" s="1"/>
  <c r="G54" i="8"/>
  <c r="I54" i="8" s="1"/>
  <c r="G55" i="8"/>
  <c r="I55" i="8" s="1"/>
  <c r="S55" i="8" s="1"/>
  <c r="G56" i="8"/>
  <c r="I56" i="8" s="1"/>
  <c r="L56" i="8" s="1"/>
  <c r="G44" i="8"/>
  <c r="I44" i="8" s="1"/>
  <c r="S44" i="8" s="1"/>
  <c r="I42" i="8"/>
  <c r="L42" i="8" s="1"/>
  <c r="I41" i="8"/>
  <c r="W41" i="8" s="1"/>
  <c r="G43" i="8"/>
  <c r="I43" i="8" s="1"/>
  <c r="G42" i="8"/>
  <c r="G41" i="8"/>
  <c r="I37" i="8"/>
  <c r="L37" i="8" s="1"/>
  <c r="I36" i="8"/>
  <c r="L36" i="8" s="1"/>
  <c r="H58" i="8" l="1"/>
  <c r="H59" i="8"/>
  <c r="W54" i="8"/>
  <c r="S54" i="8"/>
  <c r="L54" i="8"/>
  <c r="S52" i="8"/>
  <c r="S42" i="8"/>
  <c r="L53" i="8"/>
  <c r="S46" i="8"/>
  <c r="W42" i="8"/>
  <c r="S53" i="8"/>
  <c r="W52" i="8"/>
  <c r="L47" i="8"/>
  <c r="S59" i="8"/>
  <c r="W45" i="8"/>
  <c r="W55" i="8"/>
  <c r="W51" i="8"/>
  <c r="S51" i="8"/>
  <c r="W46" i="8"/>
  <c r="H41" i="8"/>
  <c r="L55" i="8"/>
  <c r="S43" i="8"/>
  <c r="L43" i="8"/>
  <c r="W43" i="8"/>
  <c r="W49" i="8"/>
  <c r="S50" i="8"/>
  <c r="L59" i="8"/>
  <c r="W37" i="8"/>
  <c r="W58" i="8"/>
  <c r="S37" i="8"/>
  <c r="S41" i="8"/>
  <c r="L58" i="8"/>
  <c r="L41" i="8"/>
  <c r="W36" i="8"/>
  <c r="W56" i="8"/>
  <c r="W48" i="8"/>
  <c r="T63" i="8"/>
  <c r="T74" i="8" s="1"/>
  <c r="T36" i="15" s="1"/>
  <c r="T42" i="15" s="1"/>
  <c r="T72" i="15" s="1"/>
  <c r="T74" i="15" s="1"/>
  <c r="Z63" i="8"/>
  <c r="Z74" i="8" s="1"/>
  <c r="Z36" i="15" s="1"/>
  <c r="Z42" i="15" s="1"/>
  <c r="Z72" i="15" s="1"/>
  <c r="Z74" i="15" s="1"/>
  <c r="S48" i="8"/>
  <c r="L44" i="8"/>
  <c r="L49" i="8"/>
  <c r="S36" i="8"/>
  <c r="S56" i="8"/>
  <c r="S45" i="8"/>
  <c r="W44" i="8"/>
  <c r="W50" i="8"/>
  <c r="H42" i="8"/>
  <c r="W47" i="8"/>
  <c r="G36" i="8"/>
  <c r="H36" i="8" s="1"/>
  <c r="G37" i="8"/>
  <c r="H37" i="8" s="1"/>
  <c r="G24" i="8"/>
  <c r="I24" i="8" s="1"/>
  <c r="G25" i="8"/>
  <c r="I25" i="8" s="1"/>
  <c r="G26" i="8"/>
  <c r="I26" i="8" s="1"/>
  <c r="G27" i="8"/>
  <c r="I27" i="8" s="1"/>
  <c r="G28" i="8"/>
  <c r="I28" i="8"/>
  <c r="G29" i="8"/>
  <c r="I29" i="8" s="1"/>
  <c r="G30" i="8"/>
  <c r="I30" i="8"/>
  <c r="G31" i="8"/>
  <c r="I31" i="8" s="1"/>
  <c r="G32" i="8"/>
  <c r="I32" i="8"/>
  <c r="G33" i="8"/>
  <c r="I33" i="8"/>
  <c r="G34" i="8"/>
  <c r="I34" i="8"/>
  <c r="G35" i="8"/>
  <c r="I35" i="8" s="1"/>
  <c r="G23" i="8"/>
  <c r="I23" i="8" s="1"/>
  <c r="AB74" i="8"/>
  <c r="AB36" i="15" s="1"/>
  <c r="AB42" i="15" s="1"/>
  <c r="AB72" i="15" s="1"/>
  <c r="AB74" i="15" s="1"/>
  <c r="AA74" i="8"/>
  <c r="AA36" i="15" s="1"/>
  <c r="AA42" i="15" s="1"/>
  <c r="AA72" i="15" s="1"/>
  <c r="AA74" i="15" s="1"/>
  <c r="Y74" i="8"/>
  <c r="Y36" i="15" s="1"/>
  <c r="X74" i="8"/>
  <c r="X36" i="15" s="1"/>
  <c r="X42" i="15" s="1"/>
  <c r="X72" i="15" s="1"/>
  <c r="X74" i="15" s="1"/>
  <c r="U74" i="8"/>
  <c r="U36" i="15" s="1"/>
  <c r="U42" i="15" s="1"/>
  <c r="U72" i="15" s="1"/>
  <c r="U74" i="15" s="1"/>
  <c r="P74" i="8"/>
  <c r="P36" i="15" s="1"/>
  <c r="P42" i="15" s="1"/>
  <c r="P72" i="15" s="1"/>
  <c r="P74" i="15" s="1"/>
  <c r="O74" i="8"/>
  <c r="O36" i="15" s="1"/>
  <c r="O42" i="15" s="1"/>
  <c r="O72" i="15" s="1"/>
  <c r="O74" i="15" s="1"/>
  <c r="N74" i="8"/>
  <c r="N36" i="15" s="1"/>
  <c r="N42" i="15" s="1"/>
  <c r="N72" i="15" s="1"/>
  <c r="N74" i="15" s="1"/>
  <c r="M74" i="8"/>
  <c r="M36" i="15" s="1"/>
  <c r="M42" i="15" s="1"/>
  <c r="M72" i="15" s="1"/>
  <c r="M74" i="15" s="1"/>
  <c r="K74" i="8"/>
  <c r="K36" i="15" s="1"/>
  <c r="K42" i="15" s="1"/>
  <c r="K72" i="15" s="1"/>
  <c r="K74" i="15" s="1"/>
  <c r="J74" i="8"/>
  <c r="J36" i="15" s="1"/>
  <c r="J42" i="15" s="1"/>
  <c r="J72" i="15" s="1"/>
  <c r="J74" i="15" s="1"/>
  <c r="I47" i="7"/>
  <c r="I46" i="7"/>
  <c r="G68" i="7"/>
  <c r="I68" i="7" s="1"/>
  <c r="G67" i="7"/>
  <c r="I67" i="7" s="1"/>
  <c r="G66" i="7"/>
  <c r="I66" i="7" s="1"/>
  <c r="G65" i="7"/>
  <c r="I65" i="7" s="1"/>
  <c r="G64" i="7"/>
  <c r="I64" i="7" s="1"/>
  <c r="G63" i="7"/>
  <c r="I63" i="7" s="1"/>
  <c r="G62" i="7"/>
  <c r="I62" i="7" s="1"/>
  <c r="G61" i="7"/>
  <c r="I61" i="7" s="1"/>
  <c r="G60" i="7"/>
  <c r="I60" i="7" s="1"/>
  <c r="G59" i="7"/>
  <c r="I59" i="7" s="1"/>
  <c r="G58" i="7"/>
  <c r="I58" i="7" s="1"/>
  <c r="G57" i="7"/>
  <c r="I57" i="7" s="1"/>
  <c r="G56" i="7"/>
  <c r="I56" i="7" s="1"/>
  <c r="G55" i="7"/>
  <c r="I55" i="7" s="1"/>
  <c r="G54" i="7"/>
  <c r="I54" i="7" s="1"/>
  <c r="G53" i="7"/>
  <c r="I53" i="7" s="1"/>
  <c r="G52" i="7"/>
  <c r="I52" i="7" s="1"/>
  <c r="G51" i="7"/>
  <c r="I51" i="7" s="1"/>
  <c r="G50" i="7"/>
  <c r="I50" i="7" s="1"/>
  <c r="G49" i="7"/>
  <c r="I49" i="7" s="1"/>
  <c r="G48" i="7"/>
  <c r="I48" i="7" s="1"/>
  <c r="G47" i="7"/>
  <c r="S31" i="8" l="1"/>
  <c r="L31" i="8"/>
  <c r="W31" i="8"/>
  <c r="S29" i="8"/>
  <c r="W29" i="8"/>
  <c r="L29" i="8"/>
  <c r="S24" i="8"/>
  <c r="W24" i="8"/>
  <c r="L24" i="8"/>
  <c r="S35" i="8"/>
  <c r="W35" i="8"/>
  <c r="L35" i="8"/>
  <c r="W30" i="8"/>
  <c r="S30" i="8"/>
  <c r="L30" i="8"/>
  <c r="S27" i="8"/>
  <c r="W27" i="8"/>
  <c r="L27" i="8"/>
  <c r="S25" i="8"/>
  <c r="W25" i="8"/>
  <c r="L25" i="8"/>
  <c r="W23" i="8"/>
  <c r="L23" i="8"/>
  <c r="L74" i="8" s="1"/>
  <c r="L36" i="15" s="1"/>
  <c r="S23" i="8"/>
  <c r="Q74" i="8" s="1"/>
  <c r="Q36" i="15" s="1"/>
  <c r="W34" i="8"/>
  <c r="L34" i="8"/>
  <c r="S34" i="8"/>
  <c r="L33" i="8"/>
  <c r="S33" i="8"/>
  <c r="W33" i="8"/>
  <c r="W32" i="8"/>
  <c r="L32" i="8"/>
  <c r="S32" i="8"/>
  <c r="L28" i="8"/>
  <c r="S28" i="8"/>
  <c r="W28" i="8"/>
  <c r="L26" i="8"/>
  <c r="S26" i="8"/>
  <c r="W26" i="8"/>
  <c r="W62" i="7"/>
  <c r="S62" i="7"/>
  <c r="L62" i="7"/>
  <c r="S54" i="7"/>
  <c r="W54" i="7"/>
  <c r="L54" i="7"/>
  <c r="L68" i="7"/>
  <c r="S68" i="7"/>
  <c r="W68" i="7"/>
  <c r="W55" i="7"/>
  <c r="L55" i="7"/>
  <c r="S55" i="7"/>
  <c r="L63" i="7"/>
  <c r="S63" i="7"/>
  <c r="W63" i="7"/>
  <c r="L66" i="7"/>
  <c r="W66" i="7"/>
  <c r="S66" i="7"/>
  <c r="H46" i="7"/>
  <c r="L46" i="7"/>
  <c r="S46" i="7"/>
  <c r="W46" i="7"/>
  <c r="S49" i="7"/>
  <c r="W49" i="7"/>
  <c r="L49" i="7"/>
  <c r="S51" i="7"/>
  <c r="W51" i="7"/>
  <c r="L51" i="7"/>
  <c r="L53" i="7"/>
  <c r="S53" i="7"/>
  <c r="W53" i="7"/>
  <c r="W56" i="7"/>
  <c r="L56" i="7"/>
  <c r="S56" i="7"/>
  <c r="L64" i="7"/>
  <c r="S64" i="7"/>
  <c r="W64" i="7"/>
  <c r="S57" i="7"/>
  <c r="W57" i="7"/>
  <c r="L57" i="7"/>
  <c r="L65" i="7"/>
  <c r="W65" i="7"/>
  <c r="S65" i="7"/>
  <c r="L47" i="7"/>
  <c r="S47" i="7"/>
  <c r="W47" i="7"/>
  <c r="L58" i="7"/>
  <c r="S58" i="7"/>
  <c r="W58" i="7"/>
  <c r="S59" i="7"/>
  <c r="W59" i="7"/>
  <c r="L59" i="7"/>
  <c r="S67" i="7"/>
  <c r="W67" i="7"/>
  <c r="L67" i="7"/>
  <c r="L48" i="7"/>
  <c r="S48" i="7"/>
  <c r="W48" i="7"/>
  <c r="W50" i="7"/>
  <c r="S50" i="7"/>
  <c r="L50" i="7"/>
  <c r="L52" i="7"/>
  <c r="S52" i="7"/>
  <c r="W52" i="7"/>
  <c r="L60" i="7"/>
  <c r="S60" i="7"/>
  <c r="W60" i="7"/>
  <c r="L61" i="7"/>
  <c r="S61" i="7"/>
  <c r="W61" i="7"/>
  <c r="H47" i="7"/>
  <c r="V74" i="8" l="1"/>
  <c r="V36" i="15" s="1"/>
  <c r="W74" i="8"/>
  <c r="W36" i="15" s="1"/>
  <c r="G26" i="7" l="1"/>
  <c r="I26" i="7" s="1"/>
  <c r="G27" i="7"/>
  <c r="I27" i="7" s="1"/>
  <c r="G28" i="7"/>
  <c r="I28" i="7" s="1"/>
  <c r="G29" i="7"/>
  <c r="I29" i="7" s="1"/>
  <c r="G30" i="7"/>
  <c r="I30" i="7" s="1"/>
  <c r="G31" i="7"/>
  <c r="I31" i="7" s="1"/>
  <c r="G32" i="7"/>
  <c r="I32" i="7" s="1"/>
  <c r="G33" i="7"/>
  <c r="I33" i="7" s="1"/>
  <c r="G34" i="7"/>
  <c r="I34" i="7" s="1"/>
  <c r="G35" i="7"/>
  <c r="I35" i="7" s="1"/>
  <c r="G36" i="7"/>
  <c r="I36" i="7" s="1"/>
  <c r="G37" i="7"/>
  <c r="I37" i="7" s="1"/>
  <c r="G38" i="7"/>
  <c r="I38" i="7" s="1"/>
  <c r="G39" i="7"/>
  <c r="I39" i="7" s="1"/>
  <c r="G40" i="7"/>
  <c r="I40" i="7" s="1"/>
  <c r="G41" i="7"/>
  <c r="I41" i="7" s="1"/>
  <c r="G42" i="7"/>
  <c r="I42" i="7" s="1"/>
  <c r="G25" i="7"/>
  <c r="I25" i="7" s="1"/>
  <c r="I24" i="7"/>
  <c r="AB74" i="7"/>
  <c r="AA74" i="7"/>
  <c r="U74" i="7"/>
  <c r="N74" i="7"/>
  <c r="M74" i="7"/>
  <c r="J57" i="6"/>
  <c r="I54" i="6"/>
  <c r="G60" i="6"/>
  <c r="I60" i="6" s="1"/>
  <c r="Q57" i="6"/>
  <c r="G57" i="6"/>
  <c r="G54" i="6"/>
  <c r="Q54" i="6" s="1"/>
  <c r="J47" i="6"/>
  <c r="Q47" i="6"/>
  <c r="I44" i="6"/>
  <c r="Y44" i="6" s="1"/>
  <c r="G50" i="6"/>
  <c r="I50" i="6" s="1"/>
  <c r="Z50" i="6" s="1"/>
  <c r="G47" i="6"/>
  <c r="P47" i="6" s="1"/>
  <c r="G44" i="6"/>
  <c r="Q44" i="6" s="1"/>
  <c r="G40" i="6"/>
  <c r="I40" i="6" s="1"/>
  <c r="Z40" i="6" s="1"/>
  <c r="J37" i="6"/>
  <c r="Q37" i="6"/>
  <c r="G37" i="6"/>
  <c r="P37" i="6" s="1"/>
  <c r="I34" i="6"/>
  <c r="J34" i="6" s="1"/>
  <c r="G34" i="6"/>
  <c r="Q34" i="6" s="1"/>
  <c r="G30" i="6"/>
  <c r="I30" i="6" s="1"/>
  <c r="Q27" i="6"/>
  <c r="S29" i="7" l="1"/>
  <c r="W29" i="7"/>
  <c r="V29" i="7" s="1"/>
  <c r="L29" i="7"/>
  <c r="S31" i="7"/>
  <c r="W31" i="7"/>
  <c r="V31" i="7" s="1"/>
  <c r="L31" i="7"/>
  <c r="L30" i="7"/>
  <c r="S30" i="7"/>
  <c r="W30" i="7"/>
  <c r="V30" i="7" s="1"/>
  <c r="L27" i="7"/>
  <c r="S27" i="7"/>
  <c r="W27" i="7"/>
  <c r="V27" i="7" s="1"/>
  <c r="L26" i="7"/>
  <c r="S26" i="7"/>
  <c r="W26" i="7"/>
  <c r="V26" i="7" s="1"/>
  <c r="L32" i="7"/>
  <c r="S32" i="7"/>
  <c r="W32" i="7"/>
  <c r="V32" i="7" s="1"/>
  <c r="S28" i="7"/>
  <c r="L28" i="7"/>
  <c r="W28" i="7"/>
  <c r="V28" i="7" s="1"/>
  <c r="S25" i="7"/>
  <c r="W25" i="7"/>
  <c r="V25" i="7" s="1"/>
  <c r="L25" i="7"/>
  <c r="S37" i="7"/>
  <c r="W37" i="7"/>
  <c r="V37" i="7" s="1"/>
  <c r="L37" i="7"/>
  <c r="L41" i="7"/>
  <c r="S41" i="7"/>
  <c r="W41" i="7"/>
  <c r="V41" i="7" s="1"/>
  <c r="L34" i="7"/>
  <c r="W34" i="7"/>
  <c r="V34" i="7" s="1"/>
  <c r="S34" i="7"/>
  <c r="L36" i="7"/>
  <c r="S36" i="7"/>
  <c r="W36" i="7"/>
  <c r="V36" i="7" s="1"/>
  <c r="S38" i="7"/>
  <c r="L38" i="7"/>
  <c r="W38" i="7"/>
  <c r="V38" i="7" s="1"/>
  <c r="L24" i="7"/>
  <c r="W24" i="7"/>
  <c r="S24" i="7"/>
  <c r="L40" i="7"/>
  <c r="S40" i="7"/>
  <c r="W40" i="7"/>
  <c r="V40" i="7" s="1"/>
  <c r="W42" i="7"/>
  <c r="V42" i="7" s="1"/>
  <c r="L42" i="7"/>
  <c r="S42" i="7"/>
  <c r="L35" i="7"/>
  <c r="S35" i="7"/>
  <c r="W35" i="7"/>
  <c r="V35" i="7" s="1"/>
  <c r="L39" i="7"/>
  <c r="S39" i="7"/>
  <c r="W39" i="7"/>
  <c r="V39" i="7" s="1"/>
  <c r="L33" i="7"/>
  <c r="S33" i="7"/>
  <c r="W33" i="7"/>
  <c r="V33" i="7" s="1"/>
  <c r="T74" i="7"/>
  <c r="Z74" i="7"/>
  <c r="P74" i="7"/>
  <c r="O47" i="6"/>
  <c r="K47" i="6"/>
  <c r="I47" i="6"/>
  <c r="X47" i="6" s="1"/>
  <c r="T30" i="6"/>
  <c r="Z30" i="6"/>
  <c r="X44" i="6"/>
  <c r="V44" i="6" s="1"/>
  <c r="O34" i="6"/>
  <c r="P34" i="6"/>
  <c r="R34" i="6"/>
  <c r="X34" i="6"/>
  <c r="Y34" i="6"/>
  <c r="H34" i="6"/>
  <c r="K34" i="6"/>
  <c r="J44" i="6"/>
  <c r="K44" i="6"/>
  <c r="O44" i="6"/>
  <c r="P44" i="6"/>
  <c r="R44" i="6"/>
  <c r="H44" i="6"/>
  <c r="H54" i="6"/>
  <c r="Z60" i="6"/>
  <c r="T60" i="6"/>
  <c r="J54" i="6"/>
  <c r="K54" i="6"/>
  <c r="Y54" i="6"/>
  <c r="I57" i="6"/>
  <c r="K57" i="6"/>
  <c r="O57" i="6"/>
  <c r="P57" i="6"/>
  <c r="O54" i="6"/>
  <c r="P54" i="6"/>
  <c r="R54" i="6"/>
  <c r="X54" i="6"/>
  <c r="T50" i="6"/>
  <c r="R47" i="6"/>
  <c r="Y47" i="6"/>
  <c r="T40" i="6"/>
  <c r="I37" i="6"/>
  <c r="R37" i="6" s="1"/>
  <c r="K37" i="6"/>
  <c r="O37" i="6"/>
  <c r="V24" i="7" l="1"/>
  <c r="W74" i="7"/>
  <c r="L74" i="7"/>
  <c r="Y74" i="7"/>
  <c r="J74" i="7"/>
  <c r="O74" i="7"/>
  <c r="Q74" i="7"/>
  <c r="K74" i="7"/>
  <c r="X74" i="7"/>
  <c r="V74" i="7"/>
  <c r="V34" i="6"/>
  <c r="V54" i="6"/>
  <c r="Y57" i="6"/>
  <c r="X57" i="6"/>
  <c r="R57" i="6"/>
  <c r="Y37" i="6"/>
  <c r="X37" i="6"/>
  <c r="J27" i="6" l="1"/>
  <c r="G27" i="6"/>
  <c r="I27" i="6" s="1"/>
  <c r="I24" i="6"/>
  <c r="Y24" i="6" s="1"/>
  <c r="G24" i="6"/>
  <c r="Q24" i="6" s="1"/>
  <c r="Y27" i="6" l="1"/>
  <c r="Y74" i="6" s="1"/>
  <c r="X27" i="6"/>
  <c r="H24" i="6"/>
  <c r="O24" i="6"/>
  <c r="P24" i="6"/>
  <c r="X24" i="6"/>
  <c r="V24" i="6" s="1"/>
  <c r="V74" i="6" s="1"/>
  <c r="K24" i="6"/>
  <c r="R24" i="6"/>
  <c r="R27" i="6"/>
  <c r="O27" i="6"/>
  <c r="O74" i="6" s="1"/>
  <c r="K27" i="6"/>
  <c r="J24" i="6"/>
  <c r="J74" i="6" s="1"/>
  <c r="P27" i="6"/>
  <c r="U74" i="6"/>
  <c r="W74" i="6"/>
  <c r="X74" i="6"/>
  <c r="Z74" i="6"/>
  <c r="AA74" i="6"/>
  <c r="AB74" i="6"/>
  <c r="T74" i="6"/>
  <c r="Q74" i="6"/>
  <c r="K74" i="6"/>
  <c r="L74" i="6"/>
  <c r="M74" i="6"/>
  <c r="N74" i="6"/>
  <c r="Z74" i="5"/>
  <c r="W74" i="5"/>
  <c r="U74" i="5"/>
  <c r="T74" i="5"/>
  <c r="L74" i="5"/>
  <c r="N74" i="5"/>
  <c r="U74" i="4"/>
  <c r="W74" i="4"/>
  <c r="AA74" i="4"/>
  <c r="AB74" i="4"/>
  <c r="L74" i="4"/>
  <c r="M74" i="4"/>
  <c r="U74" i="3"/>
  <c r="W74" i="3"/>
  <c r="Z74" i="3"/>
  <c r="T74" i="3"/>
  <c r="L74" i="3"/>
  <c r="U74" i="2"/>
  <c r="V74" i="2"/>
  <c r="W74" i="2"/>
  <c r="X74" i="2"/>
  <c r="Y74" i="2"/>
  <c r="Z74" i="2"/>
  <c r="AA74" i="2"/>
  <c r="AB74" i="2"/>
  <c r="T74" i="2"/>
  <c r="Q74" i="2"/>
  <c r="K74" i="2"/>
  <c r="L74" i="2"/>
  <c r="M74" i="2"/>
  <c r="N74" i="2"/>
  <c r="O74" i="2"/>
  <c r="P74" i="2"/>
  <c r="J74" i="2"/>
  <c r="AB74" i="1"/>
  <c r="U74" i="1"/>
  <c r="V74" i="1"/>
  <c r="W74" i="1"/>
  <c r="X74" i="1"/>
  <c r="Y74" i="1"/>
  <c r="Z74" i="1"/>
  <c r="AA74" i="1"/>
  <c r="T74" i="1"/>
  <c r="Q74" i="1"/>
  <c r="K74" i="1"/>
  <c r="L74" i="1"/>
  <c r="M74" i="1"/>
  <c r="N74" i="1"/>
  <c r="O74" i="1"/>
  <c r="P74" i="1"/>
  <c r="J74" i="1"/>
  <c r="J57" i="5"/>
  <c r="J56" i="5"/>
  <c r="J55" i="5"/>
  <c r="G57" i="5"/>
  <c r="K57" i="5" s="1"/>
  <c r="H56" i="5"/>
  <c r="G56" i="5"/>
  <c r="K56" i="5" l="1"/>
  <c r="I56" i="5"/>
  <c r="Y56" i="5" s="1"/>
  <c r="O57" i="5"/>
  <c r="P57" i="5"/>
  <c r="P74" i="6"/>
  <c r="P56" i="5"/>
  <c r="O56" i="5"/>
  <c r="I57" i="5"/>
  <c r="X56" i="5" l="1"/>
  <c r="V56" i="5" s="1"/>
  <c r="R56" i="5"/>
  <c r="R57" i="5"/>
  <c r="X57" i="5"/>
  <c r="Y57" i="5"/>
  <c r="V57" i="5" l="1"/>
  <c r="Q66" i="5" l="1"/>
  <c r="Q65" i="5"/>
  <c r="G66" i="5"/>
  <c r="O66" i="5" s="1"/>
  <c r="G65" i="5"/>
  <c r="O65" i="5" s="1"/>
  <c r="G64" i="5"/>
  <c r="I64" i="5" s="1"/>
  <c r="X64" i="5" s="1"/>
  <c r="G63" i="5"/>
  <c r="I63" i="5" s="1"/>
  <c r="G62" i="5"/>
  <c r="P62" i="5" s="1"/>
  <c r="G61" i="5"/>
  <c r="I61" i="5" s="1"/>
  <c r="G60" i="5"/>
  <c r="I60" i="5" s="1"/>
  <c r="G59" i="5"/>
  <c r="K59" i="5" s="1"/>
  <c r="G58" i="5"/>
  <c r="I58" i="5" s="1"/>
  <c r="G55" i="5"/>
  <c r="K55" i="5" s="1"/>
  <c r="G54" i="5"/>
  <c r="P54" i="5" s="1"/>
  <c r="Q52" i="5"/>
  <c r="G53" i="5"/>
  <c r="P53" i="5" s="1"/>
  <c r="J66" i="5"/>
  <c r="J65" i="5"/>
  <c r="J64" i="5"/>
  <c r="J63" i="5"/>
  <c r="J62" i="5"/>
  <c r="J61" i="5"/>
  <c r="J60" i="5"/>
  <c r="J59" i="5"/>
  <c r="J58" i="5"/>
  <c r="J54" i="5"/>
  <c r="J53" i="5"/>
  <c r="J52" i="5"/>
  <c r="G52" i="5"/>
  <c r="I52" i="5" s="1"/>
  <c r="G51" i="5"/>
  <c r="I51" i="5" s="1"/>
  <c r="G47" i="5"/>
  <c r="I47" i="5" s="1"/>
  <c r="R47" i="5" s="1"/>
  <c r="G46" i="5"/>
  <c r="I46" i="5" s="1"/>
  <c r="G42" i="5"/>
  <c r="AA42" i="5" s="1"/>
  <c r="G41" i="5"/>
  <c r="I41" i="5" s="1"/>
  <c r="G37" i="5"/>
  <c r="Q37" i="5" s="1"/>
  <c r="G36" i="5"/>
  <c r="Q36" i="5" s="1"/>
  <c r="G35" i="5"/>
  <c r="I35" i="5" s="1"/>
  <c r="G34" i="5"/>
  <c r="Q34" i="5" s="1"/>
  <c r="G33" i="5"/>
  <c r="I33" i="5" s="1"/>
  <c r="G32" i="5"/>
  <c r="Q32" i="5" s="1"/>
  <c r="G31" i="5"/>
  <c r="Q31" i="5" s="1"/>
  <c r="G30" i="5"/>
  <c r="I30" i="5" s="1"/>
  <c r="G29" i="5"/>
  <c r="Q29" i="5" s="1"/>
  <c r="G28" i="5"/>
  <c r="I28" i="5" s="1"/>
  <c r="G27" i="5"/>
  <c r="I27" i="5" s="1"/>
  <c r="G26" i="5"/>
  <c r="Q26" i="5" s="1"/>
  <c r="G25" i="5"/>
  <c r="I25" i="5" s="1"/>
  <c r="K25" i="5" s="1"/>
  <c r="G24" i="5"/>
  <c r="I24" i="5" s="1"/>
  <c r="Y52" i="4"/>
  <c r="X52" i="4"/>
  <c r="Q52" i="4"/>
  <c r="J52" i="4"/>
  <c r="I48" i="4"/>
  <c r="Y48" i="4" s="1"/>
  <c r="I44" i="4"/>
  <c r="Y44" i="4" s="1"/>
  <c r="Q40" i="4"/>
  <c r="I40" i="4"/>
  <c r="K40" i="4" s="1"/>
  <c r="I32" i="4"/>
  <c r="Y32" i="4" s="1"/>
  <c r="Q36" i="4"/>
  <c r="J36" i="4"/>
  <c r="Q28" i="4"/>
  <c r="R25" i="4"/>
  <c r="X25" i="4"/>
  <c r="Y25" i="4"/>
  <c r="R27" i="4"/>
  <c r="X27" i="4"/>
  <c r="Y27" i="4"/>
  <c r="O48" i="4" l="1"/>
  <c r="P48" i="4"/>
  <c r="R48" i="4"/>
  <c r="J48" i="4"/>
  <c r="K48" i="4"/>
  <c r="X48" i="4"/>
  <c r="V48" i="4" s="1"/>
  <c r="J27" i="5"/>
  <c r="O27" i="5"/>
  <c r="K27" i="5"/>
  <c r="P27" i="5"/>
  <c r="R27" i="5"/>
  <c r="X27" i="5"/>
  <c r="Q27" i="5"/>
  <c r="Q25" i="5"/>
  <c r="K52" i="5"/>
  <c r="I34" i="5"/>
  <c r="R34" i="5" s="1"/>
  <c r="O52" i="5"/>
  <c r="Q35" i="5"/>
  <c r="P52" i="5"/>
  <c r="I62" i="5"/>
  <c r="O62" i="5"/>
  <c r="K62" i="5"/>
  <c r="R62" i="5"/>
  <c r="I29" i="5"/>
  <c r="Y29" i="5" s="1"/>
  <c r="Q30" i="5"/>
  <c r="I65" i="5"/>
  <c r="O53" i="5"/>
  <c r="K53" i="5"/>
  <c r="K65" i="5"/>
  <c r="Q33" i="5"/>
  <c r="I59" i="5"/>
  <c r="R59" i="5" s="1"/>
  <c r="I36" i="5"/>
  <c r="J36" i="5" s="1"/>
  <c r="I53" i="5"/>
  <c r="R53" i="5" s="1"/>
  <c r="I42" i="5"/>
  <c r="O42" i="5" s="1"/>
  <c r="R64" i="5"/>
  <c r="R46" i="5"/>
  <c r="X46" i="5"/>
  <c r="Y46" i="5"/>
  <c r="S46" i="5"/>
  <c r="Y52" i="5"/>
  <c r="X52" i="5"/>
  <c r="R52" i="5"/>
  <c r="X58" i="5"/>
  <c r="Y58" i="5"/>
  <c r="Y41" i="5"/>
  <c r="X41" i="5"/>
  <c r="R41" i="5"/>
  <c r="O41" i="5"/>
  <c r="X35" i="5"/>
  <c r="Y35" i="5"/>
  <c r="V35" i="5" s="1"/>
  <c r="K35" i="5"/>
  <c r="O35" i="5"/>
  <c r="J35" i="5"/>
  <c r="P35" i="5"/>
  <c r="R35" i="5"/>
  <c r="J28" i="5"/>
  <c r="P28" i="5"/>
  <c r="K28" i="5"/>
  <c r="O28" i="5"/>
  <c r="R28" i="5"/>
  <c r="X28" i="5"/>
  <c r="Y28" i="5"/>
  <c r="Y51" i="5"/>
  <c r="X51" i="5"/>
  <c r="S51" i="5"/>
  <c r="R51" i="5"/>
  <c r="M51" i="5"/>
  <c r="X24" i="5"/>
  <c r="S24" i="5"/>
  <c r="R24" i="5"/>
  <c r="M24" i="5"/>
  <c r="R33" i="5"/>
  <c r="J33" i="5"/>
  <c r="K33" i="5"/>
  <c r="X33" i="5"/>
  <c r="O33" i="5"/>
  <c r="P33" i="5"/>
  <c r="Y33" i="5"/>
  <c r="R63" i="5"/>
  <c r="X63" i="5"/>
  <c r="Y63" i="5"/>
  <c r="R60" i="5"/>
  <c r="X60" i="5"/>
  <c r="Y60" i="5"/>
  <c r="X61" i="5"/>
  <c r="Y61" i="5"/>
  <c r="J30" i="5"/>
  <c r="Y30" i="5"/>
  <c r="O30" i="5"/>
  <c r="X30" i="5"/>
  <c r="V30" i="5" s="1"/>
  <c r="K30" i="5"/>
  <c r="P30" i="5"/>
  <c r="R30" i="5"/>
  <c r="P60" i="5"/>
  <c r="X47" i="5"/>
  <c r="O54" i="5"/>
  <c r="O63" i="5"/>
  <c r="I66" i="5"/>
  <c r="R66" i="5" s="1"/>
  <c r="I37" i="5"/>
  <c r="S47" i="5"/>
  <c r="K54" i="5"/>
  <c r="K63" i="5"/>
  <c r="P63" i="5"/>
  <c r="P58" i="5"/>
  <c r="P66" i="5"/>
  <c r="Q28" i="5"/>
  <c r="O58" i="5"/>
  <c r="P61" i="5"/>
  <c r="K58" i="5"/>
  <c r="O61" i="5"/>
  <c r="P64" i="5"/>
  <c r="AA41" i="5"/>
  <c r="AA74" i="5" s="1"/>
  <c r="R25" i="5"/>
  <c r="Y25" i="5"/>
  <c r="I26" i="5"/>
  <c r="K61" i="5"/>
  <c r="O64" i="5"/>
  <c r="I54" i="5"/>
  <c r="R54" i="5" s="1"/>
  <c r="K66" i="5"/>
  <c r="K64" i="5"/>
  <c r="AB46" i="5"/>
  <c r="O25" i="5"/>
  <c r="X25" i="5"/>
  <c r="Y47" i="5"/>
  <c r="R58" i="5"/>
  <c r="Y64" i="5"/>
  <c r="V64" i="5" s="1"/>
  <c r="AB47" i="5"/>
  <c r="J25" i="5"/>
  <c r="P25" i="5"/>
  <c r="O60" i="5"/>
  <c r="K60" i="5"/>
  <c r="H25" i="5"/>
  <c r="R61" i="5"/>
  <c r="P59" i="5"/>
  <c r="I32" i="5"/>
  <c r="K32" i="5" s="1"/>
  <c r="K36" i="5"/>
  <c r="O59" i="5"/>
  <c r="P65" i="5"/>
  <c r="Y27" i="5"/>
  <c r="I31" i="5"/>
  <c r="I55" i="5"/>
  <c r="R55" i="5" s="1"/>
  <c r="P55" i="5"/>
  <c r="O55" i="5"/>
  <c r="V27" i="4"/>
  <c r="Y40" i="4"/>
  <c r="P40" i="4"/>
  <c r="J44" i="4"/>
  <c r="X40" i="4"/>
  <c r="X44" i="4"/>
  <c r="V25" i="4"/>
  <c r="J40" i="4"/>
  <c r="O40" i="4"/>
  <c r="R40" i="4"/>
  <c r="R32" i="4"/>
  <c r="X32" i="4"/>
  <c r="V32" i="4" s="1"/>
  <c r="J32" i="4"/>
  <c r="K32" i="4"/>
  <c r="O32" i="4"/>
  <c r="P32" i="4"/>
  <c r="X34" i="5" l="1"/>
  <c r="V52" i="5"/>
  <c r="Y34" i="5"/>
  <c r="V34" i="5" s="1"/>
  <c r="R29" i="5"/>
  <c r="X36" i="5"/>
  <c r="V24" i="5"/>
  <c r="M74" i="5"/>
  <c r="AB74" i="5"/>
  <c r="V27" i="5"/>
  <c r="J34" i="5"/>
  <c r="V41" i="5"/>
  <c r="K34" i="5"/>
  <c r="O34" i="5"/>
  <c r="P34" i="5"/>
  <c r="Y62" i="5"/>
  <c r="X62" i="5"/>
  <c r="V62" i="5" s="1"/>
  <c r="V25" i="5"/>
  <c r="X29" i="5"/>
  <c r="V29" i="5" s="1"/>
  <c r="R42" i="5"/>
  <c r="P36" i="5"/>
  <c r="X53" i="5"/>
  <c r="Y53" i="5"/>
  <c r="Y65" i="5"/>
  <c r="X65" i="5"/>
  <c r="V63" i="5"/>
  <c r="X59" i="5"/>
  <c r="Y59" i="5"/>
  <c r="X42" i="5"/>
  <c r="R65" i="5"/>
  <c r="Y42" i="5"/>
  <c r="P29" i="5"/>
  <c r="O29" i="5"/>
  <c r="K29" i="5"/>
  <c r="J29" i="5"/>
  <c r="O36" i="5"/>
  <c r="R36" i="5"/>
  <c r="Y36" i="5"/>
  <c r="V36" i="5" s="1"/>
  <c r="V51" i="5"/>
  <c r="V58" i="5"/>
  <c r="V33" i="5"/>
  <c r="V47" i="5"/>
  <c r="J32" i="5"/>
  <c r="R32" i="5"/>
  <c r="X32" i="5"/>
  <c r="Y32" i="5"/>
  <c r="O32" i="5"/>
  <c r="P32" i="5"/>
  <c r="Y54" i="5"/>
  <c r="X54" i="5"/>
  <c r="Y66" i="5"/>
  <c r="J31" i="5"/>
  <c r="K31" i="5"/>
  <c r="O31" i="5"/>
  <c r="P31" i="5"/>
  <c r="R31" i="5"/>
  <c r="X31" i="5"/>
  <c r="Y31" i="5"/>
  <c r="O37" i="5"/>
  <c r="K37" i="5"/>
  <c r="R37" i="5"/>
  <c r="X37" i="5"/>
  <c r="P37" i="5"/>
  <c r="Y37" i="5"/>
  <c r="J37" i="5"/>
  <c r="X66" i="5"/>
  <c r="K26" i="5"/>
  <c r="K74" i="5" s="1"/>
  <c r="R26" i="5"/>
  <c r="X26" i="5"/>
  <c r="J26" i="5"/>
  <c r="O26" i="5"/>
  <c r="P26" i="5"/>
  <c r="Y26" i="5"/>
  <c r="V61" i="5"/>
  <c r="V28" i="5"/>
  <c r="V60" i="5"/>
  <c r="V46" i="5"/>
  <c r="X55" i="5"/>
  <c r="Y55" i="5"/>
  <c r="V40" i="4"/>
  <c r="V65" i="5" l="1"/>
  <c r="V54" i="5"/>
  <c r="Q74" i="5"/>
  <c r="O74" i="5"/>
  <c r="X74" i="5"/>
  <c r="P74" i="5"/>
  <c r="Y74" i="5"/>
  <c r="Y33" i="15" s="1"/>
  <c r="V59" i="5"/>
  <c r="V66" i="5"/>
  <c r="V42" i="5"/>
  <c r="V37" i="5"/>
  <c r="V53" i="5"/>
  <c r="V31" i="5"/>
  <c r="V32" i="5"/>
  <c r="V26" i="5"/>
  <c r="V55" i="5"/>
  <c r="V74" i="5" l="1"/>
  <c r="V33" i="15" s="1"/>
  <c r="G32" i="4"/>
  <c r="G36" i="4"/>
  <c r="G40" i="4"/>
  <c r="H40" i="4" s="1"/>
  <c r="G44" i="4"/>
  <c r="N44" i="4" s="1"/>
  <c r="G48" i="4"/>
  <c r="G52" i="4"/>
  <c r="J28" i="4"/>
  <c r="G28" i="4"/>
  <c r="I28" i="4" s="1"/>
  <c r="I24" i="4"/>
  <c r="Y24" i="4" s="1"/>
  <c r="G24" i="4"/>
  <c r="Q24" i="4" s="1"/>
  <c r="J69" i="3"/>
  <c r="G69" i="3"/>
  <c r="I69" i="3" s="1"/>
  <c r="J68" i="3"/>
  <c r="G68" i="3"/>
  <c r="O68" i="3" s="1"/>
  <c r="J67" i="3"/>
  <c r="G67" i="3"/>
  <c r="I67" i="3" s="1"/>
  <c r="X67" i="3" s="1"/>
  <c r="J66" i="3"/>
  <c r="G66" i="3"/>
  <c r="I66" i="3" s="1"/>
  <c r="Q57" i="3"/>
  <c r="J65" i="3"/>
  <c r="G65" i="3"/>
  <c r="P65" i="3" s="1"/>
  <c r="J64" i="3"/>
  <c r="G64" i="3"/>
  <c r="P64" i="3" s="1"/>
  <c r="J63" i="3"/>
  <c r="G63" i="3"/>
  <c r="I63" i="3" s="1"/>
  <c r="J62" i="3"/>
  <c r="G62" i="3"/>
  <c r="J60" i="3"/>
  <c r="J59" i="3"/>
  <c r="J58" i="3"/>
  <c r="J56" i="3"/>
  <c r="J55" i="3"/>
  <c r="J54" i="3"/>
  <c r="J61" i="3"/>
  <c r="G61" i="3"/>
  <c r="I61" i="3" s="1"/>
  <c r="P67" i="3" l="1"/>
  <c r="O64" i="3"/>
  <c r="O67" i="3"/>
  <c r="I64" i="3"/>
  <c r="K67" i="3"/>
  <c r="O69" i="3"/>
  <c r="K64" i="3"/>
  <c r="P69" i="3"/>
  <c r="H52" i="4"/>
  <c r="R52" i="4" s="1"/>
  <c r="H48" i="4"/>
  <c r="Q48" i="4"/>
  <c r="N74" i="4"/>
  <c r="Q44" i="4"/>
  <c r="R66" i="3"/>
  <c r="X66" i="3"/>
  <c r="Y66" i="3"/>
  <c r="X69" i="3"/>
  <c r="Y69" i="3"/>
  <c r="X61" i="3"/>
  <c r="Y61" i="3"/>
  <c r="R63" i="3"/>
  <c r="X63" i="3"/>
  <c r="Y63" i="3"/>
  <c r="I68" i="3"/>
  <c r="P68" i="3"/>
  <c r="K61" i="3"/>
  <c r="K63" i="3"/>
  <c r="O66" i="3"/>
  <c r="K69" i="3"/>
  <c r="K68" i="3"/>
  <c r="P61" i="3"/>
  <c r="O61" i="3"/>
  <c r="K66" i="3"/>
  <c r="P66" i="3"/>
  <c r="K62" i="3"/>
  <c r="P63" i="3"/>
  <c r="O63" i="3"/>
  <c r="R61" i="3"/>
  <c r="R69" i="3"/>
  <c r="P62" i="3"/>
  <c r="O65" i="3"/>
  <c r="K65" i="3"/>
  <c r="I65" i="3"/>
  <c r="R65" i="3" s="1"/>
  <c r="O62" i="3"/>
  <c r="I62" i="3"/>
  <c r="X28" i="4"/>
  <c r="Y28" i="4"/>
  <c r="P24" i="4"/>
  <c r="O24" i="4"/>
  <c r="X24" i="4"/>
  <c r="R24" i="4"/>
  <c r="H44" i="4"/>
  <c r="O44" i="4" s="1"/>
  <c r="H24" i="4"/>
  <c r="K24" i="4"/>
  <c r="J24" i="4"/>
  <c r="P28" i="4"/>
  <c r="K28" i="4"/>
  <c r="R28" i="4"/>
  <c r="O28" i="4"/>
  <c r="K36" i="4"/>
  <c r="O36" i="4"/>
  <c r="I36" i="4"/>
  <c r="P36" i="4"/>
  <c r="Q32" i="4"/>
  <c r="H32" i="4"/>
  <c r="Y67" i="3"/>
  <c r="R67" i="3"/>
  <c r="X64" i="3"/>
  <c r="R64" i="3" l="1"/>
  <c r="Y64" i="3"/>
  <c r="J74" i="4"/>
  <c r="Z74" i="4"/>
  <c r="P52" i="4"/>
  <c r="K52" i="4"/>
  <c r="O52" i="4"/>
  <c r="O74" i="4" s="1"/>
  <c r="T74" i="4"/>
  <c r="V24" i="4"/>
  <c r="V74" i="4" s="1"/>
  <c r="X62" i="3"/>
  <c r="Y62" i="3"/>
  <c r="Y65" i="3"/>
  <c r="X65" i="3"/>
  <c r="R62" i="3"/>
  <c r="Y68" i="3"/>
  <c r="X68" i="3"/>
  <c r="R68" i="3"/>
  <c r="K44" i="4"/>
  <c r="K74" i="4" s="1"/>
  <c r="P44" i="4"/>
  <c r="P74" i="4" s="1"/>
  <c r="R44" i="4"/>
  <c r="Y36" i="4"/>
  <c r="Y74" i="4" s="1"/>
  <c r="X36" i="4"/>
  <c r="X74" i="4" s="1"/>
  <c r="R36" i="4"/>
  <c r="J57" i="3"/>
  <c r="H57" i="3"/>
  <c r="G60" i="3"/>
  <c r="O60" i="3" s="1"/>
  <c r="G59" i="3"/>
  <c r="I59" i="3" s="1"/>
  <c r="G58" i="3"/>
  <c r="I58" i="3" s="1"/>
  <c r="G57" i="3"/>
  <c r="P57" i="3" s="1"/>
  <c r="G56" i="3"/>
  <c r="I56" i="3" s="1"/>
  <c r="G55" i="3"/>
  <c r="G54" i="3"/>
  <c r="J53" i="3"/>
  <c r="G53" i="3"/>
  <c r="O53" i="3" s="1"/>
  <c r="G52" i="3"/>
  <c r="I52" i="3" s="1"/>
  <c r="G48" i="3"/>
  <c r="I48" i="3" s="1"/>
  <c r="R48" i="3" s="1"/>
  <c r="G47" i="3"/>
  <c r="I47" i="3" s="1"/>
  <c r="R47" i="3" s="1"/>
  <c r="G43" i="3"/>
  <c r="AA43" i="3" s="1"/>
  <c r="G42" i="3"/>
  <c r="AA42" i="3" s="1"/>
  <c r="G38" i="3"/>
  <c r="I38" i="3" s="1"/>
  <c r="G37" i="3"/>
  <c r="I37" i="3" s="1"/>
  <c r="G36" i="3"/>
  <c r="I36" i="3" s="1"/>
  <c r="G35" i="3"/>
  <c r="Q35" i="3" s="1"/>
  <c r="G34" i="3"/>
  <c r="I34" i="3" s="1"/>
  <c r="G33" i="3"/>
  <c r="I33" i="3" s="1"/>
  <c r="G32" i="3"/>
  <c r="I32" i="3" s="1"/>
  <c r="G31" i="3"/>
  <c r="I31" i="3" s="1"/>
  <c r="G30" i="3"/>
  <c r="I30" i="3" s="1"/>
  <c r="G29" i="3"/>
  <c r="I29" i="3" s="1"/>
  <c r="G28" i="3"/>
  <c r="I28" i="3" s="1"/>
  <c r="G27" i="3"/>
  <c r="I27" i="3" s="1"/>
  <c r="G26" i="3"/>
  <c r="Q26" i="3" s="1"/>
  <c r="I26" i="3"/>
  <c r="K26" i="3" s="1"/>
  <c r="G25" i="3"/>
  <c r="Q25" i="3" s="1"/>
  <c r="G24" i="3"/>
  <c r="I24" i="3" s="1"/>
  <c r="K71" i="2"/>
  <c r="X72" i="2"/>
  <c r="R72" i="2"/>
  <c r="P72" i="2"/>
  <c r="O72" i="2"/>
  <c r="X71" i="2"/>
  <c r="R71" i="2"/>
  <c r="P71" i="2"/>
  <c r="O71" i="2"/>
  <c r="I47" i="2"/>
  <c r="R47" i="2"/>
  <c r="X47" i="2"/>
  <c r="I48" i="2"/>
  <c r="R48" i="2"/>
  <c r="X48" i="2"/>
  <c r="I49" i="2"/>
  <c r="R49" i="2"/>
  <c r="X49" i="2"/>
  <c r="I50" i="2"/>
  <c r="R50" i="2" s="1"/>
  <c r="I52" i="2"/>
  <c r="R52" i="2" s="1"/>
  <c r="I56" i="2"/>
  <c r="R56" i="2"/>
  <c r="X56" i="2"/>
  <c r="I57" i="2"/>
  <c r="R57" i="2"/>
  <c r="X57" i="2"/>
  <c r="I58" i="2"/>
  <c r="R58" i="2"/>
  <c r="X58" i="2"/>
  <c r="I59" i="2"/>
  <c r="R59" i="2" s="1"/>
  <c r="I67" i="2"/>
  <c r="R67" i="2" s="1"/>
  <c r="I68" i="2"/>
  <c r="R68" i="2" s="1"/>
  <c r="X68" i="2"/>
  <c r="I69" i="2"/>
  <c r="X69" i="2" s="1"/>
  <c r="R69" i="2"/>
  <c r="G69" i="2"/>
  <c r="G68" i="2"/>
  <c r="G67" i="2"/>
  <c r="G66" i="2"/>
  <c r="I66" i="2" s="1"/>
  <c r="G65" i="2"/>
  <c r="I65" i="2" s="1"/>
  <c r="G64" i="2"/>
  <c r="I64" i="2" s="1"/>
  <c r="G63" i="2"/>
  <c r="I63" i="2" s="1"/>
  <c r="G62" i="2"/>
  <c r="I62" i="2" s="1"/>
  <c r="G61" i="2"/>
  <c r="I61" i="2" s="1"/>
  <c r="G60" i="2"/>
  <c r="I60" i="2" s="1"/>
  <c r="G59" i="2"/>
  <c r="G58" i="2"/>
  <c r="G57" i="2"/>
  <c r="G56" i="2"/>
  <c r="G55" i="2"/>
  <c r="I55" i="2" s="1"/>
  <c r="G54" i="2"/>
  <c r="I54" i="2" s="1"/>
  <c r="G53" i="2"/>
  <c r="I53" i="2" s="1"/>
  <c r="G52" i="2"/>
  <c r="G51" i="2"/>
  <c r="I51" i="2" s="1"/>
  <c r="R51" i="2" s="1"/>
  <c r="G50" i="2"/>
  <c r="G49" i="2"/>
  <c r="G48" i="2"/>
  <c r="G47" i="2"/>
  <c r="G46" i="2"/>
  <c r="I46" i="2" s="1"/>
  <c r="G45" i="2"/>
  <c r="I45" i="2" s="1"/>
  <c r="G44" i="2"/>
  <c r="I44" i="2" s="1"/>
  <c r="G43" i="2"/>
  <c r="I43" i="2" s="1"/>
  <c r="R43" i="2" s="1"/>
  <c r="G42" i="2"/>
  <c r="I42" i="2" s="1"/>
  <c r="R42" i="2" s="1"/>
  <c r="G41" i="2"/>
  <c r="I41" i="2" s="1"/>
  <c r="G40" i="2"/>
  <c r="I40" i="2" s="1"/>
  <c r="G39" i="2"/>
  <c r="I39" i="2" s="1"/>
  <c r="R39" i="2" s="1"/>
  <c r="G38" i="2"/>
  <c r="I38" i="2" s="1"/>
  <c r="G37" i="2"/>
  <c r="I37" i="2" s="1"/>
  <c r="G36" i="2"/>
  <c r="I36" i="2" s="1"/>
  <c r="J72" i="1"/>
  <c r="G72" i="1"/>
  <c r="Q72" i="1" s="1"/>
  <c r="J71" i="1"/>
  <c r="G71" i="1"/>
  <c r="Q71" i="1" s="1"/>
  <c r="G33" i="2"/>
  <c r="I33" i="2" s="1"/>
  <c r="K33" i="2" s="1"/>
  <c r="G32" i="2"/>
  <c r="I32" i="2" s="1"/>
  <c r="G31" i="2"/>
  <c r="I31" i="2" s="1"/>
  <c r="J30" i="2"/>
  <c r="G30" i="2"/>
  <c r="I30" i="2" s="1"/>
  <c r="G27" i="2"/>
  <c r="I27" i="2" s="1"/>
  <c r="Y27" i="2" s="1"/>
  <c r="G26" i="2"/>
  <c r="I26" i="2" s="1"/>
  <c r="S26" i="2" s="1"/>
  <c r="G23" i="2"/>
  <c r="I23" i="2" s="1"/>
  <c r="G22" i="2"/>
  <c r="I22" i="2" s="1"/>
  <c r="G67" i="1"/>
  <c r="I67" i="1" s="1"/>
  <c r="R67" i="1" s="1"/>
  <c r="G68" i="1"/>
  <c r="I68" i="1" s="1"/>
  <c r="R68" i="1" s="1"/>
  <c r="G64" i="1"/>
  <c r="AA64" i="1" s="1"/>
  <c r="G63" i="1"/>
  <c r="I63" i="1" s="1"/>
  <c r="G60" i="1"/>
  <c r="N60" i="1" s="1"/>
  <c r="Q60" i="1" s="1"/>
  <c r="I60" i="1"/>
  <c r="O60" i="1" s="1"/>
  <c r="J59" i="1"/>
  <c r="G59" i="1"/>
  <c r="N59" i="1" s="1"/>
  <c r="Q59" i="1" s="1"/>
  <c r="I54" i="1"/>
  <c r="I53" i="1"/>
  <c r="I52" i="1"/>
  <c r="I51" i="1"/>
  <c r="J26" i="3" l="1"/>
  <c r="X26" i="3"/>
  <c r="Y26" i="3"/>
  <c r="R26" i="3"/>
  <c r="AA74" i="3"/>
  <c r="Q36" i="3"/>
  <c r="P26" i="3"/>
  <c r="AB47" i="3"/>
  <c r="Q31" i="3"/>
  <c r="Q30" i="3"/>
  <c r="X47" i="3"/>
  <c r="AB48" i="3"/>
  <c r="Q33" i="3"/>
  <c r="Q28" i="3"/>
  <c r="S47" i="3"/>
  <c r="Q27" i="3"/>
  <c r="Y47" i="3"/>
  <c r="P37" i="3"/>
  <c r="O37" i="3"/>
  <c r="J37" i="3"/>
  <c r="K37" i="3"/>
  <c r="J31" i="3"/>
  <c r="O31" i="3"/>
  <c r="R31" i="3"/>
  <c r="K31" i="3"/>
  <c r="P31" i="3"/>
  <c r="Q37" i="3"/>
  <c r="K59" i="3"/>
  <c r="P53" i="3"/>
  <c r="K60" i="3"/>
  <c r="K56" i="3"/>
  <c r="I60" i="3"/>
  <c r="R60" i="3" s="1"/>
  <c r="O56" i="3"/>
  <c r="N60" i="3"/>
  <c r="N74" i="3" s="1"/>
  <c r="P56" i="3"/>
  <c r="I57" i="3"/>
  <c r="R57" i="3" s="1"/>
  <c r="Q74" i="4"/>
  <c r="AB68" i="1"/>
  <c r="X59" i="3"/>
  <c r="Y59" i="3"/>
  <c r="J38" i="3"/>
  <c r="K38" i="3"/>
  <c r="O38" i="3"/>
  <c r="X58" i="3"/>
  <c r="Y58" i="3"/>
  <c r="P32" i="3"/>
  <c r="J32" i="3"/>
  <c r="R32" i="3"/>
  <c r="Y32" i="3"/>
  <c r="K32" i="3"/>
  <c r="O32" i="3"/>
  <c r="X32" i="3"/>
  <c r="V32" i="3" s="1"/>
  <c r="S24" i="3"/>
  <c r="R24" i="3"/>
  <c r="M24" i="3"/>
  <c r="X24" i="3"/>
  <c r="K29" i="3"/>
  <c r="Y29" i="3"/>
  <c r="J29" i="3"/>
  <c r="O29" i="3"/>
  <c r="X29" i="3"/>
  <c r="R29" i="3"/>
  <c r="P29" i="3"/>
  <c r="Y36" i="3"/>
  <c r="J36" i="3"/>
  <c r="K36" i="3"/>
  <c r="R36" i="3"/>
  <c r="O36" i="3"/>
  <c r="X36" i="3"/>
  <c r="V36" i="3" s="1"/>
  <c r="P36" i="3"/>
  <c r="R55" i="3"/>
  <c r="J30" i="3"/>
  <c r="P30" i="3"/>
  <c r="K30" i="3"/>
  <c r="Y30" i="3"/>
  <c r="O30" i="3"/>
  <c r="X30" i="3"/>
  <c r="R30" i="3"/>
  <c r="P33" i="3"/>
  <c r="J33" i="3"/>
  <c r="K33" i="3"/>
  <c r="O33" i="3"/>
  <c r="R33" i="3"/>
  <c r="X33" i="3"/>
  <c r="Y33" i="3"/>
  <c r="J34" i="3"/>
  <c r="K34" i="3"/>
  <c r="O34" i="3"/>
  <c r="P34" i="3"/>
  <c r="R34" i="3"/>
  <c r="Y34" i="3"/>
  <c r="X34" i="3"/>
  <c r="X56" i="3"/>
  <c r="Y56" i="3"/>
  <c r="R56" i="3"/>
  <c r="S52" i="3"/>
  <c r="Y52" i="3"/>
  <c r="X52" i="3"/>
  <c r="R52" i="3"/>
  <c r="M52" i="3"/>
  <c r="O27" i="3"/>
  <c r="R27" i="3"/>
  <c r="X27" i="3"/>
  <c r="K27" i="3"/>
  <c r="P27" i="3"/>
  <c r="J27" i="3"/>
  <c r="Y27" i="3"/>
  <c r="O28" i="3"/>
  <c r="K28" i="3"/>
  <c r="X28" i="3"/>
  <c r="J28" i="3"/>
  <c r="Y28" i="3"/>
  <c r="P28" i="3"/>
  <c r="R28" i="3"/>
  <c r="X57" i="3"/>
  <c r="I54" i="3"/>
  <c r="R54" i="3" s="1"/>
  <c r="Q34" i="3"/>
  <c r="I55" i="3"/>
  <c r="V26" i="3"/>
  <c r="Q38" i="3"/>
  <c r="Q29" i="3"/>
  <c r="P59" i="3"/>
  <c r="Q32" i="3"/>
  <c r="X48" i="3"/>
  <c r="R58" i="3"/>
  <c r="O59" i="3"/>
  <c r="P58" i="3"/>
  <c r="Y48" i="3"/>
  <c r="O57" i="3"/>
  <c r="K58" i="3"/>
  <c r="S48" i="3"/>
  <c r="I25" i="3"/>
  <c r="P55" i="3"/>
  <c r="K57" i="3"/>
  <c r="P54" i="3"/>
  <c r="K54" i="3"/>
  <c r="I43" i="3"/>
  <c r="Y43" i="3" s="1"/>
  <c r="O55" i="3"/>
  <c r="K55" i="3"/>
  <c r="R59" i="3"/>
  <c r="I35" i="3"/>
  <c r="Y37" i="3"/>
  <c r="I53" i="3"/>
  <c r="O54" i="3"/>
  <c r="I42" i="3"/>
  <c r="X37" i="3"/>
  <c r="Y31" i="3"/>
  <c r="R37" i="3"/>
  <c r="K53" i="3"/>
  <c r="P60" i="3"/>
  <c r="O58" i="3"/>
  <c r="X31" i="3"/>
  <c r="Y38" i="3"/>
  <c r="X38" i="3"/>
  <c r="R38" i="3"/>
  <c r="P38" i="3"/>
  <c r="O26" i="3"/>
  <c r="R54" i="2"/>
  <c r="X54" i="2"/>
  <c r="R55" i="2"/>
  <c r="X55" i="2"/>
  <c r="R66" i="2"/>
  <c r="X66" i="2"/>
  <c r="X41" i="2"/>
  <c r="R41" i="2"/>
  <c r="X45" i="2"/>
  <c r="R45" i="2"/>
  <c r="R36" i="2"/>
  <c r="X36" i="2"/>
  <c r="R60" i="2"/>
  <c r="X60" i="2"/>
  <c r="R53" i="2"/>
  <c r="X53" i="2"/>
  <c r="X61" i="2"/>
  <c r="R61" i="2"/>
  <c r="R38" i="2"/>
  <c r="X38" i="2"/>
  <c r="R62" i="2"/>
  <c r="X62" i="2"/>
  <c r="R65" i="2"/>
  <c r="X65" i="2"/>
  <c r="R44" i="2"/>
  <c r="X44" i="2"/>
  <c r="X37" i="2"/>
  <c r="R37" i="2"/>
  <c r="R63" i="2"/>
  <c r="X63" i="2"/>
  <c r="R46" i="2"/>
  <c r="X46" i="2"/>
  <c r="R40" i="2"/>
  <c r="X40" i="2"/>
  <c r="X64" i="2"/>
  <c r="R64" i="2"/>
  <c r="X52" i="2"/>
  <c r="X50" i="2"/>
  <c r="X67" i="2"/>
  <c r="X59" i="2"/>
  <c r="X51" i="2"/>
  <c r="X43" i="2"/>
  <c r="X42" i="2"/>
  <c r="X39" i="2"/>
  <c r="X26" i="2"/>
  <c r="Y26" i="2"/>
  <c r="K31" i="2"/>
  <c r="O31" i="2" s="1"/>
  <c r="R31" i="2"/>
  <c r="Y31" i="2"/>
  <c r="R26" i="2"/>
  <c r="X27" i="2"/>
  <c r="V27" i="2" s="1"/>
  <c r="AB26" i="2"/>
  <c r="R27" i="2"/>
  <c r="S27" i="2"/>
  <c r="AB27" i="2"/>
  <c r="Y30" i="2"/>
  <c r="R30" i="2"/>
  <c r="K30" i="2"/>
  <c r="K32" i="2"/>
  <c r="R32" i="2"/>
  <c r="Y32" i="2"/>
  <c r="Y22" i="2"/>
  <c r="S22" i="2"/>
  <c r="X22" i="2"/>
  <c r="R22" i="2"/>
  <c r="O22" i="2"/>
  <c r="O33" i="2"/>
  <c r="P33" i="2"/>
  <c r="X33" i="2"/>
  <c r="R23" i="2"/>
  <c r="O23" i="2"/>
  <c r="S23" i="2"/>
  <c r="X23" i="2"/>
  <c r="Y23" i="2"/>
  <c r="AA23" i="2"/>
  <c r="AA22" i="2"/>
  <c r="Y33" i="2"/>
  <c r="R33" i="2"/>
  <c r="I71" i="1"/>
  <c r="N71" i="1"/>
  <c r="I72" i="1"/>
  <c r="N72" i="1"/>
  <c r="X63" i="1"/>
  <c r="O63" i="1"/>
  <c r="S63" i="1"/>
  <c r="R63" i="1"/>
  <c r="Y63" i="1"/>
  <c r="AA63" i="1"/>
  <c r="I64" i="1"/>
  <c r="X60" i="1"/>
  <c r="I59" i="1"/>
  <c r="R60" i="1"/>
  <c r="X68" i="1"/>
  <c r="K60" i="1"/>
  <c r="Y60" i="1"/>
  <c r="P60" i="1"/>
  <c r="AB67" i="1"/>
  <c r="X67" i="1"/>
  <c r="Y67" i="1"/>
  <c r="S67" i="1"/>
  <c r="S68" i="1"/>
  <c r="Y68" i="1"/>
  <c r="V68" i="1" s="1"/>
  <c r="X60" i="3" l="1"/>
  <c r="Y60" i="3"/>
  <c r="V37" i="3"/>
  <c r="M74" i="3"/>
  <c r="V30" i="3"/>
  <c r="V47" i="3"/>
  <c r="V31" i="3"/>
  <c r="AB74" i="3"/>
  <c r="Y57" i="3"/>
  <c r="V33" i="3"/>
  <c r="V24" i="3"/>
  <c r="V63" i="1"/>
  <c r="J35" i="3"/>
  <c r="X35" i="3"/>
  <c r="Y35" i="3"/>
  <c r="K35" i="3"/>
  <c r="P35" i="3"/>
  <c r="R35" i="3"/>
  <c r="O35" i="3"/>
  <c r="P25" i="3"/>
  <c r="P74" i="3" s="1"/>
  <c r="X25" i="3"/>
  <c r="X74" i="3" s="1"/>
  <c r="O25" i="3"/>
  <c r="O74" i="3" s="1"/>
  <c r="K25" i="3"/>
  <c r="K74" i="3" s="1"/>
  <c r="Y25" i="3"/>
  <c r="Y74" i="3" s="1"/>
  <c r="Y31" i="15" s="1"/>
  <c r="Y42" i="15" s="1"/>
  <c r="Y72" i="15" s="1"/>
  <c r="Y74" i="15" s="1"/>
  <c r="R25" i="3"/>
  <c r="J25" i="3"/>
  <c r="V27" i="3"/>
  <c r="V34" i="3"/>
  <c r="V48" i="3"/>
  <c r="X55" i="3"/>
  <c r="Y55" i="3"/>
  <c r="Y54" i="3"/>
  <c r="X54" i="3"/>
  <c r="X43" i="3"/>
  <c r="V43" i="3" s="1"/>
  <c r="R43" i="3"/>
  <c r="O42" i="3"/>
  <c r="Y42" i="3"/>
  <c r="X42" i="3"/>
  <c r="V42" i="3" s="1"/>
  <c r="R42" i="3"/>
  <c r="Y53" i="3"/>
  <c r="X53" i="3"/>
  <c r="R53" i="3"/>
  <c r="O43" i="3"/>
  <c r="V28" i="3"/>
  <c r="V29" i="3"/>
  <c r="V38" i="3"/>
  <c r="X31" i="2"/>
  <c r="P31" i="2"/>
  <c r="V22" i="2"/>
  <c r="V26" i="2"/>
  <c r="V23" i="2"/>
  <c r="X30" i="2"/>
  <c r="P30" i="2"/>
  <c r="O30" i="2"/>
  <c r="X32" i="2"/>
  <c r="O32" i="2"/>
  <c r="P32" i="2"/>
  <c r="Y72" i="1"/>
  <c r="X72" i="1"/>
  <c r="R72" i="1"/>
  <c r="P72" i="1"/>
  <c r="O72" i="1"/>
  <c r="K72" i="1"/>
  <c r="Y71" i="1"/>
  <c r="X71" i="1"/>
  <c r="R71" i="1"/>
  <c r="P71" i="1"/>
  <c r="O71" i="1"/>
  <c r="K71" i="1"/>
  <c r="X59" i="1"/>
  <c r="P59" i="1"/>
  <c r="O59" i="1"/>
  <c r="Y59" i="1"/>
  <c r="R59" i="1"/>
  <c r="K59" i="1"/>
  <c r="V60" i="1"/>
  <c r="S64" i="1"/>
  <c r="R64" i="1"/>
  <c r="O64" i="1"/>
  <c r="X64" i="1"/>
  <c r="Y64" i="1"/>
  <c r="V67" i="1"/>
  <c r="J74" i="3" l="1"/>
  <c r="Q74" i="3"/>
  <c r="V59" i="1"/>
  <c r="V25" i="3"/>
  <c r="V35" i="3"/>
  <c r="V64" i="1"/>
  <c r="V74" i="3" l="1"/>
  <c r="V31" i="15" s="1"/>
  <c r="G50" i="1"/>
  <c r="L51" i="1"/>
  <c r="S51" i="1" s="1"/>
  <c r="U51" i="1"/>
  <c r="L52" i="1"/>
  <c r="S52" i="1"/>
  <c r="U52" i="1"/>
  <c r="L53" i="1"/>
  <c r="S53" i="1" s="1"/>
  <c r="U53" i="1"/>
  <c r="U54" i="1"/>
  <c r="L47" i="1"/>
  <c r="S47" i="1" s="1"/>
  <c r="L46" i="1"/>
  <c r="L45" i="1"/>
  <c r="S45" i="1" s="1"/>
  <c r="L44" i="1"/>
  <c r="L43" i="1"/>
  <c r="S43" i="1" s="1"/>
  <c r="L42" i="1"/>
  <c r="S42" i="1" s="1"/>
  <c r="L41" i="1"/>
  <c r="S41" i="1" s="1"/>
  <c r="L40" i="1"/>
  <c r="S40" i="1" s="1"/>
  <c r="L39" i="1"/>
  <c r="L38" i="1"/>
  <c r="S38" i="1" s="1"/>
  <c r="L37" i="1"/>
  <c r="S37" i="1" s="1"/>
  <c r="L36" i="1"/>
  <c r="L35" i="1"/>
  <c r="S44" i="1"/>
  <c r="I49" i="1"/>
  <c r="L49" i="1" s="1"/>
  <c r="S49" i="1" s="1"/>
  <c r="I48" i="1"/>
  <c r="U48" i="1" s="1"/>
  <c r="I47" i="1"/>
  <c r="I46" i="1"/>
  <c r="U46" i="1" s="1"/>
  <c r="I45" i="1"/>
  <c r="U45" i="1" s="1"/>
  <c r="I44" i="1"/>
  <c r="U44" i="1" s="1"/>
  <c r="I43" i="1"/>
  <c r="U43" i="1" s="1"/>
  <c r="I42" i="1"/>
  <c r="I41" i="1"/>
  <c r="U41" i="1" s="1"/>
  <c r="I40" i="1"/>
  <c r="I39" i="1"/>
  <c r="I38" i="1"/>
  <c r="I37" i="1"/>
  <c r="G37" i="1"/>
  <c r="U37" i="1"/>
  <c r="G38" i="1"/>
  <c r="U38" i="1"/>
  <c r="G39" i="1"/>
  <c r="U39" i="1"/>
  <c r="G40" i="1"/>
  <c r="U40" i="1"/>
  <c r="G41" i="1"/>
  <c r="G42" i="1"/>
  <c r="G43" i="1"/>
  <c r="G44" i="1"/>
  <c r="G45" i="1"/>
  <c r="G46" i="1"/>
  <c r="G47" i="1"/>
  <c r="G48" i="1"/>
  <c r="G49" i="1"/>
  <c r="I34" i="1"/>
  <c r="L34" i="1" s="1"/>
  <c r="S34" i="1" s="1"/>
  <c r="U34" i="1"/>
  <c r="G34" i="1"/>
  <c r="I33" i="1"/>
  <c r="L33" i="1" s="1"/>
  <c r="S33" i="1" s="1"/>
  <c r="I32" i="1"/>
  <c r="L32" i="1" s="1"/>
  <c r="S32" i="1" s="1"/>
  <c r="I31" i="1"/>
  <c r="L31" i="1" s="1"/>
  <c r="S31" i="1" s="1"/>
  <c r="I30" i="1"/>
  <c r="L30" i="1" s="1"/>
  <c r="I29" i="1"/>
  <c r="U29" i="1" s="1"/>
  <c r="I28" i="1"/>
  <c r="L28" i="1" s="1"/>
  <c r="S28" i="1" s="1"/>
  <c r="I27" i="1"/>
  <c r="U27" i="1" s="1"/>
  <c r="I26" i="1"/>
  <c r="L26" i="1" s="1"/>
  <c r="I25" i="1"/>
  <c r="U25" i="1" s="1"/>
  <c r="G25" i="1"/>
  <c r="G26" i="1"/>
  <c r="G27" i="1"/>
  <c r="G28" i="1"/>
  <c r="G29" i="1"/>
  <c r="G30" i="1"/>
  <c r="G31" i="1"/>
  <c r="G32" i="1"/>
  <c r="G33" i="1"/>
  <c r="I24" i="1"/>
  <c r="L24" i="1" s="1"/>
  <c r="S24" i="1" s="1"/>
  <c r="G24" i="1"/>
  <c r="G23" i="1"/>
  <c r="I23" i="1"/>
  <c r="U23" i="1" s="1"/>
  <c r="U32" i="1" l="1"/>
  <c r="U33" i="1"/>
  <c r="L23" i="1"/>
  <c r="U24" i="1"/>
  <c r="L48" i="1"/>
  <c r="S48" i="1" s="1"/>
  <c r="U31" i="1"/>
  <c r="U30" i="1"/>
  <c r="L25" i="1"/>
  <c r="S25" i="1" s="1"/>
  <c r="L27" i="1"/>
  <c r="S27" i="1" s="1"/>
  <c r="U26" i="1"/>
  <c r="U28" i="1"/>
  <c r="L29" i="1"/>
  <c r="S29" i="1" s="1"/>
  <c r="L54" i="1"/>
  <c r="S54" i="1" s="1"/>
  <c r="S46" i="1"/>
  <c r="S39" i="1"/>
  <c r="U47" i="1"/>
  <c r="U42" i="1"/>
  <c r="U49" i="1"/>
  <c r="S30" i="1"/>
  <c r="S26" i="1"/>
  <c r="S23" i="1" l="1"/>
  <c r="S62" i="13" l="1"/>
  <c r="L59" i="13"/>
  <c r="L55" i="13"/>
  <c r="S55" i="13"/>
  <c r="L62" i="13" l="1"/>
  <c r="L74" i="13" s="1"/>
  <c r="L40" i="15" s="1"/>
  <c r="L42" i="15" s="1"/>
  <c r="L72" i="15" s="1"/>
  <c r="L74" i="15" s="1"/>
  <c r="W59" i="13"/>
  <c r="V59" i="13" s="1"/>
  <c r="V74" i="13" s="1"/>
  <c r="V40" i="15" s="1"/>
  <c r="V42" i="15" s="1"/>
  <c r="V72" i="15" s="1"/>
  <c r="V74" i="15" s="1"/>
  <c r="W55" i="13"/>
  <c r="S59" i="13"/>
  <c r="Q74" i="13" s="1"/>
  <c r="Q40" i="15" s="1"/>
  <c r="Q42" i="15" s="1"/>
  <c r="Q72" i="15" s="1"/>
  <c r="Q74" i="15" s="1"/>
  <c r="W62" i="13"/>
  <c r="W74" i="13" l="1"/>
  <c r="W40" i="15" s="1"/>
  <c r="W42" i="15" s="1"/>
  <c r="W72" i="15" s="1"/>
  <c r="W74" i="15" s="1"/>
</calcChain>
</file>

<file path=xl/sharedStrings.xml><?xml version="1.0" encoding="utf-8"?>
<sst xmlns="http://schemas.openxmlformats.org/spreadsheetml/2006/main" count="1586" uniqueCount="133">
  <si>
    <t>PAVEMENT REMOVED</t>
  </si>
  <si>
    <t>SY</t>
  </si>
  <si>
    <t>CEMENT STABILIZED SUBGRADE,
12 INCHES DEEP</t>
  </si>
  <si>
    <t>PAVEMENT PLANING, ASPHALT CONCRETE
(1.50" DEPTH)</t>
  </si>
  <si>
    <t>FULL DEPTH PAVEMENT SAWING</t>
  </si>
  <si>
    <t>FT</t>
  </si>
  <si>
    <t>PAVEMENT PLANING, ASPHALT CONCRETE,
AS PER PLAN (VARIABLE DEPTH - 3.55" MAX.)</t>
  </si>
  <si>
    <t>CY</t>
  </si>
  <si>
    <t>AGGREGATE BASE</t>
  </si>
  <si>
    <t>6"</t>
  </si>
  <si>
    <t>5.5"</t>
  </si>
  <si>
    <t>NON-TRACKING TACK COAT</t>
  </si>
  <si>
    <t>NON-TRACKING TACK COAT
(VERTICAL FACE OF SAW CUT)</t>
  </si>
  <si>
    <t>.025 GAL/SY</t>
  </si>
  <si>
    <t>GAL</t>
  </si>
  <si>
    <t>.06 GAL/SY</t>
  </si>
  <si>
    <t>.09 GAL/SY</t>
  </si>
  <si>
    <t>PRIME COAT, AS PER PLAN</t>
  </si>
  <si>
    <t>.4 GAL/SY</t>
  </si>
  <si>
    <t>ASPHALT CONCRETE SURFACE COURSE,
TYPE 1, (448), PG70-22M</t>
  </si>
  <si>
    <t>1.50"</t>
  </si>
  <si>
    <t>ANTI-SEGREGATION EQUIPMENT</t>
  </si>
  <si>
    <t>ASPHALT CONCRETE BASE,
AS PER PLAN</t>
  </si>
  <si>
    <t>ASPHALT CONCRETE INTERMEDIATE
COURSE, 12.5 MM, TYPE A (448)</t>
  </si>
  <si>
    <t>1.75"</t>
  </si>
  <si>
    <t>COMPACTED AGGREGATE, AS PER PLAN</t>
  </si>
  <si>
    <t>2"</t>
  </si>
  <si>
    <t>LONGITUDINAL JOINT PREPARATION,
AS PER PLAN (PASS 1)</t>
  </si>
  <si>
    <t>LONGITUDINAL JOINT PREPARATION,
AS PER PLAN (PASS 2)</t>
  </si>
  <si>
    <r>
      <rPr>
        <sz val="12"/>
        <color theme="1"/>
        <rFont val="Calibri"/>
        <family val="2"/>
      </rPr>
      <t>SIDE</t>
    </r>
    <r>
      <rPr>
        <sz val="14"/>
        <color theme="1"/>
        <rFont val="Calibri"/>
        <family val="2"/>
      </rPr>
      <t xml:space="preserve">
</t>
    </r>
    <r>
      <rPr>
        <sz val="10"/>
        <color theme="1"/>
        <rFont val="Calibri"/>
        <family val="2"/>
      </rPr>
      <t>(of CL)</t>
    </r>
  </si>
  <si>
    <r>
      <rPr>
        <sz val="12"/>
        <color theme="1"/>
        <rFont val="Calibri"/>
        <family val="2"/>
      </rPr>
      <t>LENGTH</t>
    </r>
    <r>
      <rPr>
        <sz val="14"/>
        <color theme="1"/>
        <rFont val="Calibri"/>
        <family val="2"/>
      </rPr>
      <t xml:space="preserve">
</t>
    </r>
    <r>
      <rPr>
        <sz val="10"/>
        <color theme="1"/>
        <rFont val="Calibri"/>
        <family val="2"/>
      </rPr>
      <t>(FT)</t>
    </r>
  </si>
  <si>
    <r>
      <rPr>
        <sz val="12"/>
        <color theme="1"/>
        <rFont val="Calibri"/>
        <family val="2"/>
      </rPr>
      <t>AREA</t>
    </r>
    <r>
      <rPr>
        <sz val="14"/>
        <color theme="1"/>
        <rFont val="Calibri"/>
        <family val="2"/>
      </rPr>
      <t xml:space="preserve">
</t>
    </r>
    <r>
      <rPr>
        <sz val="10"/>
        <color theme="1"/>
        <rFont val="Calibri"/>
        <family val="2"/>
      </rPr>
      <t>(SY)</t>
    </r>
  </si>
  <si>
    <t>TO</t>
  </si>
  <si>
    <r>
      <t xml:space="preserve"> 
STATION TO STATION
</t>
    </r>
    <r>
      <rPr>
        <sz val="10"/>
        <color theme="1"/>
        <rFont val="Calibri"/>
        <family val="2"/>
      </rPr>
      <t>*CADD MEASURED AREA</t>
    </r>
  </si>
  <si>
    <t>EASTBOUND - S.R. 37 / 16</t>
  </si>
  <si>
    <t>RT</t>
  </si>
  <si>
    <r>
      <rPr>
        <sz val="12"/>
        <color theme="1"/>
        <rFont val="Calibri"/>
        <family val="2"/>
      </rPr>
      <t>WIDTH</t>
    </r>
    <r>
      <rPr>
        <sz val="14"/>
        <color theme="1"/>
        <rFont val="Calibri"/>
        <family val="2"/>
      </rPr>
      <t xml:space="preserve">
</t>
    </r>
    <r>
      <rPr>
        <sz val="10"/>
        <color theme="1"/>
        <rFont val="Calibri"/>
        <family val="2"/>
      </rPr>
      <t>(FT)</t>
    </r>
  </si>
  <si>
    <t>PLAN SPLIT 01/NHS</t>
  </si>
  <si>
    <t>VARIES</t>
  </si>
  <si>
    <t>WESTBOUND - S.R. 37 / 16</t>
  </si>
  <si>
    <t>LT</t>
  </si>
  <si>
    <t>EASTBOUND PASSING LANE</t>
  </si>
  <si>
    <t>PHASE 1 JOINT LAPPING EASTBOUND LANE - PASS 1</t>
  </si>
  <si>
    <t>PHASE 1 JOINT LAPPING EASTBOUND LANE - PASS 2</t>
  </si>
  <si>
    <t>WESTBOUND PASSING LANE</t>
  </si>
  <si>
    <t>PHASE 1 JOINT LAPPING WESTBOUND LANE - PASS 1</t>
  </si>
  <si>
    <t>PHASE 1 JOINT LAPPING WESTBOUND LANE - PASS 2</t>
  </si>
  <si>
    <t>LT &amp; RT</t>
  </si>
  <si>
    <r>
      <t xml:space="preserve"> 
STATION TO STATION
</t>
    </r>
    <r>
      <rPr>
        <sz val="10"/>
        <color theme="1"/>
        <rFont val="Calibri"/>
        <family val="2"/>
      </rPr>
      <t>**MEDIAN U-TURN REMOVAL @ STA. 648+00</t>
    </r>
    <r>
      <rPr>
        <sz val="12"/>
        <color theme="1"/>
        <rFont val="Calibri"/>
        <family val="2"/>
      </rPr>
      <t xml:space="preserve">
</t>
    </r>
    <r>
      <rPr>
        <sz val="10"/>
        <color theme="1"/>
        <rFont val="Calibri"/>
        <family val="2"/>
      </rPr>
      <t>*CADD MEASURED AREA</t>
    </r>
  </si>
  <si>
    <t>INSIDE SHOULDERS &amp; UNDER MEDIAN BARRIER</t>
  </si>
  <si>
    <t>(107 REINFORCED END ANCHORAGES)</t>
  </si>
  <si>
    <t>(34 MEDIAN BARRIER INLETS)</t>
  </si>
  <si>
    <t>PLAN SPLIT 02/NHS</t>
  </si>
  <si>
    <t>EASTBOUND LANES - S.R. 37 / 16</t>
  </si>
  <si>
    <t>PHASE 2 JOINT LAPPING EASTBOUND LANE - PASS 1</t>
  </si>
  <si>
    <t>PHASE 2 JOINT LAPPING EASTBOUND LANE - PASS 2</t>
  </si>
  <si>
    <t>EASTBOUND OUTSIDE SHOULDER - S.R. 37 / 16</t>
  </si>
  <si>
    <t>PLAN SPLIT 02/NHS (CONTINUED)</t>
  </si>
  <si>
    <t>E.B. ADDITIONAL AREA - RAMP C PAVEMENT</t>
  </si>
  <si>
    <t>E.B. ADDITIONAL AREA - RAMP C PAVED SHOULDER</t>
  </si>
  <si>
    <t>E.B. ADDITIONAL AREA - RAMP D PAVEMENT</t>
  </si>
  <si>
    <t>E.B. ADDITIONAL AREA - RAMP D PAVED SHOULDER</t>
  </si>
  <si>
    <t>E.B. ADDITIONAL AREA - RAMP G PAVEMENT</t>
  </si>
  <si>
    <t>E.B. ADDITIONAL AREA - RAMP G PAVED SHOULDER</t>
  </si>
  <si>
    <t>E.B. ADDITIONAL AREA - RAMP H PAVEMENT</t>
  </si>
  <si>
    <t>E.B. ADDITIONAL AREA - RAMP H PAVED SHOULDER</t>
  </si>
  <si>
    <t>E.B. ADDITIONAL AREA - RIVER RD PAVEMENT</t>
  </si>
  <si>
    <t>WESTBOUND LANES - S.R. 37 / 16</t>
  </si>
  <si>
    <t>PHASE 3 JOINT LAPPING WESTBOUND LANE - PASS 1</t>
  </si>
  <si>
    <t>PHASE 3 JOINT LAPPING WESTBOUND LANE - PASS 2</t>
  </si>
  <si>
    <t>WESTBOUND OUTSIDE SHOULDER - S.R. 37 / 16</t>
  </si>
  <si>
    <t>W.B. ADDITIONAL AREA - RAMP A PAVEMENT</t>
  </si>
  <si>
    <t>W.B. ADDITIONAL AREA - RAMP A PAVED SHOULDER</t>
  </si>
  <si>
    <t>W.B. ADDITIONAL AREA - RAMP B PAVEMENT</t>
  </si>
  <si>
    <t>W.B. ADDITIONAL AREA - RAMP A AGG. SHOULDER</t>
  </si>
  <si>
    <t>W.B. ADDITIONAL AREA - RAMP E PAVEMENT</t>
  </si>
  <si>
    <t>W.B. ADDITIONAL AREA - RAMP E PAVED SHOULDER</t>
  </si>
  <si>
    <t>W.B. ADDITIONAL AREA - RAMP E AGG. SHOULDER</t>
  </si>
  <si>
    <t>W.B. ADDITIONAL AREA - RAMP F PAVEMENT</t>
  </si>
  <si>
    <t>W.B. ADDITIONAL AREA - RAMP F PAVED SHOULDER</t>
  </si>
  <si>
    <t>W.B. ADDITIONAL AREA - RAMP F AGG. SHOULDER</t>
  </si>
  <si>
    <t>W.B. ADDITIONAL AREA - RAMP B PAVED SHOULDER</t>
  </si>
  <si>
    <t>W.B. ADDITIONAL AREA - RAMP B AGG. SHOULDER</t>
  </si>
  <si>
    <t>SLM 14.14</t>
  </si>
  <si>
    <t>PHASE 1 CONSTRUCTION (MEDIAN)</t>
  </si>
  <si>
    <t>PHASE 4 CONSTRUCTION (FINAL RESURFACING)</t>
  </si>
  <si>
    <t>EASTBOUND INSIDE SHOULDER - S.R. 37 / 16</t>
  </si>
  <si>
    <t>(CONTINUED ON NEXT SHEET)</t>
  </si>
  <si>
    <t>SLM 15.14</t>
  </si>
  <si>
    <t>EASTBOUND AGG. SHOULDER - S.R. 37 / 16</t>
  </si>
  <si>
    <t>PLAN SPLIT 01/NHS (PHASE 1 CONTINUED)</t>
  </si>
  <si>
    <t>(DEDUCTION FOR SURFACE COURSE UNDER C1 BARRIER)</t>
  </si>
  <si>
    <t>PHASE 2 (EASTBOUND CONSTRUCTION)</t>
  </si>
  <si>
    <t>PHASE 2 (EASTBOUND CONSTRUCTION CONTINUED)</t>
  </si>
  <si>
    <t>PHASE 3 (WESTBOUND CONSTRUCTION)</t>
  </si>
  <si>
    <t>PHASE 3 (WESTBOUND CONSTRUCTION CONTINUED)</t>
  </si>
  <si>
    <t>E.B. ADDITIONAL AREA - RAMP C** PAVEMENT</t>
  </si>
  <si>
    <t>E.B. ADDITIONAL AREA - RAMP C** PAVED SHOULDER</t>
  </si>
  <si>
    <r>
      <t xml:space="preserve"> 
STATION TO STATION
</t>
    </r>
    <r>
      <rPr>
        <sz val="10"/>
        <color theme="1"/>
        <rFont val="Calibri"/>
        <family val="2"/>
      </rPr>
      <t>**THORNWOOD CROSSING INTERCHANGE</t>
    </r>
    <r>
      <rPr>
        <sz val="12"/>
        <color theme="1"/>
        <rFont val="Calibri"/>
        <family val="2"/>
      </rPr>
      <t xml:space="preserve">
</t>
    </r>
    <r>
      <rPr>
        <sz val="10"/>
        <color theme="1"/>
        <rFont val="Calibri"/>
        <family val="2"/>
      </rPr>
      <t>*CADD MEASURED AREA</t>
    </r>
  </si>
  <si>
    <t>E.B. ADDITIONAL AREA - RAMP D** PAVEMENT</t>
  </si>
  <si>
    <t>E.B. ADDITIONAL AREA - RAMP D** PAVED SHOULDER</t>
  </si>
  <si>
    <t>WESTBOUND INSIDE SHOULDER - S.R. 37 / 16</t>
  </si>
  <si>
    <t>WESTBOUND AGG. SHOULDER - S.R. 37 / 16</t>
  </si>
  <si>
    <t>W.B. ADDITIONAL AREA - RAMP A** PAVEMENT</t>
  </si>
  <si>
    <t>W.B. ADDITIONAL AREA - RAMP A** PAVED SHOULDER</t>
  </si>
  <si>
    <t>W.B. ADDITIONAL AREA - RAMP B** PAVEMENT</t>
  </si>
  <si>
    <t>W.B. ADDITIONAL AREA - RAMP B** PAVED SHOULDER</t>
  </si>
  <si>
    <t>SUB-TOTALS (PLAN SPLIT 01/NHS)</t>
  </si>
  <si>
    <t>SUB-TOTALS (PLAN SPLIT 02/NHS)</t>
  </si>
  <si>
    <t>ASPHALT CONCRETE SURFACE COURSE,
12.5 MM, TYPE A (447), PWL 2025,
AS PER PLAN (PG70-22M)</t>
  </si>
  <si>
    <t>ASPHALT CONCRETE INTERMEDIATE
COURSE, 12.5 MM, TYPE A (446), PWL 2025,
AS PER PLAN (PG64-22/PG64-28)</t>
  </si>
  <si>
    <t>PHASE 4 CONSTRUCTION (FINAL RESURFACING CONT.)</t>
  </si>
  <si>
    <t>TOTALS CARRIED TO GENERAL SUMMARY</t>
  </si>
  <si>
    <t>PRE-PHASE 1 RESURFACING (SEE SHEETS P.72 - P.89)</t>
  </si>
  <si>
    <t>RAMP A (SEE SHEETS P.75 - P.76)</t>
  </si>
  <si>
    <t>RAMP B (SEE SHEETS P.75 - P.76)</t>
  </si>
  <si>
    <t>RAMP C (SEE SHEET P.75)</t>
  </si>
  <si>
    <t>RAMP D (SEE SHEETS P.75 - P.76)</t>
  </si>
  <si>
    <r>
      <t xml:space="preserve"> 
STATION TO STATION
</t>
    </r>
    <r>
      <rPr>
        <sz val="10"/>
        <color theme="1"/>
        <rFont val="Calibri"/>
        <family val="2"/>
      </rPr>
      <t>**INCLUDES 5 CY FOR ASPHALT WEDGE (SEE SHEET P.677)</t>
    </r>
    <r>
      <rPr>
        <sz val="12"/>
        <color theme="1"/>
        <rFont val="Calibri"/>
        <family val="2"/>
      </rPr>
      <t xml:space="preserve">
</t>
    </r>
    <r>
      <rPr>
        <sz val="10"/>
        <color theme="1"/>
        <rFont val="Calibri"/>
        <family val="2"/>
      </rPr>
      <t>*CADD MEASURED AREA</t>
    </r>
  </si>
  <si>
    <r>
      <t xml:space="preserve"> 
STATION TO STATION
</t>
    </r>
    <r>
      <rPr>
        <sz val="10"/>
        <color theme="1"/>
        <rFont val="Calibri"/>
        <family val="2"/>
      </rPr>
      <t>**INCLUDES 2 CY FOR ASPHALT WEDGE (SEE SHEET P.677)</t>
    </r>
    <r>
      <rPr>
        <sz val="12"/>
        <color theme="1"/>
        <rFont val="Calibri"/>
        <family val="2"/>
      </rPr>
      <t xml:space="preserve">
</t>
    </r>
    <r>
      <rPr>
        <sz val="10"/>
        <color theme="1"/>
        <rFont val="Calibri"/>
        <family val="2"/>
      </rPr>
      <t>*CADD MEASURED AREA</t>
    </r>
  </si>
  <si>
    <t>SHEET P.435</t>
  </si>
  <si>
    <t>SHEET P.436</t>
  </si>
  <si>
    <t>SHEET P.437</t>
  </si>
  <si>
    <t>SHEET P.438</t>
  </si>
  <si>
    <t>SHEET P.439</t>
  </si>
  <si>
    <t>SHEET P.440</t>
  </si>
  <si>
    <t>SHEET P.441</t>
  </si>
  <si>
    <t>SHEET P.442</t>
  </si>
  <si>
    <t>SHEET P.443</t>
  </si>
  <si>
    <t>SHEET P.444</t>
  </si>
  <si>
    <t>SHEET P.445</t>
  </si>
  <si>
    <t>SHEET P.446</t>
  </si>
  <si>
    <t>TOTALS CARRIED TO P.447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</si>
</sst>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6">
    <numFmt numFmtId="164" formatCode="000\ \+00.00"/>
    <numFmt numFmtId="165" formatCode="0.0"/>
    <numFmt numFmtId="166" formatCode="000.0&quot;*&quot;"/>
    <numFmt numFmtId="167" formatCode="#,##0.0"/>
    <numFmt numFmtId="168" formatCode="0.0&quot;*&quot;"/>
    <numFmt numFmtId="169" formatCode="0.0&quot;**&quot;"/>
    <numFmt numFmtId="170" formatCode="\(0.0\)"/>
    <numFmt numFmtId="171" formatCode="0.00&quot; AV&quot;"/>
    <numFmt numFmtId="172" formatCode="000\ \+00.00&quot; (RAMP C)&quot;"/>
    <numFmt numFmtId="173" formatCode="000\ \+00.00&quot; (RAMP D)&quot;"/>
    <numFmt numFmtId="174" formatCode="000\ \+00.00&quot; (RAMP G)&quot;"/>
    <numFmt numFmtId="175" formatCode="000\ \+00.00&quot; (RAMP H)&quot;"/>
    <numFmt numFmtId="176" formatCode="000\ \+00.00&quot; (RAMP A)&quot;"/>
    <numFmt numFmtId="177" formatCode="000\ \+00.00&quot; (RAMP B)&quot;"/>
    <numFmt numFmtId="178" formatCode="000\ \+00.00&quot; (RAMP E)&quot;"/>
    <numFmt numFmtId="179" formatCode="000\ \+00.00&quot; (RAMP F)&quot;"/>
  </numFmts>
  <fonts count="6" x14ac:knownFonts="1">
    <font>
      <sz val="10"/>
      <color theme="1"/>
      <name val="Arial"/>
      <family val="2"/>
    </font>
    <font>
      <sz val="10"/>
      <color theme="1"/>
      <name val="Calibri"/>
      <family val="2"/>
    </font>
    <font>
      <sz val="12"/>
      <color theme="1"/>
      <name val="Calibri"/>
      <family val="2"/>
    </font>
    <font>
      <sz val="14"/>
      <color theme="1"/>
      <name val="Calibri"/>
      <family val="2"/>
    </font>
    <font>
      <sz val="10"/>
      <name val="Calibri"/>
      <family val="2"/>
    </font>
    <font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98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2" fontId="1" fillId="0" borderId="5" xfId="0" applyNumberFormat="1" applyFont="1" applyBorder="1" applyAlignment="1">
      <alignment horizontal="center" vertical="center"/>
    </xf>
    <xf numFmtId="165" fontId="1" fillId="0" borderId="5" xfId="0" applyNumberFormat="1" applyFont="1" applyBorder="1" applyAlignment="1">
      <alignment horizontal="center" vertical="center"/>
    </xf>
    <xf numFmtId="165" fontId="1" fillId="0" borderId="6" xfId="0" applyNumberFormat="1" applyFont="1" applyBorder="1" applyAlignment="1">
      <alignment horizontal="center" vertical="center"/>
    </xf>
    <xf numFmtId="166" fontId="1" fillId="0" borderId="5" xfId="0" applyNumberFormat="1" applyFont="1" applyBorder="1" applyAlignment="1">
      <alignment horizontal="center" vertical="center"/>
    </xf>
    <xf numFmtId="4" fontId="1" fillId="0" borderId="5" xfId="0" applyNumberFormat="1" applyFont="1" applyBorder="1" applyAlignment="1">
      <alignment horizontal="center" vertical="center"/>
    </xf>
    <xf numFmtId="167" fontId="1" fillId="0" borderId="5" xfId="0" applyNumberFormat="1" applyFont="1" applyBorder="1" applyAlignment="1">
      <alignment horizontal="center" vertical="center"/>
    </xf>
    <xf numFmtId="168" fontId="1" fillId="0" borderId="5" xfId="0" applyNumberFormat="1" applyFont="1" applyBorder="1" applyAlignment="1">
      <alignment horizontal="center" vertical="center"/>
    </xf>
    <xf numFmtId="169" fontId="1" fillId="0" borderId="5" xfId="0" applyNumberFormat="1" applyFont="1" applyBorder="1" applyAlignment="1">
      <alignment horizontal="center" vertical="center"/>
    </xf>
    <xf numFmtId="170" fontId="1" fillId="0" borderId="5" xfId="0" applyNumberFormat="1" applyFont="1" applyBorder="1" applyAlignment="1">
      <alignment horizontal="center" vertical="center"/>
    </xf>
    <xf numFmtId="165" fontId="1" fillId="0" borderId="0" xfId="0" applyNumberFormat="1" applyFont="1" applyAlignment="1">
      <alignment horizontal="center" vertical="center"/>
    </xf>
    <xf numFmtId="171" fontId="1" fillId="0" borderId="5" xfId="0" applyNumberFormat="1" applyFont="1" applyBorder="1" applyAlignment="1">
      <alignment horizontal="center" vertical="center"/>
    </xf>
    <xf numFmtId="168" fontId="4" fillId="0" borderId="5" xfId="0" applyNumberFormat="1" applyFont="1" applyBorder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167" fontId="4" fillId="0" borderId="5" xfId="0" applyNumberFormat="1" applyFont="1" applyBorder="1" applyAlignment="1">
      <alignment horizontal="center" vertical="center"/>
    </xf>
    <xf numFmtId="165" fontId="4" fillId="0" borderId="5" xfId="0" applyNumberFormat="1" applyFont="1" applyBorder="1" applyAlignment="1">
      <alignment horizontal="center" vertical="center"/>
    </xf>
    <xf numFmtId="168" fontId="4" fillId="2" borderId="5" xfId="0" applyNumberFormat="1" applyFont="1" applyFill="1" applyBorder="1" applyAlignment="1">
      <alignment horizontal="center" vertical="center"/>
    </xf>
    <xf numFmtId="3" fontId="1" fillId="0" borderId="5" xfId="0" applyNumberFormat="1" applyFont="1" applyBorder="1" applyAlignment="1">
      <alignment horizontal="center" vertical="center"/>
    </xf>
    <xf numFmtId="1" fontId="1" fillId="0" borderId="5" xfId="0" applyNumberFormat="1" applyFont="1" applyBorder="1" applyAlignment="1">
      <alignment horizontal="center" vertical="center"/>
    </xf>
    <xf numFmtId="1" fontId="1" fillId="0" borderId="6" xfId="0" applyNumberFormat="1" applyFont="1" applyBorder="1" applyAlignment="1">
      <alignment horizontal="center" vertical="center"/>
    </xf>
    <xf numFmtId="3" fontId="1" fillId="0" borderId="6" xfId="0" applyNumberFormat="1" applyFont="1" applyBorder="1" applyAlignment="1">
      <alignment horizontal="center" vertical="center"/>
    </xf>
    <xf numFmtId="171" fontId="4" fillId="0" borderId="5" xfId="0" applyNumberFormat="1" applyFont="1" applyBorder="1" applyAlignment="1">
      <alignment horizontal="center" vertical="center"/>
    </xf>
    <xf numFmtId="171" fontId="1" fillId="2" borderId="5" xfId="0" applyNumberFormat="1" applyFont="1" applyFill="1" applyBorder="1" applyAlignment="1">
      <alignment horizontal="center" vertical="center"/>
    </xf>
    <xf numFmtId="0" fontId="1" fillId="0" borderId="5" xfId="0" applyFont="1" applyBorder="1" applyAlignment="1">
      <alignment horizontal="center" textRotation="90" wrapText="1"/>
    </xf>
    <xf numFmtId="0" fontId="1" fillId="0" borderId="5" xfId="0" applyFont="1" applyBorder="1" applyAlignment="1">
      <alignment horizontal="center" textRotation="90"/>
    </xf>
    <xf numFmtId="0" fontId="1" fillId="0" borderId="6" xfId="0" applyFont="1" applyBorder="1" applyAlignment="1">
      <alignment horizontal="center" textRotation="90" wrapText="1"/>
    </xf>
    <xf numFmtId="0" fontId="1" fillId="0" borderId="6" xfId="0" applyFont="1" applyBorder="1" applyAlignment="1">
      <alignment horizontal="center" textRotation="90"/>
    </xf>
    <xf numFmtId="0" fontId="1" fillId="0" borderId="8" xfId="0" applyFont="1" applyBorder="1" applyAlignment="1">
      <alignment horizontal="center" textRotation="90" wrapText="1"/>
    </xf>
    <xf numFmtId="0" fontId="1" fillId="0" borderId="11" xfId="0" applyFont="1" applyBorder="1" applyAlignment="1">
      <alignment horizontal="center" textRotation="90" wrapText="1"/>
    </xf>
    <xf numFmtId="0" fontId="1" fillId="0" borderId="2" xfId="0" applyFont="1" applyBorder="1" applyAlignment="1">
      <alignment horizontal="center" textRotation="90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164" fontId="1" fillId="0" borderId="5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164" fontId="1" fillId="0" borderId="10" xfId="0" applyNumberFormat="1" applyFont="1" applyBorder="1" applyAlignment="1">
      <alignment horizontal="center" vertical="center"/>
    </xf>
    <xf numFmtId="164" fontId="1" fillId="0" borderId="4" xfId="0" applyNumberFormat="1" applyFont="1" applyBorder="1" applyAlignment="1">
      <alignment horizontal="center" vertical="center"/>
    </xf>
    <xf numFmtId="164" fontId="1" fillId="0" borderId="6" xfId="0" applyNumberFormat="1" applyFont="1" applyBorder="1" applyAlignment="1">
      <alignment horizontal="center" vertical="center"/>
    </xf>
    <xf numFmtId="1" fontId="1" fillId="0" borderId="5" xfId="0" applyNumberFormat="1" applyFont="1" applyBorder="1" applyAlignment="1">
      <alignment horizontal="center" vertical="center"/>
    </xf>
    <xf numFmtId="1" fontId="1" fillId="0" borderId="8" xfId="0" applyNumberFormat="1" applyFont="1" applyBorder="1" applyAlignment="1">
      <alignment horizontal="center" vertical="center"/>
    </xf>
    <xf numFmtId="1" fontId="1" fillId="0" borderId="6" xfId="0" applyNumberFormat="1" applyFont="1" applyBorder="1" applyAlignment="1">
      <alignment horizontal="center" vertical="center"/>
    </xf>
    <xf numFmtId="1" fontId="1" fillId="0" borderId="9" xfId="0" applyNumberFormat="1" applyFont="1" applyBorder="1" applyAlignment="1">
      <alignment horizontal="center" vertical="center"/>
    </xf>
    <xf numFmtId="3" fontId="1" fillId="0" borderId="9" xfId="0" applyNumberFormat="1" applyFont="1" applyBorder="1" applyAlignment="1">
      <alignment horizontal="center" vertical="center"/>
    </xf>
    <xf numFmtId="3" fontId="1" fillId="0" borderId="12" xfId="0" applyNumberFormat="1" applyFont="1" applyBorder="1" applyAlignment="1">
      <alignment horizontal="center" vertical="center"/>
    </xf>
    <xf numFmtId="3" fontId="1" fillId="0" borderId="7" xfId="0" applyNumberFormat="1" applyFont="1" applyBorder="1" applyAlignment="1">
      <alignment horizontal="center" vertical="center"/>
    </xf>
    <xf numFmtId="3" fontId="1" fillId="0" borderId="13" xfId="0" applyNumberFormat="1" applyFont="1" applyBorder="1" applyAlignment="1">
      <alignment horizontal="center" vertical="center"/>
    </xf>
    <xf numFmtId="3" fontId="1" fillId="0" borderId="0" xfId="0" applyNumberFormat="1" applyFont="1" applyAlignment="1">
      <alignment horizontal="center" vertical="center"/>
    </xf>
    <xf numFmtId="3" fontId="1" fillId="0" borderId="14" xfId="0" applyNumberFormat="1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3" fontId="1" fillId="0" borderId="5" xfId="0" applyNumberFormat="1" applyFont="1" applyBorder="1" applyAlignment="1">
      <alignment horizontal="center" vertical="center"/>
    </xf>
    <xf numFmtId="3" fontId="1" fillId="0" borderId="8" xfId="0" applyNumberFormat="1" applyFont="1" applyBorder="1" applyAlignment="1">
      <alignment horizontal="center" vertical="center"/>
    </xf>
    <xf numFmtId="1" fontId="1" fillId="0" borderId="12" xfId="0" applyNumberFormat="1" applyFont="1" applyBorder="1" applyAlignment="1">
      <alignment horizontal="center" vertical="center"/>
    </xf>
    <xf numFmtId="1" fontId="1" fillId="0" borderId="7" xfId="0" applyNumberFormat="1" applyFont="1" applyBorder="1" applyAlignment="1">
      <alignment horizontal="center" vertical="center"/>
    </xf>
    <xf numFmtId="1" fontId="1" fillId="0" borderId="13" xfId="0" applyNumberFormat="1" applyFont="1" applyBorder="1" applyAlignment="1">
      <alignment horizontal="center" vertical="center"/>
    </xf>
    <xf numFmtId="1" fontId="1" fillId="0" borderId="0" xfId="0" applyNumberFormat="1" applyFont="1" applyAlignment="1">
      <alignment horizontal="center" vertical="center"/>
    </xf>
    <xf numFmtId="1" fontId="1" fillId="0" borderId="14" xfId="0" applyNumberFormat="1" applyFont="1" applyBorder="1" applyAlignment="1">
      <alignment horizontal="center" vertical="center"/>
    </xf>
    <xf numFmtId="165" fontId="3" fillId="0" borderId="2" xfId="0" applyNumberFormat="1" applyFont="1" applyBorder="1" applyAlignment="1">
      <alignment horizontal="center" vertical="center" wrapText="1"/>
    </xf>
    <xf numFmtId="165" fontId="3" fillId="0" borderId="5" xfId="0" applyNumberFormat="1" applyFont="1" applyBorder="1" applyAlignment="1">
      <alignment horizontal="center" vertical="center"/>
    </xf>
    <xf numFmtId="3" fontId="1" fillId="0" borderId="6" xfId="0" applyNumberFormat="1" applyFont="1" applyBorder="1" applyAlignment="1">
      <alignment horizontal="center" vertical="center"/>
    </xf>
    <xf numFmtId="173" fontId="1" fillId="0" borderId="5" xfId="0" applyNumberFormat="1" applyFont="1" applyBorder="1" applyAlignment="1">
      <alignment horizontal="center" vertical="center"/>
    </xf>
    <xf numFmtId="174" fontId="1" fillId="0" borderId="5" xfId="0" applyNumberFormat="1" applyFont="1" applyBorder="1" applyAlignment="1">
      <alignment horizontal="center" vertical="center"/>
    </xf>
    <xf numFmtId="175" fontId="1" fillId="0" borderId="6" xfId="0" applyNumberFormat="1" applyFont="1" applyBorder="1" applyAlignment="1">
      <alignment horizontal="center" vertical="center"/>
    </xf>
    <xf numFmtId="175" fontId="1" fillId="0" borderId="4" xfId="0" applyNumberFormat="1" applyFont="1" applyBorder="1" applyAlignment="1">
      <alignment horizontal="center" vertical="center"/>
    </xf>
    <xf numFmtId="172" fontId="1" fillId="0" borderId="5" xfId="0" applyNumberFormat="1" applyFont="1" applyBorder="1" applyAlignment="1">
      <alignment horizontal="center" vertical="center"/>
    </xf>
    <xf numFmtId="3" fontId="1" fillId="0" borderId="11" xfId="0" applyNumberFormat="1" applyFont="1" applyBorder="1" applyAlignment="1">
      <alignment horizontal="center" vertical="center"/>
    </xf>
    <xf numFmtId="1" fontId="1" fillId="0" borderId="11" xfId="0" applyNumberFormat="1" applyFont="1" applyBorder="1" applyAlignment="1">
      <alignment horizontal="center" vertical="center"/>
    </xf>
    <xf numFmtId="176" fontId="1" fillId="0" borderId="5" xfId="0" applyNumberFormat="1" applyFont="1" applyBorder="1" applyAlignment="1">
      <alignment horizontal="center" vertical="center"/>
    </xf>
    <xf numFmtId="177" fontId="1" fillId="0" borderId="5" xfId="0" applyNumberFormat="1" applyFont="1" applyBorder="1" applyAlignment="1">
      <alignment horizontal="center" vertical="center"/>
    </xf>
    <xf numFmtId="178" fontId="1" fillId="0" borderId="5" xfId="0" applyNumberFormat="1" applyFont="1" applyBorder="1" applyAlignment="1">
      <alignment horizontal="center" vertical="center"/>
    </xf>
    <xf numFmtId="179" fontId="1" fillId="0" borderId="5" xfId="0" applyNumberFormat="1" applyFont="1" applyBorder="1" applyAlignment="1">
      <alignment horizontal="center" vertical="center"/>
    </xf>
    <xf numFmtId="2" fontId="3" fillId="0" borderId="11" xfId="0" applyNumberFormat="1" applyFont="1" applyBorder="1" applyAlignment="1">
      <alignment horizontal="center" vertical="center" wrapText="1"/>
    </xf>
    <xf numFmtId="2" fontId="3" fillId="0" borderId="2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1" fontId="1" fillId="0" borderId="10" xfId="0" applyNumberFormat="1" applyFont="1" applyBorder="1" applyAlignment="1">
      <alignment horizontal="center" vertical="center"/>
    </xf>
    <xf numFmtId="1" fontId="1" fillId="0" borderId="4" xfId="0" applyNumberFormat="1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3" fontId="1" fillId="0" borderId="10" xfId="0" applyNumberFormat="1" applyFont="1" applyBorder="1" applyAlignment="1">
      <alignment horizontal="center" vertical="center"/>
    </xf>
    <xf numFmtId="3" fontId="1" fillId="0" borderId="4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BC3F3A-3149-46F7-A1D6-BC187B3EC1F1}">
  <dimension ref="A1:AB75"/>
  <sheetViews>
    <sheetView showZeros="0" topLeftCell="A46" workbookViewId="0">
      <selection activeCell="A74" sqref="A74:I75"/>
    </sheetView>
  </sheetViews>
  <sheetFormatPr defaultRowHeight="12.75" x14ac:dyDescent="0.2"/>
  <cols>
    <col min="1" max="2" width="10.7109375" style="1" customWidth="1"/>
    <col min="3" max="3" width="3.7109375" style="1" customWidth="1"/>
    <col min="4" max="5" width="10.7109375" style="1" customWidth="1"/>
    <col min="6" max="9" width="9.7109375" style="1" customWidth="1"/>
    <col min="10" max="28" width="9.42578125" style="1" customWidth="1"/>
    <col min="29" max="36" width="9.7109375" style="1" customWidth="1"/>
    <col min="37" max="16384" width="9.140625" style="1"/>
  </cols>
  <sheetData>
    <row r="1" spans="1:28" ht="12.75" customHeight="1" x14ac:dyDescent="0.2">
      <c r="A1" s="35" t="s">
        <v>33</v>
      </c>
      <c r="B1" s="36"/>
      <c r="C1" s="36"/>
      <c r="D1" s="36"/>
      <c r="E1" s="36"/>
      <c r="F1" s="39" t="s">
        <v>29</v>
      </c>
      <c r="G1" s="39" t="s">
        <v>30</v>
      </c>
      <c r="H1" s="41" t="s">
        <v>36</v>
      </c>
      <c r="I1" s="39" t="s">
        <v>31</v>
      </c>
      <c r="J1" s="2">
        <v>202</v>
      </c>
      <c r="K1" s="2">
        <v>206</v>
      </c>
      <c r="L1" s="2">
        <v>254</v>
      </c>
      <c r="M1" s="2">
        <v>254</v>
      </c>
      <c r="N1" s="2">
        <v>255</v>
      </c>
      <c r="O1" s="2">
        <v>302</v>
      </c>
      <c r="P1" s="2">
        <v>304</v>
      </c>
      <c r="Q1" s="2">
        <v>407</v>
      </c>
      <c r="R1" s="2">
        <v>407</v>
      </c>
      <c r="S1" s="2">
        <v>407</v>
      </c>
      <c r="T1" s="2">
        <v>408</v>
      </c>
      <c r="U1" s="2">
        <v>441</v>
      </c>
      <c r="V1" s="2">
        <v>442</v>
      </c>
      <c r="W1" s="2">
        <v>442</v>
      </c>
      <c r="X1" s="2">
        <v>442</v>
      </c>
      <c r="Y1" s="2">
        <v>442</v>
      </c>
      <c r="Z1" s="2">
        <v>617</v>
      </c>
      <c r="AA1" s="2">
        <v>874</v>
      </c>
      <c r="AB1" s="3">
        <v>874</v>
      </c>
    </row>
    <row r="2" spans="1:28" ht="12.75" customHeight="1" x14ac:dyDescent="0.2">
      <c r="A2" s="37"/>
      <c r="B2" s="38"/>
      <c r="C2" s="38"/>
      <c r="D2" s="38"/>
      <c r="E2" s="38"/>
      <c r="F2" s="40"/>
      <c r="G2" s="40"/>
      <c r="H2" s="41"/>
      <c r="I2" s="40"/>
      <c r="J2" s="29" t="s">
        <v>0</v>
      </c>
      <c r="K2" s="28" t="s">
        <v>2</v>
      </c>
      <c r="L2" s="28" t="s">
        <v>3</v>
      </c>
      <c r="M2" s="28" t="s">
        <v>6</v>
      </c>
      <c r="N2" s="29" t="s">
        <v>4</v>
      </c>
      <c r="O2" s="28" t="s">
        <v>22</v>
      </c>
      <c r="P2" s="29" t="s">
        <v>8</v>
      </c>
      <c r="Q2" s="32" t="s">
        <v>12</v>
      </c>
      <c r="R2" s="28" t="s">
        <v>11</v>
      </c>
      <c r="S2" s="28" t="s">
        <v>11</v>
      </c>
      <c r="T2" s="29" t="s">
        <v>17</v>
      </c>
      <c r="U2" s="28" t="s">
        <v>19</v>
      </c>
      <c r="V2" s="29" t="s">
        <v>21</v>
      </c>
      <c r="W2" s="28" t="s">
        <v>109</v>
      </c>
      <c r="X2" s="28" t="s">
        <v>23</v>
      </c>
      <c r="Y2" s="28" t="s">
        <v>110</v>
      </c>
      <c r="Z2" s="28" t="s">
        <v>25</v>
      </c>
      <c r="AA2" s="28" t="s">
        <v>27</v>
      </c>
      <c r="AB2" s="30" t="s">
        <v>28</v>
      </c>
    </row>
    <row r="3" spans="1:28" ht="12.75" customHeight="1" x14ac:dyDescent="0.2">
      <c r="A3" s="37"/>
      <c r="B3" s="38"/>
      <c r="C3" s="38"/>
      <c r="D3" s="38"/>
      <c r="E3" s="38"/>
      <c r="F3" s="40"/>
      <c r="G3" s="40"/>
      <c r="H3" s="41"/>
      <c r="I3" s="40"/>
      <c r="J3" s="29"/>
      <c r="K3" s="29"/>
      <c r="L3" s="29"/>
      <c r="M3" s="29"/>
      <c r="N3" s="29"/>
      <c r="O3" s="29"/>
      <c r="P3" s="29"/>
      <c r="Q3" s="33"/>
      <c r="R3" s="29"/>
      <c r="S3" s="29"/>
      <c r="T3" s="29"/>
      <c r="U3" s="29"/>
      <c r="V3" s="29"/>
      <c r="W3" s="29"/>
      <c r="X3" s="29"/>
      <c r="Y3" s="29"/>
      <c r="Z3" s="29"/>
      <c r="AA3" s="29"/>
      <c r="AB3" s="31"/>
    </row>
    <row r="4" spans="1:28" ht="12.75" customHeight="1" x14ac:dyDescent="0.2">
      <c r="A4" s="37"/>
      <c r="B4" s="38"/>
      <c r="C4" s="38"/>
      <c r="D4" s="38"/>
      <c r="E4" s="38"/>
      <c r="F4" s="40"/>
      <c r="G4" s="40"/>
      <c r="H4" s="41"/>
      <c r="I4" s="40"/>
      <c r="J4" s="29"/>
      <c r="K4" s="29"/>
      <c r="L4" s="29"/>
      <c r="M4" s="29"/>
      <c r="N4" s="29"/>
      <c r="O4" s="29"/>
      <c r="P4" s="29"/>
      <c r="Q4" s="33"/>
      <c r="R4" s="29"/>
      <c r="S4" s="29"/>
      <c r="T4" s="29"/>
      <c r="U4" s="29"/>
      <c r="V4" s="29"/>
      <c r="W4" s="29"/>
      <c r="X4" s="29"/>
      <c r="Y4" s="29"/>
      <c r="Z4" s="29"/>
      <c r="AA4" s="29"/>
      <c r="AB4" s="31"/>
    </row>
    <row r="5" spans="1:28" ht="12.75" customHeight="1" x14ac:dyDescent="0.2">
      <c r="A5" s="37"/>
      <c r="B5" s="38"/>
      <c r="C5" s="38"/>
      <c r="D5" s="38"/>
      <c r="E5" s="38"/>
      <c r="F5" s="40"/>
      <c r="G5" s="40"/>
      <c r="H5" s="41"/>
      <c r="I5" s="40"/>
      <c r="J5" s="29"/>
      <c r="K5" s="29"/>
      <c r="L5" s="29"/>
      <c r="M5" s="29"/>
      <c r="N5" s="29"/>
      <c r="O5" s="29"/>
      <c r="P5" s="29"/>
      <c r="Q5" s="33"/>
      <c r="R5" s="29"/>
      <c r="S5" s="29"/>
      <c r="T5" s="29"/>
      <c r="U5" s="29"/>
      <c r="V5" s="29"/>
      <c r="W5" s="29"/>
      <c r="X5" s="29"/>
      <c r="Y5" s="29"/>
      <c r="Z5" s="29"/>
      <c r="AA5" s="29"/>
      <c r="AB5" s="31"/>
    </row>
    <row r="6" spans="1:28" ht="12.75" customHeight="1" x14ac:dyDescent="0.2">
      <c r="A6" s="37"/>
      <c r="B6" s="38"/>
      <c r="C6" s="38"/>
      <c r="D6" s="38"/>
      <c r="E6" s="38"/>
      <c r="F6" s="40"/>
      <c r="G6" s="40"/>
      <c r="H6" s="41"/>
      <c r="I6" s="40"/>
      <c r="J6" s="29"/>
      <c r="K6" s="29"/>
      <c r="L6" s="29"/>
      <c r="M6" s="29"/>
      <c r="N6" s="29"/>
      <c r="O6" s="29"/>
      <c r="P6" s="29"/>
      <c r="Q6" s="33"/>
      <c r="R6" s="29"/>
      <c r="S6" s="29"/>
      <c r="T6" s="29"/>
      <c r="U6" s="29"/>
      <c r="V6" s="29"/>
      <c r="W6" s="29"/>
      <c r="X6" s="29"/>
      <c r="Y6" s="29"/>
      <c r="Z6" s="29"/>
      <c r="AA6" s="29"/>
      <c r="AB6" s="31"/>
    </row>
    <row r="7" spans="1:28" ht="12.75" customHeight="1" x14ac:dyDescent="0.2">
      <c r="A7" s="37"/>
      <c r="B7" s="38"/>
      <c r="C7" s="38"/>
      <c r="D7" s="38"/>
      <c r="E7" s="38"/>
      <c r="F7" s="40"/>
      <c r="G7" s="40"/>
      <c r="H7" s="41"/>
      <c r="I7" s="40"/>
      <c r="J7" s="29"/>
      <c r="K7" s="29"/>
      <c r="L7" s="29"/>
      <c r="M7" s="29"/>
      <c r="N7" s="29"/>
      <c r="O7" s="29"/>
      <c r="P7" s="29"/>
      <c r="Q7" s="33"/>
      <c r="R7" s="29"/>
      <c r="S7" s="29"/>
      <c r="T7" s="29"/>
      <c r="U7" s="29"/>
      <c r="V7" s="29"/>
      <c r="W7" s="29"/>
      <c r="X7" s="29"/>
      <c r="Y7" s="29"/>
      <c r="Z7" s="29"/>
      <c r="AA7" s="29"/>
      <c r="AB7" s="31"/>
    </row>
    <row r="8" spans="1:28" ht="12.75" customHeight="1" x14ac:dyDescent="0.2">
      <c r="A8" s="37"/>
      <c r="B8" s="38"/>
      <c r="C8" s="38"/>
      <c r="D8" s="38"/>
      <c r="E8" s="38"/>
      <c r="F8" s="40"/>
      <c r="G8" s="40"/>
      <c r="H8" s="41"/>
      <c r="I8" s="40"/>
      <c r="J8" s="29"/>
      <c r="K8" s="29"/>
      <c r="L8" s="29"/>
      <c r="M8" s="29"/>
      <c r="N8" s="29"/>
      <c r="O8" s="29"/>
      <c r="P8" s="29"/>
      <c r="Q8" s="33"/>
      <c r="R8" s="29"/>
      <c r="S8" s="29"/>
      <c r="T8" s="29"/>
      <c r="U8" s="29"/>
      <c r="V8" s="29"/>
      <c r="W8" s="29"/>
      <c r="X8" s="29"/>
      <c r="Y8" s="29"/>
      <c r="Z8" s="29"/>
      <c r="AA8" s="29"/>
      <c r="AB8" s="31"/>
    </row>
    <row r="9" spans="1:28" ht="12.75" customHeight="1" x14ac:dyDescent="0.2">
      <c r="A9" s="37"/>
      <c r="B9" s="38"/>
      <c r="C9" s="38"/>
      <c r="D9" s="38"/>
      <c r="E9" s="38"/>
      <c r="F9" s="40"/>
      <c r="G9" s="40"/>
      <c r="H9" s="41"/>
      <c r="I9" s="40"/>
      <c r="J9" s="29"/>
      <c r="K9" s="29"/>
      <c r="L9" s="29"/>
      <c r="M9" s="29"/>
      <c r="N9" s="29"/>
      <c r="O9" s="29"/>
      <c r="P9" s="29"/>
      <c r="Q9" s="33"/>
      <c r="R9" s="29"/>
      <c r="S9" s="29"/>
      <c r="T9" s="29"/>
      <c r="U9" s="29"/>
      <c r="V9" s="29"/>
      <c r="W9" s="29"/>
      <c r="X9" s="29"/>
      <c r="Y9" s="29"/>
      <c r="Z9" s="29"/>
      <c r="AA9" s="29"/>
      <c r="AB9" s="31"/>
    </row>
    <row r="10" spans="1:28" ht="12.75" customHeight="1" x14ac:dyDescent="0.2">
      <c r="A10" s="37"/>
      <c r="B10" s="38"/>
      <c r="C10" s="38"/>
      <c r="D10" s="38"/>
      <c r="E10" s="38"/>
      <c r="F10" s="40"/>
      <c r="G10" s="40"/>
      <c r="H10" s="41"/>
      <c r="I10" s="40"/>
      <c r="J10" s="29"/>
      <c r="K10" s="29"/>
      <c r="L10" s="29"/>
      <c r="M10" s="29"/>
      <c r="N10" s="29"/>
      <c r="O10" s="29"/>
      <c r="P10" s="29"/>
      <c r="Q10" s="33"/>
      <c r="R10" s="29"/>
      <c r="S10" s="29"/>
      <c r="T10" s="29"/>
      <c r="U10" s="29"/>
      <c r="V10" s="29"/>
      <c r="W10" s="29"/>
      <c r="X10" s="29"/>
      <c r="Y10" s="29"/>
      <c r="Z10" s="29"/>
      <c r="AA10" s="29"/>
      <c r="AB10" s="31"/>
    </row>
    <row r="11" spans="1:28" ht="12.75" customHeight="1" x14ac:dyDescent="0.2">
      <c r="A11" s="37"/>
      <c r="B11" s="38"/>
      <c r="C11" s="38"/>
      <c r="D11" s="38"/>
      <c r="E11" s="38"/>
      <c r="F11" s="40"/>
      <c r="G11" s="40"/>
      <c r="H11" s="41"/>
      <c r="I11" s="40"/>
      <c r="J11" s="29"/>
      <c r="K11" s="29"/>
      <c r="L11" s="29"/>
      <c r="M11" s="29"/>
      <c r="N11" s="29"/>
      <c r="O11" s="29"/>
      <c r="P11" s="29"/>
      <c r="Q11" s="33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31"/>
    </row>
    <row r="12" spans="1:28" ht="12.75" customHeight="1" x14ac:dyDescent="0.2">
      <c r="A12" s="37"/>
      <c r="B12" s="38"/>
      <c r="C12" s="38"/>
      <c r="D12" s="38"/>
      <c r="E12" s="38"/>
      <c r="F12" s="40"/>
      <c r="G12" s="40"/>
      <c r="H12" s="41"/>
      <c r="I12" s="40"/>
      <c r="J12" s="29"/>
      <c r="K12" s="29"/>
      <c r="L12" s="29"/>
      <c r="M12" s="29"/>
      <c r="N12" s="29"/>
      <c r="O12" s="29"/>
      <c r="P12" s="29"/>
      <c r="Q12" s="33"/>
      <c r="R12" s="29"/>
      <c r="S12" s="29"/>
      <c r="T12" s="29"/>
      <c r="U12" s="29"/>
      <c r="V12" s="29"/>
      <c r="W12" s="29"/>
      <c r="X12" s="29"/>
      <c r="Y12" s="29"/>
      <c r="Z12" s="29"/>
      <c r="AA12" s="29"/>
      <c r="AB12" s="31"/>
    </row>
    <row r="13" spans="1:28" ht="12.75" customHeight="1" x14ac:dyDescent="0.2">
      <c r="A13" s="37"/>
      <c r="B13" s="38"/>
      <c r="C13" s="38"/>
      <c r="D13" s="38"/>
      <c r="E13" s="38"/>
      <c r="F13" s="40"/>
      <c r="G13" s="40"/>
      <c r="H13" s="41"/>
      <c r="I13" s="40"/>
      <c r="J13" s="29"/>
      <c r="K13" s="29"/>
      <c r="L13" s="29"/>
      <c r="M13" s="29"/>
      <c r="N13" s="29"/>
      <c r="O13" s="29"/>
      <c r="P13" s="29"/>
      <c r="Q13" s="33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31"/>
    </row>
    <row r="14" spans="1:28" ht="12.75" customHeight="1" x14ac:dyDescent="0.2">
      <c r="A14" s="37"/>
      <c r="B14" s="38"/>
      <c r="C14" s="38"/>
      <c r="D14" s="38"/>
      <c r="E14" s="38"/>
      <c r="F14" s="40"/>
      <c r="G14" s="40"/>
      <c r="H14" s="41"/>
      <c r="I14" s="40"/>
      <c r="J14" s="29"/>
      <c r="K14" s="29"/>
      <c r="L14" s="29"/>
      <c r="M14" s="29"/>
      <c r="N14" s="29"/>
      <c r="O14" s="29"/>
      <c r="P14" s="29"/>
      <c r="Q14" s="33"/>
      <c r="R14" s="29"/>
      <c r="S14" s="29"/>
      <c r="T14" s="29"/>
      <c r="U14" s="29"/>
      <c r="V14" s="29"/>
      <c r="W14" s="29"/>
      <c r="X14" s="29"/>
      <c r="Y14" s="29"/>
      <c r="Z14" s="29"/>
      <c r="AA14" s="29"/>
      <c r="AB14" s="31"/>
    </row>
    <row r="15" spans="1:28" ht="12.75" customHeight="1" x14ac:dyDescent="0.2">
      <c r="A15" s="37"/>
      <c r="B15" s="38"/>
      <c r="C15" s="38"/>
      <c r="D15" s="38"/>
      <c r="E15" s="38"/>
      <c r="F15" s="40"/>
      <c r="G15" s="40"/>
      <c r="H15" s="41"/>
      <c r="I15" s="40"/>
      <c r="J15" s="29"/>
      <c r="K15" s="29"/>
      <c r="L15" s="29"/>
      <c r="M15" s="29"/>
      <c r="N15" s="29"/>
      <c r="O15" s="29"/>
      <c r="P15" s="29"/>
      <c r="Q15" s="33"/>
      <c r="R15" s="29"/>
      <c r="S15" s="29"/>
      <c r="T15" s="29"/>
      <c r="U15" s="29"/>
      <c r="V15" s="29"/>
      <c r="W15" s="29"/>
      <c r="X15" s="29"/>
      <c r="Y15" s="29"/>
      <c r="Z15" s="29"/>
      <c r="AA15" s="29"/>
      <c r="AB15" s="31"/>
    </row>
    <row r="16" spans="1:28" ht="12.75" customHeight="1" x14ac:dyDescent="0.2">
      <c r="A16" s="37"/>
      <c r="B16" s="38"/>
      <c r="C16" s="38"/>
      <c r="D16" s="38"/>
      <c r="E16" s="38"/>
      <c r="F16" s="40"/>
      <c r="G16" s="40"/>
      <c r="H16" s="41"/>
      <c r="I16" s="40"/>
      <c r="J16" s="29"/>
      <c r="K16" s="29"/>
      <c r="L16" s="29"/>
      <c r="M16" s="29"/>
      <c r="N16" s="29"/>
      <c r="O16" s="29"/>
      <c r="P16" s="29"/>
      <c r="Q16" s="34"/>
      <c r="R16" s="29"/>
      <c r="S16" s="29"/>
      <c r="T16" s="29"/>
      <c r="U16" s="29"/>
      <c r="V16" s="29"/>
      <c r="W16" s="29"/>
      <c r="X16" s="29"/>
      <c r="Y16" s="29"/>
      <c r="Z16" s="29"/>
      <c r="AA16" s="29"/>
      <c r="AB16" s="31"/>
    </row>
    <row r="17" spans="1:28" ht="12.75" customHeight="1" x14ac:dyDescent="0.2">
      <c r="A17" s="37"/>
      <c r="B17" s="38"/>
      <c r="C17" s="38"/>
      <c r="D17" s="38"/>
      <c r="E17" s="38"/>
      <c r="F17" s="40"/>
      <c r="G17" s="40"/>
      <c r="H17" s="41"/>
      <c r="I17" s="40"/>
      <c r="J17" s="29"/>
      <c r="K17" s="29"/>
      <c r="L17" s="29"/>
      <c r="M17" s="29"/>
      <c r="N17" s="29"/>
      <c r="O17" s="4" t="s">
        <v>10</v>
      </c>
      <c r="P17" s="4" t="s">
        <v>9</v>
      </c>
      <c r="Q17" s="4" t="s">
        <v>13</v>
      </c>
      <c r="R17" s="4" t="s">
        <v>15</v>
      </c>
      <c r="S17" s="4" t="s">
        <v>16</v>
      </c>
      <c r="T17" s="4" t="s">
        <v>18</v>
      </c>
      <c r="U17" s="4" t="s">
        <v>20</v>
      </c>
      <c r="V17" s="29"/>
      <c r="W17" s="4" t="s">
        <v>20</v>
      </c>
      <c r="X17" s="4" t="s">
        <v>20</v>
      </c>
      <c r="Y17" s="4" t="s">
        <v>24</v>
      </c>
      <c r="Z17" s="4" t="s">
        <v>26</v>
      </c>
      <c r="AA17" s="29"/>
      <c r="AB17" s="31"/>
    </row>
    <row r="18" spans="1:28" ht="12.75" customHeight="1" x14ac:dyDescent="0.2">
      <c r="A18" s="37"/>
      <c r="B18" s="38"/>
      <c r="C18" s="38"/>
      <c r="D18" s="38"/>
      <c r="E18" s="38"/>
      <c r="F18" s="40"/>
      <c r="G18" s="40"/>
      <c r="H18" s="39"/>
      <c r="I18" s="40"/>
      <c r="J18" s="4" t="s">
        <v>1</v>
      </c>
      <c r="K18" s="4" t="s">
        <v>1</v>
      </c>
      <c r="L18" s="4" t="s">
        <v>1</v>
      </c>
      <c r="M18" s="4" t="s">
        <v>1</v>
      </c>
      <c r="N18" s="4" t="s">
        <v>5</v>
      </c>
      <c r="O18" s="4" t="s">
        <v>7</v>
      </c>
      <c r="P18" s="4" t="s">
        <v>7</v>
      </c>
      <c r="Q18" s="4" t="s">
        <v>14</v>
      </c>
      <c r="R18" s="4" t="s">
        <v>14</v>
      </c>
      <c r="S18" s="4" t="s">
        <v>14</v>
      </c>
      <c r="T18" s="4" t="s">
        <v>14</v>
      </c>
      <c r="U18" s="4" t="s">
        <v>7</v>
      </c>
      <c r="V18" s="4" t="s">
        <v>7</v>
      </c>
      <c r="W18" s="4" t="s">
        <v>7</v>
      </c>
      <c r="X18" s="4" t="s">
        <v>7</v>
      </c>
      <c r="Y18" s="4" t="s">
        <v>7</v>
      </c>
      <c r="Z18" s="4" t="s">
        <v>7</v>
      </c>
      <c r="AA18" s="4" t="s">
        <v>5</v>
      </c>
      <c r="AB18" s="5" t="s">
        <v>5</v>
      </c>
    </row>
    <row r="19" spans="1:28" x14ac:dyDescent="0.2">
      <c r="A19" s="45" t="s">
        <v>37</v>
      </c>
      <c r="B19" s="45"/>
      <c r="C19" s="45"/>
      <c r="D19" s="45"/>
      <c r="E19" s="46"/>
      <c r="F19" s="6"/>
      <c r="G19" s="6"/>
      <c r="H19" s="6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8"/>
    </row>
    <row r="20" spans="1:28" x14ac:dyDescent="0.2">
      <c r="A20" s="45"/>
      <c r="B20" s="45"/>
      <c r="C20" s="45"/>
      <c r="D20" s="45"/>
      <c r="E20" s="46"/>
      <c r="F20" s="6"/>
      <c r="G20" s="6"/>
      <c r="H20" s="6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8"/>
    </row>
    <row r="21" spans="1:28" x14ac:dyDescent="0.2">
      <c r="A21" s="43" t="s">
        <v>113</v>
      </c>
      <c r="B21" s="43"/>
      <c r="C21" s="43"/>
      <c r="D21" s="43"/>
      <c r="E21" s="44"/>
      <c r="F21" s="6"/>
      <c r="G21" s="6"/>
      <c r="H21" s="6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8"/>
    </row>
    <row r="22" spans="1:28" x14ac:dyDescent="0.2">
      <c r="A22" s="43" t="s">
        <v>34</v>
      </c>
      <c r="B22" s="43"/>
      <c r="C22" s="43"/>
      <c r="D22" s="43"/>
      <c r="E22" s="44"/>
      <c r="F22" s="6"/>
      <c r="G22" s="6"/>
      <c r="H22" s="6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8"/>
    </row>
    <row r="23" spans="1:28" x14ac:dyDescent="0.2">
      <c r="A23" s="46">
        <v>63000</v>
      </c>
      <c r="B23" s="42"/>
      <c r="C23" s="4" t="s">
        <v>32</v>
      </c>
      <c r="D23" s="42">
        <v>63300</v>
      </c>
      <c r="E23" s="42"/>
      <c r="F23" s="6" t="s">
        <v>35</v>
      </c>
      <c r="G23" s="6">
        <f>D23-A23</f>
        <v>300</v>
      </c>
      <c r="H23" s="6" t="s">
        <v>38</v>
      </c>
      <c r="I23" s="9">
        <f>2976.934/9</f>
        <v>330.77044444444448</v>
      </c>
      <c r="J23" s="7"/>
      <c r="K23" s="7"/>
      <c r="L23" s="7">
        <f>(I23)</f>
        <v>330.77044444444448</v>
      </c>
      <c r="M23" s="7"/>
      <c r="N23" s="7"/>
      <c r="O23" s="7"/>
      <c r="P23" s="7"/>
      <c r="Q23" s="7"/>
      <c r="R23" s="7"/>
      <c r="S23" s="7">
        <f>ROUNDUP((L23*0.09),1)</f>
        <v>29.8</v>
      </c>
      <c r="T23" s="7"/>
      <c r="U23" s="7">
        <f>ROUNDUP((I23*(1.5/36)),1)</f>
        <v>13.799999999999999</v>
      </c>
      <c r="V23" s="7"/>
      <c r="W23" s="7"/>
      <c r="X23" s="7"/>
      <c r="Y23" s="7"/>
      <c r="Z23" s="7"/>
      <c r="AA23" s="7"/>
      <c r="AB23" s="8"/>
    </row>
    <row r="24" spans="1:28" x14ac:dyDescent="0.2">
      <c r="A24" s="46">
        <v>63300</v>
      </c>
      <c r="B24" s="42"/>
      <c r="C24" s="4" t="s">
        <v>32</v>
      </c>
      <c r="D24" s="42">
        <v>64600</v>
      </c>
      <c r="E24" s="42"/>
      <c r="F24" s="6" t="s">
        <v>35</v>
      </c>
      <c r="G24" s="6">
        <f>D24-A24</f>
        <v>1300</v>
      </c>
      <c r="H24" s="6" t="s">
        <v>38</v>
      </c>
      <c r="I24" s="9">
        <f>12865.0248/9</f>
        <v>1429.4471999999998</v>
      </c>
      <c r="J24" s="7"/>
      <c r="K24" s="7"/>
      <c r="L24" s="7">
        <f t="shared" ref="L24:L49" si="0">(I24)</f>
        <v>1429.4471999999998</v>
      </c>
      <c r="M24" s="7"/>
      <c r="N24" s="7"/>
      <c r="O24" s="7"/>
      <c r="P24" s="7"/>
      <c r="Q24" s="7"/>
      <c r="R24" s="7"/>
      <c r="S24" s="7">
        <f>ROUNDUP((L24*0.09),1)</f>
        <v>128.69999999999999</v>
      </c>
      <c r="T24" s="7"/>
      <c r="U24" s="7">
        <f>ROUNDUP((I24*(1.5/36)),1)</f>
        <v>59.6</v>
      </c>
      <c r="V24" s="7"/>
      <c r="W24" s="7"/>
      <c r="X24" s="7"/>
      <c r="Y24" s="7"/>
      <c r="Z24" s="7"/>
      <c r="AA24" s="7"/>
      <c r="AB24" s="8"/>
    </row>
    <row r="25" spans="1:28" x14ac:dyDescent="0.2">
      <c r="A25" s="46">
        <v>64600</v>
      </c>
      <c r="B25" s="42"/>
      <c r="C25" s="4" t="s">
        <v>32</v>
      </c>
      <c r="D25" s="42">
        <v>65900</v>
      </c>
      <c r="E25" s="42"/>
      <c r="F25" s="6" t="s">
        <v>35</v>
      </c>
      <c r="G25" s="6">
        <f t="shared" ref="G25:G34" si="1">D25-A25</f>
        <v>1300</v>
      </c>
      <c r="H25" s="6" t="s">
        <v>38</v>
      </c>
      <c r="I25" s="9">
        <f>15603.0369/9</f>
        <v>1733.6707666666666</v>
      </c>
      <c r="J25" s="7"/>
      <c r="K25" s="7"/>
      <c r="L25" s="7">
        <f t="shared" si="0"/>
        <v>1733.6707666666666</v>
      </c>
      <c r="M25" s="7"/>
      <c r="N25" s="7"/>
      <c r="O25" s="7"/>
      <c r="P25" s="7"/>
      <c r="Q25" s="7"/>
      <c r="R25" s="7"/>
      <c r="S25" s="7">
        <f t="shared" ref="S25:S33" si="2">ROUNDUP((L25*0.09),1)</f>
        <v>156.1</v>
      </c>
      <c r="T25" s="7"/>
      <c r="U25" s="7">
        <f t="shared" ref="U25:U33" si="3">ROUNDUP((I25*(1.5/36)),1)</f>
        <v>72.3</v>
      </c>
      <c r="V25" s="7"/>
      <c r="W25" s="7"/>
      <c r="X25" s="7"/>
      <c r="Y25" s="7"/>
      <c r="Z25" s="7"/>
      <c r="AA25" s="7"/>
      <c r="AB25" s="8"/>
    </row>
    <row r="26" spans="1:28" x14ac:dyDescent="0.2">
      <c r="A26" s="46">
        <v>65900</v>
      </c>
      <c r="B26" s="42"/>
      <c r="C26" s="4" t="s">
        <v>32</v>
      </c>
      <c r="D26" s="42">
        <v>67200</v>
      </c>
      <c r="E26" s="42"/>
      <c r="F26" s="6" t="s">
        <v>35</v>
      </c>
      <c r="G26" s="6">
        <f t="shared" si="1"/>
        <v>1300</v>
      </c>
      <c r="H26" s="6" t="s">
        <v>38</v>
      </c>
      <c r="I26" s="9">
        <f>16104.6791/9</f>
        <v>1789.4087888888889</v>
      </c>
      <c r="J26" s="7"/>
      <c r="K26" s="7"/>
      <c r="L26" s="7">
        <f t="shared" si="0"/>
        <v>1789.4087888888889</v>
      </c>
      <c r="M26" s="7"/>
      <c r="N26" s="7"/>
      <c r="O26" s="7"/>
      <c r="P26" s="7"/>
      <c r="Q26" s="7"/>
      <c r="R26" s="7"/>
      <c r="S26" s="7">
        <f t="shared" si="2"/>
        <v>161.1</v>
      </c>
      <c r="T26" s="7"/>
      <c r="U26" s="7">
        <f t="shared" si="3"/>
        <v>74.599999999999994</v>
      </c>
      <c r="V26" s="7"/>
      <c r="W26" s="7"/>
      <c r="X26" s="7"/>
      <c r="Y26" s="7"/>
      <c r="Z26" s="7"/>
      <c r="AA26" s="7"/>
      <c r="AB26" s="8"/>
    </row>
    <row r="27" spans="1:28" x14ac:dyDescent="0.2">
      <c r="A27" s="46">
        <v>67200</v>
      </c>
      <c r="B27" s="42"/>
      <c r="C27" s="4" t="s">
        <v>32</v>
      </c>
      <c r="D27" s="42">
        <v>68500</v>
      </c>
      <c r="E27" s="42"/>
      <c r="F27" s="6" t="s">
        <v>35</v>
      </c>
      <c r="G27" s="6">
        <f t="shared" si="1"/>
        <v>1300</v>
      </c>
      <c r="H27" s="6" t="s">
        <v>38</v>
      </c>
      <c r="I27" s="9">
        <f>22539.0097/9</f>
        <v>2504.334411111111</v>
      </c>
      <c r="J27" s="7"/>
      <c r="K27" s="7"/>
      <c r="L27" s="7">
        <f t="shared" si="0"/>
        <v>2504.334411111111</v>
      </c>
      <c r="M27" s="7"/>
      <c r="N27" s="7"/>
      <c r="O27" s="7"/>
      <c r="P27" s="7"/>
      <c r="Q27" s="7"/>
      <c r="R27" s="7"/>
      <c r="S27" s="7">
        <f t="shared" si="2"/>
        <v>225.4</v>
      </c>
      <c r="T27" s="7"/>
      <c r="U27" s="7">
        <f t="shared" si="3"/>
        <v>104.39999999999999</v>
      </c>
      <c r="V27" s="7"/>
      <c r="W27" s="7"/>
      <c r="X27" s="7"/>
      <c r="Y27" s="7"/>
      <c r="Z27" s="7"/>
      <c r="AA27" s="7"/>
      <c r="AB27" s="8"/>
    </row>
    <row r="28" spans="1:28" x14ac:dyDescent="0.2">
      <c r="A28" s="46">
        <v>68500</v>
      </c>
      <c r="B28" s="42"/>
      <c r="C28" s="4" t="s">
        <v>32</v>
      </c>
      <c r="D28" s="42">
        <v>69800</v>
      </c>
      <c r="E28" s="42"/>
      <c r="F28" s="6" t="s">
        <v>35</v>
      </c>
      <c r="G28" s="6">
        <f t="shared" si="1"/>
        <v>1300</v>
      </c>
      <c r="H28" s="6" t="s">
        <v>38</v>
      </c>
      <c r="I28" s="9">
        <f>15720.0203/9</f>
        <v>1746.6689222222221</v>
      </c>
      <c r="J28" s="7"/>
      <c r="K28" s="7"/>
      <c r="L28" s="7">
        <f t="shared" si="0"/>
        <v>1746.6689222222221</v>
      </c>
      <c r="M28" s="7"/>
      <c r="N28" s="7"/>
      <c r="O28" s="7"/>
      <c r="P28" s="7"/>
      <c r="Q28" s="7"/>
      <c r="R28" s="7"/>
      <c r="S28" s="7">
        <f t="shared" si="2"/>
        <v>157.29999999999998</v>
      </c>
      <c r="T28" s="7"/>
      <c r="U28" s="7">
        <f t="shared" si="3"/>
        <v>72.8</v>
      </c>
      <c r="V28" s="7"/>
      <c r="W28" s="7"/>
      <c r="X28" s="7"/>
      <c r="Y28" s="7"/>
      <c r="Z28" s="7"/>
      <c r="AA28" s="7"/>
      <c r="AB28" s="8"/>
    </row>
    <row r="29" spans="1:28" x14ac:dyDescent="0.2">
      <c r="A29" s="46">
        <v>69800</v>
      </c>
      <c r="B29" s="42"/>
      <c r="C29" s="4" t="s">
        <v>32</v>
      </c>
      <c r="D29" s="42">
        <v>71100</v>
      </c>
      <c r="E29" s="42"/>
      <c r="F29" s="6" t="s">
        <v>35</v>
      </c>
      <c r="G29" s="6">
        <f t="shared" si="1"/>
        <v>1300</v>
      </c>
      <c r="H29" s="6" t="s">
        <v>38</v>
      </c>
      <c r="I29" s="9">
        <f>18422.2615/9</f>
        <v>2046.9179444444444</v>
      </c>
      <c r="J29" s="7"/>
      <c r="K29" s="7"/>
      <c r="L29" s="7">
        <f t="shared" si="0"/>
        <v>2046.9179444444444</v>
      </c>
      <c r="M29" s="7"/>
      <c r="N29" s="7"/>
      <c r="O29" s="7"/>
      <c r="P29" s="7"/>
      <c r="Q29" s="7"/>
      <c r="R29" s="7"/>
      <c r="S29" s="7">
        <f t="shared" si="2"/>
        <v>184.29999999999998</v>
      </c>
      <c r="T29" s="7"/>
      <c r="U29" s="7">
        <f t="shared" si="3"/>
        <v>85.3</v>
      </c>
      <c r="V29" s="7"/>
      <c r="W29" s="7"/>
      <c r="X29" s="7"/>
      <c r="Y29" s="7"/>
      <c r="Z29" s="7"/>
      <c r="AA29" s="7"/>
      <c r="AB29" s="8"/>
    </row>
    <row r="30" spans="1:28" x14ac:dyDescent="0.2">
      <c r="A30" s="46">
        <v>71100</v>
      </c>
      <c r="B30" s="42"/>
      <c r="C30" s="4" t="s">
        <v>32</v>
      </c>
      <c r="D30" s="42">
        <v>72030</v>
      </c>
      <c r="E30" s="42"/>
      <c r="F30" s="6" t="s">
        <v>35</v>
      </c>
      <c r="G30" s="6">
        <f t="shared" si="1"/>
        <v>930</v>
      </c>
      <c r="H30" s="6" t="s">
        <v>38</v>
      </c>
      <c r="I30" s="9">
        <f>13729.252/9</f>
        <v>1525.4724444444446</v>
      </c>
      <c r="J30" s="7"/>
      <c r="K30" s="7"/>
      <c r="L30" s="7">
        <f t="shared" si="0"/>
        <v>1525.4724444444446</v>
      </c>
      <c r="M30" s="7"/>
      <c r="N30" s="7"/>
      <c r="O30" s="7"/>
      <c r="P30" s="7"/>
      <c r="Q30" s="7"/>
      <c r="R30" s="7"/>
      <c r="S30" s="7">
        <f t="shared" si="2"/>
        <v>137.29999999999998</v>
      </c>
      <c r="T30" s="7"/>
      <c r="U30" s="7">
        <f t="shared" si="3"/>
        <v>63.6</v>
      </c>
      <c r="V30" s="7"/>
      <c r="W30" s="7"/>
      <c r="X30" s="7"/>
      <c r="Y30" s="7"/>
      <c r="Z30" s="7"/>
      <c r="AA30" s="7"/>
      <c r="AB30" s="8"/>
    </row>
    <row r="31" spans="1:28" x14ac:dyDescent="0.2">
      <c r="A31" s="46">
        <v>80205</v>
      </c>
      <c r="B31" s="42"/>
      <c r="C31" s="4" t="s">
        <v>32</v>
      </c>
      <c r="D31" s="42">
        <v>81500</v>
      </c>
      <c r="E31" s="42"/>
      <c r="F31" s="6" t="s">
        <v>35</v>
      </c>
      <c r="G31" s="6">
        <f t="shared" si="1"/>
        <v>1295</v>
      </c>
      <c r="H31" s="6" t="s">
        <v>38</v>
      </c>
      <c r="I31" s="9">
        <f>12964.4355/9</f>
        <v>1440.4928333333332</v>
      </c>
      <c r="J31" s="7"/>
      <c r="K31" s="7"/>
      <c r="L31" s="7">
        <f t="shared" si="0"/>
        <v>1440.4928333333332</v>
      </c>
      <c r="M31" s="7"/>
      <c r="N31" s="7"/>
      <c r="O31" s="7"/>
      <c r="P31" s="7"/>
      <c r="Q31" s="7"/>
      <c r="R31" s="7"/>
      <c r="S31" s="7">
        <f t="shared" si="2"/>
        <v>129.69999999999999</v>
      </c>
      <c r="T31" s="7"/>
      <c r="U31" s="7">
        <f t="shared" si="3"/>
        <v>60.1</v>
      </c>
      <c r="V31" s="7"/>
      <c r="W31" s="7"/>
      <c r="X31" s="7"/>
      <c r="Y31" s="7"/>
      <c r="Z31" s="7"/>
      <c r="AA31" s="7"/>
      <c r="AB31" s="8"/>
    </row>
    <row r="32" spans="1:28" x14ac:dyDescent="0.2">
      <c r="A32" s="46">
        <v>81500</v>
      </c>
      <c r="B32" s="42"/>
      <c r="C32" s="4" t="s">
        <v>32</v>
      </c>
      <c r="D32" s="42">
        <v>82800</v>
      </c>
      <c r="E32" s="42"/>
      <c r="F32" s="6" t="s">
        <v>35</v>
      </c>
      <c r="G32" s="6">
        <f t="shared" si="1"/>
        <v>1300</v>
      </c>
      <c r="H32" s="6" t="s">
        <v>38</v>
      </c>
      <c r="I32" s="9">
        <f>25712.3111/9</f>
        <v>2856.9234555555554</v>
      </c>
      <c r="J32" s="7"/>
      <c r="K32" s="7"/>
      <c r="L32" s="7">
        <f t="shared" si="0"/>
        <v>2856.9234555555554</v>
      </c>
      <c r="M32" s="7"/>
      <c r="N32" s="7"/>
      <c r="O32" s="7"/>
      <c r="P32" s="7"/>
      <c r="Q32" s="7"/>
      <c r="R32" s="7"/>
      <c r="S32" s="7">
        <f t="shared" si="2"/>
        <v>257.20000000000005</v>
      </c>
      <c r="T32" s="7"/>
      <c r="U32" s="7">
        <f t="shared" si="3"/>
        <v>119.1</v>
      </c>
      <c r="V32" s="7"/>
      <c r="W32" s="7"/>
      <c r="X32" s="7"/>
      <c r="Y32" s="7"/>
      <c r="Z32" s="7"/>
      <c r="AA32" s="7"/>
      <c r="AB32" s="8"/>
    </row>
    <row r="33" spans="1:28" x14ac:dyDescent="0.2">
      <c r="A33" s="46">
        <v>82800</v>
      </c>
      <c r="B33" s="42"/>
      <c r="C33" s="4" t="s">
        <v>32</v>
      </c>
      <c r="D33" s="42">
        <v>84100</v>
      </c>
      <c r="E33" s="42"/>
      <c r="F33" s="6" t="s">
        <v>35</v>
      </c>
      <c r="G33" s="6">
        <f t="shared" si="1"/>
        <v>1300</v>
      </c>
      <c r="H33" s="6" t="s">
        <v>38</v>
      </c>
      <c r="I33" s="9">
        <f>32425.1514/9</f>
        <v>3602.7945999999997</v>
      </c>
      <c r="J33" s="7"/>
      <c r="K33" s="7"/>
      <c r="L33" s="7">
        <f t="shared" si="0"/>
        <v>3602.7945999999997</v>
      </c>
      <c r="M33" s="7"/>
      <c r="N33" s="7"/>
      <c r="O33" s="7"/>
      <c r="P33" s="7"/>
      <c r="Q33" s="7"/>
      <c r="R33" s="7"/>
      <c r="S33" s="7">
        <f t="shared" si="2"/>
        <v>324.3</v>
      </c>
      <c r="T33" s="7"/>
      <c r="U33" s="7">
        <f t="shared" si="3"/>
        <v>150.19999999999999</v>
      </c>
      <c r="V33" s="7"/>
      <c r="W33" s="7"/>
      <c r="X33" s="7"/>
      <c r="Y33" s="7"/>
      <c r="Z33" s="7"/>
      <c r="AA33" s="7"/>
      <c r="AB33" s="8"/>
    </row>
    <row r="34" spans="1:28" x14ac:dyDescent="0.2">
      <c r="A34" s="46">
        <v>84100</v>
      </c>
      <c r="B34" s="42"/>
      <c r="C34" s="4" t="s">
        <v>32</v>
      </c>
      <c r="D34" s="42">
        <v>84370</v>
      </c>
      <c r="E34" s="42"/>
      <c r="F34" s="6" t="s">
        <v>35</v>
      </c>
      <c r="G34" s="6">
        <f t="shared" si="1"/>
        <v>270</v>
      </c>
      <c r="H34" s="6" t="s">
        <v>38</v>
      </c>
      <c r="I34" s="9">
        <f>3775.9094/9</f>
        <v>419.54548888888888</v>
      </c>
      <c r="J34" s="7"/>
      <c r="K34" s="7"/>
      <c r="L34" s="7">
        <f t="shared" si="0"/>
        <v>419.54548888888888</v>
      </c>
      <c r="M34" s="7"/>
      <c r="N34" s="7"/>
      <c r="O34" s="7"/>
      <c r="P34" s="7"/>
      <c r="Q34" s="7"/>
      <c r="R34" s="7"/>
      <c r="S34" s="7">
        <f t="shared" ref="S34" si="4">ROUNDUP((L34*0.09),1)</f>
        <v>37.800000000000004</v>
      </c>
      <c r="T34" s="7"/>
      <c r="U34" s="7">
        <f t="shared" ref="U34" si="5">ROUNDUP((I34*(1.5/36)),1)</f>
        <v>17.5</v>
      </c>
      <c r="V34" s="7"/>
      <c r="W34" s="7"/>
      <c r="X34" s="7"/>
      <c r="Y34" s="7"/>
      <c r="Z34" s="7"/>
      <c r="AA34" s="7"/>
      <c r="AB34" s="8"/>
    </row>
    <row r="35" spans="1:28" x14ac:dyDescent="0.2">
      <c r="A35" s="45"/>
      <c r="B35" s="45"/>
      <c r="C35" s="45"/>
      <c r="D35" s="45"/>
      <c r="E35" s="46"/>
      <c r="F35" s="6"/>
      <c r="G35" s="6"/>
      <c r="H35" s="6"/>
      <c r="I35" s="9"/>
      <c r="J35" s="7"/>
      <c r="K35" s="7"/>
      <c r="L35" s="7">
        <f t="shared" si="0"/>
        <v>0</v>
      </c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8"/>
    </row>
    <row r="36" spans="1:28" x14ac:dyDescent="0.2">
      <c r="A36" s="43" t="s">
        <v>39</v>
      </c>
      <c r="B36" s="43"/>
      <c r="C36" s="43"/>
      <c r="D36" s="43"/>
      <c r="E36" s="44"/>
      <c r="F36" s="6"/>
      <c r="G36" s="6"/>
      <c r="H36" s="6"/>
      <c r="I36" s="9"/>
      <c r="J36" s="7"/>
      <c r="K36" s="7"/>
      <c r="L36" s="7">
        <f t="shared" si="0"/>
        <v>0</v>
      </c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8"/>
    </row>
    <row r="37" spans="1:28" x14ac:dyDescent="0.2">
      <c r="A37" s="46">
        <v>63000</v>
      </c>
      <c r="B37" s="42"/>
      <c r="C37" s="4" t="s">
        <v>32</v>
      </c>
      <c r="D37" s="42">
        <v>63300</v>
      </c>
      <c r="E37" s="42"/>
      <c r="F37" s="6" t="s">
        <v>40</v>
      </c>
      <c r="G37" s="6">
        <f t="shared" ref="G37:G49" si="6">D37-A37</f>
        <v>300</v>
      </c>
      <c r="H37" s="6" t="s">
        <v>38</v>
      </c>
      <c r="I37" s="9">
        <f>8875.2701/9</f>
        <v>986.14112222222218</v>
      </c>
      <c r="J37" s="7"/>
      <c r="K37" s="7"/>
      <c r="L37" s="7">
        <f t="shared" si="0"/>
        <v>986.14112222222218</v>
      </c>
      <c r="M37" s="7"/>
      <c r="N37" s="7"/>
      <c r="O37" s="7"/>
      <c r="P37" s="7"/>
      <c r="Q37" s="7"/>
      <c r="R37" s="7"/>
      <c r="S37" s="7">
        <f t="shared" ref="S37:S49" si="7">ROUNDUP((L37*0.09),1)</f>
        <v>88.8</v>
      </c>
      <c r="T37" s="7"/>
      <c r="U37" s="7">
        <f t="shared" ref="U37:U49" si="8">ROUNDUP((I37*(1.5/36)),1)</f>
        <v>41.1</v>
      </c>
      <c r="V37" s="7"/>
      <c r="W37" s="7"/>
      <c r="X37" s="7"/>
      <c r="Y37" s="7"/>
      <c r="Z37" s="7"/>
      <c r="AA37" s="7"/>
      <c r="AB37" s="8"/>
    </row>
    <row r="38" spans="1:28" x14ac:dyDescent="0.2">
      <c r="A38" s="46">
        <v>63300</v>
      </c>
      <c r="B38" s="42"/>
      <c r="C38" s="4" t="s">
        <v>32</v>
      </c>
      <c r="D38" s="42">
        <v>64600</v>
      </c>
      <c r="E38" s="42"/>
      <c r="F38" s="6" t="s">
        <v>40</v>
      </c>
      <c r="G38" s="6">
        <f t="shared" si="6"/>
        <v>1300</v>
      </c>
      <c r="H38" s="6" t="s">
        <v>38</v>
      </c>
      <c r="I38" s="9">
        <f>38384.3223/9</f>
        <v>4264.9246999999996</v>
      </c>
      <c r="J38" s="7"/>
      <c r="K38" s="7"/>
      <c r="L38" s="7">
        <f t="shared" si="0"/>
        <v>4264.9246999999996</v>
      </c>
      <c r="M38" s="7"/>
      <c r="N38" s="7"/>
      <c r="O38" s="7"/>
      <c r="P38" s="7"/>
      <c r="Q38" s="7"/>
      <c r="R38" s="7"/>
      <c r="S38" s="7">
        <f t="shared" si="7"/>
        <v>383.90000000000003</v>
      </c>
      <c r="T38" s="7"/>
      <c r="U38" s="7">
        <f t="shared" si="8"/>
        <v>177.79999999999998</v>
      </c>
      <c r="V38" s="7"/>
      <c r="W38" s="7"/>
      <c r="X38" s="7"/>
      <c r="Y38" s="7"/>
      <c r="Z38" s="7"/>
      <c r="AA38" s="7"/>
      <c r="AB38" s="8"/>
    </row>
    <row r="39" spans="1:28" x14ac:dyDescent="0.2">
      <c r="A39" s="46">
        <v>64600</v>
      </c>
      <c r="B39" s="42"/>
      <c r="C39" s="4" t="s">
        <v>32</v>
      </c>
      <c r="D39" s="42">
        <v>65900</v>
      </c>
      <c r="E39" s="42"/>
      <c r="F39" s="6" t="s">
        <v>40</v>
      </c>
      <c r="G39" s="6">
        <f t="shared" si="6"/>
        <v>1300</v>
      </c>
      <c r="H39" s="6" t="s">
        <v>38</v>
      </c>
      <c r="I39" s="9">
        <f>43121.9093/9</f>
        <v>4791.3232555555551</v>
      </c>
      <c r="J39" s="7"/>
      <c r="K39" s="7"/>
      <c r="L39" s="7">
        <f t="shared" si="0"/>
        <v>4791.3232555555551</v>
      </c>
      <c r="M39" s="7"/>
      <c r="N39" s="7"/>
      <c r="O39" s="7"/>
      <c r="P39" s="7"/>
      <c r="Q39" s="7"/>
      <c r="R39" s="7"/>
      <c r="S39" s="7">
        <f t="shared" si="7"/>
        <v>431.3</v>
      </c>
      <c r="T39" s="7"/>
      <c r="U39" s="7">
        <f t="shared" si="8"/>
        <v>199.7</v>
      </c>
      <c r="V39" s="7"/>
      <c r="W39" s="7"/>
      <c r="X39" s="7"/>
      <c r="Y39" s="7"/>
      <c r="Z39" s="7"/>
      <c r="AA39" s="7"/>
      <c r="AB39" s="8"/>
    </row>
    <row r="40" spans="1:28" x14ac:dyDescent="0.2">
      <c r="A40" s="46">
        <v>65900</v>
      </c>
      <c r="B40" s="42"/>
      <c r="C40" s="4" t="s">
        <v>32</v>
      </c>
      <c r="D40" s="42">
        <v>67200</v>
      </c>
      <c r="E40" s="42"/>
      <c r="F40" s="6" t="s">
        <v>40</v>
      </c>
      <c r="G40" s="6">
        <f t="shared" si="6"/>
        <v>1300</v>
      </c>
      <c r="H40" s="6" t="s">
        <v>38</v>
      </c>
      <c r="I40" s="9">
        <f>49329.9416/9</f>
        <v>5481.1046222222221</v>
      </c>
      <c r="J40" s="7"/>
      <c r="K40" s="7"/>
      <c r="L40" s="7">
        <f t="shared" si="0"/>
        <v>5481.1046222222221</v>
      </c>
      <c r="M40" s="7"/>
      <c r="N40" s="7"/>
      <c r="O40" s="7"/>
      <c r="P40" s="7"/>
      <c r="Q40" s="7"/>
      <c r="R40" s="7"/>
      <c r="S40" s="7">
        <f t="shared" si="7"/>
        <v>493.3</v>
      </c>
      <c r="T40" s="7"/>
      <c r="U40" s="7">
        <f t="shared" si="8"/>
        <v>228.4</v>
      </c>
      <c r="V40" s="7"/>
      <c r="W40" s="7"/>
      <c r="X40" s="7"/>
      <c r="Y40" s="7"/>
      <c r="Z40" s="7"/>
      <c r="AA40" s="7"/>
      <c r="AB40" s="8"/>
    </row>
    <row r="41" spans="1:28" x14ac:dyDescent="0.2">
      <c r="A41" s="46">
        <v>67200</v>
      </c>
      <c r="B41" s="42"/>
      <c r="C41" s="4" t="s">
        <v>32</v>
      </c>
      <c r="D41" s="42">
        <v>68500</v>
      </c>
      <c r="E41" s="42"/>
      <c r="F41" s="6" t="s">
        <v>40</v>
      </c>
      <c r="G41" s="6">
        <f t="shared" si="6"/>
        <v>1300</v>
      </c>
      <c r="H41" s="6" t="s">
        <v>38</v>
      </c>
      <c r="I41" s="9">
        <f>41996.4268/9</f>
        <v>4666.2696444444446</v>
      </c>
      <c r="J41" s="7"/>
      <c r="K41" s="7"/>
      <c r="L41" s="7">
        <f t="shared" si="0"/>
        <v>4666.2696444444446</v>
      </c>
      <c r="M41" s="7"/>
      <c r="N41" s="7"/>
      <c r="O41" s="7"/>
      <c r="P41" s="7"/>
      <c r="Q41" s="7"/>
      <c r="R41" s="7"/>
      <c r="S41" s="7">
        <f t="shared" si="7"/>
        <v>420</v>
      </c>
      <c r="T41" s="7"/>
      <c r="U41" s="7">
        <f t="shared" si="8"/>
        <v>194.5</v>
      </c>
      <c r="V41" s="7"/>
      <c r="W41" s="7"/>
      <c r="X41" s="7"/>
      <c r="Y41" s="7"/>
      <c r="Z41" s="7"/>
      <c r="AA41" s="7"/>
      <c r="AB41" s="8"/>
    </row>
    <row r="42" spans="1:28" x14ac:dyDescent="0.2">
      <c r="A42" s="46">
        <v>68500</v>
      </c>
      <c r="B42" s="42"/>
      <c r="C42" s="4" t="s">
        <v>32</v>
      </c>
      <c r="D42" s="42">
        <v>69800</v>
      </c>
      <c r="E42" s="42"/>
      <c r="F42" s="6" t="s">
        <v>40</v>
      </c>
      <c r="G42" s="6">
        <f t="shared" si="6"/>
        <v>1300</v>
      </c>
      <c r="H42" s="6" t="s">
        <v>38</v>
      </c>
      <c r="I42" s="9">
        <f>45762.9568/9</f>
        <v>5084.7729777777777</v>
      </c>
      <c r="J42" s="7"/>
      <c r="K42" s="7"/>
      <c r="L42" s="7">
        <f t="shared" si="0"/>
        <v>5084.7729777777777</v>
      </c>
      <c r="M42" s="7"/>
      <c r="N42" s="7"/>
      <c r="O42" s="7"/>
      <c r="P42" s="7"/>
      <c r="Q42" s="7"/>
      <c r="R42" s="7"/>
      <c r="S42" s="7">
        <f t="shared" si="7"/>
        <v>457.70000000000005</v>
      </c>
      <c r="T42" s="7"/>
      <c r="U42" s="7">
        <f t="shared" si="8"/>
        <v>211.9</v>
      </c>
      <c r="V42" s="7"/>
      <c r="W42" s="7"/>
      <c r="X42" s="7"/>
      <c r="Y42" s="7"/>
      <c r="Z42" s="7"/>
      <c r="AA42" s="7"/>
      <c r="AB42" s="8"/>
    </row>
    <row r="43" spans="1:28" x14ac:dyDescent="0.2">
      <c r="A43" s="46">
        <v>69800</v>
      </c>
      <c r="B43" s="42"/>
      <c r="C43" s="4" t="s">
        <v>32</v>
      </c>
      <c r="D43" s="42">
        <v>71100</v>
      </c>
      <c r="E43" s="42"/>
      <c r="F43" s="6" t="s">
        <v>40</v>
      </c>
      <c r="G43" s="6">
        <f t="shared" si="6"/>
        <v>1300</v>
      </c>
      <c r="H43" s="6" t="s">
        <v>38</v>
      </c>
      <c r="I43" s="9">
        <f>45195.9711/9</f>
        <v>5021.7745666666669</v>
      </c>
      <c r="J43" s="7"/>
      <c r="K43" s="7"/>
      <c r="L43" s="7">
        <f t="shared" si="0"/>
        <v>5021.7745666666669</v>
      </c>
      <c r="M43" s="7"/>
      <c r="N43" s="7"/>
      <c r="O43" s="7"/>
      <c r="P43" s="7"/>
      <c r="Q43" s="7"/>
      <c r="R43" s="7"/>
      <c r="S43" s="7">
        <f t="shared" si="7"/>
        <v>452</v>
      </c>
      <c r="T43" s="7"/>
      <c r="U43" s="7">
        <f t="shared" si="8"/>
        <v>209.29999999999998</v>
      </c>
      <c r="V43" s="7"/>
      <c r="W43" s="7"/>
      <c r="X43" s="7"/>
      <c r="Y43" s="7"/>
      <c r="Z43" s="7"/>
      <c r="AA43" s="7"/>
      <c r="AB43" s="8"/>
    </row>
    <row r="44" spans="1:28" x14ac:dyDescent="0.2">
      <c r="A44" s="46">
        <v>71100</v>
      </c>
      <c r="B44" s="42"/>
      <c r="C44" s="4" t="s">
        <v>32</v>
      </c>
      <c r="D44" s="42">
        <v>72400</v>
      </c>
      <c r="E44" s="42"/>
      <c r="F44" s="6" t="s">
        <v>40</v>
      </c>
      <c r="G44" s="6">
        <f t="shared" si="6"/>
        <v>1300</v>
      </c>
      <c r="H44" s="6" t="s">
        <v>38</v>
      </c>
      <c r="I44" s="9">
        <f>36898.5215/9</f>
        <v>4099.8357222222221</v>
      </c>
      <c r="J44" s="7"/>
      <c r="K44" s="7"/>
      <c r="L44" s="7">
        <f t="shared" si="0"/>
        <v>4099.8357222222221</v>
      </c>
      <c r="M44" s="7"/>
      <c r="N44" s="7"/>
      <c r="O44" s="7"/>
      <c r="P44" s="7"/>
      <c r="Q44" s="7"/>
      <c r="R44" s="7"/>
      <c r="S44" s="7">
        <f t="shared" si="7"/>
        <v>369</v>
      </c>
      <c r="T44" s="7"/>
      <c r="U44" s="7">
        <f t="shared" si="8"/>
        <v>170.9</v>
      </c>
      <c r="V44" s="7"/>
      <c r="W44" s="7"/>
      <c r="X44" s="7"/>
      <c r="Y44" s="7"/>
      <c r="Z44" s="7"/>
      <c r="AA44" s="7"/>
      <c r="AB44" s="8"/>
    </row>
    <row r="45" spans="1:28" x14ac:dyDescent="0.2">
      <c r="A45" s="46">
        <v>72400</v>
      </c>
      <c r="B45" s="42"/>
      <c r="C45" s="4" t="s">
        <v>32</v>
      </c>
      <c r="D45" s="42">
        <v>72780</v>
      </c>
      <c r="E45" s="42"/>
      <c r="F45" s="6" t="s">
        <v>40</v>
      </c>
      <c r="G45" s="6">
        <f t="shared" si="6"/>
        <v>380</v>
      </c>
      <c r="H45" s="6" t="s">
        <v>38</v>
      </c>
      <c r="I45" s="9">
        <f>11093.6903/9</f>
        <v>1232.6322555555555</v>
      </c>
      <c r="J45" s="7"/>
      <c r="K45" s="7"/>
      <c r="L45" s="7">
        <f t="shared" si="0"/>
        <v>1232.6322555555555</v>
      </c>
      <c r="M45" s="7"/>
      <c r="N45" s="7"/>
      <c r="O45" s="7"/>
      <c r="P45" s="7"/>
      <c r="Q45" s="7"/>
      <c r="R45" s="7"/>
      <c r="S45" s="7">
        <f t="shared" si="7"/>
        <v>111</v>
      </c>
      <c r="T45" s="7"/>
      <c r="U45" s="7">
        <f t="shared" si="8"/>
        <v>51.4</v>
      </c>
      <c r="V45" s="7"/>
      <c r="W45" s="7"/>
      <c r="X45" s="7"/>
      <c r="Y45" s="7"/>
      <c r="Z45" s="7"/>
      <c r="AA45" s="7"/>
      <c r="AB45" s="8"/>
    </row>
    <row r="46" spans="1:28" x14ac:dyDescent="0.2">
      <c r="A46" s="46">
        <v>80880</v>
      </c>
      <c r="B46" s="42"/>
      <c r="C46" s="4" t="s">
        <v>32</v>
      </c>
      <c r="D46" s="42">
        <v>81500</v>
      </c>
      <c r="E46" s="42"/>
      <c r="F46" s="6" t="s">
        <v>40</v>
      </c>
      <c r="G46" s="6">
        <f t="shared" si="6"/>
        <v>620</v>
      </c>
      <c r="H46" s="6" t="s">
        <v>38</v>
      </c>
      <c r="I46" s="9">
        <f>23436.0794/9</f>
        <v>2604.0088222222221</v>
      </c>
      <c r="J46" s="7"/>
      <c r="K46" s="7"/>
      <c r="L46" s="7">
        <f t="shared" si="0"/>
        <v>2604.0088222222221</v>
      </c>
      <c r="M46" s="7"/>
      <c r="N46" s="7"/>
      <c r="O46" s="7"/>
      <c r="P46" s="7"/>
      <c r="Q46" s="7"/>
      <c r="R46" s="7"/>
      <c r="S46" s="7">
        <f t="shared" si="7"/>
        <v>234.4</v>
      </c>
      <c r="T46" s="7"/>
      <c r="U46" s="7">
        <f t="shared" si="8"/>
        <v>108.6</v>
      </c>
      <c r="V46" s="7"/>
      <c r="W46" s="7"/>
      <c r="X46" s="7"/>
      <c r="Y46" s="7"/>
      <c r="Z46" s="7"/>
      <c r="AA46" s="7"/>
      <c r="AB46" s="8"/>
    </row>
    <row r="47" spans="1:28" x14ac:dyDescent="0.2">
      <c r="A47" s="46">
        <v>81500</v>
      </c>
      <c r="B47" s="42"/>
      <c r="C47" s="4" t="s">
        <v>32</v>
      </c>
      <c r="D47" s="42">
        <v>82800</v>
      </c>
      <c r="E47" s="42"/>
      <c r="F47" s="6" t="s">
        <v>40</v>
      </c>
      <c r="G47" s="6">
        <f t="shared" si="6"/>
        <v>1300</v>
      </c>
      <c r="H47" s="6" t="s">
        <v>38</v>
      </c>
      <c r="I47" s="9">
        <f>54047.5502/9</f>
        <v>6005.2833555555553</v>
      </c>
      <c r="J47" s="7"/>
      <c r="K47" s="7"/>
      <c r="L47" s="7">
        <f t="shared" si="0"/>
        <v>6005.2833555555553</v>
      </c>
      <c r="M47" s="7"/>
      <c r="N47" s="7"/>
      <c r="O47" s="7"/>
      <c r="P47" s="7"/>
      <c r="Q47" s="7"/>
      <c r="R47" s="7"/>
      <c r="S47" s="7">
        <f t="shared" si="7"/>
        <v>540.5</v>
      </c>
      <c r="T47" s="7"/>
      <c r="U47" s="7">
        <f t="shared" si="8"/>
        <v>250.29999999999998</v>
      </c>
      <c r="V47" s="7"/>
      <c r="W47" s="7"/>
      <c r="X47" s="7"/>
      <c r="Y47" s="7"/>
      <c r="Z47" s="7"/>
      <c r="AA47" s="7"/>
      <c r="AB47" s="8"/>
    </row>
    <row r="48" spans="1:28" x14ac:dyDescent="0.2">
      <c r="A48" s="46">
        <v>82800</v>
      </c>
      <c r="B48" s="42"/>
      <c r="C48" s="4" t="s">
        <v>32</v>
      </c>
      <c r="D48" s="42">
        <v>84100</v>
      </c>
      <c r="E48" s="42"/>
      <c r="F48" s="6" t="s">
        <v>40</v>
      </c>
      <c r="G48" s="6">
        <f t="shared" si="6"/>
        <v>1300</v>
      </c>
      <c r="H48" s="6" t="s">
        <v>38</v>
      </c>
      <c r="I48" s="9">
        <f>38645.3106/9</f>
        <v>4293.9233999999997</v>
      </c>
      <c r="J48" s="7"/>
      <c r="K48" s="7"/>
      <c r="L48" s="7">
        <f t="shared" si="0"/>
        <v>4293.9233999999997</v>
      </c>
      <c r="M48" s="7"/>
      <c r="N48" s="7"/>
      <c r="O48" s="7"/>
      <c r="P48" s="7"/>
      <c r="Q48" s="7"/>
      <c r="R48" s="7"/>
      <c r="S48" s="7">
        <f t="shared" si="7"/>
        <v>386.5</v>
      </c>
      <c r="T48" s="7"/>
      <c r="U48" s="7">
        <f t="shared" si="8"/>
        <v>179</v>
      </c>
      <c r="V48" s="7"/>
      <c r="W48" s="7"/>
      <c r="X48" s="7"/>
      <c r="Y48" s="7"/>
      <c r="Z48" s="7"/>
      <c r="AA48" s="7"/>
      <c r="AB48" s="8"/>
    </row>
    <row r="49" spans="1:28" x14ac:dyDescent="0.2">
      <c r="A49" s="46">
        <v>84100</v>
      </c>
      <c r="B49" s="42"/>
      <c r="C49" s="4" t="s">
        <v>32</v>
      </c>
      <c r="D49" s="42">
        <v>84368</v>
      </c>
      <c r="E49" s="42"/>
      <c r="F49" s="6" t="s">
        <v>40</v>
      </c>
      <c r="G49" s="6">
        <f t="shared" si="6"/>
        <v>268</v>
      </c>
      <c r="H49" s="6" t="s">
        <v>38</v>
      </c>
      <c r="I49" s="9">
        <f>7924.95/9</f>
        <v>880.55</v>
      </c>
      <c r="J49" s="7"/>
      <c r="K49" s="7"/>
      <c r="L49" s="7">
        <f t="shared" si="0"/>
        <v>880.55</v>
      </c>
      <c r="M49" s="7"/>
      <c r="N49" s="7"/>
      <c r="O49" s="7"/>
      <c r="P49" s="7"/>
      <c r="Q49" s="7"/>
      <c r="R49" s="7"/>
      <c r="S49" s="7">
        <f t="shared" si="7"/>
        <v>79.3</v>
      </c>
      <c r="T49" s="7"/>
      <c r="U49" s="7">
        <f t="shared" si="8"/>
        <v>36.700000000000003</v>
      </c>
      <c r="V49" s="7"/>
      <c r="W49" s="7"/>
      <c r="X49" s="7"/>
      <c r="Y49" s="7"/>
      <c r="Z49" s="7"/>
      <c r="AA49" s="7"/>
      <c r="AB49" s="8"/>
    </row>
    <row r="50" spans="1:28" x14ac:dyDescent="0.2">
      <c r="A50" s="45"/>
      <c r="B50" s="45"/>
      <c r="C50" s="45"/>
      <c r="D50" s="45"/>
      <c r="E50" s="46"/>
      <c r="F50" s="6"/>
      <c r="G50" s="6">
        <f t="shared" ref="G50" si="9">D50-A50</f>
        <v>0</v>
      </c>
      <c r="H50" s="6"/>
      <c r="I50" s="9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B50" s="8"/>
    </row>
    <row r="51" spans="1:28" x14ac:dyDescent="0.2">
      <c r="A51" s="43" t="s">
        <v>114</v>
      </c>
      <c r="B51" s="43"/>
      <c r="C51" s="43"/>
      <c r="D51" s="43"/>
      <c r="E51" s="44"/>
      <c r="F51" s="6" t="s">
        <v>40</v>
      </c>
      <c r="G51" s="6"/>
      <c r="H51" s="6"/>
      <c r="I51" s="9">
        <f>ROUNDUP((26658.9623/9)+(2769.14/9),1)</f>
        <v>3269.7999999999997</v>
      </c>
      <c r="J51" s="7"/>
      <c r="K51" s="7"/>
      <c r="L51" s="7">
        <f t="shared" ref="L51:L54" si="10">(I51)</f>
        <v>3269.7999999999997</v>
      </c>
      <c r="M51" s="7"/>
      <c r="N51" s="7"/>
      <c r="O51" s="7"/>
      <c r="P51" s="7"/>
      <c r="Q51" s="7"/>
      <c r="R51" s="7"/>
      <c r="S51" s="7">
        <f t="shared" ref="S51:S54" si="11">ROUNDUP((L51*0.09),1)</f>
        <v>294.3</v>
      </c>
      <c r="T51" s="7"/>
      <c r="U51" s="7">
        <f t="shared" ref="U51:U54" si="12">ROUNDUP((I51*(1.5/36)),1)</f>
        <v>136.29999999999998</v>
      </c>
      <c r="V51" s="7"/>
      <c r="W51" s="7"/>
      <c r="X51" s="7"/>
      <c r="Y51" s="7"/>
      <c r="Z51" s="7"/>
      <c r="AA51" s="7"/>
      <c r="AB51" s="8"/>
    </row>
    <row r="52" spans="1:28" x14ac:dyDescent="0.2">
      <c r="A52" s="43" t="s">
        <v>115</v>
      </c>
      <c r="B52" s="43"/>
      <c r="C52" s="43"/>
      <c r="D52" s="43"/>
      <c r="E52" s="44"/>
      <c r="F52" s="6" t="s">
        <v>40</v>
      </c>
      <c r="G52" s="6"/>
      <c r="H52" s="6"/>
      <c r="I52" s="9">
        <f>ROUNDUP((26804.32/9)+(3429.8313/9),1)</f>
        <v>3359.4</v>
      </c>
      <c r="J52" s="7"/>
      <c r="K52" s="7"/>
      <c r="L52" s="7">
        <f t="shared" si="10"/>
        <v>3359.4</v>
      </c>
      <c r="M52" s="7"/>
      <c r="N52" s="7"/>
      <c r="O52" s="7"/>
      <c r="P52" s="7"/>
      <c r="Q52" s="7"/>
      <c r="R52" s="7"/>
      <c r="S52" s="7">
        <f t="shared" si="11"/>
        <v>302.40000000000003</v>
      </c>
      <c r="T52" s="7"/>
      <c r="U52" s="7">
        <f t="shared" si="12"/>
        <v>140</v>
      </c>
      <c r="V52" s="7"/>
      <c r="W52" s="7"/>
      <c r="X52" s="7"/>
      <c r="Y52" s="7"/>
      <c r="Z52" s="7"/>
      <c r="AA52" s="7"/>
      <c r="AB52" s="8"/>
    </row>
    <row r="53" spans="1:28" x14ac:dyDescent="0.2">
      <c r="A53" s="43" t="s">
        <v>116</v>
      </c>
      <c r="B53" s="43"/>
      <c r="C53" s="43"/>
      <c r="D53" s="43"/>
      <c r="E53" s="44"/>
      <c r="F53" s="6" t="s">
        <v>35</v>
      </c>
      <c r="G53" s="6"/>
      <c r="H53" s="6"/>
      <c r="I53" s="9">
        <f>ROUNDUP((20779.41/9),1)</f>
        <v>2308.9</v>
      </c>
      <c r="J53" s="7"/>
      <c r="K53" s="7"/>
      <c r="L53" s="7">
        <f t="shared" si="10"/>
        <v>2308.9</v>
      </c>
      <c r="M53" s="7"/>
      <c r="N53" s="7"/>
      <c r="O53" s="7"/>
      <c r="P53" s="7"/>
      <c r="Q53" s="7"/>
      <c r="R53" s="7"/>
      <c r="S53" s="7">
        <f t="shared" si="11"/>
        <v>207.9</v>
      </c>
      <c r="T53" s="7"/>
      <c r="U53" s="7">
        <f t="shared" si="12"/>
        <v>96.3</v>
      </c>
      <c r="V53" s="7"/>
      <c r="W53" s="7"/>
      <c r="X53" s="7"/>
      <c r="Y53" s="7"/>
      <c r="Z53" s="7"/>
      <c r="AA53" s="7"/>
      <c r="AB53" s="8"/>
    </row>
    <row r="54" spans="1:28" x14ac:dyDescent="0.2">
      <c r="A54" s="43" t="s">
        <v>117</v>
      </c>
      <c r="B54" s="43"/>
      <c r="C54" s="43"/>
      <c r="D54" s="43"/>
      <c r="E54" s="44"/>
      <c r="F54" s="6" t="s">
        <v>35</v>
      </c>
      <c r="G54" s="6"/>
      <c r="H54" s="6"/>
      <c r="I54" s="9">
        <f>ROUNDUP((18333.9352/9),1)</f>
        <v>2037.1999999999998</v>
      </c>
      <c r="J54" s="7"/>
      <c r="K54" s="7"/>
      <c r="L54" s="7">
        <f t="shared" si="10"/>
        <v>2037.1999999999998</v>
      </c>
      <c r="M54" s="7"/>
      <c r="N54" s="7"/>
      <c r="O54" s="7"/>
      <c r="P54" s="7"/>
      <c r="Q54" s="7"/>
      <c r="R54" s="7"/>
      <c r="S54" s="7">
        <f t="shared" si="11"/>
        <v>183.4</v>
      </c>
      <c r="T54" s="7"/>
      <c r="U54" s="7">
        <f t="shared" si="12"/>
        <v>84.899999999999991</v>
      </c>
      <c r="V54" s="7"/>
      <c r="W54" s="7"/>
      <c r="X54" s="7"/>
      <c r="Y54" s="7"/>
      <c r="Z54" s="7"/>
      <c r="AA54" s="7"/>
      <c r="AB54" s="8"/>
    </row>
    <row r="55" spans="1:28" x14ac:dyDescent="0.2">
      <c r="A55" s="43"/>
      <c r="B55" s="43"/>
      <c r="C55" s="43"/>
      <c r="D55" s="43"/>
      <c r="E55" s="44"/>
      <c r="F55" s="6"/>
      <c r="G55" s="6"/>
      <c r="H55" s="6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  <c r="AA55" s="7"/>
      <c r="AB55" s="8"/>
    </row>
    <row r="56" spans="1:28" x14ac:dyDescent="0.2">
      <c r="A56" s="43"/>
      <c r="B56" s="43"/>
      <c r="C56" s="43"/>
      <c r="D56" s="43"/>
      <c r="E56" s="44"/>
      <c r="F56" s="6"/>
      <c r="G56" s="6"/>
      <c r="H56" s="6"/>
      <c r="I56" s="7"/>
      <c r="J56" s="7"/>
      <c r="K56" s="7"/>
      <c r="L56" s="7"/>
      <c r="M56" s="7"/>
      <c r="N56" s="7"/>
      <c r="O56" s="7"/>
      <c r="P56" s="7"/>
      <c r="Q56" s="7"/>
      <c r="R56" s="7"/>
      <c r="S56" s="7"/>
      <c r="T56" s="7"/>
      <c r="U56" s="7"/>
      <c r="V56" s="7"/>
      <c r="W56" s="7"/>
      <c r="X56" s="7"/>
      <c r="Y56" s="7"/>
      <c r="Z56" s="7"/>
      <c r="AA56" s="7"/>
      <c r="AB56" s="8"/>
    </row>
    <row r="57" spans="1:28" x14ac:dyDescent="0.2">
      <c r="A57" s="43" t="s">
        <v>84</v>
      </c>
      <c r="B57" s="43"/>
      <c r="C57" s="43"/>
      <c r="D57" s="43"/>
      <c r="E57" s="44"/>
      <c r="F57" s="6"/>
      <c r="G57" s="6"/>
      <c r="H57" s="6"/>
      <c r="I57" s="7"/>
      <c r="J57" s="7"/>
      <c r="K57" s="7"/>
      <c r="L57" s="7"/>
      <c r="M57" s="7"/>
      <c r="N57" s="7"/>
      <c r="O57" s="7"/>
      <c r="P57" s="7"/>
      <c r="Q57" s="7"/>
      <c r="R57" s="7"/>
      <c r="S57" s="7"/>
      <c r="T57" s="7"/>
      <c r="U57" s="7"/>
      <c r="V57" s="7"/>
      <c r="W57" s="7"/>
      <c r="X57" s="7"/>
      <c r="Y57" s="7"/>
      <c r="Z57" s="7"/>
      <c r="AA57" s="7"/>
      <c r="AB57" s="8"/>
    </row>
    <row r="58" spans="1:28" x14ac:dyDescent="0.2">
      <c r="A58" s="43" t="s">
        <v>41</v>
      </c>
      <c r="B58" s="43"/>
      <c r="C58" s="43"/>
      <c r="D58" s="43"/>
      <c r="E58" s="44"/>
      <c r="F58" s="6"/>
      <c r="G58" s="6"/>
      <c r="H58" s="6"/>
      <c r="I58" s="7"/>
      <c r="J58" s="7"/>
      <c r="K58" s="7"/>
      <c r="L58" s="7"/>
      <c r="M58" s="7"/>
      <c r="N58" s="7"/>
      <c r="O58" s="7"/>
      <c r="P58" s="7"/>
      <c r="Q58" s="7"/>
      <c r="R58" s="7"/>
      <c r="S58" s="7"/>
      <c r="T58" s="7"/>
      <c r="U58" s="7"/>
      <c r="V58" s="7"/>
      <c r="W58" s="7"/>
      <c r="X58" s="7"/>
      <c r="Y58" s="7"/>
      <c r="Z58" s="7"/>
      <c r="AA58" s="7"/>
      <c r="AB58" s="8"/>
    </row>
    <row r="59" spans="1:28" x14ac:dyDescent="0.2">
      <c r="A59" s="46">
        <v>63965</v>
      </c>
      <c r="B59" s="42"/>
      <c r="C59" s="4" t="s">
        <v>32</v>
      </c>
      <c r="D59" s="47">
        <v>74761.78</v>
      </c>
      <c r="E59" s="46"/>
      <c r="F59" s="6" t="s">
        <v>35</v>
      </c>
      <c r="G59" s="10">
        <f>D59-A59</f>
        <v>10796.779999999999</v>
      </c>
      <c r="H59" s="6">
        <v>12</v>
      </c>
      <c r="I59" s="11">
        <f>ROUNDUP(((H59*G59)/9),1)</f>
        <v>14395.800000000001</v>
      </c>
      <c r="J59" s="12">
        <f>5762.3</f>
        <v>5762.3</v>
      </c>
      <c r="K59" s="11">
        <f>I59</f>
        <v>14395.800000000001</v>
      </c>
      <c r="L59" s="7"/>
      <c r="M59" s="7"/>
      <c r="N59" s="11">
        <f>ROUNDUP((G59+12+12),1)</f>
        <v>10820.800000000001</v>
      </c>
      <c r="O59" s="7">
        <f>ROUNDUP((I59*(5.5/36)),1)</f>
        <v>2199.4</v>
      </c>
      <c r="P59" s="7">
        <f>ROUNDUP((I59*(6/36)),1)</f>
        <v>2399.3000000000002</v>
      </c>
      <c r="Q59" s="7">
        <f>ROUNDUP(((N59*(8.75/12)/9)*0.025),1)</f>
        <v>22</v>
      </c>
      <c r="R59" s="7">
        <f>ROUNDUP((2*I59*0.06),1)</f>
        <v>1727.5</v>
      </c>
      <c r="S59" s="7"/>
      <c r="T59" s="7"/>
      <c r="U59" s="7"/>
      <c r="V59" s="7">
        <f>ROUNDUP((X59+Y59),1)</f>
        <v>1299.7</v>
      </c>
      <c r="W59" s="7"/>
      <c r="X59" s="7">
        <f>ROUNDUP((I59*(1.5/36)),1)</f>
        <v>599.9</v>
      </c>
      <c r="Y59" s="7">
        <f>ROUNDUP((I59*1.75/36),1)</f>
        <v>699.80000000000007</v>
      </c>
      <c r="Z59" s="7"/>
      <c r="AA59" s="7"/>
      <c r="AB59" s="8"/>
    </row>
    <row r="60" spans="1:28" x14ac:dyDescent="0.2">
      <c r="A60" s="46">
        <v>75051.789999999994</v>
      </c>
      <c r="B60" s="42"/>
      <c r="C60" s="4" t="s">
        <v>32</v>
      </c>
      <c r="D60" s="42">
        <v>83170</v>
      </c>
      <c r="E60" s="42"/>
      <c r="F60" s="6" t="s">
        <v>35</v>
      </c>
      <c r="G60" s="6">
        <f>D60-A60</f>
        <v>8118.2100000000064</v>
      </c>
      <c r="H60" s="6">
        <v>12</v>
      </c>
      <c r="I60" s="11">
        <f>ROUNDUP(((H60*G60)/9),1)</f>
        <v>10824.300000000001</v>
      </c>
      <c r="J60" s="12">
        <v>8467.9</v>
      </c>
      <c r="K60" s="11">
        <f>I60</f>
        <v>10824.300000000001</v>
      </c>
      <c r="L60" s="7"/>
      <c r="M60" s="7"/>
      <c r="N60" s="7">
        <f>ROUNDUP((G60+12+12),1)</f>
        <v>8142.3</v>
      </c>
      <c r="O60" s="7">
        <f>ROUNDUP((I60*(5.5/36)),1)</f>
        <v>1653.8</v>
      </c>
      <c r="P60" s="7">
        <f>ROUNDUP((I60*(6/36)),1)</f>
        <v>1804.1</v>
      </c>
      <c r="Q60" s="7">
        <f>ROUNDUP(((N60*(8.75/12)/9)*0.025),1)</f>
        <v>16.5</v>
      </c>
      <c r="R60" s="7">
        <f>ROUNDUP((2*I60*0.06),1)</f>
        <v>1299</v>
      </c>
      <c r="S60" s="7"/>
      <c r="T60" s="7"/>
      <c r="U60" s="7"/>
      <c r="V60" s="7">
        <f>ROUNDUP((X60+Y60),1)</f>
        <v>977.3</v>
      </c>
      <c r="W60" s="7"/>
      <c r="X60" s="7">
        <f>ROUNDUP((I60*(1.5/36)),1)</f>
        <v>451.1</v>
      </c>
      <c r="Y60" s="7">
        <f>ROUNDUP((I60*1.75/36),1)</f>
        <v>526.20000000000005</v>
      </c>
      <c r="Z60" s="7"/>
      <c r="AA60" s="7"/>
      <c r="AB60" s="8"/>
    </row>
    <row r="61" spans="1:28" x14ac:dyDescent="0.2">
      <c r="A61" s="43"/>
      <c r="B61" s="43"/>
      <c r="C61" s="43"/>
      <c r="D61" s="43"/>
      <c r="E61" s="44"/>
      <c r="F61" s="6"/>
      <c r="G61" s="6"/>
      <c r="H61" s="6"/>
      <c r="I61" s="7"/>
      <c r="J61" s="7"/>
      <c r="K61" s="7"/>
      <c r="L61" s="7"/>
      <c r="M61" s="7"/>
      <c r="N61" s="7"/>
      <c r="O61" s="7"/>
      <c r="P61" s="7"/>
      <c r="Q61" s="7"/>
      <c r="R61" s="7"/>
      <c r="S61" s="7"/>
      <c r="T61" s="7"/>
      <c r="U61" s="7"/>
      <c r="V61" s="7"/>
      <c r="W61" s="7"/>
      <c r="X61" s="7"/>
      <c r="Y61" s="7"/>
      <c r="Z61" s="7"/>
      <c r="AA61" s="7"/>
      <c r="AB61" s="8"/>
    </row>
    <row r="62" spans="1:28" x14ac:dyDescent="0.2">
      <c r="A62" s="43" t="s">
        <v>42</v>
      </c>
      <c r="B62" s="43"/>
      <c r="C62" s="43"/>
      <c r="D62" s="43"/>
      <c r="E62" s="44"/>
      <c r="F62" s="6"/>
      <c r="G62" s="6"/>
      <c r="H62" s="6"/>
      <c r="I62" s="7"/>
      <c r="J62" s="7"/>
      <c r="K62" s="7"/>
      <c r="L62" s="7"/>
      <c r="M62" s="7"/>
      <c r="N62" s="7"/>
      <c r="O62" s="7"/>
      <c r="P62" s="7"/>
      <c r="Q62" s="7"/>
      <c r="R62" s="7"/>
      <c r="S62" s="7"/>
      <c r="T62" s="7"/>
      <c r="U62" s="7"/>
      <c r="V62" s="7"/>
      <c r="W62" s="7"/>
      <c r="X62" s="7"/>
      <c r="Y62" s="7"/>
      <c r="Z62" s="7"/>
      <c r="AA62" s="7"/>
      <c r="AB62" s="8"/>
    </row>
    <row r="63" spans="1:28" x14ac:dyDescent="0.2">
      <c r="A63" s="46">
        <v>63965</v>
      </c>
      <c r="B63" s="42"/>
      <c r="C63" s="4" t="s">
        <v>32</v>
      </c>
      <c r="D63" s="42">
        <v>65375</v>
      </c>
      <c r="E63" s="42"/>
      <c r="F63" s="6" t="s">
        <v>35</v>
      </c>
      <c r="G63" s="6">
        <f>D63-A63</f>
        <v>1410</v>
      </c>
      <c r="H63" s="6">
        <v>0.5</v>
      </c>
      <c r="I63" s="7">
        <f>ROUNDUP(((H63*G63)/9),1)</f>
        <v>78.399999999999991</v>
      </c>
      <c r="J63" s="7"/>
      <c r="K63" s="7"/>
      <c r="L63" s="7"/>
      <c r="M63" s="7"/>
      <c r="N63" s="7"/>
      <c r="O63" s="7">
        <f>ROUNDUP((I63*(5.5/36)),1)</f>
        <v>12</v>
      </c>
      <c r="P63" s="7"/>
      <c r="Q63" s="7"/>
      <c r="R63" s="7">
        <f>ROUNDUP((2*I63*0.06),1)</f>
        <v>9.5</v>
      </c>
      <c r="S63" s="7">
        <f>ROUNDUP((I63*0.09),1)</f>
        <v>7.1</v>
      </c>
      <c r="T63" s="7"/>
      <c r="U63" s="7"/>
      <c r="V63" s="7">
        <f>ROUNDUP((X63+Y63),1)</f>
        <v>7.2</v>
      </c>
      <c r="W63" s="7"/>
      <c r="X63" s="7">
        <f>ROUNDUP((I63*(1.5/36)),1)</f>
        <v>3.3000000000000003</v>
      </c>
      <c r="Y63" s="7">
        <f>ROUNDUP((I63*(1.75/36)),1)</f>
        <v>3.9</v>
      </c>
      <c r="Z63" s="7"/>
      <c r="AA63" s="7">
        <f>G63</f>
        <v>1410</v>
      </c>
      <c r="AB63" s="8"/>
    </row>
    <row r="64" spans="1:28" x14ac:dyDescent="0.2">
      <c r="A64" s="46">
        <v>80336</v>
      </c>
      <c r="B64" s="42"/>
      <c r="C64" s="4" t="s">
        <v>32</v>
      </c>
      <c r="D64" s="42">
        <v>83170</v>
      </c>
      <c r="E64" s="42"/>
      <c r="F64" s="6" t="s">
        <v>35</v>
      </c>
      <c r="G64" s="6">
        <f>D64-A64</f>
        <v>2834</v>
      </c>
      <c r="H64" s="6">
        <v>0.5</v>
      </c>
      <c r="I64" s="7">
        <f>ROUNDUP(((H64*G64)/9),1)</f>
        <v>157.5</v>
      </c>
      <c r="J64" s="7"/>
      <c r="K64" s="7"/>
      <c r="L64" s="7"/>
      <c r="M64" s="7"/>
      <c r="N64" s="7"/>
      <c r="O64" s="7">
        <f>ROUNDUP((I64*(5.5/36)),1)</f>
        <v>24.1</v>
      </c>
      <c r="P64" s="7"/>
      <c r="Q64" s="7"/>
      <c r="R64" s="7">
        <f>ROUNDUP((2*I64*0.06),1)</f>
        <v>18.899999999999999</v>
      </c>
      <c r="S64" s="7">
        <f>ROUNDUP((I64*0.09),1)</f>
        <v>14.2</v>
      </c>
      <c r="T64" s="7"/>
      <c r="U64" s="7"/>
      <c r="V64" s="7">
        <f>ROUNDUP((X64+Y64),1)</f>
        <v>14.3</v>
      </c>
      <c r="W64" s="7"/>
      <c r="X64" s="7">
        <f>ROUNDUP((I64*(1.5/36)),1)</f>
        <v>6.6</v>
      </c>
      <c r="Y64" s="7">
        <f>ROUNDUP((I64*(1.75/36)),1)</f>
        <v>7.6999999999999993</v>
      </c>
      <c r="Z64" s="7"/>
      <c r="AA64" s="7">
        <f>G64</f>
        <v>2834</v>
      </c>
      <c r="AB64" s="8"/>
    </row>
    <row r="65" spans="1:28" x14ac:dyDescent="0.2">
      <c r="A65" s="43"/>
      <c r="B65" s="43"/>
      <c r="C65" s="43"/>
      <c r="D65" s="43"/>
      <c r="E65" s="44"/>
      <c r="F65" s="6"/>
      <c r="G65" s="6"/>
      <c r="H65" s="6"/>
      <c r="I65" s="7"/>
      <c r="J65" s="7"/>
      <c r="K65" s="7"/>
      <c r="L65" s="7"/>
      <c r="M65" s="7"/>
      <c r="N65" s="7"/>
      <c r="O65" s="7"/>
      <c r="P65" s="7"/>
      <c r="Q65" s="7"/>
      <c r="R65" s="7"/>
      <c r="S65" s="7"/>
      <c r="T65" s="7"/>
      <c r="U65" s="7"/>
      <c r="V65" s="7"/>
      <c r="W65" s="7"/>
      <c r="X65" s="7"/>
      <c r="Y65" s="7"/>
      <c r="Z65" s="7"/>
      <c r="AA65" s="7"/>
      <c r="AB65" s="8"/>
    </row>
    <row r="66" spans="1:28" x14ac:dyDescent="0.2">
      <c r="A66" s="43" t="s">
        <v>43</v>
      </c>
      <c r="B66" s="43"/>
      <c r="C66" s="43"/>
      <c r="D66" s="43"/>
      <c r="E66" s="44"/>
      <c r="F66" s="6"/>
      <c r="G66" s="6"/>
      <c r="H66" s="6"/>
      <c r="I66" s="7"/>
      <c r="J66" s="7"/>
      <c r="K66" s="7"/>
      <c r="L66" s="7"/>
      <c r="M66" s="7"/>
      <c r="N66" s="7"/>
      <c r="O66" s="7"/>
      <c r="P66" s="7"/>
      <c r="Q66" s="7"/>
      <c r="R66" s="7"/>
      <c r="S66" s="7"/>
      <c r="T66" s="7"/>
      <c r="U66" s="7"/>
      <c r="V66" s="7"/>
      <c r="W66" s="7"/>
      <c r="X66" s="7"/>
      <c r="Y66" s="7"/>
      <c r="Z66" s="7"/>
      <c r="AA66" s="7"/>
      <c r="AB66" s="8"/>
    </row>
    <row r="67" spans="1:28" x14ac:dyDescent="0.2">
      <c r="A67" s="46">
        <v>63965</v>
      </c>
      <c r="B67" s="42"/>
      <c r="C67" s="4" t="s">
        <v>32</v>
      </c>
      <c r="D67" s="42">
        <v>65375</v>
      </c>
      <c r="E67" s="42"/>
      <c r="F67" s="6" t="s">
        <v>35</v>
      </c>
      <c r="G67" s="6">
        <f t="shared" ref="G67:G68" si="13">D67-A67</f>
        <v>1410</v>
      </c>
      <c r="H67" s="6">
        <v>0.5</v>
      </c>
      <c r="I67" s="7">
        <f t="shared" ref="I67:I68" si="14">ROUNDUP(((H67*G67)/9),1)</f>
        <v>78.399999999999991</v>
      </c>
      <c r="J67" s="7"/>
      <c r="K67" s="7"/>
      <c r="L67" s="7"/>
      <c r="M67" s="7"/>
      <c r="N67" s="7"/>
      <c r="O67" s="7"/>
      <c r="P67" s="7"/>
      <c r="Q67" s="7"/>
      <c r="R67" s="7">
        <f>ROUNDUP((I67*0.06),1)</f>
        <v>4.8</v>
      </c>
      <c r="S67" s="7">
        <f>ROUNDUP((I67*0.09),1)</f>
        <v>7.1</v>
      </c>
      <c r="T67" s="7"/>
      <c r="U67" s="7"/>
      <c r="V67" s="7">
        <f>ROUNDUP((X67+Y67),1)</f>
        <v>7.2</v>
      </c>
      <c r="W67" s="7"/>
      <c r="X67" s="7">
        <f>ROUNDUP((I67*(1.5/36)),1)</f>
        <v>3.3000000000000003</v>
      </c>
      <c r="Y67" s="7">
        <f>ROUNDUP((I67*(1.75/36)),1)</f>
        <v>3.9</v>
      </c>
      <c r="Z67" s="7"/>
      <c r="AA67" s="7"/>
      <c r="AB67" s="8">
        <f>G67</f>
        <v>1410</v>
      </c>
    </row>
    <row r="68" spans="1:28" x14ac:dyDescent="0.2">
      <c r="A68" s="46">
        <v>80336</v>
      </c>
      <c r="B68" s="42"/>
      <c r="C68" s="4" t="s">
        <v>32</v>
      </c>
      <c r="D68" s="42">
        <v>83170</v>
      </c>
      <c r="E68" s="42"/>
      <c r="F68" s="6" t="s">
        <v>35</v>
      </c>
      <c r="G68" s="6">
        <f t="shared" si="13"/>
        <v>2834</v>
      </c>
      <c r="H68" s="6">
        <v>0.5</v>
      </c>
      <c r="I68" s="7">
        <f t="shared" si="14"/>
        <v>157.5</v>
      </c>
      <c r="J68" s="7"/>
      <c r="K68" s="7"/>
      <c r="L68" s="7"/>
      <c r="M68" s="7"/>
      <c r="N68" s="7"/>
      <c r="O68" s="7"/>
      <c r="P68" s="7"/>
      <c r="Q68" s="7"/>
      <c r="R68" s="7">
        <f>ROUNDUP((I68*0.06),1)</f>
        <v>9.5</v>
      </c>
      <c r="S68" s="7">
        <f>ROUNDUP((I68*0.09),1)</f>
        <v>14.2</v>
      </c>
      <c r="T68" s="7"/>
      <c r="U68" s="7"/>
      <c r="V68" s="7">
        <f>ROUNDUP((X68+Y68),1)</f>
        <v>14.3</v>
      </c>
      <c r="W68" s="7"/>
      <c r="X68" s="7">
        <f>ROUNDUP((I68*(1.5/36)),1)</f>
        <v>6.6</v>
      </c>
      <c r="Y68" s="7">
        <f>ROUNDUP((I68*(1.75/36)),1)</f>
        <v>7.6999999999999993</v>
      </c>
      <c r="Z68" s="7"/>
      <c r="AA68" s="7"/>
      <c r="AB68" s="8">
        <f>G68</f>
        <v>2834</v>
      </c>
    </row>
    <row r="69" spans="1:28" x14ac:dyDescent="0.2">
      <c r="A69" s="43"/>
      <c r="B69" s="43"/>
      <c r="C69" s="43"/>
      <c r="D69" s="43"/>
      <c r="E69" s="44"/>
      <c r="F69" s="6"/>
      <c r="G69" s="6"/>
      <c r="H69" s="6"/>
      <c r="I69" s="7"/>
      <c r="J69" s="7"/>
      <c r="K69" s="7"/>
      <c r="L69" s="7"/>
      <c r="M69" s="7"/>
      <c r="N69" s="7"/>
      <c r="O69" s="7"/>
      <c r="P69" s="7"/>
      <c r="Q69" s="7"/>
      <c r="R69" s="7"/>
      <c r="S69" s="7"/>
      <c r="T69" s="7"/>
      <c r="U69" s="7"/>
      <c r="V69" s="7"/>
      <c r="W69" s="7"/>
      <c r="X69" s="7"/>
      <c r="Y69" s="7"/>
      <c r="Z69" s="7"/>
      <c r="AA69" s="7"/>
      <c r="AB69" s="8"/>
    </row>
    <row r="70" spans="1:28" x14ac:dyDescent="0.2">
      <c r="A70" s="43" t="s">
        <v>44</v>
      </c>
      <c r="B70" s="43"/>
      <c r="C70" s="43"/>
      <c r="D70" s="43"/>
      <c r="E70" s="44"/>
      <c r="F70" s="6"/>
      <c r="G70" s="6"/>
      <c r="H70" s="6"/>
      <c r="I70" s="7"/>
      <c r="J70" s="7"/>
      <c r="K70" s="7"/>
      <c r="L70" s="7"/>
      <c r="M70" s="7"/>
      <c r="N70" s="7"/>
      <c r="O70" s="7"/>
      <c r="P70" s="7"/>
      <c r="Q70" s="7"/>
      <c r="R70" s="7"/>
      <c r="S70" s="7"/>
      <c r="T70" s="7"/>
      <c r="U70" s="7"/>
      <c r="V70" s="7"/>
      <c r="W70" s="7"/>
      <c r="X70" s="7"/>
      <c r="Y70" s="7"/>
      <c r="Z70" s="7"/>
      <c r="AA70" s="7"/>
      <c r="AB70" s="8"/>
    </row>
    <row r="71" spans="1:28" x14ac:dyDescent="0.2">
      <c r="A71" s="46">
        <v>63965</v>
      </c>
      <c r="B71" s="42"/>
      <c r="C71" s="4" t="s">
        <v>32</v>
      </c>
      <c r="D71" s="42">
        <v>74796.78</v>
      </c>
      <c r="E71" s="42"/>
      <c r="F71" s="6" t="s">
        <v>40</v>
      </c>
      <c r="G71" s="10">
        <f>D71-A71</f>
        <v>10831.779999999999</v>
      </c>
      <c r="H71" s="6">
        <v>12</v>
      </c>
      <c r="I71" s="11">
        <f>ROUNDUP(((H71*G71)/9),1)</f>
        <v>14442.4</v>
      </c>
      <c r="J71" s="12">
        <f>ROUNDUP((53234.3/9),1)</f>
        <v>5915</v>
      </c>
      <c r="K71" s="11">
        <f>I71</f>
        <v>14442.4</v>
      </c>
      <c r="L71" s="7"/>
      <c r="M71" s="7"/>
      <c r="N71" s="11">
        <f>ROUNDUP(G71,1)</f>
        <v>10831.800000000001</v>
      </c>
      <c r="O71" s="7">
        <f>ROUNDUP((I71*(5.5/36)),1)</f>
        <v>2206.5</v>
      </c>
      <c r="P71" s="7">
        <f>ROUNDUP((I71*(6/36)),1)</f>
        <v>2407.1</v>
      </c>
      <c r="Q71" s="7">
        <f>ROUNDUP((((G71*(8.75/12))/9)*0.025),1)</f>
        <v>22</v>
      </c>
      <c r="R71" s="7">
        <f>ROUNDUP((I71*2*0.06),1)</f>
        <v>1733.1</v>
      </c>
      <c r="S71" s="7"/>
      <c r="T71" s="7"/>
      <c r="U71" s="7"/>
      <c r="V71" s="7"/>
      <c r="W71" s="7"/>
      <c r="X71" s="7">
        <f>ROUNDUP((I71*(1.5/36)),1)</f>
        <v>601.80000000000007</v>
      </c>
      <c r="Y71" s="7">
        <f>ROUNDUP((I71*(1.75/36)),1)</f>
        <v>702.1</v>
      </c>
      <c r="Z71" s="7"/>
      <c r="AA71" s="7"/>
      <c r="AB71" s="8"/>
    </row>
    <row r="72" spans="1:28" x14ac:dyDescent="0.2">
      <c r="A72" s="46">
        <v>75081.789999999994</v>
      </c>
      <c r="B72" s="42"/>
      <c r="C72" s="4" t="s">
        <v>32</v>
      </c>
      <c r="D72" s="42">
        <v>83170</v>
      </c>
      <c r="E72" s="42"/>
      <c r="F72" s="6" t="s">
        <v>40</v>
      </c>
      <c r="G72" s="6">
        <f>D72-A72</f>
        <v>8088.2100000000064</v>
      </c>
      <c r="H72" s="6">
        <v>12</v>
      </c>
      <c r="I72" s="11">
        <f>ROUNDUP(((H72*G72)/9),1)</f>
        <v>10784.300000000001</v>
      </c>
      <c r="J72" s="12">
        <f>ROUNDUP((70644.6/9),1)</f>
        <v>7849.4</v>
      </c>
      <c r="K72" s="11">
        <f>I72</f>
        <v>10784.300000000001</v>
      </c>
      <c r="L72" s="7"/>
      <c r="M72" s="7"/>
      <c r="N72" s="11">
        <f>ROUNDUP(G72,1)</f>
        <v>8088.3</v>
      </c>
      <c r="O72" s="7">
        <f>ROUNDUP((I72*(5.5/36)),1)</f>
        <v>1647.6999999999998</v>
      </c>
      <c r="P72" s="7">
        <f>ROUNDUP((I72*(6/36)),1)</f>
        <v>1797.3999999999999</v>
      </c>
      <c r="Q72" s="7">
        <f>ROUNDUP((((G72*(8.75/12))/9)*0.025),1)</f>
        <v>16.400000000000002</v>
      </c>
      <c r="R72" s="7">
        <f>ROUNDUP((I72*2*0.06),1)</f>
        <v>1294.1999999999998</v>
      </c>
      <c r="S72" s="7"/>
      <c r="T72" s="7"/>
      <c r="U72" s="7"/>
      <c r="V72" s="7"/>
      <c r="W72" s="7"/>
      <c r="X72" s="7">
        <f>ROUNDUP((I72*(1.5/36)),1)</f>
        <v>449.40000000000003</v>
      </c>
      <c r="Y72" s="7">
        <f>ROUNDUP((I72*(1.75/36)),1)</f>
        <v>524.30000000000007</v>
      </c>
      <c r="Z72" s="7"/>
      <c r="AA72" s="7"/>
      <c r="AB72" s="8"/>
    </row>
    <row r="73" spans="1:28" x14ac:dyDescent="0.2">
      <c r="A73" s="43"/>
      <c r="B73" s="43"/>
      <c r="C73" s="43"/>
      <c r="D73" s="43"/>
      <c r="E73" s="44"/>
      <c r="F73" s="6"/>
      <c r="G73" s="6"/>
      <c r="H73" s="6"/>
      <c r="I73" s="7"/>
      <c r="J73" s="7"/>
      <c r="K73" s="7"/>
      <c r="L73" s="7"/>
      <c r="M73" s="7"/>
      <c r="N73" s="7"/>
      <c r="O73" s="7"/>
      <c r="P73" s="7"/>
      <c r="Q73" s="7"/>
      <c r="R73" s="7"/>
      <c r="S73" s="7"/>
      <c r="T73" s="7"/>
      <c r="U73" s="7"/>
      <c r="V73" s="7"/>
      <c r="W73" s="7"/>
      <c r="X73" s="7"/>
      <c r="Y73" s="7"/>
      <c r="Z73" s="7"/>
      <c r="AA73" s="7"/>
      <c r="AB73" s="8"/>
    </row>
    <row r="74" spans="1:28" x14ac:dyDescent="0.2">
      <c r="A74" s="37" t="s">
        <v>132</v>
      </c>
      <c r="B74" s="38"/>
      <c r="C74" s="38"/>
      <c r="D74" s="38"/>
      <c r="E74" s="38"/>
      <c r="F74" s="38"/>
      <c r="G74" s="38"/>
      <c r="H74" s="38"/>
      <c r="I74" s="38"/>
      <c r="J74" s="60">
        <f>ROUNDUP(SUM(J19:J73),0)</f>
        <v>27995</v>
      </c>
      <c r="K74" s="60">
        <f t="shared" ref="K74:P74" si="15">ROUNDUP(SUM(K19:K73),0)</f>
        <v>50447</v>
      </c>
      <c r="L74" s="60">
        <f t="shared" si="15"/>
        <v>81815</v>
      </c>
      <c r="M74" s="48">
        <f t="shared" si="15"/>
        <v>0</v>
      </c>
      <c r="N74" s="60">
        <f t="shared" si="15"/>
        <v>37884</v>
      </c>
      <c r="O74" s="48">
        <f t="shared" si="15"/>
        <v>7744</v>
      </c>
      <c r="P74" s="48">
        <f t="shared" si="15"/>
        <v>8408</v>
      </c>
      <c r="Q74" s="52">
        <f>ROUNDUP(SUM(Q19:S73),0)</f>
        <v>13581</v>
      </c>
      <c r="R74" s="53"/>
      <c r="S74" s="54"/>
      <c r="T74" s="48">
        <f>ROUNDUP(SUM(T19:T73),0)</f>
        <v>0</v>
      </c>
      <c r="U74" s="48">
        <f t="shared" ref="U74:AA74" si="16">ROUNDUP(SUM(U19:U73),0)</f>
        <v>3411</v>
      </c>
      <c r="V74" s="48">
        <f t="shared" si="16"/>
        <v>2320</v>
      </c>
      <c r="W74" s="48">
        <f t="shared" si="16"/>
        <v>0</v>
      </c>
      <c r="X74" s="48">
        <f t="shared" si="16"/>
        <v>2122</v>
      </c>
      <c r="Y74" s="48">
        <f t="shared" si="16"/>
        <v>2476</v>
      </c>
      <c r="Z74" s="48">
        <f t="shared" si="16"/>
        <v>0</v>
      </c>
      <c r="AA74" s="48">
        <f t="shared" si="16"/>
        <v>4244</v>
      </c>
      <c r="AB74" s="50">
        <f>ROUNDUP(SUM(AB19:AB73),0)</f>
        <v>4244</v>
      </c>
    </row>
    <row r="75" spans="1:28" x14ac:dyDescent="0.2">
      <c r="A75" s="58"/>
      <c r="B75" s="59"/>
      <c r="C75" s="59"/>
      <c r="D75" s="59"/>
      <c r="E75" s="59"/>
      <c r="F75" s="59"/>
      <c r="G75" s="59"/>
      <c r="H75" s="59"/>
      <c r="I75" s="59"/>
      <c r="J75" s="61"/>
      <c r="K75" s="61"/>
      <c r="L75" s="61"/>
      <c r="M75" s="49"/>
      <c r="N75" s="61"/>
      <c r="O75" s="49"/>
      <c r="P75" s="49"/>
      <c r="Q75" s="55"/>
      <c r="R75" s="56"/>
      <c r="S75" s="57"/>
      <c r="T75" s="49"/>
      <c r="U75" s="49"/>
      <c r="V75" s="49"/>
      <c r="W75" s="49"/>
      <c r="X75" s="49"/>
      <c r="Y75" s="49"/>
      <c r="Z75" s="49"/>
      <c r="AA75" s="49"/>
      <c r="AB75" s="51"/>
    </row>
  </sheetData>
  <mergeCells count="130">
    <mergeCell ref="A66:E66"/>
    <mergeCell ref="A65:E65"/>
    <mergeCell ref="Q74:S75"/>
    <mergeCell ref="A56:E56"/>
    <mergeCell ref="A69:E69"/>
    <mergeCell ref="A70:E70"/>
    <mergeCell ref="A73:E73"/>
    <mergeCell ref="A74:I75"/>
    <mergeCell ref="J74:J75"/>
    <mergeCell ref="K74:K75"/>
    <mergeCell ref="L74:L75"/>
    <mergeCell ref="M74:M75"/>
    <mergeCell ref="N74:N75"/>
    <mergeCell ref="A71:B71"/>
    <mergeCell ref="D71:E71"/>
    <mergeCell ref="A72:B72"/>
    <mergeCell ref="D72:E72"/>
    <mergeCell ref="A67:B67"/>
    <mergeCell ref="D67:E67"/>
    <mergeCell ref="A68:B68"/>
    <mergeCell ref="D68:E68"/>
    <mergeCell ref="A64:B64"/>
    <mergeCell ref="D64:E64"/>
    <mergeCell ref="A63:B63"/>
    <mergeCell ref="AA74:AA75"/>
    <mergeCell ref="AB74:AB75"/>
    <mergeCell ref="U74:U75"/>
    <mergeCell ref="V74:V75"/>
    <mergeCell ref="W74:W75"/>
    <mergeCell ref="X74:X75"/>
    <mergeCell ref="Y74:Y75"/>
    <mergeCell ref="Z74:Z75"/>
    <mergeCell ref="O74:O75"/>
    <mergeCell ref="P74:P75"/>
    <mergeCell ref="T74:T75"/>
    <mergeCell ref="D63:E63"/>
    <mergeCell ref="A62:E62"/>
    <mergeCell ref="A49:B49"/>
    <mergeCell ref="D49:E49"/>
    <mergeCell ref="A59:B59"/>
    <mergeCell ref="D59:E59"/>
    <mergeCell ref="A60:B60"/>
    <mergeCell ref="D60:E60"/>
    <mergeCell ref="A50:E50"/>
    <mergeCell ref="A57:E57"/>
    <mergeCell ref="A58:E58"/>
    <mergeCell ref="A55:E55"/>
    <mergeCell ref="A51:E51"/>
    <mergeCell ref="A52:E52"/>
    <mergeCell ref="A53:E53"/>
    <mergeCell ref="A54:E54"/>
    <mergeCell ref="A61:E61"/>
    <mergeCell ref="A46:B46"/>
    <mergeCell ref="D46:E46"/>
    <mergeCell ref="A47:B47"/>
    <mergeCell ref="D47:E47"/>
    <mergeCell ref="A48:B48"/>
    <mergeCell ref="D48:E48"/>
    <mergeCell ref="A43:B43"/>
    <mergeCell ref="D43:E43"/>
    <mergeCell ref="A44:B44"/>
    <mergeCell ref="D44:E44"/>
    <mergeCell ref="A45:B45"/>
    <mergeCell ref="D45:E45"/>
    <mergeCell ref="A41:B41"/>
    <mergeCell ref="D41:E41"/>
    <mergeCell ref="A42:B42"/>
    <mergeCell ref="D42:E42"/>
    <mergeCell ref="A37:B37"/>
    <mergeCell ref="D37:E37"/>
    <mergeCell ref="A38:B38"/>
    <mergeCell ref="D38:E38"/>
    <mergeCell ref="A39:B39"/>
    <mergeCell ref="D39:E39"/>
    <mergeCell ref="A34:B34"/>
    <mergeCell ref="D34:E34"/>
    <mergeCell ref="A31:B31"/>
    <mergeCell ref="D31:E31"/>
    <mergeCell ref="A32:B32"/>
    <mergeCell ref="D32:E32"/>
    <mergeCell ref="A33:B33"/>
    <mergeCell ref="D33:E33"/>
    <mergeCell ref="A40:B40"/>
    <mergeCell ref="D40:E40"/>
    <mergeCell ref="A36:E36"/>
    <mergeCell ref="A35:E35"/>
    <mergeCell ref="A28:B28"/>
    <mergeCell ref="D28:E28"/>
    <mergeCell ref="A29:B29"/>
    <mergeCell ref="D29:E29"/>
    <mergeCell ref="A30:B30"/>
    <mergeCell ref="D30:E30"/>
    <mergeCell ref="A25:B25"/>
    <mergeCell ref="D25:E25"/>
    <mergeCell ref="A26:B26"/>
    <mergeCell ref="D26:E26"/>
    <mergeCell ref="A27:B27"/>
    <mergeCell ref="D27:E27"/>
    <mergeCell ref="D24:E24"/>
    <mergeCell ref="Z2:Z16"/>
    <mergeCell ref="S2:S16"/>
    <mergeCell ref="T2:T16"/>
    <mergeCell ref="U2:U16"/>
    <mergeCell ref="W2:W16"/>
    <mergeCell ref="X2:X16"/>
    <mergeCell ref="Y2:Y16"/>
    <mergeCell ref="N2:N17"/>
    <mergeCell ref="V2:V17"/>
    <mergeCell ref="A21:E21"/>
    <mergeCell ref="A22:E22"/>
    <mergeCell ref="A20:E20"/>
    <mergeCell ref="A19:E19"/>
    <mergeCell ref="A23:B23"/>
    <mergeCell ref="D23:E23"/>
    <mergeCell ref="A24:B24"/>
    <mergeCell ref="AA2:AA17"/>
    <mergeCell ref="AB2:AB17"/>
    <mergeCell ref="L2:L17"/>
    <mergeCell ref="M2:M17"/>
    <mergeCell ref="O2:O16"/>
    <mergeCell ref="P2:P16"/>
    <mergeCell ref="Q2:Q16"/>
    <mergeCell ref="R2:R16"/>
    <mergeCell ref="A1:E18"/>
    <mergeCell ref="F1:F18"/>
    <mergeCell ref="G1:G18"/>
    <mergeCell ref="I1:I18"/>
    <mergeCell ref="J2:J17"/>
    <mergeCell ref="K2:K17"/>
    <mergeCell ref="H1:H18"/>
  </mergeCells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CAC684-E042-4C36-9987-E4669646D146}">
  <dimension ref="A1:AB75"/>
  <sheetViews>
    <sheetView showZeros="0" topLeftCell="A28" zoomScale="85" zoomScaleNormal="85" workbookViewId="0">
      <selection activeCell="A74" sqref="A74:I75"/>
    </sheetView>
  </sheetViews>
  <sheetFormatPr defaultRowHeight="12.75" x14ac:dyDescent="0.2"/>
  <cols>
    <col min="1" max="2" width="10.7109375" style="1" customWidth="1"/>
    <col min="3" max="3" width="3.7109375" style="1" customWidth="1"/>
    <col min="4" max="5" width="10.7109375" style="1" customWidth="1"/>
    <col min="6" max="7" width="9.7109375" style="1" customWidth="1"/>
    <col min="8" max="8" width="9.7109375" style="18" customWidth="1"/>
    <col min="9" max="9" width="9.7109375" style="15" customWidth="1"/>
    <col min="10" max="28" width="9.42578125" style="1" customWidth="1"/>
    <col min="29" max="36" width="9.7109375" style="1" customWidth="1"/>
    <col min="37" max="16384" width="9.140625" style="1"/>
  </cols>
  <sheetData>
    <row r="1" spans="1:28" ht="12.75" customHeight="1" x14ac:dyDescent="0.2">
      <c r="A1" s="35" t="s">
        <v>33</v>
      </c>
      <c r="B1" s="36"/>
      <c r="C1" s="36"/>
      <c r="D1" s="36"/>
      <c r="E1" s="36"/>
      <c r="F1" s="39" t="s">
        <v>29</v>
      </c>
      <c r="G1" s="39" t="s">
        <v>30</v>
      </c>
      <c r="H1" s="81" t="s">
        <v>36</v>
      </c>
      <c r="I1" s="67" t="s">
        <v>31</v>
      </c>
      <c r="J1" s="2">
        <v>202</v>
      </c>
      <c r="K1" s="2">
        <v>206</v>
      </c>
      <c r="L1" s="2">
        <v>254</v>
      </c>
      <c r="M1" s="2">
        <v>254</v>
      </c>
      <c r="N1" s="2">
        <v>255</v>
      </c>
      <c r="O1" s="2">
        <v>302</v>
      </c>
      <c r="P1" s="2">
        <v>304</v>
      </c>
      <c r="Q1" s="2">
        <v>407</v>
      </c>
      <c r="R1" s="2">
        <v>407</v>
      </c>
      <c r="S1" s="2">
        <v>407</v>
      </c>
      <c r="T1" s="2">
        <v>408</v>
      </c>
      <c r="U1" s="2">
        <v>441</v>
      </c>
      <c r="V1" s="2">
        <v>442</v>
      </c>
      <c r="W1" s="2">
        <v>442</v>
      </c>
      <c r="X1" s="2">
        <v>442</v>
      </c>
      <c r="Y1" s="2">
        <v>442</v>
      </c>
      <c r="Z1" s="2">
        <v>617</v>
      </c>
      <c r="AA1" s="2">
        <v>874</v>
      </c>
      <c r="AB1" s="3">
        <v>874</v>
      </c>
    </row>
    <row r="2" spans="1:28" ht="12.75" customHeight="1" x14ac:dyDescent="0.2">
      <c r="A2" s="37"/>
      <c r="B2" s="38"/>
      <c r="C2" s="38"/>
      <c r="D2" s="38"/>
      <c r="E2" s="38"/>
      <c r="F2" s="40"/>
      <c r="G2" s="40"/>
      <c r="H2" s="81"/>
      <c r="I2" s="68"/>
      <c r="J2" s="29" t="s">
        <v>0</v>
      </c>
      <c r="K2" s="28" t="s">
        <v>2</v>
      </c>
      <c r="L2" s="28" t="s">
        <v>3</v>
      </c>
      <c r="M2" s="28" t="s">
        <v>6</v>
      </c>
      <c r="N2" s="29" t="s">
        <v>4</v>
      </c>
      <c r="O2" s="28" t="s">
        <v>22</v>
      </c>
      <c r="P2" s="29" t="s">
        <v>8</v>
      </c>
      <c r="Q2" s="32" t="s">
        <v>12</v>
      </c>
      <c r="R2" s="28" t="s">
        <v>11</v>
      </c>
      <c r="S2" s="28" t="s">
        <v>11</v>
      </c>
      <c r="T2" s="29" t="s">
        <v>17</v>
      </c>
      <c r="U2" s="28" t="s">
        <v>19</v>
      </c>
      <c r="V2" s="29" t="s">
        <v>21</v>
      </c>
      <c r="W2" s="28" t="s">
        <v>109</v>
      </c>
      <c r="X2" s="28" t="s">
        <v>23</v>
      </c>
      <c r="Y2" s="28" t="s">
        <v>110</v>
      </c>
      <c r="Z2" s="28" t="s">
        <v>25</v>
      </c>
      <c r="AA2" s="28" t="s">
        <v>27</v>
      </c>
      <c r="AB2" s="30" t="s">
        <v>28</v>
      </c>
    </row>
    <row r="3" spans="1:28" ht="12.75" customHeight="1" x14ac:dyDescent="0.2">
      <c r="A3" s="37"/>
      <c r="B3" s="38"/>
      <c r="C3" s="38"/>
      <c r="D3" s="38"/>
      <c r="E3" s="38"/>
      <c r="F3" s="40"/>
      <c r="G3" s="40"/>
      <c r="H3" s="81"/>
      <c r="I3" s="68"/>
      <c r="J3" s="29"/>
      <c r="K3" s="29"/>
      <c r="L3" s="29"/>
      <c r="M3" s="29"/>
      <c r="N3" s="29"/>
      <c r="O3" s="29"/>
      <c r="P3" s="29"/>
      <c r="Q3" s="33"/>
      <c r="R3" s="29"/>
      <c r="S3" s="29"/>
      <c r="T3" s="29"/>
      <c r="U3" s="29"/>
      <c r="V3" s="29"/>
      <c r="W3" s="29"/>
      <c r="X3" s="29"/>
      <c r="Y3" s="29"/>
      <c r="Z3" s="29"/>
      <c r="AA3" s="29"/>
      <c r="AB3" s="31"/>
    </row>
    <row r="4" spans="1:28" ht="12.75" customHeight="1" x14ac:dyDescent="0.2">
      <c r="A4" s="37"/>
      <c r="B4" s="38"/>
      <c r="C4" s="38"/>
      <c r="D4" s="38"/>
      <c r="E4" s="38"/>
      <c r="F4" s="40"/>
      <c r="G4" s="40"/>
      <c r="H4" s="81"/>
      <c r="I4" s="68"/>
      <c r="J4" s="29"/>
      <c r="K4" s="29"/>
      <c r="L4" s="29"/>
      <c r="M4" s="29"/>
      <c r="N4" s="29"/>
      <c r="O4" s="29"/>
      <c r="P4" s="29"/>
      <c r="Q4" s="33"/>
      <c r="R4" s="29"/>
      <c r="S4" s="29"/>
      <c r="T4" s="29"/>
      <c r="U4" s="29"/>
      <c r="V4" s="29"/>
      <c r="W4" s="29"/>
      <c r="X4" s="29"/>
      <c r="Y4" s="29"/>
      <c r="Z4" s="29"/>
      <c r="AA4" s="29"/>
      <c r="AB4" s="31"/>
    </row>
    <row r="5" spans="1:28" ht="12.75" customHeight="1" x14ac:dyDescent="0.2">
      <c r="A5" s="37"/>
      <c r="B5" s="38"/>
      <c r="C5" s="38"/>
      <c r="D5" s="38"/>
      <c r="E5" s="38"/>
      <c r="F5" s="40"/>
      <c r="G5" s="40"/>
      <c r="H5" s="81"/>
      <c r="I5" s="68"/>
      <c r="J5" s="29"/>
      <c r="K5" s="29"/>
      <c r="L5" s="29"/>
      <c r="M5" s="29"/>
      <c r="N5" s="29"/>
      <c r="O5" s="29"/>
      <c r="P5" s="29"/>
      <c r="Q5" s="33"/>
      <c r="R5" s="29"/>
      <c r="S5" s="29"/>
      <c r="T5" s="29"/>
      <c r="U5" s="29"/>
      <c r="V5" s="29"/>
      <c r="W5" s="29"/>
      <c r="X5" s="29"/>
      <c r="Y5" s="29"/>
      <c r="Z5" s="29"/>
      <c r="AA5" s="29"/>
      <c r="AB5" s="31"/>
    </row>
    <row r="6" spans="1:28" ht="12.75" customHeight="1" x14ac:dyDescent="0.2">
      <c r="A6" s="37"/>
      <c r="B6" s="38"/>
      <c r="C6" s="38"/>
      <c r="D6" s="38"/>
      <c r="E6" s="38"/>
      <c r="F6" s="40"/>
      <c r="G6" s="40"/>
      <c r="H6" s="81"/>
      <c r="I6" s="68"/>
      <c r="J6" s="29"/>
      <c r="K6" s="29"/>
      <c r="L6" s="29"/>
      <c r="M6" s="29"/>
      <c r="N6" s="29"/>
      <c r="O6" s="29"/>
      <c r="P6" s="29"/>
      <c r="Q6" s="33"/>
      <c r="R6" s="29"/>
      <c r="S6" s="29"/>
      <c r="T6" s="29"/>
      <c r="U6" s="29"/>
      <c r="V6" s="29"/>
      <c r="W6" s="29"/>
      <c r="X6" s="29"/>
      <c r="Y6" s="29"/>
      <c r="Z6" s="29"/>
      <c r="AA6" s="29"/>
      <c r="AB6" s="31"/>
    </row>
    <row r="7" spans="1:28" ht="12.75" customHeight="1" x14ac:dyDescent="0.2">
      <c r="A7" s="37"/>
      <c r="B7" s="38"/>
      <c r="C7" s="38"/>
      <c r="D7" s="38"/>
      <c r="E7" s="38"/>
      <c r="F7" s="40"/>
      <c r="G7" s="40"/>
      <c r="H7" s="81"/>
      <c r="I7" s="68"/>
      <c r="J7" s="29"/>
      <c r="K7" s="29"/>
      <c r="L7" s="29"/>
      <c r="M7" s="29"/>
      <c r="N7" s="29"/>
      <c r="O7" s="29"/>
      <c r="P7" s="29"/>
      <c r="Q7" s="33"/>
      <c r="R7" s="29"/>
      <c r="S7" s="29"/>
      <c r="T7" s="29"/>
      <c r="U7" s="29"/>
      <c r="V7" s="29"/>
      <c r="W7" s="29"/>
      <c r="X7" s="29"/>
      <c r="Y7" s="29"/>
      <c r="Z7" s="29"/>
      <c r="AA7" s="29"/>
      <c r="AB7" s="31"/>
    </row>
    <row r="8" spans="1:28" ht="12.75" customHeight="1" x14ac:dyDescent="0.2">
      <c r="A8" s="37"/>
      <c r="B8" s="38"/>
      <c r="C8" s="38"/>
      <c r="D8" s="38"/>
      <c r="E8" s="38"/>
      <c r="F8" s="40"/>
      <c r="G8" s="40"/>
      <c r="H8" s="81"/>
      <c r="I8" s="68"/>
      <c r="J8" s="29"/>
      <c r="K8" s="29"/>
      <c r="L8" s="29"/>
      <c r="M8" s="29"/>
      <c r="N8" s="29"/>
      <c r="O8" s="29"/>
      <c r="P8" s="29"/>
      <c r="Q8" s="33"/>
      <c r="R8" s="29"/>
      <c r="S8" s="29"/>
      <c r="T8" s="29"/>
      <c r="U8" s="29"/>
      <c r="V8" s="29"/>
      <c r="W8" s="29"/>
      <c r="X8" s="29"/>
      <c r="Y8" s="29"/>
      <c r="Z8" s="29"/>
      <c r="AA8" s="29"/>
      <c r="AB8" s="31"/>
    </row>
    <row r="9" spans="1:28" ht="12.75" customHeight="1" x14ac:dyDescent="0.2">
      <c r="A9" s="37"/>
      <c r="B9" s="38"/>
      <c r="C9" s="38"/>
      <c r="D9" s="38"/>
      <c r="E9" s="38"/>
      <c r="F9" s="40"/>
      <c r="G9" s="40"/>
      <c r="H9" s="81"/>
      <c r="I9" s="68"/>
      <c r="J9" s="29"/>
      <c r="K9" s="29"/>
      <c r="L9" s="29"/>
      <c r="M9" s="29"/>
      <c r="N9" s="29"/>
      <c r="O9" s="29"/>
      <c r="P9" s="29"/>
      <c r="Q9" s="33"/>
      <c r="R9" s="29"/>
      <c r="S9" s="29"/>
      <c r="T9" s="29"/>
      <c r="U9" s="29"/>
      <c r="V9" s="29"/>
      <c r="W9" s="29"/>
      <c r="X9" s="29"/>
      <c r="Y9" s="29"/>
      <c r="Z9" s="29"/>
      <c r="AA9" s="29"/>
      <c r="AB9" s="31"/>
    </row>
    <row r="10" spans="1:28" ht="12.75" customHeight="1" x14ac:dyDescent="0.2">
      <c r="A10" s="37"/>
      <c r="B10" s="38"/>
      <c r="C10" s="38"/>
      <c r="D10" s="38"/>
      <c r="E10" s="38"/>
      <c r="F10" s="40"/>
      <c r="G10" s="40"/>
      <c r="H10" s="81"/>
      <c r="I10" s="68"/>
      <c r="J10" s="29"/>
      <c r="K10" s="29"/>
      <c r="L10" s="29"/>
      <c r="M10" s="29"/>
      <c r="N10" s="29"/>
      <c r="O10" s="29"/>
      <c r="P10" s="29"/>
      <c r="Q10" s="33"/>
      <c r="R10" s="29"/>
      <c r="S10" s="29"/>
      <c r="T10" s="29"/>
      <c r="U10" s="29"/>
      <c r="V10" s="29"/>
      <c r="W10" s="29"/>
      <c r="X10" s="29"/>
      <c r="Y10" s="29"/>
      <c r="Z10" s="29"/>
      <c r="AA10" s="29"/>
      <c r="AB10" s="31"/>
    </row>
    <row r="11" spans="1:28" ht="12.75" customHeight="1" x14ac:dyDescent="0.2">
      <c r="A11" s="37"/>
      <c r="B11" s="38"/>
      <c r="C11" s="38"/>
      <c r="D11" s="38"/>
      <c r="E11" s="38"/>
      <c r="F11" s="40"/>
      <c r="G11" s="40"/>
      <c r="H11" s="81"/>
      <c r="I11" s="68"/>
      <c r="J11" s="29"/>
      <c r="K11" s="29"/>
      <c r="L11" s="29"/>
      <c r="M11" s="29"/>
      <c r="N11" s="29"/>
      <c r="O11" s="29"/>
      <c r="P11" s="29"/>
      <c r="Q11" s="33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31"/>
    </row>
    <row r="12" spans="1:28" ht="12.75" customHeight="1" x14ac:dyDescent="0.2">
      <c r="A12" s="37"/>
      <c r="B12" s="38"/>
      <c r="C12" s="38"/>
      <c r="D12" s="38"/>
      <c r="E12" s="38"/>
      <c r="F12" s="40"/>
      <c r="G12" s="40"/>
      <c r="H12" s="81"/>
      <c r="I12" s="68"/>
      <c r="J12" s="29"/>
      <c r="K12" s="29"/>
      <c r="L12" s="29"/>
      <c r="M12" s="29"/>
      <c r="N12" s="29"/>
      <c r="O12" s="29"/>
      <c r="P12" s="29"/>
      <c r="Q12" s="33"/>
      <c r="R12" s="29"/>
      <c r="S12" s="29"/>
      <c r="T12" s="29"/>
      <c r="U12" s="29"/>
      <c r="V12" s="29"/>
      <c r="W12" s="29"/>
      <c r="X12" s="29"/>
      <c r="Y12" s="29"/>
      <c r="Z12" s="29"/>
      <c r="AA12" s="29"/>
      <c r="AB12" s="31"/>
    </row>
    <row r="13" spans="1:28" ht="12.75" customHeight="1" x14ac:dyDescent="0.2">
      <c r="A13" s="37"/>
      <c r="B13" s="38"/>
      <c r="C13" s="38"/>
      <c r="D13" s="38"/>
      <c r="E13" s="38"/>
      <c r="F13" s="40"/>
      <c r="G13" s="40"/>
      <c r="H13" s="81"/>
      <c r="I13" s="68"/>
      <c r="J13" s="29"/>
      <c r="K13" s="29"/>
      <c r="L13" s="29"/>
      <c r="M13" s="29"/>
      <c r="N13" s="29"/>
      <c r="O13" s="29"/>
      <c r="P13" s="29"/>
      <c r="Q13" s="33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31"/>
    </row>
    <row r="14" spans="1:28" ht="12.75" customHeight="1" x14ac:dyDescent="0.2">
      <c r="A14" s="37"/>
      <c r="B14" s="38"/>
      <c r="C14" s="38"/>
      <c r="D14" s="38"/>
      <c r="E14" s="38"/>
      <c r="F14" s="40"/>
      <c r="G14" s="40"/>
      <c r="H14" s="81"/>
      <c r="I14" s="68"/>
      <c r="J14" s="29"/>
      <c r="K14" s="29"/>
      <c r="L14" s="29"/>
      <c r="M14" s="29"/>
      <c r="N14" s="29"/>
      <c r="O14" s="29"/>
      <c r="P14" s="29"/>
      <c r="Q14" s="33"/>
      <c r="R14" s="29"/>
      <c r="S14" s="29"/>
      <c r="T14" s="29"/>
      <c r="U14" s="29"/>
      <c r="V14" s="29"/>
      <c r="W14" s="29"/>
      <c r="X14" s="29"/>
      <c r="Y14" s="29"/>
      <c r="Z14" s="29"/>
      <c r="AA14" s="29"/>
      <c r="AB14" s="31"/>
    </row>
    <row r="15" spans="1:28" ht="12.75" customHeight="1" x14ac:dyDescent="0.2">
      <c r="A15" s="37"/>
      <c r="B15" s="38"/>
      <c r="C15" s="38"/>
      <c r="D15" s="38"/>
      <c r="E15" s="38"/>
      <c r="F15" s="40"/>
      <c r="G15" s="40"/>
      <c r="H15" s="81"/>
      <c r="I15" s="68"/>
      <c r="J15" s="29"/>
      <c r="K15" s="29"/>
      <c r="L15" s="29"/>
      <c r="M15" s="29"/>
      <c r="N15" s="29"/>
      <c r="O15" s="29"/>
      <c r="P15" s="29"/>
      <c r="Q15" s="33"/>
      <c r="R15" s="29"/>
      <c r="S15" s="29"/>
      <c r="T15" s="29"/>
      <c r="U15" s="29"/>
      <c r="V15" s="29"/>
      <c r="W15" s="29"/>
      <c r="X15" s="29"/>
      <c r="Y15" s="29"/>
      <c r="Z15" s="29"/>
      <c r="AA15" s="29"/>
      <c r="AB15" s="31"/>
    </row>
    <row r="16" spans="1:28" ht="12.75" customHeight="1" x14ac:dyDescent="0.2">
      <c r="A16" s="37"/>
      <c r="B16" s="38"/>
      <c r="C16" s="38"/>
      <c r="D16" s="38"/>
      <c r="E16" s="38"/>
      <c r="F16" s="40"/>
      <c r="G16" s="40"/>
      <c r="H16" s="81"/>
      <c r="I16" s="68"/>
      <c r="J16" s="29"/>
      <c r="K16" s="29"/>
      <c r="L16" s="29"/>
      <c r="M16" s="29"/>
      <c r="N16" s="29"/>
      <c r="O16" s="29"/>
      <c r="P16" s="29"/>
      <c r="Q16" s="34"/>
      <c r="R16" s="29"/>
      <c r="S16" s="29"/>
      <c r="T16" s="29"/>
      <c r="U16" s="29"/>
      <c r="V16" s="29"/>
      <c r="W16" s="29"/>
      <c r="X16" s="29"/>
      <c r="Y16" s="29"/>
      <c r="Z16" s="29"/>
      <c r="AA16" s="29"/>
      <c r="AB16" s="31"/>
    </row>
    <row r="17" spans="1:28" ht="12.75" customHeight="1" x14ac:dyDescent="0.2">
      <c r="A17" s="37"/>
      <c r="B17" s="38"/>
      <c r="C17" s="38"/>
      <c r="D17" s="38"/>
      <c r="E17" s="38"/>
      <c r="F17" s="40"/>
      <c r="G17" s="40"/>
      <c r="H17" s="81"/>
      <c r="I17" s="68"/>
      <c r="J17" s="29"/>
      <c r="K17" s="29"/>
      <c r="L17" s="29"/>
      <c r="M17" s="29"/>
      <c r="N17" s="29"/>
      <c r="O17" s="4" t="s">
        <v>10</v>
      </c>
      <c r="P17" s="4" t="s">
        <v>9</v>
      </c>
      <c r="Q17" s="4" t="s">
        <v>13</v>
      </c>
      <c r="R17" s="4" t="s">
        <v>15</v>
      </c>
      <c r="S17" s="4" t="s">
        <v>16</v>
      </c>
      <c r="T17" s="4" t="s">
        <v>18</v>
      </c>
      <c r="U17" s="4" t="s">
        <v>20</v>
      </c>
      <c r="V17" s="29"/>
      <c r="W17" s="4" t="s">
        <v>20</v>
      </c>
      <c r="X17" s="4" t="s">
        <v>20</v>
      </c>
      <c r="Y17" s="4" t="s">
        <v>24</v>
      </c>
      <c r="Z17" s="4" t="s">
        <v>26</v>
      </c>
      <c r="AA17" s="29"/>
      <c r="AB17" s="31"/>
    </row>
    <row r="18" spans="1:28" ht="12.75" customHeight="1" x14ac:dyDescent="0.2">
      <c r="A18" s="37"/>
      <c r="B18" s="38"/>
      <c r="C18" s="38"/>
      <c r="D18" s="38"/>
      <c r="E18" s="38"/>
      <c r="F18" s="40"/>
      <c r="G18" s="40"/>
      <c r="H18" s="82"/>
      <c r="I18" s="68"/>
      <c r="J18" s="4" t="s">
        <v>1</v>
      </c>
      <c r="K18" s="4" t="s">
        <v>1</v>
      </c>
      <c r="L18" s="4" t="s">
        <v>1</v>
      </c>
      <c r="M18" s="4" t="s">
        <v>1</v>
      </c>
      <c r="N18" s="4" t="s">
        <v>5</v>
      </c>
      <c r="O18" s="4" t="s">
        <v>7</v>
      </c>
      <c r="P18" s="4" t="s">
        <v>7</v>
      </c>
      <c r="Q18" s="4" t="s">
        <v>14</v>
      </c>
      <c r="R18" s="4" t="s">
        <v>14</v>
      </c>
      <c r="S18" s="4" t="s">
        <v>14</v>
      </c>
      <c r="T18" s="4" t="s">
        <v>14</v>
      </c>
      <c r="U18" s="4" t="s">
        <v>7</v>
      </c>
      <c r="V18" s="4" t="s">
        <v>7</v>
      </c>
      <c r="W18" s="4" t="s">
        <v>7</v>
      </c>
      <c r="X18" s="4" t="s">
        <v>7</v>
      </c>
      <c r="Y18" s="4" t="s">
        <v>7</v>
      </c>
      <c r="Z18" s="4" t="s">
        <v>7</v>
      </c>
      <c r="AA18" s="4" t="s">
        <v>5</v>
      </c>
      <c r="AB18" s="5" t="s">
        <v>5</v>
      </c>
    </row>
    <row r="19" spans="1:28" x14ac:dyDescent="0.2">
      <c r="A19" s="43" t="s">
        <v>57</v>
      </c>
      <c r="B19" s="43"/>
      <c r="C19" s="43"/>
      <c r="D19" s="43"/>
      <c r="E19" s="44"/>
      <c r="F19" s="6"/>
      <c r="G19" s="6"/>
      <c r="H19" s="6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8"/>
    </row>
    <row r="20" spans="1:28" x14ac:dyDescent="0.2">
      <c r="A20" s="43"/>
      <c r="B20" s="43"/>
      <c r="C20" s="43"/>
      <c r="D20" s="43"/>
      <c r="E20" s="44"/>
      <c r="F20" s="6"/>
      <c r="G20" s="6"/>
      <c r="H20" s="6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8"/>
    </row>
    <row r="21" spans="1:28" x14ac:dyDescent="0.2">
      <c r="A21" s="43" t="s">
        <v>111</v>
      </c>
      <c r="B21" s="43"/>
      <c r="C21" s="43"/>
      <c r="D21" s="43"/>
      <c r="E21" s="44"/>
      <c r="F21" s="6"/>
      <c r="G21" s="6"/>
      <c r="H21" s="6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8"/>
    </row>
    <row r="22" spans="1:28" x14ac:dyDescent="0.2">
      <c r="A22" s="43"/>
      <c r="B22" s="43"/>
      <c r="C22" s="43"/>
      <c r="D22" s="43"/>
      <c r="E22" s="44"/>
      <c r="F22" s="6"/>
      <c r="G22" s="6"/>
      <c r="H22" s="6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8"/>
    </row>
    <row r="23" spans="1:28" x14ac:dyDescent="0.2">
      <c r="A23" s="43" t="s">
        <v>67</v>
      </c>
      <c r="B23" s="43"/>
      <c r="C23" s="43"/>
      <c r="D23" s="43"/>
      <c r="E23" s="44"/>
      <c r="F23" s="6"/>
      <c r="G23" s="6"/>
      <c r="H23" s="6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8"/>
    </row>
    <row r="24" spans="1:28" x14ac:dyDescent="0.2">
      <c r="A24" s="46" t="s">
        <v>88</v>
      </c>
      <c r="B24" s="42"/>
      <c r="C24" s="4" t="s">
        <v>32</v>
      </c>
      <c r="D24" s="42">
        <v>62300</v>
      </c>
      <c r="E24" s="42"/>
      <c r="F24" s="6" t="s">
        <v>40</v>
      </c>
      <c r="G24" s="6">
        <v>100</v>
      </c>
      <c r="H24" s="6">
        <v>24</v>
      </c>
      <c r="I24" s="7">
        <f t="shared" ref="I24:I40" si="0">ROUNDUP(((H24*G24)/9),1)</f>
        <v>266.70000000000005</v>
      </c>
      <c r="J24" s="7"/>
      <c r="K24" s="7"/>
      <c r="L24" s="7">
        <f t="shared" ref="L24:L40" si="1">I24</f>
        <v>266.70000000000005</v>
      </c>
      <c r="M24" s="7"/>
      <c r="N24" s="7"/>
      <c r="O24" s="7"/>
      <c r="P24" s="7"/>
      <c r="Q24" s="7"/>
      <c r="R24" s="7"/>
      <c r="S24" s="7">
        <f t="shared" ref="S24:S40" si="2">ROUNDUP((I24*0.09),1)</f>
        <v>24.1</v>
      </c>
      <c r="T24" s="7"/>
      <c r="U24" s="7"/>
      <c r="V24" s="7">
        <f t="shared" ref="V24:V40" si="3">W24</f>
        <v>11.2</v>
      </c>
      <c r="W24" s="7">
        <f t="shared" ref="W24:W40" si="4">ROUNDUP((I24*(1.5/36)),1)</f>
        <v>11.2</v>
      </c>
      <c r="X24" s="7"/>
      <c r="Y24" s="7"/>
      <c r="Z24" s="7"/>
      <c r="AA24" s="7"/>
      <c r="AB24" s="8"/>
    </row>
    <row r="25" spans="1:28" x14ac:dyDescent="0.2">
      <c r="A25" s="46">
        <v>62300</v>
      </c>
      <c r="B25" s="42"/>
      <c r="C25" s="4" t="s">
        <v>32</v>
      </c>
      <c r="D25" s="42">
        <v>63965</v>
      </c>
      <c r="E25" s="42"/>
      <c r="F25" s="6" t="s">
        <v>40</v>
      </c>
      <c r="G25" s="6">
        <f t="shared" ref="G25:G40" si="5">D25-A25</f>
        <v>1665</v>
      </c>
      <c r="H25" s="6">
        <v>24</v>
      </c>
      <c r="I25" s="7">
        <f t="shared" si="0"/>
        <v>4440</v>
      </c>
      <c r="J25" s="7"/>
      <c r="K25" s="7"/>
      <c r="L25" s="7">
        <f t="shared" si="1"/>
        <v>4440</v>
      </c>
      <c r="M25" s="7"/>
      <c r="N25" s="7"/>
      <c r="O25" s="7"/>
      <c r="P25" s="7"/>
      <c r="Q25" s="7"/>
      <c r="R25" s="7"/>
      <c r="S25" s="7">
        <f t="shared" si="2"/>
        <v>399.6</v>
      </c>
      <c r="T25" s="7"/>
      <c r="U25" s="7"/>
      <c r="V25" s="7">
        <f t="shared" si="3"/>
        <v>185</v>
      </c>
      <c r="W25" s="7">
        <f t="shared" si="4"/>
        <v>185</v>
      </c>
      <c r="X25" s="7"/>
      <c r="Y25" s="7"/>
      <c r="Z25" s="7"/>
      <c r="AA25" s="7"/>
      <c r="AB25" s="8"/>
    </row>
    <row r="26" spans="1:28" x14ac:dyDescent="0.2">
      <c r="A26" s="46">
        <v>63965</v>
      </c>
      <c r="B26" s="42"/>
      <c r="C26" s="4" t="s">
        <v>32</v>
      </c>
      <c r="D26" s="42">
        <v>65350</v>
      </c>
      <c r="E26" s="42"/>
      <c r="F26" s="6" t="s">
        <v>40</v>
      </c>
      <c r="G26" s="6">
        <f t="shared" si="5"/>
        <v>1385</v>
      </c>
      <c r="H26" s="6">
        <v>36</v>
      </c>
      <c r="I26" s="7">
        <f t="shared" si="0"/>
        <v>5540</v>
      </c>
      <c r="J26" s="7"/>
      <c r="K26" s="7"/>
      <c r="L26" s="7">
        <f t="shared" si="1"/>
        <v>5540</v>
      </c>
      <c r="M26" s="7"/>
      <c r="N26" s="7"/>
      <c r="O26" s="7"/>
      <c r="P26" s="7"/>
      <c r="Q26" s="7"/>
      <c r="R26" s="7"/>
      <c r="S26" s="7">
        <f t="shared" si="2"/>
        <v>498.6</v>
      </c>
      <c r="T26" s="7"/>
      <c r="U26" s="7"/>
      <c r="V26" s="7">
        <f t="shared" si="3"/>
        <v>230.9</v>
      </c>
      <c r="W26" s="7">
        <f t="shared" si="4"/>
        <v>230.9</v>
      </c>
      <c r="X26" s="7"/>
      <c r="Y26" s="7"/>
      <c r="Z26" s="7"/>
      <c r="AA26" s="7"/>
      <c r="AB26" s="8"/>
    </row>
    <row r="27" spans="1:28" x14ac:dyDescent="0.2">
      <c r="A27" s="46">
        <v>65350</v>
      </c>
      <c r="B27" s="42"/>
      <c r="C27" s="4" t="s">
        <v>32</v>
      </c>
      <c r="D27" s="42">
        <v>65650</v>
      </c>
      <c r="E27" s="42"/>
      <c r="F27" s="6" t="s">
        <v>40</v>
      </c>
      <c r="G27" s="6">
        <f t="shared" si="5"/>
        <v>300</v>
      </c>
      <c r="H27" s="16">
        <v>44</v>
      </c>
      <c r="I27" s="7">
        <f t="shared" si="0"/>
        <v>1466.6999999999998</v>
      </c>
      <c r="J27" s="7"/>
      <c r="K27" s="7"/>
      <c r="L27" s="7">
        <f t="shared" si="1"/>
        <v>1466.6999999999998</v>
      </c>
      <c r="M27" s="7"/>
      <c r="N27" s="7"/>
      <c r="O27" s="7"/>
      <c r="P27" s="7"/>
      <c r="Q27" s="7"/>
      <c r="R27" s="7"/>
      <c r="S27" s="7">
        <f t="shared" si="2"/>
        <v>132.1</v>
      </c>
      <c r="T27" s="7"/>
      <c r="U27" s="7"/>
      <c r="V27" s="7">
        <f t="shared" si="3"/>
        <v>61.2</v>
      </c>
      <c r="W27" s="7">
        <f t="shared" si="4"/>
        <v>61.2</v>
      </c>
      <c r="X27" s="7"/>
      <c r="Y27" s="7"/>
      <c r="Z27" s="7"/>
      <c r="AA27" s="7"/>
      <c r="AB27" s="8"/>
    </row>
    <row r="28" spans="1:28" x14ac:dyDescent="0.2">
      <c r="A28" s="46">
        <v>65650</v>
      </c>
      <c r="B28" s="42"/>
      <c r="C28" s="4" t="s">
        <v>32</v>
      </c>
      <c r="D28" s="42">
        <v>65948.37</v>
      </c>
      <c r="E28" s="42"/>
      <c r="F28" s="6" t="s">
        <v>40</v>
      </c>
      <c r="G28" s="6">
        <f t="shared" si="5"/>
        <v>298.36999999999534</v>
      </c>
      <c r="H28" s="6">
        <v>52</v>
      </c>
      <c r="I28" s="7">
        <f t="shared" si="0"/>
        <v>1724</v>
      </c>
      <c r="J28" s="7"/>
      <c r="K28" s="7"/>
      <c r="L28" s="7">
        <f t="shared" si="1"/>
        <v>1724</v>
      </c>
      <c r="M28" s="7"/>
      <c r="N28" s="7"/>
      <c r="O28" s="7"/>
      <c r="P28" s="7"/>
      <c r="Q28" s="7"/>
      <c r="R28" s="7"/>
      <c r="S28" s="7">
        <f t="shared" si="2"/>
        <v>155.19999999999999</v>
      </c>
      <c r="T28" s="7"/>
      <c r="U28" s="7"/>
      <c r="V28" s="7">
        <f t="shared" si="3"/>
        <v>71.899999999999991</v>
      </c>
      <c r="W28" s="7">
        <f t="shared" si="4"/>
        <v>71.899999999999991</v>
      </c>
      <c r="X28" s="7"/>
      <c r="Y28" s="7"/>
      <c r="Z28" s="7"/>
      <c r="AA28" s="7"/>
      <c r="AB28" s="8"/>
    </row>
    <row r="29" spans="1:28" x14ac:dyDescent="0.2">
      <c r="A29" s="46">
        <v>65948.37</v>
      </c>
      <c r="B29" s="42"/>
      <c r="C29" s="4" t="s">
        <v>32</v>
      </c>
      <c r="D29" s="42">
        <v>67133.429999999993</v>
      </c>
      <c r="E29" s="42"/>
      <c r="F29" s="6" t="s">
        <v>40</v>
      </c>
      <c r="G29" s="6">
        <f t="shared" si="5"/>
        <v>1185.0599999999977</v>
      </c>
      <c r="H29" s="6">
        <v>36</v>
      </c>
      <c r="I29" s="7">
        <f t="shared" si="0"/>
        <v>4740.3</v>
      </c>
      <c r="J29" s="7"/>
      <c r="K29" s="7"/>
      <c r="L29" s="7">
        <f t="shared" si="1"/>
        <v>4740.3</v>
      </c>
      <c r="M29" s="7"/>
      <c r="N29" s="7"/>
      <c r="O29" s="7"/>
      <c r="P29" s="7"/>
      <c r="Q29" s="7"/>
      <c r="R29" s="7"/>
      <c r="S29" s="7">
        <f t="shared" si="2"/>
        <v>426.70000000000005</v>
      </c>
      <c r="T29" s="7"/>
      <c r="U29" s="7"/>
      <c r="V29" s="7">
        <f t="shared" si="3"/>
        <v>197.6</v>
      </c>
      <c r="W29" s="7">
        <f t="shared" si="4"/>
        <v>197.6</v>
      </c>
      <c r="X29" s="7"/>
      <c r="Y29" s="7"/>
      <c r="Z29" s="7"/>
      <c r="AA29" s="7"/>
      <c r="AB29" s="8"/>
    </row>
    <row r="30" spans="1:28" x14ac:dyDescent="0.2">
      <c r="A30" s="46">
        <v>67133.429999999993</v>
      </c>
      <c r="B30" s="42"/>
      <c r="C30" s="4" t="s">
        <v>32</v>
      </c>
      <c r="D30" s="42">
        <v>67400</v>
      </c>
      <c r="E30" s="42"/>
      <c r="F30" s="6" t="s">
        <v>40</v>
      </c>
      <c r="G30" s="6">
        <f t="shared" si="5"/>
        <v>266.57000000000698</v>
      </c>
      <c r="H30" s="6">
        <v>48</v>
      </c>
      <c r="I30" s="7">
        <f t="shared" si="0"/>
        <v>1421.8</v>
      </c>
      <c r="J30" s="7"/>
      <c r="K30" s="7"/>
      <c r="L30" s="7">
        <f t="shared" si="1"/>
        <v>1421.8</v>
      </c>
      <c r="M30" s="7"/>
      <c r="N30" s="7"/>
      <c r="O30" s="7"/>
      <c r="P30" s="7"/>
      <c r="Q30" s="7"/>
      <c r="R30" s="7"/>
      <c r="S30" s="7">
        <f t="shared" si="2"/>
        <v>128</v>
      </c>
      <c r="T30" s="7"/>
      <c r="U30" s="7"/>
      <c r="V30" s="7">
        <f t="shared" si="3"/>
        <v>59.300000000000004</v>
      </c>
      <c r="W30" s="7">
        <f t="shared" si="4"/>
        <v>59.300000000000004</v>
      </c>
      <c r="X30" s="7"/>
      <c r="Y30" s="7"/>
      <c r="Z30" s="7"/>
      <c r="AA30" s="7"/>
      <c r="AB30" s="8"/>
    </row>
    <row r="31" spans="1:28" x14ac:dyDescent="0.2">
      <c r="A31" s="46">
        <v>67400</v>
      </c>
      <c r="B31" s="42"/>
      <c r="C31" s="4" t="s">
        <v>32</v>
      </c>
      <c r="D31" s="42">
        <v>67500</v>
      </c>
      <c r="E31" s="42"/>
      <c r="F31" s="6" t="s">
        <v>40</v>
      </c>
      <c r="G31" s="6">
        <f t="shared" si="5"/>
        <v>100</v>
      </c>
      <c r="H31" s="16">
        <v>42</v>
      </c>
      <c r="I31" s="11">
        <f t="shared" si="0"/>
        <v>466.70000000000005</v>
      </c>
      <c r="J31" s="7"/>
      <c r="K31" s="7"/>
      <c r="L31" s="7">
        <f t="shared" si="1"/>
        <v>466.70000000000005</v>
      </c>
      <c r="M31" s="7"/>
      <c r="N31" s="7"/>
      <c r="O31" s="7"/>
      <c r="P31" s="7"/>
      <c r="Q31" s="7"/>
      <c r="R31" s="7"/>
      <c r="S31" s="7">
        <f t="shared" si="2"/>
        <v>42.1</v>
      </c>
      <c r="T31" s="7"/>
      <c r="U31" s="7"/>
      <c r="V31" s="7">
        <f t="shared" si="3"/>
        <v>19.5</v>
      </c>
      <c r="W31" s="7">
        <f t="shared" si="4"/>
        <v>19.5</v>
      </c>
      <c r="X31" s="7"/>
      <c r="Y31" s="7"/>
      <c r="Z31" s="7"/>
      <c r="AA31" s="7"/>
      <c r="AB31" s="8"/>
    </row>
    <row r="32" spans="1:28" x14ac:dyDescent="0.2">
      <c r="A32" s="46">
        <v>67500</v>
      </c>
      <c r="B32" s="42"/>
      <c r="C32" s="4" t="s">
        <v>32</v>
      </c>
      <c r="D32" s="42">
        <v>68200</v>
      </c>
      <c r="E32" s="42"/>
      <c r="F32" s="6" t="s">
        <v>40</v>
      </c>
      <c r="G32" s="6">
        <f t="shared" si="5"/>
        <v>700</v>
      </c>
      <c r="H32" s="6">
        <v>36</v>
      </c>
      <c r="I32" s="7">
        <f t="shared" si="0"/>
        <v>2800</v>
      </c>
      <c r="J32" s="7"/>
      <c r="K32" s="7"/>
      <c r="L32" s="7">
        <f t="shared" si="1"/>
        <v>2800</v>
      </c>
      <c r="M32" s="7"/>
      <c r="N32" s="7"/>
      <c r="O32" s="7"/>
      <c r="P32" s="7"/>
      <c r="Q32" s="7"/>
      <c r="R32" s="7"/>
      <c r="S32" s="7">
        <f t="shared" si="2"/>
        <v>252</v>
      </c>
      <c r="T32" s="7"/>
      <c r="U32" s="7"/>
      <c r="V32" s="7">
        <f t="shared" si="3"/>
        <v>116.69999999999999</v>
      </c>
      <c r="W32" s="7">
        <f t="shared" si="4"/>
        <v>116.69999999999999</v>
      </c>
      <c r="X32" s="7"/>
      <c r="Y32" s="7"/>
      <c r="Z32" s="7"/>
      <c r="AA32" s="7"/>
      <c r="AB32" s="8"/>
    </row>
    <row r="33" spans="1:28" x14ac:dyDescent="0.2">
      <c r="A33" s="46">
        <v>68200</v>
      </c>
      <c r="B33" s="42"/>
      <c r="C33" s="4" t="s">
        <v>32</v>
      </c>
      <c r="D33" s="42">
        <v>68500</v>
      </c>
      <c r="E33" s="42"/>
      <c r="F33" s="6" t="s">
        <v>40</v>
      </c>
      <c r="G33" s="6">
        <f t="shared" si="5"/>
        <v>300</v>
      </c>
      <c r="H33" s="16">
        <v>44</v>
      </c>
      <c r="I33" s="7">
        <f t="shared" si="0"/>
        <v>1466.6999999999998</v>
      </c>
      <c r="J33" s="7"/>
      <c r="K33" s="7"/>
      <c r="L33" s="7">
        <f t="shared" si="1"/>
        <v>1466.6999999999998</v>
      </c>
      <c r="M33" s="7"/>
      <c r="N33" s="7"/>
      <c r="O33" s="7"/>
      <c r="P33" s="7"/>
      <c r="Q33" s="7"/>
      <c r="R33" s="7"/>
      <c r="S33" s="7">
        <f t="shared" si="2"/>
        <v>132.1</v>
      </c>
      <c r="T33" s="7"/>
      <c r="U33" s="7"/>
      <c r="V33" s="7">
        <f t="shared" si="3"/>
        <v>61.2</v>
      </c>
      <c r="W33" s="7">
        <f t="shared" si="4"/>
        <v>61.2</v>
      </c>
      <c r="X33" s="7"/>
      <c r="Y33" s="7"/>
      <c r="Z33" s="7"/>
      <c r="AA33" s="7"/>
      <c r="AB33" s="8"/>
    </row>
    <row r="34" spans="1:28" x14ac:dyDescent="0.2">
      <c r="A34" s="46">
        <v>68500</v>
      </c>
      <c r="B34" s="42"/>
      <c r="C34" s="4" t="s">
        <v>32</v>
      </c>
      <c r="D34" s="42">
        <v>68873.429999999993</v>
      </c>
      <c r="E34" s="42"/>
      <c r="F34" s="6" t="s">
        <v>40</v>
      </c>
      <c r="G34" s="6">
        <f t="shared" si="5"/>
        <v>373.42999999999302</v>
      </c>
      <c r="H34" s="6">
        <v>52</v>
      </c>
      <c r="I34" s="7">
        <f t="shared" si="0"/>
        <v>2157.6</v>
      </c>
      <c r="J34" s="7"/>
      <c r="K34" s="7"/>
      <c r="L34" s="7">
        <f t="shared" si="1"/>
        <v>2157.6</v>
      </c>
      <c r="M34" s="7"/>
      <c r="N34" s="7"/>
      <c r="O34" s="7"/>
      <c r="P34" s="7"/>
      <c r="Q34" s="7"/>
      <c r="R34" s="7"/>
      <c r="S34" s="7">
        <f t="shared" si="2"/>
        <v>194.2</v>
      </c>
      <c r="T34" s="7"/>
      <c r="U34" s="7"/>
      <c r="V34" s="7">
        <f t="shared" si="3"/>
        <v>89.9</v>
      </c>
      <c r="W34" s="7">
        <f t="shared" si="4"/>
        <v>89.9</v>
      </c>
      <c r="X34" s="7"/>
      <c r="Y34" s="7"/>
      <c r="Z34" s="7"/>
      <c r="AA34" s="7"/>
      <c r="AB34" s="8"/>
    </row>
    <row r="35" spans="1:28" x14ac:dyDescent="0.2">
      <c r="A35" s="46">
        <v>68873.429999999993</v>
      </c>
      <c r="B35" s="42"/>
      <c r="C35" s="4" t="s">
        <v>32</v>
      </c>
      <c r="D35" s="42">
        <v>70533.429999999993</v>
      </c>
      <c r="E35" s="42"/>
      <c r="F35" s="6" t="s">
        <v>40</v>
      </c>
      <c r="G35" s="6">
        <f t="shared" si="5"/>
        <v>1660</v>
      </c>
      <c r="H35" s="6">
        <v>36</v>
      </c>
      <c r="I35" s="7">
        <f t="shared" si="0"/>
        <v>6640</v>
      </c>
      <c r="J35" s="7"/>
      <c r="K35" s="7"/>
      <c r="L35" s="7">
        <f t="shared" si="1"/>
        <v>6640</v>
      </c>
      <c r="M35" s="7"/>
      <c r="N35" s="7"/>
      <c r="O35" s="7"/>
      <c r="P35" s="7"/>
      <c r="Q35" s="7"/>
      <c r="R35" s="7"/>
      <c r="S35" s="7">
        <f t="shared" si="2"/>
        <v>597.6</v>
      </c>
      <c r="T35" s="7"/>
      <c r="U35" s="7"/>
      <c r="V35" s="7">
        <f t="shared" si="3"/>
        <v>276.70000000000005</v>
      </c>
      <c r="W35" s="7">
        <f t="shared" si="4"/>
        <v>276.70000000000005</v>
      </c>
      <c r="X35" s="7"/>
      <c r="Y35" s="7"/>
      <c r="Z35" s="7"/>
      <c r="AA35" s="7"/>
      <c r="AB35" s="8"/>
    </row>
    <row r="36" spans="1:28" x14ac:dyDescent="0.2">
      <c r="A36" s="46">
        <v>70533.429999999993</v>
      </c>
      <c r="B36" s="42"/>
      <c r="C36" s="4" t="s">
        <v>32</v>
      </c>
      <c r="D36" s="42">
        <v>70800</v>
      </c>
      <c r="E36" s="42"/>
      <c r="F36" s="6" t="s">
        <v>40</v>
      </c>
      <c r="G36" s="6">
        <f t="shared" si="5"/>
        <v>266.57000000000698</v>
      </c>
      <c r="H36" s="6">
        <v>48</v>
      </c>
      <c r="I36" s="7">
        <f t="shared" si="0"/>
        <v>1421.8</v>
      </c>
      <c r="J36" s="7"/>
      <c r="K36" s="7"/>
      <c r="L36" s="7">
        <f t="shared" si="1"/>
        <v>1421.8</v>
      </c>
      <c r="M36" s="7"/>
      <c r="N36" s="7"/>
      <c r="O36" s="7"/>
      <c r="P36" s="7"/>
      <c r="Q36" s="7"/>
      <c r="R36" s="7"/>
      <c r="S36" s="7">
        <f t="shared" si="2"/>
        <v>128</v>
      </c>
      <c r="T36" s="7"/>
      <c r="U36" s="7"/>
      <c r="V36" s="7">
        <f t="shared" si="3"/>
        <v>59.300000000000004</v>
      </c>
      <c r="W36" s="7">
        <f t="shared" si="4"/>
        <v>59.300000000000004</v>
      </c>
      <c r="X36" s="7"/>
      <c r="Y36" s="7"/>
      <c r="Z36" s="7"/>
      <c r="AA36" s="7"/>
      <c r="AB36" s="8"/>
    </row>
    <row r="37" spans="1:28" x14ac:dyDescent="0.2">
      <c r="A37" s="46">
        <v>70800</v>
      </c>
      <c r="B37" s="42"/>
      <c r="C37" s="4" t="s">
        <v>32</v>
      </c>
      <c r="D37" s="42">
        <v>70900</v>
      </c>
      <c r="E37" s="42"/>
      <c r="F37" s="6" t="s">
        <v>40</v>
      </c>
      <c r="G37" s="6">
        <f t="shared" si="5"/>
        <v>100</v>
      </c>
      <c r="H37" s="16">
        <v>42</v>
      </c>
      <c r="I37" s="7">
        <f t="shared" si="0"/>
        <v>466.70000000000005</v>
      </c>
      <c r="J37" s="12"/>
      <c r="K37" s="7"/>
      <c r="L37" s="7">
        <f t="shared" si="1"/>
        <v>466.70000000000005</v>
      </c>
      <c r="M37" s="7"/>
      <c r="N37" s="7"/>
      <c r="O37" s="7"/>
      <c r="P37" s="7"/>
      <c r="Q37" s="7"/>
      <c r="R37" s="7"/>
      <c r="S37" s="7">
        <f t="shared" si="2"/>
        <v>42.1</v>
      </c>
      <c r="T37" s="7"/>
      <c r="U37" s="7"/>
      <c r="V37" s="7">
        <f t="shared" si="3"/>
        <v>19.5</v>
      </c>
      <c r="W37" s="7">
        <f t="shared" si="4"/>
        <v>19.5</v>
      </c>
      <c r="X37" s="7"/>
      <c r="Y37" s="7"/>
      <c r="Z37" s="7"/>
      <c r="AA37" s="7"/>
      <c r="AB37" s="8"/>
    </row>
    <row r="38" spans="1:28" x14ac:dyDescent="0.2">
      <c r="A38" s="46">
        <v>70900</v>
      </c>
      <c r="B38" s="42"/>
      <c r="C38" s="4" t="s">
        <v>32</v>
      </c>
      <c r="D38" s="42">
        <v>74796.78</v>
      </c>
      <c r="E38" s="42"/>
      <c r="F38" s="6" t="s">
        <v>40</v>
      </c>
      <c r="G38" s="6">
        <f t="shared" si="5"/>
        <v>3896.7799999999988</v>
      </c>
      <c r="H38" s="6">
        <v>36</v>
      </c>
      <c r="I38" s="11">
        <f t="shared" si="0"/>
        <v>15587.2</v>
      </c>
      <c r="J38" s="7"/>
      <c r="K38" s="7"/>
      <c r="L38" s="11">
        <f t="shared" si="1"/>
        <v>15587.2</v>
      </c>
      <c r="M38" s="7"/>
      <c r="N38" s="7"/>
      <c r="O38" s="7"/>
      <c r="P38" s="7"/>
      <c r="Q38" s="7"/>
      <c r="R38" s="7"/>
      <c r="S38" s="7">
        <f t="shared" si="2"/>
        <v>1402.8999999999999</v>
      </c>
      <c r="T38" s="7"/>
      <c r="U38" s="7"/>
      <c r="V38" s="7">
        <f t="shared" si="3"/>
        <v>649.5</v>
      </c>
      <c r="W38" s="7">
        <f t="shared" si="4"/>
        <v>649.5</v>
      </c>
      <c r="X38" s="7"/>
      <c r="Y38" s="7"/>
      <c r="Z38" s="7"/>
      <c r="AA38" s="7"/>
      <c r="AB38" s="8"/>
    </row>
    <row r="39" spans="1:28" x14ac:dyDescent="0.2">
      <c r="A39" s="46">
        <v>75081.789999999994</v>
      </c>
      <c r="B39" s="42"/>
      <c r="C39" s="4" t="s">
        <v>32</v>
      </c>
      <c r="D39" s="42">
        <v>83378</v>
      </c>
      <c r="E39" s="42"/>
      <c r="F39" s="6" t="s">
        <v>40</v>
      </c>
      <c r="G39" s="6">
        <f t="shared" si="5"/>
        <v>8296.2100000000064</v>
      </c>
      <c r="H39" s="6">
        <v>36</v>
      </c>
      <c r="I39" s="11">
        <f t="shared" si="0"/>
        <v>33184.9</v>
      </c>
      <c r="J39" s="7"/>
      <c r="K39" s="7"/>
      <c r="L39" s="11">
        <f t="shared" si="1"/>
        <v>33184.9</v>
      </c>
      <c r="M39" s="7"/>
      <c r="N39" s="7"/>
      <c r="O39" s="7"/>
      <c r="P39" s="7"/>
      <c r="Q39" s="7"/>
      <c r="R39" s="7"/>
      <c r="S39" s="7">
        <f t="shared" si="2"/>
        <v>2986.7</v>
      </c>
      <c r="T39" s="7"/>
      <c r="U39" s="7"/>
      <c r="V39" s="7">
        <f t="shared" si="3"/>
        <v>1382.8</v>
      </c>
      <c r="W39" s="7">
        <f t="shared" si="4"/>
        <v>1382.8</v>
      </c>
      <c r="X39" s="7"/>
      <c r="Y39" s="7"/>
      <c r="Z39" s="7"/>
      <c r="AA39" s="7"/>
      <c r="AB39" s="8"/>
    </row>
    <row r="40" spans="1:28" x14ac:dyDescent="0.2">
      <c r="A40" s="46">
        <v>83378</v>
      </c>
      <c r="B40" s="42"/>
      <c r="C40" s="4" t="s">
        <v>32</v>
      </c>
      <c r="D40" s="42">
        <v>85500</v>
      </c>
      <c r="E40" s="42"/>
      <c r="F40" s="6" t="s">
        <v>40</v>
      </c>
      <c r="G40" s="6">
        <f t="shared" si="5"/>
        <v>2122</v>
      </c>
      <c r="H40" s="6">
        <v>24</v>
      </c>
      <c r="I40" s="11">
        <f t="shared" si="0"/>
        <v>5658.7000000000007</v>
      </c>
      <c r="J40" s="7"/>
      <c r="K40" s="7"/>
      <c r="L40" s="7">
        <f t="shared" si="1"/>
        <v>5658.7000000000007</v>
      </c>
      <c r="M40" s="7"/>
      <c r="N40" s="7"/>
      <c r="O40" s="7"/>
      <c r="P40" s="7"/>
      <c r="Q40" s="7"/>
      <c r="R40" s="7"/>
      <c r="S40" s="7">
        <f t="shared" si="2"/>
        <v>509.3</v>
      </c>
      <c r="T40" s="7"/>
      <c r="U40" s="7"/>
      <c r="V40" s="7">
        <f t="shared" si="3"/>
        <v>235.79999999999998</v>
      </c>
      <c r="W40" s="7">
        <f t="shared" si="4"/>
        <v>235.79999999999998</v>
      </c>
      <c r="X40" s="7"/>
      <c r="Y40" s="7"/>
      <c r="Z40" s="7"/>
      <c r="AA40" s="7"/>
      <c r="AB40" s="8"/>
    </row>
    <row r="41" spans="1:28" x14ac:dyDescent="0.2">
      <c r="A41" s="43"/>
      <c r="B41" s="43"/>
      <c r="C41" s="43"/>
      <c r="D41" s="43"/>
      <c r="E41" s="44"/>
      <c r="F41" s="6"/>
      <c r="G41" s="6"/>
      <c r="H41" s="6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8"/>
    </row>
    <row r="42" spans="1:28" x14ac:dyDescent="0.2">
      <c r="A42" s="45"/>
      <c r="B42" s="45"/>
      <c r="C42" s="45"/>
      <c r="D42" s="45"/>
      <c r="E42" s="46"/>
      <c r="F42" s="6"/>
      <c r="G42" s="6"/>
      <c r="H42" s="6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8"/>
    </row>
    <row r="43" spans="1:28" x14ac:dyDescent="0.2">
      <c r="A43" s="45" t="s">
        <v>101</v>
      </c>
      <c r="B43" s="45"/>
      <c r="C43" s="45"/>
      <c r="D43" s="45"/>
      <c r="E43" s="46"/>
      <c r="F43" s="6"/>
      <c r="G43" s="6"/>
      <c r="H43" s="6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8"/>
    </row>
    <row r="44" spans="1:28" x14ac:dyDescent="0.2">
      <c r="A44" s="46" t="s">
        <v>83</v>
      </c>
      <c r="B44" s="42"/>
      <c r="C44" s="4" t="s">
        <v>32</v>
      </c>
      <c r="D44" s="42">
        <v>62300</v>
      </c>
      <c r="E44" s="42"/>
      <c r="F44" s="6" t="s">
        <v>40</v>
      </c>
      <c r="G44" s="6">
        <v>100</v>
      </c>
      <c r="H44" s="16">
        <f>ROUNDUP(((I44*9)/G44),1)</f>
        <v>6.1999999999999993</v>
      </c>
      <c r="I44" s="12">
        <f>ROUNDUP(((611.47)/9),1)</f>
        <v>68</v>
      </c>
      <c r="J44" s="7"/>
      <c r="K44" s="7"/>
      <c r="L44" s="7">
        <f t="shared" ref="L44:L66" si="6">I44</f>
        <v>68</v>
      </c>
      <c r="M44" s="7"/>
      <c r="N44" s="7"/>
      <c r="O44" s="7"/>
      <c r="P44" s="7"/>
      <c r="Q44" s="7"/>
      <c r="R44" s="7"/>
      <c r="S44" s="7">
        <f t="shared" ref="S44:S66" si="7">ROUNDUP((I44*0.09),1)</f>
        <v>6.1999999999999993</v>
      </c>
      <c r="T44" s="7"/>
      <c r="U44" s="7"/>
      <c r="V44" s="7"/>
      <c r="W44" s="7">
        <f t="shared" ref="W44:W66" si="8">ROUNDUP((I44*(1.5/36)),1)</f>
        <v>2.9</v>
      </c>
      <c r="X44" s="7"/>
      <c r="Y44" s="7"/>
      <c r="Z44" s="7"/>
      <c r="AA44" s="7"/>
      <c r="AB44" s="8"/>
    </row>
    <row r="45" spans="1:28" x14ac:dyDescent="0.2">
      <c r="A45" s="46">
        <v>62300</v>
      </c>
      <c r="B45" s="42"/>
      <c r="C45" s="4" t="s">
        <v>32</v>
      </c>
      <c r="D45" s="42">
        <v>63965</v>
      </c>
      <c r="E45" s="42"/>
      <c r="F45" s="6" t="s">
        <v>40</v>
      </c>
      <c r="G45" s="6">
        <f>D45-A45</f>
        <v>1665</v>
      </c>
      <c r="H45" s="16">
        <f>ROUNDUP(((I45*9)/G45),1)</f>
        <v>6.3</v>
      </c>
      <c r="I45" s="12">
        <f>ROUNDUP(((10347.54)/9),1)</f>
        <v>1149.8</v>
      </c>
      <c r="J45" s="12"/>
      <c r="K45" s="7"/>
      <c r="L45" s="7">
        <f t="shared" si="6"/>
        <v>1149.8</v>
      </c>
      <c r="M45" s="7"/>
      <c r="N45" s="7"/>
      <c r="O45" s="7"/>
      <c r="P45" s="7"/>
      <c r="Q45" s="7"/>
      <c r="R45" s="7"/>
      <c r="S45" s="7">
        <f t="shared" si="7"/>
        <v>103.5</v>
      </c>
      <c r="T45" s="7"/>
      <c r="U45" s="7"/>
      <c r="V45" s="7"/>
      <c r="W45" s="7">
        <f t="shared" si="8"/>
        <v>48</v>
      </c>
      <c r="X45" s="7"/>
      <c r="Y45" s="7"/>
      <c r="Z45" s="7"/>
      <c r="AA45" s="7"/>
      <c r="AB45" s="8"/>
    </row>
    <row r="46" spans="1:28" x14ac:dyDescent="0.2">
      <c r="A46" s="46">
        <v>63965</v>
      </c>
      <c r="B46" s="42"/>
      <c r="C46" s="4" t="s">
        <v>32</v>
      </c>
      <c r="D46" s="42">
        <v>65953</v>
      </c>
      <c r="E46" s="42"/>
      <c r="F46" s="6" t="s">
        <v>40</v>
      </c>
      <c r="G46" s="6">
        <f t="shared" ref="G46:G66" si="9">D46-A46</f>
        <v>1988</v>
      </c>
      <c r="H46" s="6">
        <v>11.6</v>
      </c>
      <c r="I46" s="7">
        <f t="shared" ref="I46:I66" si="10">ROUNDUP(((H46*G46)/9),1)</f>
        <v>2562.4</v>
      </c>
      <c r="J46" s="7"/>
      <c r="K46" s="7"/>
      <c r="L46" s="7">
        <f t="shared" si="6"/>
        <v>2562.4</v>
      </c>
      <c r="M46" s="7"/>
      <c r="N46" s="7"/>
      <c r="O46" s="7"/>
      <c r="P46" s="7"/>
      <c r="Q46" s="7"/>
      <c r="R46" s="7"/>
      <c r="S46" s="7">
        <f t="shared" si="7"/>
        <v>230.7</v>
      </c>
      <c r="T46" s="7"/>
      <c r="U46" s="7"/>
      <c r="V46" s="7"/>
      <c r="W46" s="7">
        <f t="shared" si="8"/>
        <v>106.8</v>
      </c>
      <c r="X46" s="7"/>
      <c r="Y46" s="7"/>
      <c r="Z46" s="7"/>
      <c r="AA46" s="7"/>
      <c r="AB46" s="8"/>
    </row>
    <row r="47" spans="1:28" x14ac:dyDescent="0.2">
      <c r="A47" s="46">
        <v>65953</v>
      </c>
      <c r="B47" s="42"/>
      <c r="C47" s="4" t="s">
        <v>32</v>
      </c>
      <c r="D47" s="42">
        <v>65993</v>
      </c>
      <c r="E47" s="42"/>
      <c r="F47" s="6" t="s">
        <v>40</v>
      </c>
      <c r="G47" s="6">
        <f t="shared" si="9"/>
        <v>40</v>
      </c>
      <c r="H47" s="16">
        <v>11.1</v>
      </c>
      <c r="I47" s="7">
        <f t="shared" si="10"/>
        <v>49.4</v>
      </c>
      <c r="J47" s="7"/>
      <c r="K47" s="7"/>
      <c r="L47" s="7">
        <f t="shared" si="6"/>
        <v>49.4</v>
      </c>
      <c r="M47" s="7"/>
      <c r="N47" s="7"/>
      <c r="O47" s="7"/>
      <c r="P47" s="7"/>
      <c r="Q47" s="7"/>
      <c r="R47" s="7"/>
      <c r="S47" s="7">
        <f t="shared" si="7"/>
        <v>4.5</v>
      </c>
      <c r="T47" s="7"/>
      <c r="U47" s="7"/>
      <c r="V47" s="7"/>
      <c r="W47" s="7">
        <f t="shared" si="8"/>
        <v>2.1</v>
      </c>
      <c r="X47" s="7"/>
      <c r="Y47" s="7"/>
      <c r="Z47" s="7"/>
      <c r="AA47" s="7"/>
      <c r="AB47" s="8"/>
    </row>
    <row r="48" spans="1:28" x14ac:dyDescent="0.2">
      <c r="A48" s="46">
        <v>65993</v>
      </c>
      <c r="B48" s="42"/>
      <c r="C48" s="4" t="s">
        <v>32</v>
      </c>
      <c r="D48" s="42">
        <v>66003</v>
      </c>
      <c r="E48" s="42"/>
      <c r="F48" s="6" t="s">
        <v>40</v>
      </c>
      <c r="G48" s="6">
        <f t="shared" si="9"/>
        <v>10</v>
      </c>
      <c r="H48" s="6">
        <v>10.6</v>
      </c>
      <c r="I48" s="7">
        <f t="shared" si="10"/>
        <v>11.799999999999999</v>
      </c>
      <c r="J48" s="7"/>
      <c r="K48" s="7"/>
      <c r="L48" s="7">
        <f t="shared" si="6"/>
        <v>11.799999999999999</v>
      </c>
      <c r="M48" s="7"/>
      <c r="N48" s="7"/>
      <c r="O48" s="7"/>
      <c r="P48" s="7"/>
      <c r="Q48" s="7"/>
      <c r="R48" s="7"/>
      <c r="S48" s="7">
        <f t="shared" si="7"/>
        <v>1.1000000000000001</v>
      </c>
      <c r="T48" s="7"/>
      <c r="U48" s="7"/>
      <c r="V48" s="7"/>
      <c r="W48" s="7">
        <f t="shared" si="8"/>
        <v>0.5</v>
      </c>
      <c r="X48" s="7"/>
      <c r="Y48" s="7"/>
      <c r="Z48" s="7"/>
      <c r="AA48" s="7"/>
      <c r="AB48" s="8"/>
    </row>
    <row r="49" spans="1:28" x14ac:dyDescent="0.2">
      <c r="A49" s="46">
        <v>66003</v>
      </c>
      <c r="B49" s="42"/>
      <c r="C49" s="4" t="s">
        <v>32</v>
      </c>
      <c r="D49" s="42">
        <v>66043</v>
      </c>
      <c r="E49" s="42"/>
      <c r="F49" s="6" t="s">
        <v>40</v>
      </c>
      <c r="G49" s="6">
        <f t="shared" si="9"/>
        <v>40</v>
      </c>
      <c r="H49" s="16">
        <v>11.1</v>
      </c>
      <c r="I49" s="7">
        <f t="shared" si="10"/>
        <v>49.4</v>
      </c>
      <c r="J49" s="7"/>
      <c r="K49" s="7"/>
      <c r="L49" s="7">
        <f t="shared" si="6"/>
        <v>49.4</v>
      </c>
      <c r="M49" s="7"/>
      <c r="N49" s="7"/>
      <c r="O49" s="7"/>
      <c r="P49" s="7"/>
      <c r="Q49" s="7"/>
      <c r="R49" s="7"/>
      <c r="S49" s="7">
        <f t="shared" si="7"/>
        <v>4.5</v>
      </c>
      <c r="T49" s="7"/>
      <c r="U49" s="7"/>
      <c r="V49" s="7"/>
      <c r="W49" s="7">
        <f t="shared" si="8"/>
        <v>2.1</v>
      </c>
      <c r="X49" s="7"/>
      <c r="Y49" s="7"/>
      <c r="Z49" s="7"/>
      <c r="AA49" s="7"/>
      <c r="AB49" s="8"/>
    </row>
    <row r="50" spans="1:28" x14ac:dyDescent="0.2">
      <c r="A50" s="46">
        <v>66043</v>
      </c>
      <c r="B50" s="42"/>
      <c r="C50" s="4" t="s">
        <v>32</v>
      </c>
      <c r="D50" s="42">
        <v>67098</v>
      </c>
      <c r="E50" s="42"/>
      <c r="F50" s="6" t="s">
        <v>40</v>
      </c>
      <c r="G50" s="6">
        <f t="shared" si="9"/>
        <v>1055</v>
      </c>
      <c r="H50" s="6">
        <v>11.6</v>
      </c>
      <c r="I50" s="7">
        <f t="shared" si="10"/>
        <v>1359.8</v>
      </c>
      <c r="J50" s="17"/>
      <c r="K50" s="7"/>
      <c r="L50" s="7">
        <f t="shared" si="6"/>
        <v>1359.8</v>
      </c>
      <c r="M50" s="7"/>
      <c r="N50" s="7"/>
      <c r="O50" s="7"/>
      <c r="P50" s="7"/>
      <c r="Q50" s="7"/>
      <c r="R50" s="7"/>
      <c r="S50" s="7">
        <f t="shared" si="7"/>
        <v>122.39999999999999</v>
      </c>
      <c r="T50" s="7"/>
      <c r="U50" s="7"/>
      <c r="V50" s="7"/>
      <c r="W50" s="7">
        <f t="shared" si="8"/>
        <v>56.7</v>
      </c>
      <c r="X50" s="7"/>
      <c r="Y50" s="7"/>
      <c r="Z50" s="7"/>
      <c r="AA50" s="7"/>
      <c r="AB50" s="8"/>
    </row>
    <row r="51" spans="1:28" x14ac:dyDescent="0.2">
      <c r="A51" s="46">
        <v>67098</v>
      </c>
      <c r="B51" s="42"/>
      <c r="C51" s="4" t="s">
        <v>32</v>
      </c>
      <c r="D51" s="42">
        <v>67138</v>
      </c>
      <c r="E51" s="42"/>
      <c r="F51" s="6" t="s">
        <v>40</v>
      </c>
      <c r="G51" s="6">
        <f t="shared" si="9"/>
        <v>40</v>
      </c>
      <c r="H51" s="16">
        <v>10.86</v>
      </c>
      <c r="I51" s="11">
        <f t="shared" si="10"/>
        <v>48.300000000000004</v>
      </c>
      <c r="J51" s="7"/>
      <c r="K51" s="7"/>
      <c r="L51" s="7">
        <f t="shared" si="6"/>
        <v>48.300000000000004</v>
      </c>
      <c r="M51" s="7"/>
      <c r="N51" s="7"/>
      <c r="O51" s="7"/>
      <c r="P51" s="7"/>
      <c r="Q51" s="7"/>
      <c r="R51" s="7"/>
      <c r="S51" s="7">
        <f t="shared" si="7"/>
        <v>4.3999999999999995</v>
      </c>
      <c r="T51" s="7"/>
      <c r="U51" s="7"/>
      <c r="V51" s="7"/>
      <c r="W51" s="7">
        <f t="shared" si="8"/>
        <v>2.1</v>
      </c>
      <c r="X51" s="7"/>
      <c r="Y51" s="7"/>
      <c r="Z51" s="7"/>
      <c r="AA51" s="7"/>
      <c r="AB51" s="8"/>
    </row>
    <row r="52" spans="1:28" x14ac:dyDescent="0.2">
      <c r="A52" s="46">
        <v>67138</v>
      </c>
      <c r="B52" s="42"/>
      <c r="C52" s="4" t="s">
        <v>32</v>
      </c>
      <c r="D52" s="42">
        <v>67183</v>
      </c>
      <c r="E52" s="42"/>
      <c r="F52" s="6" t="s">
        <v>40</v>
      </c>
      <c r="G52" s="6">
        <f t="shared" si="9"/>
        <v>45</v>
      </c>
      <c r="H52" s="6">
        <v>10.119999999999999</v>
      </c>
      <c r="I52" s="7">
        <f t="shared" si="10"/>
        <v>50.6</v>
      </c>
      <c r="J52" s="7"/>
      <c r="K52" s="7"/>
      <c r="L52" s="7">
        <f t="shared" si="6"/>
        <v>50.6</v>
      </c>
      <c r="M52" s="7"/>
      <c r="N52" s="7"/>
      <c r="O52" s="7"/>
      <c r="P52" s="7"/>
      <c r="Q52" s="7"/>
      <c r="R52" s="7"/>
      <c r="S52" s="7">
        <f t="shared" si="7"/>
        <v>4.5999999999999996</v>
      </c>
      <c r="T52" s="7"/>
      <c r="U52" s="7"/>
      <c r="V52" s="7"/>
      <c r="W52" s="7">
        <f t="shared" si="8"/>
        <v>2.2000000000000002</v>
      </c>
      <c r="X52" s="7"/>
      <c r="Y52" s="7"/>
      <c r="Z52" s="7"/>
      <c r="AA52" s="7"/>
      <c r="AB52" s="8"/>
    </row>
    <row r="53" spans="1:28" x14ac:dyDescent="0.2">
      <c r="A53" s="46">
        <v>67183</v>
      </c>
      <c r="B53" s="42"/>
      <c r="C53" s="4" t="s">
        <v>32</v>
      </c>
      <c r="D53" s="42">
        <v>67223</v>
      </c>
      <c r="E53" s="42"/>
      <c r="F53" s="6" t="s">
        <v>40</v>
      </c>
      <c r="G53" s="6">
        <f t="shared" si="9"/>
        <v>40</v>
      </c>
      <c r="H53" s="16">
        <v>10.86</v>
      </c>
      <c r="I53" s="7">
        <f t="shared" si="10"/>
        <v>48.300000000000004</v>
      </c>
      <c r="J53" s="7"/>
      <c r="K53" s="7"/>
      <c r="L53" s="7">
        <f t="shared" si="6"/>
        <v>48.300000000000004</v>
      </c>
      <c r="M53" s="7"/>
      <c r="N53" s="7"/>
      <c r="O53" s="7"/>
      <c r="P53" s="7"/>
      <c r="Q53" s="7"/>
      <c r="R53" s="7"/>
      <c r="S53" s="7">
        <f t="shared" si="7"/>
        <v>4.3999999999999995</v>
      </c>
      <c r="T53" s="7"/>
      <c r="U53" s="7"/>
      <c r="V53" s="7"/>
      <c r="W53" s="7">
        <f t="shared" si="8"/>
        <v>2.1</v>
      </c>
      <c r="X53" s="7"/>
      <c r="Y53" s="7"/>
      <c r="Z53" s="7"/>
      <c r="AA53" s="7"/>
      <c r="AB53" s="8"/>
    </row>
    <row r="54" spans="1:28" x14ac:dyDescent="0.2">
      <c r="A54" s="46">
        <v>67223</v>
      </c>
      <c r="B54" s="42"/>
      <c r="C54" s="4" t="s">
        <v>32</v>
      </c>
      <c r="D54" s="42">
        <v>68553</v>
      </c>
      <c r="E54" s="42"/>
      <c r="F54" s="6" t="s">
        <v>40</v>
      </c>
      <c r="G54" s="6">
        <f t="shared" si="9"/>
        <v>1330</v>
      </c>
      <c r="H54" s="6">
        <v>11.6</v>
      </c>
      <c r="I54" s="7">
        <f t="shared" si="10"/>
        <v>1714.3</v>
      </c>
      <c r="J54" s="7"/>
      <c r="K54" s="7"/>
      <c r="L54" s="7">
        <f t="shared" si="6"/>
        <v>1714.3</v>
      </c>
      <c r="M54" s="7"/>
      <c r="N54" s="7"/>
      <c r="O54" s="7"/>
      <c r="P54" s="7"/>
      <c r="Q54" s="7"/>
      <c r="R54" s="7"/>
      <c r="S54" s="7">
        <f t="shared" si="7"/>
        <v>154.29999999999998</v>
      </c>
      <c r="T54" s="7"/>
      <c r="U54" s="7"/>
      <c r="V54" s="7"/>
      <c r="W54" s="7">
        <f t="shared" si="8"/>
        <v>71.5</v>
      </c>
      <c r="X54" s="7"/>
      <c r="Y54" s="7"/>
      <c r="Z54" s="7"/>
      <c r="AA54" s="7"/>
      <c r="AB54" s="8"/>
    </row>
    <row r="55" spans="1:28" x14ac:dyDescent="0.2">
      <c r="A55" s="46">
        <v>68553</v>
      </c>
      <c r="B55" s="42"/>
      <c r="C55" s="4" t="s">
        <v>32</v>
      </c>
      <c r="D55" s="42">
        <v>68593</v>
      </c>
      <c r="E55" s="42"/>
      <c r="F55" s="6" t="s">
        <v>40</v>
      </c>
      <c r="G55" s="6">
        <f t="shared" si="9"/>
        <v>40</v>
      </c>
      <c r="H55" s="16">
        <v>11.1</v>
      </c>
      <c r="I55" s="7">
        <f t="shared" si="10"/>
        <v>49.4</v>
      </c>
      <c r="J55" s="12"/>
      <c r="K55" s="7"/>
      <c r="L55" s="7">
        <f t="shared" si="6"/>
        <v>49.4</v>
      </c>
      <c r="M55" s="7"/>
      <c r="N55" s="7"/>
      <c r="O55" s="7"/>
      <c r="P55" s="7"/>
      <c r="Q55" s="7"/>
      <c r="R55" s="7"/>
      <c r="S55" s="7">
        <f t="shared" si="7"/>
        <v>4.5</v>
      </c>
      <c r="T55" s="7"/>
      <c r="U55" s="7"/>
      <c r="V55" s="7"/>
      <c r="W55" s="7">
        <f t="shared" si="8"/>
        <v>2.1</v>
      </c>
      <c r="X55" s="7"/>
      <c r="Y55" s="7"/>
      <c r="Z55" s="7"/>
      <c r="AA55" s="7"/>
      <c r="AB55" s="8"/>
    </row>
    <row r="56" spans="1:28" x14ac:dyDescent="0.2">
      <c r="A56" s="46">
        <v>68593</v>
      </c>
      <c r="B56" s="42"/>
      <c r="C56" s="4" t="s">
        <v>32</v>
      </c>
      <c r="D56" s="42">
        <v>68603</v>
      </c>
      <c r="E56" s="42"/>
      <c r="F56" s="6" t="s">
        <v>40</v>
      </c>
      <c r="G56" s="6">
        <f t="shared" si="9"/>
        <v>10</v>
      </c>
      <c r="H56" s="6">
        <v>10.6</v>
      </c>
      <c r="I56" s="7">
        <f t="shared" si="10"/>
        <v>11.799999999999999</v>
      </c>
      <c r="J56" s="7"/>
      <c r="K56" s="7"/>
      <c r="L56" s="7">
        <f t="shared" si="6"/>
        <v>11.799999999999999</v>
      </c>
      <c r="M56" s="7"/>
      <c r="N56" s="7"/>
      <c r="O56" s="7"/>
      <c r="P56" s="7"/>
      <c r="Q56" s="7"/>
      <c r="R56" s="7"/>
      <c r="S56" s="7">
        <f t="shared" si="7"/>
        <v>1.1000000000000001</v>
      </c>
      <c r="T56" s="7"/>
      <c r="U56" s="7"/>
      <c r="V56" s="7"/>
      <c r="W56" s="7">
        <f t="shared" si="8"/>
        <v>0.5</v>
      </c>
      <c r="X56" s="7"/>
      <c r="Y56" s="7"/>
      <c r="Z56" s="7"/>
      <c r="AA56" s="7"/>
      <c r="AB56" s="8"/>
    </row>
    <row r="57" spans="1:28" x14ac:dyDescent="0.2">
      <c r="A57" s="46">
        <v>68603</v>
      </c>
      <c r="B57" s="42"/>
      <c r="C57" s="4" t="s">
        <v>32</v>
      </c>
      <c r="D57" s="42">
        <v>68643</v>
      </c>
      <c r="E57" s="42"/>
      <c r="F57" s="6" t="s">
        <v>40</v>
      </c>
      <c r="G57" s="6">
        <f t="shared" si="9"/>
        <v>40</v>
      </c>
      <c r="H57" s="16">
        <v>11.1</v>
      </c>
      <c r="I57" s="7">
        <f t="shared" si="10"/>
        <v>49.4</v>
      </c>
      <c r="J57" s="7"/>
      <c r="K57" s="7"/>
      <c r="L57" s="7">
        <f t="shared" si="6"/>
        <v>49.4</v>
      </c>
      <c r="M57" s="7"/>
      <c r="N57" s="7"/>
      <c r="O57" s="7"/>
      <c r="P57" s="7"/>
      <c r="Q57" s="7"/>
      <c r="R57" s="7"/>
      <c r="S57" s="7">
        <f t="shared" si="7"/>
        <v>4.5</v>
      </c>
      <c r="T57" s="7"/>
      <c r="U57" s="7"/>
      <c r="V57" s="7"/>
      <c r="W57" s="7">
        <f t="shared" si="8"/>
        <v>2.1</v>
      </c>
      <c r="X57" s="7"/>
      <c r="Y57" s="7"/>
      <c r="Z57" s="7"/>
      <c r="AA57" s="7"/>
      <c r="AB57" s="8"/>
    </row>
    <row r="58" spans="1:28" x14ac:dyDescent="0.2">
      <c r="A58" s="46">
        <v>68643</v>
      </c>
      <c r="B58" s="42"/>
      <c r="C58" s="4" t="s">
        <v>32</v>
      </c>
      <c r="D58" s="42">
        <v>69524</v>
      </c>
      <c r="E58" s="42"/>
      <c r="F58" s="6" t="s">
        <v>40</v>
      </c>
      <c r="G58" s="6">
        <f t="shared" si="9"/>
        <v>881</v>
      </c>
      <c r="H58" s="6">
        <v>11.6</v>
      </c>
      <c r="I58" s="7">
        <f t="shared" si="10"/>
        <v>1135.5999999999999</v>
      </c>
      <c r="J58" s="7"/>
      <c r="K58" s="7"/>
      <c r="L58" s="7">
        <f t="shared" si="6"/>
        <v>1135.5999999999999</v>
      </c>
      <c r="M58" s="7"/>
      <c r="N58" s="7"/>
      <c r="O58" s="7"/>
      <c r="P58" s="7"/>
      <c r="Q58" s="7"/>
      <c r="R58" s="7"/>
      <c r="S58" s="7">
        <f t="shared" si="7"/>
        <v>102.3</v>
      </c>
      <c r="T58" s="7"/>
      <c r="U58" s="7"/>
      <c r="V58" s="7"/>
      <c r="W58" s="7">
        <f t="shared" si="8"/>
        <v>47.4</v>
      </c>
      <c r="X58" s="7"/>
      <c r="Y58" s="7"/>
      <c r="Z58" s="7"/>
      <c r="AA58" s="7"/>
      <c r="AB58" s="8"/>
    </row>
    <row r="59" spans="1:28" x14ac:dyDescent="0.2">
      <c r="A59" s="46">
        <v>69524</v>
      </c>
      <c r="B59" s="42"/>
      <c r="C59" s="4" t="s">
        <v>32</v>
      </c>
      <c r="D59" s="42">
        <v>69564</v>
      </c>
      <c r="E59" s="42"/>
      <c r="F59" s="6" t="s">
        <v>40</v>
      </c>
      <c r="G59" s="6">
        <f t="shared" si="9"/>
        <v>40</v>
      </c>
      <c r="H59" s="16">
        <v>10.86</v>
      </c>
      <c r="I59" s="11">
        <f t="shared" si="10"/>
        <v>48.300000000000004</v>
      </c>
      <c r="J59" s="17"/>
      <c r="K59" s="7"/>
      <c r="L59" s="7">
        <f t="shared" si="6"/>
        <v>48.300000000000004</v>
      </c>
      <c r="M59" s="7"/>
      <c r="N59" s="7"/>
      <c r="O59" s="7"/>
      <c r="P59" s="7"/>
      <c r="Q59" s="7"/>
      <c r="R59" s="7"/>
      <c r="S59" s="7">
        <f t="shared" si="7"/>
        <v>4.3999999999999995</v>
      </c>
      <c r="T59" s="7"/>
      <c r="U59" s="7"/>
      <c r="V59" s="7"/>
      <c r="W59" s="7">
        <f t="shared" si="8"/>
        <v>2.1</v>
      </c>
      <c r="X59" s="7"/>
      <c r="Y59" s="7"/>
      <c r="Z59" s="7"/>
      <c r="AA59" s="7"/>
      <c r="AB59" s="8"/>
    </row>
    <row r="60" spans="1:28" x14ac:dyDescent="0.2">
      <c r="A60" s="46">
        <v>69564</v>
      </c>
      <c r="B60" s="42"/>
      <c r="C60" s="4" t="s">
        <v>32</v>
      </c>
      <c r="D60" s="42">
        <v>69631</v>
      </c>
      <c r="E60" s="42"/>
      <c r="F60" s="6" t="s">
        <v>40</v>
      </c>
      <c r="G60" s="6">
        <f t="shared" si="9"/>
        <v>67</v>
      </c>
      <c r="H60" s="6">
        <v>10.119999999999999</v>
      </c>
      <c r="I60" s="11">
        <f t="shared" si="10"/>
        <v>75.399999999999991</v>
      </c>
      <c r="J60" s="17"/>
      <c r="K60" s="7"/>
      <c r="L60" s="7">
        <f t="shared" si="6"/>
        <v>75.399999999999991</v>
      </c>
      <c r="M60" s="7"/>
      <c r="N60" s="7"/>
      <c r="O60" s="7"/>
      <c r="P60" s="7"/>
      <c r="Q60" s="7"/>
      <c r="R60" s="7"/>
      <c r="S60" s="7">
        <f t="shared" si="7"/>
        <v>6.8</v>
      </c>
      <c r="T60" s="7"/>
      <c r="U60" s="7"/>
      <c r="V60" s="7"/>
      <c r="W60" s="7">
        <f t="shared" si="8"/>
        <v>3.2</v>
      </c>
      <c r="X60" s="7"/>
      <c r="Y60" s="7"/>
      <c r="Z60" s="7"/>
      <c r="AA60" s="7"/>
      <c r="AB60" s="8"/>
    </row>
    <row r="61" spans="1:28" x14ac:dyDescent="0.2">
      <c r="A61" s="46">
        <v>69631</v>
      </c>
      <c r="B61" s="42"/>
      <c r="C61" s="4" t="s">
        <v>32</v>
      </c>
      <c r="D61" s="42">
        <v>69671</v>
      </c>
      <c r="E61" s="42"/>
      <c r="F61" s="6" t="s">
        <v>40</v>
      </c>
      <c r="G61" s="6">
        <f t="shared" si="9"/>
        <v>40</v>
      </c>
      <c r="H61" s="16">
        <v>10.86</v>
      </c>
      <c r="I61" s="7">
        <f t="shared" si="10"/>
        <v>48.300000000000004</v>
      </c>
      <c r="J61" s="17"/>
      <c r="K61" s="7"/>
      <c r="L61" s="7">
        <f t="shared" si="6"/>
        <v>48.300000000000004</v>
      </c>
      <c r="M61" s="7"/>
      <c r="N61" s="7"/>
      <c r="O61" s="7"/>
      <c r="P61" s="7"/>
      <c r="Q61" s="7"/>
      <c r="R61" s="7"/>
      <c r="S61" s="7">
        <f t="shared" si="7"/>
        <v>4.3999999999999995</v>
      </c>
      <c r="T61" s="7"/>
      <c r="U61" s="7"/>
      <c r="V61" s="7"/>
      <c r="W61" s="7">
        <f t="shared" si="8"/>
        <v>2.1</v>
      </c>
      <c r="X61" s="7"/>
      <c r="Y61" s="7"/>
      <c r="Z61" s="7"/>
      <c r="AA61" s="7"/>
      <c r="AB61" s="8"/>
    </row>
    <row r="62" spans="1:28" x14ac:dyDescent="0.2">
      <c r="A62" s="46">
        <v>69671</v>
      </c>
      <c r="B62" s="42"/>
      <c r="C62" s="4" t="s">
        <v>32</v>
      </c>
      <c r="D62" s="42">
        <v>70687</v>
      </c>
      <c r="E62" s="42"/>
      <c r="F62" s="6" t="s">
        <v>40</v>
      </c>
      <c r="G62" s="6">
        <f t="shared" si="9"/>
        <v>1016</v>
      </c>
      <c r="H62" s="6">
        <v>11.6</v>
      </c>
      <c r="I62" s="7">
        <f t="shared" si="10"/>
        <v>1309.5999999999999</v>
      </c>
      <c r="J62" s="17"/>
      <c r="K62" s="7"/>
      <c r="L62" s="7">
        <f t="shared" si="6"/>
        <v>1309.5999999999999</v>
      </c>
      <c r="M62" s="7"/>
      <c r="N62" s="7"/>
      <c r="O62" s="7"/>
      <c r="P62" s="7"/>
      <c r="Q62" s="7"/>
      <c r="R62" s="7"/>
      <c r="S62" s="7">
        <f t="shared" si="7"/>
        <v>117.89999999999999</v>
      </c>
      <c r="T62" s="7"/>
      <c r="U62" s="7"/>
      <c r="V62" s="7"/>
      <c r="W62" s="7">
        <f t="shared" si="8"/>
        <v>54.6</v>
      </c>
      <c r="X62" s="7"/>
      <c r="Y62" s="7"/>
      <c r="Z62" s="7"/>
      <c r="AA62" s="7"/>
      <c r="AB62" s="8"/>
    </row>
    <row r="63" spans="1:28" x14ac:dyDescent="0.2">
      <c r="A63" s="46">
        <v>70687</v>
      </c>
      <c r="B63" s="42"/>
      <c r="C63" s="4" t="s">
        <v>32</v>
      </c>
      <c r="D63" s="42">
        <v>70727</v>
      </c>
      <c r="E63" s="42"/>
      <c r="F63" s="6" t="s">
        <v>40</v>
      </c>
      <c r="G63" s="6">
        <f t="shared" si="9"/>
        <v>40</v>
      </c>
      <c r="H63" s="16">
        <v>11.1</v>
      </c>
      <c r="I63" s="11">
        <f t="shared" si="10"/>
        <v>49.4</v>
      </c>
      <c r="J63" s="7"/>
      <c r="K63" s="7"/>
      <c r="L63" s="7">
        <f t="shared" si="6"/>
        <v>49.4</v>
      </c>
      <c r="M63" s="7"/>
      <c r="N63" s="7"/>
      <c r="O63" s="7"/>
      <c r="P63" s="7"/>
      <c r="Q63" s="7"/>
      <c r="R63" s="7"/>
      <c r="S63" s="7">
        <f t="shared" si="7"/>
        <v>4.5</v>
      </c>
      <c r="T63" s="7"/>
      <c r="U63" s="7"/>
      <c r="V63" s="7"/>
      <c r="W63" s="7">
        <f t="shared" si="8"/>
        <v>2.1</v>
      </c>
      <c r="X63" s="7"/>
      <c r="Y63" s="7"/>
      <c r="Z63" s="7"/>
      <c r="AA63" s="7"/>
      <c r="AB63" s="8"/>
    </row>
    <row r="64" spans="1:28" x14ac:dyDescent="0.2">
      <c r="A64" s="46">
        <v>70727</v>
      </c>
      <c r="B64" s="42"/>
      <c r="C64" s="4" t="s">
        <v>32</v>
      </c>
      <c r="D64" s="42">
        <v>70737</v>
      </c>
      <c r="E64" s="42"/>
      <c r="F64" s="6" t="s">
        <v>40</v>
      </c>
      <c r="G64" s="6">
        <f t="shared" si="9"/>
        <v>10</v>
      </c>
      <c r="H64" s="6">
        <v>10.6</v>
      </c>
      <c r="I64" s="11">
        <f t="shared" si="10"/>
        <v>11.799999999999999</v>
      </c>
      <c r="J64" s="7"/>
      <c r="K64" s="7"/>
      <c r="L64" s="7">
        <f t="shared" si="6"/>
        <v>11.799999999999999</v>
      </c>
      <c r="M64" s="7"/>
      <c r="N64" s="7"/>
      <c r="O64" s="7"/>
      <c r="P64" s="7"/>
      <c r="Q64" s="7"/>
      <c r="R64" s="7"/>
      <c r="S64" s="7">
        <f t="shared" si="7"/>
        <v>1.1000000000000001</v>
      </c>
      <c r="T64" s="7"/>
      <c r="U64" s="7"/>
      <c r="V64" s="7"/>
      <c r="W64" s="7">
        <f t="shared" si="8"/>
        <v>0.5</v>
      </c>
      <c r="X64" s="7"/>
      <c r="Y64" s="7"/>
      <c r="Z64" s="7"/>
      <c r="AA64" s="7"/>
      <c r="AB64" s="8"/>
    </row>
    <row r="65" spans="1:28" x14ac:dyDescent="0.2">
      <c r="A65" s="46">
        <v>70737</v>
      </c>
      <c r="B65" s="42"/>
      <c r="C65" s="4" t="s">
        <v>32</v>
      </c>
      <c r="D65" s="42">
        <v>70777</v>
      </c>
      <c r="E65" s="42"/>
      <c r="F65" s="6" t="s">
        <v>40</v>
      </c>
      <c r="G65" s="6">
        <f t="shared" si="9"/>
        <v>40</v>
      </c>
      <c r="H65" s="16">
        <v>11.1</v>
      </c>
      <c r="I65" s="7">
        <f t="shared" si="10"/>
        <v>49.4</v>
      </c>
      <c r="J65" s="7"/>
      <c r="K65" s="7"/>
      <c r="L65" s="7">
        <f t="shared" si="6"/>
        <v>49.4</v>
      </c>
      <c r="M65" s="7"/>
      <c r="N65" s="7"/>
      <c r="O65" s="7"/>
      <c r="P65" s="7"/>
      <c r="Q65" s="7"/>
      <c r="R65" s="7"/>
      <c r="S65" s="7">
        <f t="shared" si="7"/>
        <v>4.5</v>
      </c>
      <c r="T65" s="7"/>
      <c r="U65" s="7"/>
      <c r="V65" s="7"/>
      <c r="W65" s="7">
        <f t="shared" si="8"/>
        <v>2.1</v>
      </c>
      <c r="X65" s="7"/>
      <c r="Y65" s="7"/>
      <c r="Z65" s="7"/>
      <c r="AA65" s="7"/>
      <c r="AB65" s="8"/>
    </row>
    <row r="66" spans="1:28" x14ac:dyDescent="0.2">
      <c r="A66" s="46">
        <v>70777</v>
      </c>
      <c r="B66" s="42"/>
      <c r="C66" s="4" t="s">
        <v>32</v>
      </c>
      <c r="D66" s="42">
        <v>74796.78</v>
      </c>
      <c r="E66" s="42"/>
      <c r="F66" s="6" t="s">
        <v>40</v>
      </c>
      <c r="G66" s="6">
        <f t="shared" si="9"/>
        <v>4019.7799999999988</v>
      </c>
      <c r="H66" s="6">
        <v>11.6</v>
      </c>
      <c r="I66" s="7">
        <f t="shared" si="10"/>
        <v>5181.1000000000004</v>
      </c>
      <c r="J66" s="7"/>
      <c r="K66" s="7"/>
      <c r="L66" s="7">
        <f t="shared" si="6"/>
        <v>5181.1000000000004</v>
      </c>
      <c r="M66" s="7"/>
      <c r="N66" s="7"/>
      <c r="O66" s="7"/>
      <c r="P66" s="7"/>
      <c r="Q66" s="7"/>
      <c r="R66" s="7"/>
      <c r="S66" s="7">
        <f t="shared" si="7"/>
        <v>466.3</v>
      </c>
      <c r="T66" s="7"/>
      <c r="U66" s="7"/>
      <c r="V66" s="7"/>
      <c r="W66" s="7">
        <f t="shared" si="8"/>
        <v>215.9</v>
      </c>
      <c r="X66" s="7"/>
      <c r="Y66" s="7"/>
      <c r="Z66" s="7"/>
      <c r="AA66" s="7"/>
      <c r="AB66" s="8"/>
    </row>
    <row r="67" spans="1:28" x14ac:dyDescent="0.2">
      <c r="A67" s="45" t="s">
        <v>87</v>
      </c>
      <c r="B67" s="45"/>
      <c r="C67" s="45"/>
      <c r="D67" s="45"/>
      <c r="E67" s="46"/>
      <c r="F67" s="6"/>
      <c r="G67" s="6"/>
      <c r="H67" s="6"/>
      <c r="I67" s="7"/>
      <c r="J67" s="7"/>
      <c r="K67" s="7"/>
      <c r="L67" s="7"/>
      <c r="M67" s="7"/>
      <c r="N67" s="7"/>
      <c r="O67" s="7"/>
      <c r="P67" s="7"/>
      <c r="Q67" s="7"/>
      <c r="R67" s="7"/>
      <c r="S67" s="7"/>
      <c r="T67" s="7"/>
      <c r="U67" s="7"/>
      <c r="V67" s="7"/>
      <c r="W67" s="7"/>
      <c r="X67" s="7"/>
      <c r="Y67" s="7"/>
      <c r="Z67" s="7"/>
      <c r="AA67" s="7"/>
      <c r="AB67" s="8"/>
    </row>
    <row r="68" spans="1:28" x14ac:dyDescent="0.2">
      <c r="A68" s="45"/>
      <c r="B68" s="45"/>
      <c r="C68" s="45"/>
      <c r="D68" s="45"/>
      <c r="E68" s="46"/>
      <c r="F68" s="6"/>
      <c r="G68" s="6"/>
      <c r="H68" s="6"/>
      <c r="I68" s="7"/>
      <c r="J68" s="7"/>
      <c r="K68" s="7"/>
      <c r="L68" s="7"/>
      <c r="M68" s="7"/>
      <c r="N68" s="7"/>
      <c r="O68" s="7"/>
      <c r="P68" s="7"/>
      <c r="Q68" s="7"/>
      <c r="R68" s="7"/>
      <c r="S68" s="7"/>
      <c r="T68" s="7"/>
      <c r="U68" s="7"/>
      <c r="V68" s="7"/>
      <c r="W68" s="7"/>
      <c r="X68" s="7"/>
      <c r="Y68" s="7"/>
      <c r="Z68" s="7"/>
      <c r="AA68" s="7"/>
      <c r="AB68" s="8"/>
    </row>
    <row r="69" spans="1:28" x14ac:dyDescent="0.2">
      <c r="A69" s="45"/>
      <c r="B69" s="45"/>
      <c r="C69" s="45"/>
      <c r="D69" s="45"/>
      <c r="E69" s="46"/>
      <c r="F69" s="6"/>
      <c r="G69" s="6"/>
      <c r="H69" s="6"/>
      <c r="I69" s="7"/>
      <c r="J69" s="7"/>
      <c r="K69" s="7"/>
      <c r="L69" s="7"/>
      <c r="M69" s="7"/>
      <c r="N69" s="7"/>
      <c r="O69" s="7"/>
      <c r="P69" s="7"/>
      <c r="Q69" s="7"/>
      <c r="R69" s="7"/>
      <c r="S69" s="7"/>
      <c r="T69" s="7"/>
      <c r="U69" s="7"/>
      <c r="V69" s="7"/>
      <c r="W69" s="7"/>
      <c r="X69" s="7"/>
      <c r="Y69" s="7"/>
      <c r="Z69" s="7"/>
      <c r="AA69" s="7"/>
      <c r="AB69" s="8"/>
    </row>
    <row r="70" spans="1:28" x14ac:dyDescent="0.2">
      <c r="A70" s="45"/>
      <c r="B70" s="45"/>
      <c r="C70" s="45"/>
      <c r="D70" s="45"/>
      <c r="E70" s="46"/>
      <c r="F70" s="6"/>
      <c r="G70" s="6"/>
      <c r="H70" s="6"/>
      <c r="I70" s="7"/>
      <c r="J70" s="7"/>
      <c r="K70" s="7"/>
      <c r="L70" s="7"/>
      <c r="M70" s="7"/>
      <c r="N70" s="7"/>
      <c r="O70" s="7"/>
      <c r="P70" s="7"/>
      <c r="Q70" s="7"/>
      <c r="R70" s="7"/>
      <c r="S70" s="7"/>
      <c r="T70" s="7"/>
      <c r="U70" s="7"/>
      <c r="V70" s="7"/>
      <c r="W70" s="7"/>
      <c r="X70" s="7"/>
      <c r="Y70" s="7"/>
      <c r="Z70" s="7"/>
      <c r="AA70" s="7"/>
      <c r="AB70" s="8"/>
    </row>
    <row r="71" spans="1:28" x14ac:dyDescent="0.2">
      <c r="A71" s="45"/>
      <c r="B71" s="45"/>
      <c r="C71" s="45"/>
      <c r="D71" s="45"/>
      <c r="E71" s="46"/>
      <c r="F71" s="6"/>
      <c r="G71" s="6"/>
      <c r="H71" s="6"/>
      <c r="I71" s="7"/>
      <c r="J71" s="7"/>
      <c r="K71" s="7"/>
      <c r="L71" s="7"/>
      <c r="M71" s="7"/>
      <c r="N71" s="7"/>
      <c r="O71" s="7"/>
      <c r="P71" s="7"/>
      <c r="Q71" s="7"/>
      <c r="R71" s="7"/>
      <c r="S71" s="7"/>
      <c r="T71" s="7"/>
      <c r="U71" s="7"/>
      <c r="V71" s="7"/>
      <c r="W71" s="7"/>
      <c r="X71" s="7"/>
      <c r="Y71" s="7"/>
      <c r="Z71" s="7"/>
      <c r="AA71" s="7"/>
      <c r="AB71" s="8"/>
    </row>
    <row r="72" spans="1:28" x14ac:dyDescent="0.2">
      <c r="A72" s="45"/>
      <c r="B72" s="45"/>
      <c r="C72" s="45"/>
      <c r="D72" s="45"/>
      <c r="E72" s="46"/>
      <c r="F72" s="6"/>
      <c r="G72" s="6"/>
      <c r="H72" s="6"/>
      <c r="I72" s="7"/>
      <c r="J72" s="7"/>
      <c r="K72" s="7"/>
      <c r="L72" s="7"/>
      <c r="M72" s="7"/>
      <c r="N72" s="7"/>
      <c r="O72" s="7"/>
      <c r="P72" s="7"/>
      <c r="Q72" s="7"/>
      <c r="R72" s="7"/>
      <c r="S72" s="7"/>
      <c r="T72" s="7"/>
      <c r="U72" s="7"/>
      <c r="V72" s="7"/>
      <c r="W72" s="7"/>
      <c r="X72" s="7"/>
      <c r="Y72" s="7"/>
      <c r="Z72" s="7"/>
      <c r="AA72" s="7"/>
      <c r="AB72" s="8"/>
    </row>
    <row r="73" spans="1:28" x14ac:dyDescent="0.2">
      <c r="A73" s="45"/>
      <c r="B73" s="45"/>
      <c r="C73" s="45"/>
      <c r="D73" s="45"/>
      <c r="E73" s="46"/>
      <c r="F73" s="6"/>
      <c r="G73" s="6"/>
      <c r="H73" s="6"/>
      <c r="I73" s="7"/>
      <c r="J73" s="7"/>
      <c r="K73" s="7"/>
      <c r="L73" s="7"/>
      <c r="M73" s="7"/>
      <c r="N73" s="7"/>
      <c r="O73" s="7"/>
      <c r="P73" s="7"/>
      <c r="Q73" s="7"/>
      <c r="R73" s="7"/>
      <c r="S73" s="7"/>
      <c r="T73" s="7"/>
      <c r="U73" s="7"/>
      <c r="V73" s="7"/>
      <c r="W73" s="7"/>
      <c r="X73" s="7"/>
      <c r="Y73" s="7"/>
      <c r="Z73" s="7"/>
      <c r="AA73" s="7"/>
      <c r="AB73" s="8"/>
    </row>
    <row r="74" spans="1:28" ht="12.75" customHeight="1" x14ac:dyDescent="0.2">
      <c r="A74" s="37" t="s">
        <v>132</v>
      </c>
      <c r="B74" s="38"/>
      <c r="C74" s="38"/>
      <c r="D74" s="38"/>
      <c r="E74" s="38"/>
      <c r="F74" s="38"/>
      <c r="G74" s="38"/>
      <c r="H74" s="38"/>
      <c r="I74" s="38"/>
      <c r="J74" s="48">
        <f t="shared" ref="J74:P74" si="11">ROUNDUP(SUM(J19:J73),0)</f>
        <v>0</v>
      </c>
      <c r="K74" s="48">
        <f t="shared" si="11"/>
        <v>0</v>
      </c>
      <c r="L74" s="60">
        <f t="shared" si="11"/>
        <v>104582</v>
      </c>
      <c r="M74" s="48">
        <f t="shared" si="11"/>
        <v>0</v>
      </c>
      <c r="N74" s="48">
        <f t="shared" si="11"/>
        <v>0</v>
      </c>
      <c r="O74" s="48">
        <f t="shared" si="11"/>
        <v>0</v>
      </c>
      <c r="P74" s="48">
        <f t="shared" si="11"/>
        <v>0</v>
      </c>
      <c r="Q74" s="51">
        <f>ROUNDUP(SUM(Q19:S73),0)</f>
        <v>9415</v>
      </c>
      <c r="R74" s="62"/>
      <c r="S74" s="63"/>
      <c r="T74" s="48">
        <f t="shared" ref="T74:AB74" si="12">ROUNDUP(SUM(T19:T73),0)</f>
        <v>0</v>
      </c>
      <c r="U74" s="48">
        <f t="shared" si="12"/>
        <v>0</v>
      </c>
      <c r="V74" s="48">
        <f t="shared" si="12"/>
        <v>3728</v>
      </c>
      <c r="W74" s="48">
        <f t="shared" si="12"/>
        <v>4360</v>
      </c>
      <c r="X74" s="48">
        <f t="shared" si="12"/>
        <v>0</v>
      </c>
      <c r="Y74" s="48">
        <f t="shared" si="12"/>
        <v>0</v>
      </c>
      <c r="Z74" s="48">
        <f t="shared" si="12"/>
        <v>0</v>
      </c>
      <c r="AA74" s="48">
        <f t="shared" si="12"/>
        <v>0</v>
      </c>
      <c r="AB74" s="50">
        <f t="shared" si="12"/>
        <v>0</v>
      </c>
    </row>
    <row r="75" spans="1:28" ht="12.75" customHeight="1" x14ac:dyDescent="0.2">
      <c r="A75" s="58"/>
      <c r="B75" s="59"/>
      <c r="C75" s="59"/>
      <c r="D75" s="59"/>
      <c r="E75" s="59"/>
      <c r="F75" s="59"/>
      <c r="G75" s="59"/>
      <c r="H75" s="59"/>
      <c r="I75" s="59"/>
      <c r="J75" s="49"/>
      <c r="K75" s="49"/>
      <c r="L75" s="61"/>
      <c r="M75" s="49"/>
      <c r="N75" s="49"/>
      <c r="O75" s="49"/>
      <c r="P75" s="49"/>
      <c r="Q75" s="64"/>
      <c r="R75" s="65"/>
      <c r="S75" s="66"/>
      <c r="T75" s="49"/>
      <c r="U75" s="49"/>
      <c r="V75" s="49"/>
      <c r="W75" s="49"/>
      <c r="X75" s="49"/>
      <c r="Y75" s="49"/>
      <c r="Z75" s="49"/>
      <c r="AA75" s="49"/>
      <c r="AB75" s="51"/>
    </row>
  </sheetData>
  <mergeCells count="137">
    <mergeCell ref="Y2:Y16"/>
    <mergeCell ref="Z2:Z16"/>
    <mergeCell ref="AA2:AA17"/>
    <mergeCell ref="AB2:AB17"/>
    <mergeCell ref="Q2:Q16"/>
    <mergeCell ref="R2:R16"/>
    <mergeCell ref="S2:S16"/>
    <mergeCell ref="T2:T16"/>
    <mergeCell ref="U2:U16"/>
    <mergeCell ref="V2:V17"/>
    <mergeCell ref="A19:E19"/>
    <mergeCell ref="A20:E20"/>
    <mergeCell ref="A21:E21"/>
    <mergeCell ref="A22:E22"/>
    <mergeCell ref="A23:E23"/>
    <mergeCell ref="A24:B24"/>
    <mergeCell ref="D24:E24"/>
    <mergeCell ref="W2:W16"/>
    <mergeCell ref="X2:X16"/>
    <mergeCell ref="K2:K17"/>
    <mergeCell ref="L2:L17"/>
    <mergeCell ref="M2:M17"/>
    <mergeCell ref="N2:N17"/>
    <mergeCell ref="O2:O16"/>
    <mergeCell ref="P2:P16"/>
    <mergeCell ref="A1:E18"/>
    <mergeCell ref="F1:F18"/>
    <mergeCell ref="G1:G18"/>
    <mergeCell ref="H1:H18"/>
    <mergeCell ref="I1:I18"/>
    <mergeCell ref="J2:J17"/>
    <mergeCell ref="A28:B28"/>
    <mergeCell ref="D28:E28"/>
    <mergeCell ref="A29:B29"/>
    <mergeCell ref="D29:E29"/>
    <mergeCell ref="A30:B30"/>
    <mergeCell ref="D30:E30"/>
    <mergeCell ref="A25:B25"/>
    <mergeCell ref="D25:E25"/>
    <mergeCell ref="A26:B26"/>
    <mergeCell ref="D26:E26"/>
    <mergeCell ref="A27:B27"/>
    <mergeCell ref="D27:E27"/>
    <mergeCell ref="A34:B34"/>
    <mergeCell ref="D34:E34"/>
    <mergeCell ref="A35:B35"/>
    <mergeCell ref="D35:E35"/>
    <mergeCell ref="A36:B36"/>
    <mergeCell ref="D36:E36"/>
    <mergeCell ref="A31:B31"/>
    <mergeCell ref="D31:E31"/>
    <mergeCell ref="A32:B32"/>
    <mergeCell ref="D32:E32"/>
    <mergeCell ref="A33:B33"/>
    <mergeCell ref="D33:E33"/>
    <mergeCell ref="A40:B40"/>
    <mergeCell ref="D40:E40"/>
    <mergeCell ref="A37:B37"/>
    <mergeCell ref="D37:E37"/>
    <mergeCell ref="A38:B38"/>
    <mergeCell ref="D38:E38"/>
    <mergeCell ref="A39:B39"/>
    <mergeCell ref="D39:E39"/>
    <mergeCell ref="A46:B46"/>
    <mergeCell ref="D46:E46"/>
    <mergeCell ref="A47:B47"/>
    <mergeCell ref="D47:E47"/>
    <mergeCell ref="A48:B48"/>
    <mergeCell ref="D48:E48"/>
    <mergeCell ref="A41:E41"/>
    <mergeCell ref="A42:E42"/>
    <mergeCell ref="A43:E43"/>
    <mergeCell ref="A44:B44"/>
    <mergeCell ref="D44:E44"/>
    <mergeCell ref="A45:B45"/>
    <mergeCell ref="D45:E45"/>
    <mergeCell ref="A52:B52"/>
    <mergeCell ref="D52:E52"/>
    <mergeCell ref="A53:B53"/>
    <mergeCell ref="D53:E53"/>
    <mergeCell ref="A54:B54"/>
    <mergeCell ref="D54:E54"/>
    <mergeCell ref="A49:B49"/>
    <mergeCell ref="D49:E49"/>
    <mergeCell ref="A50:B50"/>
    <mergeCell ref="D50:E50"/>
    <mergeCell ref="A51:B51"/>
    <mergeCell ref="D51:E51"/>
    <mergeCell ref="A58:B58"/>
    <mergeCell ref="D58:E58"/>
    <mergeCell ref="A59:B59"/>
    <mergeCell ref="D59:E59"/>
    <mergeCell ref="A60:B60"/>
    <mergeCell ref="D60:E60"/>
    <mergeCell ref="A55:B55"/>
    <mergeCell ref="D55:E55"/>
    <mergeCell ref="A56:B56"/>
    <mergeCell ref="D56:E56"/>
    <mergeCell ref="A57:B57"/>
    <mergeCell ref="D57:E57"/>
    <mergeCell ref="A64:B64"/>
    <mergeCell ref="D64:E64"/>
    <mergeCell ref="A65:B65"/>
    <mergeCell ref="D65:E65"/>
    <mergeCell ref="A66:B66"/>
    <mergeCell ref="D66:E66"/>
    <mergeCell ref="A61:B61"/>
    <mergeCell ref="D61:E61"/>
    <mergeCell ref="A62:B62"/>
    <mergeCell ref="D62:E62"/>
    <mergeCell ref="A63:B63"/>
    <mergeCell ref="D63:E63"/>
    <mergeCell ref="A74:I75"/>
    <mergeCell ref="J74:J75"/>
    <mergeCell ref="K74:K75"/>
    <mergeCell ref="L74:L75"/>
    <mergeCell ref="A67:E67"/>
    <mergeCell ref="A68:E68"/>
    <mergeCell ref="A69:E69"/>
    <mergeCell ref="A70:E70"/>
    <mergeCell ref="A71:E71"/>
    <mergeCell ref="A72:E72"/>
    <mergeCell ref="A73:E73"/>
    <mergeCell ref="AA74:AA75"/>
    <mergeCell ref="AB74:AB75"/>
    <mergeCell ref="U74:U75"/>
    <mergeCell ref="V74:V75"/>
    <mergeCell ref="W74:W75"/>
    <mergeCell ref="X74:X75"/>
    <mergeCell ref="Y74:Y75"/>
    <mergeCell ref="Z74:Z75"/>
    <mergeCell ref="M74:M75"/>
    <mergeCell ref="N74:N75"/>
    <mergeCell ref="O74:O75"/>
    <mergeCell ref="P74:P75"/>
    <mergeCell ref="Q74:S75"/>
    <mergeCell ref="T74:T75"/>
  </mergeCells>
  <pageMargins left="0.7" right="0.7" top="0.75" bottom="0.75" header="0.3" footer="0.3"/>
  <pageSetup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5BB73D-493A-4912-8EF4-EE7CB1B0BC1F}">
  <dimension ref="A1:AB75"/>
  <sheetViews>
    <sheetView showZeros="0" topLeftCell="A28" zoomScale="85" zoomScaleNormal="85" workbookViewId="0">
      <selection activeCell="A74" sqref="A74:I75"/>
    </sheetView>
  </sheetViews>
  <sheetFormatPr defaultRowHeight="12.75" x14ac:dyDescent="0.2"/>
  <cols>
    <col min="1" max="2" width="10.7109375" style="1" customWidth="1"/>
    <col min="3" max="3" width="3.7109375" style="1" customWidth="1"/>
    <col min="4" max="5" width="10.7109375" style="1" customWidth="1"/>
    <col min="6" max="7" width="9.7109375" style="1" customWidth="1"/>
    <col min="8" max="8" width="9.7109375" style="18" customWidth="1"/>
    <col min="9" max="9" width="9.7109375" style="15" customWidth="1"/>
    <col min="10" max="28" width="9.42578125" style="1" customWidth="1"/>
    <col min="29" max="36" width="9.7109375" style="1" customWidth="1"/>
    <col min="37" max="16384" width="9.140625" style="1"/>
  </cols>
  <sheetData>
    <row r="1" spans="1:28" ht="12.75" customHeight="1" x14ac:dyDescent="0.2">
      <c r="A1" s="35" t="s">
        <v>33</v>
      </c>
      <c r="B1" s="36"/>
      <c r="C1" s="36"/>
      <c r="D1" s="36"/>
      <c r="E1" s="36"/>
      <c r="F1" s="39" t="s">
        <v>29</v>
      </c>
      <c r="G1" s="39" t="s">
        <v>30</v>
      </c>
      <c r="H1" s="81" t="s">
        <v>36</v>
      </c>
      <c r="I1" s="67" t="s">
        <v>31</v>
      </c>
      <c r="J1" s="2">
        <v>202</v>
      </c>
      <c r="K1" s="2">
        <v>206</v>
      </c>
      <c r="L1" s="2">
        <v>254</v>
      </c>
      <c r="M1" s="2">
        <v>254</v>
      </c>
      <c r="N1" s="2">
        <v>255</v>
      </c>
      <c r="O1" s="2">
        <v>302</v>
      </c>
      <c r="P1" s="2">
        <v>304</v>
      </c>
      <c r="Q1" s="2">
        <v>407</v>
      </c>
      <c r="R1" s="2">
        <v>407</v>
      </c>
      <c r="S1" s="2">
        <v>407</v>
      </c>
      <c r="T1" s="2">
        <v>408</v>
      </c>
      <c r="U1" s="2">
        <v>441</v>
      </c>
      <c r="V1" s="2">
        <v>442</v>
      </c>
      <c r="W1" s="2">
        <v>442</v>
      </c>
      <c r="X1" s="2">
        <v>442</v>
      </c>
      <c r="Y1" s="2">
        <v>442</v>
      </c>
      <c r="Z1" s="2">
        <v>617</v>
      </c>
      <c r="AA1" s="2">
        <v>874</v>
      </c>
      <c r="AB1" s="3">
        <v>874</v>
      </c>
    </row>
    <row r="2" spans="1:28" ht="12.75" customHeight="1" x14ac:dyDescent="0.2">
      <c r="A2" s="37"/>
      <c r="B2" s="38"/>
      <c r="C2" s="38"/>
      <c r="D2" s="38"/>
      <c r="E2" s="38"/>
      <c r="F2" s="40"/>
      <c r="G2" s="40"/>
      <c r="H2" s="81"/>
      <c r="I2" s="68"/>
      <c r="J2" s="29" t="s">
        <v>0</v>
      </c>
      <c r="K2" s="28" t="s">
        <v>2</v>
      </c>
      <c r="L2" s="28" t="s">
        <v>3</v>
      </c>
      <c r="M2" s="28" t="s">
        <v>6</v>
      </c>
      <c r="N2" s="29" t="s">
        <v>4</v>
      </c>
      <c r="O2" s="28" t="s">
        <v>22</v>
      </c>
      <c r="P2" s="29" t="s">
        <v>8</v>
      </c>
      <c r="Q2" s="32" t="s">
        <v>12</v>
      </c>
      <c r="R2" s="28" t="s">
        <v>11</v>
      </c>
      <c r="S2" s="28" t="s">
        <v>11</v>
      </c>
      <c r="T2" s="29" t="s">
        <v>17</v>
      </c>
      <c r="U2" s="28" t="s">
        <v>19</v>
      </c>
      <c r="V2" s="29" t="s">
        <v>21</v>
      </c>
      <c r="W2" s="28" t="s">
        <v>109</v>
      </c>
      <c r="X2" s="28" t="s">
        <v>23</v>
      </c>
      <c r="Y2" s="28" t="s">
        <v>110</v>
      </c>
      <c r="Z2" s="28" t="s">
        <v>25</v>
      </c>
      <c r="AA2" s="28" t="s">
        <v>27</v>
      </c>
      <c r="AB2" s="30" t="s">
        <v>28</v>
      </c>
    </row>
    <row r="3" spans="1:28" ht="12.75" customHeight="1" x14ac:dyDescent="0.2">
      <c r="A3" s="37"/>
      <c r="B3" s="38"/>
      <c r="C3" s="38"/>
      <c r="D3" s="38"/>
      <c r="E3" s="38"/>
      <c r="F3" s="40"/>
      <c r="G3" s="40"/>
      <c r="H3" s="81"/>
      <c r="I3" s="68"/>
      <c r="J3" s="29"/>
      <c r="K3" s="29"/>
      <c r="L3" s="29"/>
      <c r="M3" s="29"/>
      <c r="N3" s="29"/>
      <c r="O3" s="29"/>
      <c r="P3" s="29"/>
      <c r="Q3" s="33"/>
      <c r="R3" s="29"/>
      <c r="S3" s="29"/>
      <c r="T3" s="29"/>
      <c r="U3" s="29"/>
      <c r="V3" s="29"/>
      <c r="W3" s="29"/>
      <c r="X3" s="29"/>
      <c r="Y3" s="29"/>
      <c r="Z3" s="29"/>
      <c r="AA3" s="29"/>
      <c r="AB3" s="31"/>
    </row>
    <row r="4" spans="1:28" ht="12.75" customHeight="1" x14ac:dyDescent="0.2">
      <c r="A4" s="37"/>
      <c r="B4" s="38"/>
      <c r="C4" s="38"/>
      <c r="D4" s="38"/>
      <c r="E4" s="38"/>
      <c r="F4" s="40"/>
      <c r="G4" s="40"/>
      <c r="H4" s="81"/>
      <c r="I4" s="68"/>
      <c r="J4" s="29"/>
      <c r="K4" s="29"/>
      <c r="L4" s="29"/>
      <c r="M4" s="29"/>
      <c r="N4" s="29"/>
      <c r="O4" s="29"/>
      <c r="P4" s="29"/>
      <c r="Q4" s="33"/>
      <c r="R4" s="29"/>
      <c r="S4" s="29"/>
      <c r="T4" s="29"/>
      <c r="U4" s="29"/>
      <c r="V4" s="29"/>
      <c r="W4" s="29"/>
      <c r="X4" s="29"/>
      <c r="Y4" s="29"/>
      <c r="Z4" s="29"/>
      <c r="AA4" s="29"/>
      <c r="AB4" s="31"/>
    </row>
    <row r="5" spans="1:28" ht="12.75" customHeight="1" x14ac:dyDescent="0.2">
      <c r="A5" s="37"/>
      <c r="B5" s="38"/>
      <c r="C5" s="38"/>
      <c r="D5" s="38"/>
      <c r="E5" s="38"/>
      <c r="F5" s="40"/>
      <c r="G5" s="40"/>
      <c r="H5" s="81"/>
      <c r="I5" s="68"/>
      <c r="J5" s="29"/>
      <c r="K5" s="29"/>
      <c r="L5" s="29"/>
      <c r="M5" s="29"/>
      <c r="N5" s="29"/>
      <c r="O5" s="29"/>
      <c r="P5" s="29"/>
      <c r="Q5" s="33"/>
      <c r="R5" s="29"/>
      <c r="S5" s="29"/>
      <c r="T5" s="29"/>
      <c r="U5" s="29"/>
      <c r="V5" s="29"/>
      <c r="W5" s="29"/>
      <c r="X5" s="29"/>
      <c r="Y5" s="29"/>
      <c r="Z5" s="29"/>
      <c r="AA5" s="29"/>
      <c r="AB5" s="31"/>
    </row>
    <row r="6" spans="1:28" ht="12.75" customHeight="1" x14ac:dyDescent="0.2">
      <c r="A6" s="37"/>
      <c r="B6" s="38"/>
      <c r="C6" s="38"/>
      <c r="D6" s="38"/>
      <c r="E6" s="38"/>
      <c r="F6" s="40"/>
      <c r="G6" s="40"/>
      <c r="H6" s="81"/>
      <c r="I6" s="68"/>
      <c r="J6" s="29"/>
      <c r="K6" s="29"/>
      <c r="L6" s="29"/>
      <c r="M6" s="29"/>
      <c r="N6" s="29"/>
      <c r="O6" s="29"/>
      <c r="P6" s="29"/>
      <c r="Q6" s="33"/>
      <c r="R6" s="29"/>
      <c r="S6" s="29"/>
      <c r="T6" s="29"/>
      <c r="U6" s="29"/>
      <c r="V6" s="29"/>
      <c r="W6" s="29"/>
      <c r="X6" s="29"/>
      <c r="Y6" s="29"/>
      <c r="Z6" s="29"/>
      <c r="AA6" s="29"/>
      <c r="AB6" s="31"/>
    </row>
    <row r="7" spans="1:28" ht="12.75" customHeight="1" x14ac:dyDescent="0.2">
      <c r="A7" s="37"/>
      <c r="B7" s="38"/>
      <c r="C7" s="38"/>
      <c r="D7" s="38"/>
      <c r="E7" s="38"/>
      <c r="F7" s="40"/>
      <c r="G7" s="40"/>
      <c r="H7" s="81"/>
      <c r="I7" s="68"/>
      <c r="J7" s="29"/>
      <c r="K7" s="29"/>
      <c r="L7" s="29"/>
      <c r="M7" s="29"/>
      <c r="N7" s="29"/>
      <c r="O7" s="29"/>
      <c r="P7" s="29"/>
      <c r="Q7" s="33"/>
      <c r="R7" s="29"/>
      <c r="S7" s="29"/>
      <c r="T7" s="29"/>
      <c r="U7" s="29"/>
      <c r="V7" s="29"/>
      <c r="W7" s="29"/>
      <c r="X7" s="29"/>
      <c r="Y7" s="29"/>
      <c r="Z7" s="29"/>
      <c r="AA7" s="29"/>
      <c r="AB7" s="31"/>
    </row>
    <row r="8" spans="1:28" ht="12.75" customHeight="1" x14ac:dyDescent="0.2">
      <c r="A8" s="37"/>
      <c r="B8" s="38"/>
      <c r="C8" s="38"/>
      <c r="D8" s="38"/>
      <c r="E8" s="38"/>
      <c r="F8" s="40"/>
      <c r="G8" s="40"/>
      <c r="H8" s="81"/>
      <c r="I8" s="68"/>
      <c r="J8" s="29"/>
      <c r="K8" s="29"/>
      <c r="L8" s="29"/>
      <c r="M8" s="29"/>
      <c r="N8" s="29"/>
      <c r="O8" s="29"/>
      <c r="P8" s="29"/>
      <c r="Q8" s="33"/>
      <c r="R8" s="29"/>
      <c r="S8" s="29"/>
      <c r="T8" s="29"/>
      <c r="U8" s="29"/>
      <c r="V8" s="29"/>
      <c r="W8" s="29"/>
      <c r="X8" s="29"/>
      <c r="Y8" s="29"/>
      <c r="Z8" s="29"/>
      <c r="AA8" s="29"/>
      <c r="AB8" s="31"/>
    </row>
    <row r="9" spans="1:28" ht="12.75" customHeight="1" x14ac:dyDescent="0.2">
      <c r="A9" s="37"/>
      <c r="B9" s="38"/>
      <c r="C9" s="38"/>
      <c r="D9" s="38"/>
      <c r="E9" s="38"/>
      <c r="F9" s="40"/>
      <c r="G9" s="40"/>
      <c r="H9" s="81"/>
      <c r="I9" s="68"/>
      <c r="J9" s="29"/>
      <c r="K9" s="29"/>
      <c r="L9" s="29"/>
      <c r="M9" s="29"/>
      <c r="N9" s="29"/>
      <c r="O9" s="29"/>
      <c r="P9" s="29"/>
      <c r="Q9" s="33"/>
      <c r="R9" s="29"/>
      <c r="S9" s="29"/>
      <c r="T9" s="29"/>
      <c r="U9" s="29"/>
      <c r="V9" s="29"/>
      <c r="W9" s="29"/>
      <c r="X9" s="29"/>
      <c r="Y9" s="29"/>
      <c r="Z9" s="29"/>
      <c r="AA9" s="29"/>
      <c r="AB9" s="31"/>
    </row>
    <row r="10" spans="1:28" ht="12.75" customHeight="1" x14ac:dyDescent="0.2">
      <c r="A10" s="37"/>
      <c r="B10" s="38"/>
      <c r="C10" s="38"/>
      <c r="D10" s="38"/>
      <c r="E10" s="38"/>
      <c r="F10" s="40"/>
      <c r="G10" s="40"/>
      <c r="H10" s="81"/>
      <c r="I10" s="68"/>
      <c r="J10" s="29"/>
      <c r="K10" s="29"/>
      <c r="L10" s="29"/>
      <c r="M10" s="29"/>
      <c r="N10" s="29"/>
      <c r="O10" s="29"/>
      <c r="P10" s="29"/>
      <c r="Q10" s="33"/>
      <c r="R10" s="29"/>
      <c r="S10" s="29"/>
      <c r="T10" s="29"/>
      <c r="U10" s="29"/>
      <c r="V10" s="29"/>
      <c r="W10" s="29"/>
      <c r="X10" s="29"/>
      <c r="Y10" s="29"/>
      <c r="Z10" s="29"/>
      <c r="AA10" s="29"/>
      <c r="AB10" s="31"/>
    </row>
    <row r="11" spans="1:28" ht="12.75" customHeight="1" x14ac:dyDescent="0.2">
      <c r="A11" s="37"/>
      <c r="B11" s="38"/>
      <c r="C11" s="38"/>
      <c r="D11" s="38"/>
      <c r="E11" s="38"/>
      <c r="F11" s="40"/>
      <c r="G11" s="40"/>
      <c r="H11" s="81"/>
      <c r="I11" s="68"/>
      <c r="J11" s="29"/>
      <c r="K11" s="29"/>
      <c r="L11" s="29"/>
      <c r="M11" s="29"/>
      <c r="N11" s="29"/>
      <c r="O11" s="29"/>
      <c r="P11" s="29"/>
      <c r="Q11" s="33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31"/>
    </row>
    <row r="12" spans="1:28" ht="12.75" customHeight="1" x14ac:dyDescent="0.2">
      <c r="A12" s="37"/>
      <c r="B12" s="38"/>
      <c r="C12" s="38"/>
      <c r="D12" s="38"/>
      <c r="E12" s="38"/>
      <c r="F12" s="40"/>
      <c r="G12" s="40"/>
      <c r="H12" s="81"/>
      <c r="I12" s="68"/>
      <c r="J12" s="29"/>
      <c r="K12" s="29"/>
      <c r="L12" s="29"/>
      <c r="M12" s="29"/>
      <c r="N12" s="29"/>
      <c r="O12" s="29"/>
      <c r="P12" s="29"/>
      <c r="Q12" s="33"/>
      <c r="R12" s="29"/>
      <c r="S12" s="29"/>
      <c r="T12" s="29"/>
      <c r="U12" s="29"/>
      <c r="V12" s="29"/>
      <c r="W12" s="29"/>
      <c r="X12" s="29"/>
      <c r="Y12" s="29"/>
      <c r="Z12" s="29"/>
      <c r="AA12" s="29"/>
      <c r="AB12" s="31"/>
    </row>
    <row r="13" spans="1:28" ht="12.75" customHeight="1" x14ac:dyDescent="0.2">
      <c r="A13" s="37"/>
      <c r="B13" s="38"/>
      <c r="C13" s="38"/>
      <c r="D13" s="38"/>
      <c r="E13" s="38"/>
      <c r="F13" s="40"/>
      <c r="G13" s="40"/>
      <c r="H13" s="81"/>
      <c r="I13" s="68"/>
      <c r="J13" s="29"/>
      <c r="K13" s="29"/>
      <c r="L13" s="29"/>
      <c r="M13" s="29"/>
      <c r="N13" s="29"/>
      <c r="O13" s="29"/>
      <c r="P13" s="29"/>
      <c r="Q13" s="33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31"/>
    </row>
    <row r="14" spans="1:28" ht="12.75" customHeight="1" x14ac:dyDescent="0.2">
      <c r="A14" s="37"/>
      <c r="B14" s="38"/>
      <c r="C14" s="38"/>
      <c r="D14" s="38"/>
      <c r="E14" s="38"/>
      <c r="F14" s="40"/>
      <c r="G14" s="40"/>
      <c r="H14" s="81"/>
      <c r="I14" s="68"/>
      <c r="J14" s="29"/>
      <c r="K14" s="29"/>
      <c r="L14" s="29"/>
      <c r="M14" s="29"/>
      <c r="N14" s="29"/>
      <c r="O14" s="29"/>
      <c r="P14" s="29"/>
      <c r="Q14" s="33"/>
      <c r="R14" s="29"/>
      <c r="S14" s="29"/>
      <c r="T14" s="29"/>
      <c r="U14" s="29"/>
      <c r="V14" s="29"/>
      <c r="W14" s="29"/>
      <c r="X14" s="29"/>
      <c r="Y14" s="29"/>
      <c r="Z14" s="29"/>
      <c r="AA14" s="29"/>
      <c r="AB14" s="31"/>
    </row>
    <row r="15" spans="1:28" ht="12.75" customHeight="1" x14ac:dyDescent="0.2">
      <c r="A15" s="37"/>
      <c r="B15" s="38"/>
      <c r="C15" s="38"/>
      <c r="D15" s="38"/>
      <c r="E15" s="38"/>
      <c r="F15" s="40"/>
      <c r="G15" s="40"/>
      <c r="H15" s="81"/>
      <c r="I15" s="68"/>
      <c r="J15" s="29"/>
      <c r="K15" s="29"/>
      <c r="L15" s="29"/>
      <c r="M15" s="29"/>
      <c r="N15" s="29"/>
      <c r="O15" s="29"/>
      <c r="P15" s="29"/>
      <c r="Q15" s="33"/>
      <c r="R15" s="29"/>
      <c r="S15" s="29"/>
      <c r="T15" s="29"/>
      <c r="U15" s="29"/>
      <c r="V15" s="29"/>
      <c r="W15" s="29"/>
      <c r="X15" s="29"/>
      <c r="Y15" s="29"/>
      <c r="Z15" s="29"/>
      <c r="AA15" s="29"/>
      <c r="AB15" s="31"/>
    </row>
    <row r="16" spans="1:28" ht="12.75" customHeight="1" x14ac:dyDescent="0.2">
      <c r="A16" s="37"/>
      <c r="B16" s="38"/>
      <c r="C16" s="38"/>
      <c r="D16" s="38"/>
      <c r="E16" s="38"/>
      <c r="F16" s="40"/>
      <c r="G16" s="40"/>
      <c r="H16" s="81"/>
      <c r="I16" s="68"/>
      <c r="J16" s="29"/>
      <c r="K16" s="29"/>
      <c r="L16" s="29"/>
      <c r="M16" s="29"/>
      <c r="N16" s="29"/>
      <c r="O16" s="29"/>
      <c r="P16" s="29"/>
      <c r="Q16" s="34"/>
      <c r="R16" s="29"/>
      <c r="S16" s="29"/>
      <c r="T16" s="29"/>
      <c r="U16" s="29"/>
      <c r="V16" s="29"/>
      <c r="W16" s="29"/>
      <c r="X16" s="29"/>
      <c r="Y16" s="29"/>
      <c r="Z16" s="29"/>
      <c r="AA16" s="29"/>
      <c r="AB16" s="31"/>
    </row>
    <row r="17" spans="1:28" ht="12.75" customHeight="1" x14ac:dyDescent="0.2">
      <c r="A17" s="37"/>
      <c r="B17" s="38"/>
      <c r="C17" s="38"/>
      <c r="D17" s="38"/>
      <c r="E17" s="38"/>
      <c r="F17" s="40"/>
      <c r="G17" s="40"/>
      <c r="H17" s="81"/>
      <c r="I17" s="68"/>
      <c r="J17" s="29"/>
      <c r="K17" s="29"/>
      <c r="L17" s="29"/>
      <c r="M17" s="29"/>
      <c r="N17" s="29"/>
      <c r="O17" s="4" t="s">
        <v>10</v>
      </c>
      <c r="P17" s="4" t="s">
        <v>9</v>
      </c>
      <c r="Q17" s="4" t="s">
        <v>13</v>
      </c>
      <c r="R17" s="4" t="s">
        <v>15</v>
      </c>
      <c r="S17" s="4" t="s">
        <v>16</v>
      </c>
      <c r="T17" s="4" t="s">
        <v>18</v>
      </c>
      <c r="U17" s="4" t="s">
        <v>20</v>
      </c>
      <c r="V17" s="29"/>
      <c r="W17" s="4" t="s">
        <v>20</v>
      </c>
      <c r="X17" s="4" t="s">
        <v>20</v>
      </c>
      <c r="Y17" s="4" t="s">
        <v>24</v>
      </c>
      <c r="Z17" s="4" t="s">
        <v>26</v>
      </c>
      <c r="AA17" s="29"/>
      <c r="AB17" s="31"/>
    </row>
    <row r="18" spans="1:28" ht="12.75" customHeight="1" x14ac:dyDescent="0.2">
      <c r="A18" s="37"/>
      <c r="B18" s="38"/>
      <c r="C18" s="38"/>
      <c r="D18" s="38"/>
      <c r="E18" s="38"/>
      <c r="F18" s="40"/>
      <c r="G18" s="40"/>
      <c r="H18" s="82"/>
      <c r="I18" s="68"/>
      <c r="J18" s="4" t="s">
        <v>1</v>
      </c>
      <c r="K18" s="4" t="s">
        <v>1</v>
      </c>
      <c r="L18" s="4" t="s">
        <v>1</v>
      </c>
      <c r="M18" s="4" t="s">
        <v>1</v>
      </c>
      <c r="N18" s="4" t="s">
        <v>5</v>
      </c>
      <c r="O18" s="4" t="s">
        <v>7</v>
      </c>
      <c r="P18" s="4" t="s">
        <v>7</v>
      </c>
      <c r="Q18" s="4" t="s">
        <v>14</v>
      </c>
      <c r="R18" s="4" t="s">
        <v>14</v>
      </c>
      <c r="S18" s="4" t="s">
        <v>14</v>
      </c>
      <c r="T18" s="4" t="s">
        <v>14</v>
      </c>
      <c r="U18" s="4" t="s">
        <v>7</v>
      </c>
      <c r="V18" s="4" t="s">
        <v>7</v>
      </c>
      <c r="W18" s="4" t="s">
        <v>7</v>
      </c>
      <c r="X18" s="4" t="s">
        <v>7</v>
      </c>
      <c r="Y18" s="4" t="s">
        <v>7</v>
      </c>
      <c r="Z18" s="4" t="s">
        <v>7</v>
      </c>
      <c r="AA18" s="4" t="s">
        <v>5</v>
      </c>
      <c r="AB18" s="5" t="s">
        <v>5</v>
      </c>
    </row>
    <row r="19" spans="1:28" x14ac:dyDescent="0.2">
      <c r="A19" s="43" t="s">
        <v>57</v>
      </c>
      <c r="B19" s="43"/>
      <c r="C19" s="43"/>
      <c r="D19" s="43"/>
      <c r="E19" s="44"/>
      <c r="F19" s="6"/>
      <c r="G19" s="6"/>
      <c r="H19" s="6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8"/>
    </row>
    <row r="20" spans="1:28" x14ac:dyDescent="0.2">
      <c r="A20" s="43"/>
      <c r="B20" s="43"/>
      <c r="C20" s="43"/>
      <c r="D20" s="43"/>
      <c r="E20" s="44"/>
      <c r="F20" s="6"/>
      <c r="G20" s="6"/>
      <c r="H20" s="6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8"/>
    </row>
    <row r="21" spans="1:28" x14ac:dyDescent="0.2">
      <c r="A21" s="43" t="s">
        <v>111</v>
      </c>
      <c r="B21" s="43"/>
      <c r="C21" s="43"/>
      <c r="D21" s="43"/>
      <c r="E21" s="44"/>
      <c r="F21" s="6"/>
      <c r="G21" s="6"/>
      <c r="H21" s="6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8"/>
    </row>
    <row r="22" spans="1:28" x14ac:dyDescent="0.2">
      <c r="A22" s="43"/>
      <c r="B22" s="43"/>
      <c r="C22" s="43"/>
      <c r="D22" s="43"/>
      <c r="E22" s="44"/>
      <c r="F22" s="6"/>
      <c r="G22" s="6"/>
      <c r="H22" s="6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8"/>
    </row>
    <row r="23" spans="1:28" x14ac:dyDescent="0.2">
      <c r="A23" s="46">
        <v>75081.789999999994</v>
      </c>
      <c r="B23" s="42"/>
      <c r="C23" s="4" t="s">
        <v>32</v>
      </c>
      <c r="D23" s="42">
        <v>76945</v>
      </c>
      <c r="E23" s="42"/>
      <c r="F23" s="6" t="s">
        <v>40</v>
      </c>
      <c r="G23" s="6">
        <f t="shared" ref="G23:G37" si="0">D23-A23</f>
        <v>1863.2100000000064</v>
      </c>
      <c r="H23" s="6">
        <v>11.6</v>
      </c>
      <c r="I23" s="7">
        <f t="shared" ref="I23:I35" si="1">ROUNDUP(((H23*G23)/9),1)</f>
        <v>2401.5</v>
      </c>
      <c r="J23" s="7"/>
      <c r="K23" s="7"/>
      <c r="L23" s="7">
        <f>I23</f>
        <v>2401.5</v>
      </c>
      <c r="M23" s="7"/>
      <c r="N23" s="7"/>
      <c r="O23" s="7"/>
      <c r="P23" s="7"/>
      <c r="Q23" s="7"/>
      <c r="R23" s="7"/>
      <c r="S23" s="7">
        <f>ROUNDUP((I23*0.09),1)</f>
        <v>216.2</v>
      </c>
      <c r="T23" s="7"/>
      <c r="U23" s="7"/>
      <c r="V23" s="7"/>
      <c r="W23" s="7">
        <f>ROUNDUP((I23*(1.5/36)),1)</f>
        <v>100.1</v>
      </c>
      <c r="X23" s="7"/>
      <c r="Y23" s="7"/>
      <c r="Z23" s="7"/>
      <c r="AA23" s="7"/>
      <c r="AB23" s="8"/>
    </row>
    <row r="24" spans="1:28" x14ac:dyDescent="0.2">
      <c r="A24" s="46">
        <v>76945</v>
      </c>
      <c r="B24" s="42"/>
      <c r="C24" s="4" t="s">
        <v>32</v>
      </c>
      <c r="D24" s="42">
        <v>76985</v>
      </c>
      <c r="E24" s="42"/>
      <c r="F24" s="6" t="s">
        <v>40</v>
      </c>
      <c r="G24" s="6">
        <f t="shared" si="0"/>
        <v>40</v>
      </c>
      <c r="H24" s="16">
        <v>10.71</v>
      </c>
      <c r="I24" s="7">
        <f t="shared" si="1"/>
        <v>47.6</v>
      </c>
      <c r="J24" s="7"/>
      <c r="K24" s="7"/>
      <c r="L24" s="7">
        <f t="shared" ref="L24:L37" si="2">I24</f>
        <v>47.6</v>
      </c>
      <c r="M24" s="7"/>
      <c r="N24" s="7"/>
      <c r="O24" s="7"/>
      <c r="P24" s="7"/>
      <c r="Q24" s="7"/>
      <c r="R24" s="7"/>
      <c r="S24" s="7">
        <f t="shared" ref="S24:S37" si="3">ROUNDUP((I24*0.09),1)</f>
        <v>4.3</v>
      </c>
      <c r="T24" s="7"/>
      <c r="U24" s="7"/>
      <c r="V24" s="7"/>
      <c r="W24" s="7">
        <f t="shared" ref="W24:W37" si="4">ROUNDUP((I24*(1.5/36)),1)</f>
        <v>2</v>
      </c>
      <c r="X24" s="7"/>
      <c r="Y24" s="7"/>
      <c r="Z24" s="7"/>
      <c r="AA24" s="7"/>
      <c r="AB24" s="8"/>
    </row>
    <row r="25" spans="1:28" x14ac:dyDescent="0.2">
      <c r="A25" s="46">
        <v>76985</v>
      </c>
      <c r="B25" s="42"/>
      <c r="C25" s="4" t="s">
        <v>32</v>
      </c>
      <c r="D25" s="42">
        <v>76995</v>
      </c>
      <c r="E25" s="42"/>
      <c r="F25" s="6" t="s">
        <v>40</v>
      </c>
      <c r="G25" s="6">
        <f t="shared" si="0"/>
        <v>10</v>
      </c>
      <c r="H25" s="6">
        <v>10.08</v>
      </c>
      <c r="I25" s="7">
        <f t="shared" si="1"/>
        <v>11.2</v>
      </c>
      <c r="J25" s="7"/>
      <c r="K25" s="7"/>
      <c r="L25" s="7">
        <f t="shared" si="2"/>
        <v>11.2</v>
      </c>
      <c r="M25" s="7"/>
      <c r="N25" s="7"/>
      <c r="O25" s="7"/>
      <c r="P25" s="7"/>
      <c r="Q25" s="7"/>
      <c r="R25" s="7"/>
      <c r="S25" s="7">
        <f t="shared" si="3"/>
        <v>1.1000000000000001</v>
      </c>
      <c r="T25" s="7"/>
      <c r="U25" s="7"/>
      <c r="V25" s="7"/>
      <c r="W25" s="7">
        <f t="shared" si="4"/>
        <v>0.5</v>
      </c>
      <c r="X25" s="7"/>
      <c r="Y25" s="7"/>
      <c r="Z25" s="7"/>
      <c r="AA25" s="7"/>
      <c r="AB25" s="8"/>
    </row>
    <row r="26" spans="1:28" x14ac:dyDescent="0.2">
      <c r="A26" s="46">
        <v>76995</v>
      </c>
      <c r="B26" s="42"/>
      <c r="C26" s="4" t="s">
        <v>32</v>
      </c>
      <c r="D26" s="42">
        <v>77035</v>
      </c>
      <c r="E26" s="42"/>
      <c r="F26" s="6" t="s">
        <v>40</v>
      </c>
      <c r="G26" s="6">
        <f t="shared" si="0"/>
        <v>40</v>
      </c>
      <c r="H26" s="16">
        <v>10.71</v>
      </c>
      <c r="I26" s="7">
        <f t="shared" si="1"/>
        <v>47.6</v>
      </c>
      <c r="J26" s="7"/>
      <c r="K26" s="7"/>
      <c r="L26" s="7">
        <f t="shared" si="2"/>
        <v>47.6</v>
      </c>
      <c r="M26" s="7"/>
      <c r="N26" s="7"/>
      <c r="O26" s="7"/>
      <c r="P26" s="7"/>
      <c r="Q26" s="7"/>
      <c r="R26" s="7"/>
      <c r="S26" s="7">
        <f t="shared" si="3"/>
        <v>4.3</v>
      </c>
      <c r="T26" s="7"/>
      <c r="U26" s="7"/>
      <c r="V26" s="7"/>
      <c r="W26" s="7">
        <f t="shared" si="4"/>
        <v>2</v>
      </c>
      <c r="X26" s="7"/>
      <c r="Y26" s="7"/>
      <c r="Z26" s="7"/>
      <c r="AA26" s="7"/>
      <c r="AB26" s="8"/>
    </row>
    <row r="27" spans="1:28" x14ac:dyDescent="0.2">
      <c r="A27" s="46">
        <v>77035</v>
      </c>
      <c r="B27" s="42"/>
      <c r="C27" s="4" t="s">
        <v>32</v>
      </c>
      <c r="D27" s="42">
        <v>79585</v>
      </c>
      <c r="E27" s="42"/>
      <c r="F27" s="6" t="s">
        <v>40</v>
      </c>
      <c r="G27" s="6">
        <f t="shared" si="0"/>
        <v>2550</v>
      </c>
      <c r="H27" s="6">
        <v>11.6</v>
      </c>
      <c r="I27" s="7">
        <f t="shared" si="1"/>
        <v>3286.7</v>
      </c>
      <c r="J27" s="7"/>
      <c r="K27" s="7"/>
      <c r="L27" s="7">
        <f t="shared" si="2"/>
        <v>3286.7</v>
      </c>
      <c r="M27" s="7"/>
      <c r="N27" s="7"/>
      <c r="O27" s="7"/>
      <c r="P27" s="7"/>
      <c r="Q27" s="7"/>
      <c r="R27" s="7"/>
      <c r="S27" s="7">
        <f t="shared" si="3"/>
        <v>295.90000000000003</v>
      </c>
      <c r="T27" s="7"/>
      <c r="U27" s="7"/>
      <c r="V27" s="7"/>
      <c r="W27" s="7">
        <f t="shared" si="4"/>
        <v>137</v>
      </c>
      <c r="X27" s="7"/>
      <c r="Y27" s="7"/>
      <c r="Z27" s="7"/>
      <c r="AA27" s="7"/>
      <c r="AB27" s="8"/>
    </row>
    <row r="28" spans="1:28" x14ac:dyDescent="0.2">
      <c r="A28" s="46">
        <v>79585</v>
      </c>
      <c r="B28" s="42"/>
      <c r="C28" s="4" t="s">
        <v>32</v>
      </c>
      <c r="D28" s="42">
        <v>79625</v>
      </c>
      <c r="E28" s="42"/>
      <c r="F28" s="6" t="s">
        <v>40</v>
      </c>
      <c r="G28" s="6">
        <f t="shared" si="0"/>
        <v>40</v>
      </c>
      <c r="H28" s="16">
        <v>10.98</v>
      </c>
      <c r="I28" s="7">
        <f t="shared" si="1"/>
        <v>48.8</v>
      </c>
      <c r="J28" s="7"/>
      <c r="K28" s="7"/>
      <c r="L28" s="7">
        <f t="shared" si="2"/>
        <v>48.8</v>
      </c>
      <c r="M28" s="7"/>
      <c r="N28" s="7"/>
      <c r="O28" s="7"/>
      <c r="P28" s="7"/>
      <c r="Q28" s="7"/>
      <c r="R28" s="7"/>
      <c r="S28" s="7">
        <f t="shared" si="3"/>
        <v>4.3999999999999995</v>
      </c>
      <c r="T28" s="7"/>
      <c r="U28" s="7"/>
      <c r="V28" s="7"/>
      <c r="W28" s="7">
        <f t="shared" si="4"/>
        <v>2.1</v>
      </c>
      <c r="X28" s="7"/>
      <c r="Y28" s="7"/>
      <c r="Z28" s="7"/>
      <c r="AA28" s="7"/>
      <c r="AB28" s="8"/>
    </row>
    <row r="29" spans="1:28" x14ac:dyDescent="0.2">
      <c r="A29" s="46">
        <v>79625</v>
      </c>
      <c r="B29" s="42"/>
      <c r="C29" s="4" t="s">
        <v>32</v>
      </c>
      <c r="D29" s="42">
        <v>79635</v>
      </c>
      <c r="E29" s="42"/>
      <c r="F29" s="6" t="s">
        <v>40</v>
      </c>
      <c r="G29" s="6">
        <f t="shared" si="0"/>
        <v>10</v>
      </c>
      <c r="H29" s="6">
        <v>10.36</v>
      </c>
      <c r="I29" s="7">
        <f t="shared" si="1"/>
        <v>11.6</v>
      </c>
      <c r="J29" s="7"/>
      <c r="K29" s="7"/>
      <c r="L29" s="7">
        <f t="shared" si="2"/>
        <v>11.6</v>
      </c>
      <c r="M29" s="7"/>
      <c r="N29" s="7"/>
      <c r="O29" s="7"/>
      <c r="P29" s="7"/>
      <c r="Q29" s="7"/>
      <c r="R29" s="7"/>
      <c r="S29" s="7">
        <f t="shared" si="3"/>
        <v>1.1000000000000001</v>
      </c>
      <c r="T29" s="7"/>
      <c r="U29" s="7"/>
      <c r="V29" s="7"/>
      <c r="W29" s="7">
        <f t="shared" si="4"/>
        <v>0.5</v>
      </c>
      <c r="X29" s="7"/>
      <c r="Y29" s="7"/>
      <c r="Z29" s="7"/>
      <c r="AA29" s="7"/>
      <c r="AB29" s="8"/>
    </row>
    <row r="30" spans="1:28" x14ac:dyDescent="0.2">
      <c r="A30" s="46">
        <v>79635</v>
      </c>
      <c r="B30" s="42"/>
      <c r="C30" s="4" t="s">
        <v>32</v>
      </c>
      <c r="D30" s="42">
        <v>79675</v>
      </c>
      <c r="E30" s="42"/>
      <c r="F30" s="6" t="s">
        <v>40</v>
      </c>
      <c r="G30" s="6">
        <f t="shared" si="0"/>
        <v>40</v>
      </c>
      <c r="H30" s="16">
        <v>10.98</v>
      </c>
      <c r="I30" s="7">
        <f t="shared" si="1"/>
        <v>48.8</v>
      </c>
      <c r="J30" s="7"/>
      <c r="K30" s="7"/>
      <c r="L30" s="7">
        <f t="shared" si="2"/>
        <v>48.8</v>
      </c>
      <c r="M30" s="7"/>
      <c r="N30" s="7"/>
      <c r="O30" s="7"/>
      <c r="P30" s="7"/>
      <c r="Q30" s="7"/>
      <c r="R30" s="7"/>
      <c r="S30" s="7">
        <f t="shared" si="3"/>
        <v>4.3999999999999995</v>
      </c>
      <c r="T30" s="7"/>
      <c r="U30" s="7"/>
      <c r="V30" s="7"/>
      <c r="W30" s="7">
        <f t="shared" si="4"/>
        <v>2.1</v>
      </c>
      <c r="X30" s="7"/>
      <c r="Y30" s="7"/>
      <c r="Z30" s="7"/>
      <c r="AA30" s="7"/>
      <c r="AB30" s="8"/>
    </row>
    <row r="31" spans="1:28" x14ac:dyDescent="0.2">
      <c r="A31" s="46">
        <v>79675</v>
      </c>
      <c r="B31" s="42"/>
      <c r="C31" s="4" t="s">
        <v>32</v>
      </c>
      <c r="D31" s="42">
        <v>82235</v>
      </c>
      <c r="E31" s="42"/>
      <c r="F31" s="6" t="s">
        <v>40</v>
      </c>
      <c r="G31" s="6">
        <f t="shared" si="0"/>
        <v>2560</v>
      </c>
      <c r="H31" s="6">
        <v>11.6</v>
      </c>
      <c r="I31" s="7">
        <f t="shared" si="1"/>
        <v>3299.6</v>
      </c>
      <c r="J31" s="7"/>
      <c r="K31" s="7"/>
      <c r="L31" s="7">
        <f t="shared" si="2"/>
        <v>3299.6</v>
      </c>
      <c r="M31" s="7"/>
      <c r="N31" s="7"/>
      <c r="O31" s="7"/>
      <c r="P31" s="7"/>
      <c r="Q31" s="7"/>
      <c r="R31" s="7"/>
      <c r="S31" s="7">
        <f t="shared" si="3"/>
        <v>297</v>
      </c>
      <c r="T31" s="7"/>
      <c r="U31" s="7"/>
      <c r="V31" s="7"/>
      <c r="W31" s="7">
        <f t="shared" si="4"/>
        <v>137.5</v>
      </c>
      <c r="X31" s="7"/>
      <c r="Y31" s="7"/>
      <c r="Z31" s="7"/>
      <c r="AA31" s="7"/>
      <c r="AB31" s="8"/>
    </row>
    <row r="32" spans="1:28" x14ac:dyDescent="0.2">
      <c r="A32" s="46">
        <v>82235</v>
      </c>
      <c r="B32" s="42"/>
      <c r="C32" s="4" t="s">
        <v>32</v>
      </c>
      <c r="D32" s="42">
        <v>82275</v>
      </c>
      <c r="E32" s="42"/>
      <c r="F32" s="6" t="s">
        <v>40</v>
      </c>
      <c r="G32" s="6">
        <f t="shared" si="0"/>
        <v>40</v>
      </c>
      <c r="H32" s="16">
        <v>10.98</v>
      </c>
      <c r="I32" s="7">
        <f t="shared" si="1"/>
        <v>48.8</v>
      </c>
      <c r="J32" s="7"/>
      <c r="K32" s="7"/>
      <c r="L32" s="7">
        <f t="shared" si="2"/>
        <v>48.8</v>
      </c>
      <c r="M32" s="7"/>
      <c r="N32" s="7"/>
      <c r="O32" s="7"/>
      <c r="P32" s="7"/>
      <c r="Q32" s="7"/>
      <c r="R32" s="7"/>
      <c r="S32" s="7">
        <f t="shared" si="3"/>
        <v>4.3999999999999995</v>
      </c>
      <c r="T32" s="7"/>
      <c r="U32" s="7"/>
      <c r="V32" s="7"/>
      <c r="W32" s="7">
        <f t="shared" si="4"/>
        <v>2.1</v>
      </c>
      <c r="X32" s="7"/>
      <c r="Y32" s="7"/>
      <c r="Z32" s="7"/>
      <c r="AA32" s="7"/>
      <c r="AB32" s="8"/>
    </row>
    <row r="33" spans="1:28" x14ac:dyDescent="0.2">
      <c r="A33" s="46">
        <v>82275</v>
      </c>
      <c r="B33" s="42"/>
      <c r="C33" s="4" t="s">
        <v>32</v>
      </c>
      <c r="D33" s="42">
        <v>82285</v>
      </c>
      <c r="E33" s="42"/>
      <c r="F33" s="6" t="s">
        <v>40</v>
      </c>
      <c r="G33" s="6">
        <f t="shared" si="0"/>
        <v>10</v>
      </c>
      <c r="H33" s="6">
        <v>10.35</v>
      </c>
      <c r="I33" s="7">
        <f t="shared" si="1"/>
        <v>11.5</v>
      </c>
      <c r="J33" s="7"/>
      <c r="K33" s="7"/>
      <c r="L33" s="7">
        <f t="shared" si="2"/>
        <v>11.5</v>
      </c>
      <c r="M33" s="7"/>
      <c r="N33" s="7"/>
      <c r="O33" s="7"/>
      <c r="P33" s="7"/>
      <c r="Q33" s="7"/>
      <c r="R33" s="7"/>
      <c r="S33" s="7">
        <f t="shared" si="3"/>
        <v>1.1000000000000001</v>
      </c>
      <c r="T33" s="7"/>
      <c r="U33" s="7"/>
      <c r="V33" s="7"/>
      <c r="W33" s="7">
        <f t="shared" si="4"/>
        <v>0.5</v>
      </c>
      <c r="X33" s="7"/>
      <c r="Y33" s="7"/>
      <c r="Z33" s="7"/>
      <c r="AA33" s="7"/>
      <c r="AB33" s="8"/>
    </row>
    <row r="34" spans="1:28" x14ac:dyDescent="0.2">
      <c r="A34" s="46">
        <v>82285</v>
      </c>
      <c r="B34" s="42"/>
      <c r="C34" s="4" t="s">
        <v>32</v>
      </c>
      <c r="D34" s="42">
        <v>82325</v>
      </c>
      <c r="E34" s="42"/>
      <c r="F34" s="6" t="s">
        <v>40</v>
      </c>
      <c r="G34" s="6">
        <f t="shared" si="0"/>
        <v>40</v>
      </c>
      <c r="H34" s="16">
        <v>10.98</v>
      </c>
      <c r="I34" s="7">
        <f t="shared" si="1"/>
        <v>48.8</v>
      </c>
      <c r="J34" s="7"/>
      <c r="K34" s="7"/>
      <c r="L34" s="7">
        <f t="shared" si="2"/>
        <v>48.8</v>
      </c>
      <c r="M34" s="7"/>
      <c r="N34" s="7"/>
      <c r="O34" s="7"/>
      <c r="P34" s="7"/>
      <c r="Q34" s="7"/>
      <c r="R34" s="7"/>
      <c r="S34" s="7">
        <f t="shared" si="3"/>
        <v>4.3999999999999995</v>
      </c>
      <c r="T34" s="7"/>
      <c r="U34" s="7"/>
      <c r="V34" s="7"/>
      <c r="W34" s="7">
        <f t="shared" si="4"/>
        <v>2.1</v>
      </c>
      <c r="X34" s="7"/>
      <c r="Y34" s="7"/>
      <c r="Z34" s="7"/>
      <c r="AA34" s="7"/>
      <c r="AB34" s="8"/>
    </row>
    <row r="35" spans="1:28" x14ac:dyDescent="0.2">
      <c r="A35" s="46">
        <v>82325</v>
      </c>
      <c r="B35" s="42"/>
      <c r="C35" s="4" t="s">
        <v>32</v>
      </c>
      <c r="D35" s="42">
        <v>83170</v>
      </c>
      <c r="E35" s="42"/>
      <c r="F35" s="6" t="s">
        <v>40</v>
      </c>
      <c r="G35" s="6">
        <f t="shared" si="0"/>
        <v>845</v>
      </c>
      <c r="H35" s="6">
        <v>11.6</v>
      </c>
      <c r="I35" s="7">
        <f t="shared" si="1"/>
        <v>1089.1999999999998</v>
      </c>
      <c r="J35" s="12"/>
      <c r="K35" s="7"/>
      <c r="L35" s="7">
        <f t="shared" si="2"/>
        <v>1089.1999999999998</v>
      </c>
      <c r="M35" s="7"/>
      <c r="N35" s="7"/>
      <c r="O35" s="7"/>
      <c r="P35" s="7"/>
      <c r="Q35" s="7"/>
      <c r="R35" s="7"/>
      <c r="S35" s="7">
        <f t="shared" si="3"/>
        <v>98.1</v>
      </c>
      <c r="T35" s="7"/>
      <c r="U35" s="7"/>
      <c r="V35" s="7"/>
      <c r="W35" s="7">
        <f t="shared" si="4"/>
        <v>45.4</v>
      </c>
      <c r="X35" s="7"/>
      <c r="Y35" s="7"/>
      <c r="Z35" s="7"/>
      <c r="AA35" s="7"/>
      <c r="AB35" s="8"/>
    </row>
    <row r="36" spans="1:28" x14ac:dyDescent="0.2">
      <c r="A36" s="46">
        <v>83170</v>
      </c>
      <c r="B36" s="42"/>
      <c r="C36" s="4" t="s">
        <v>32</v>
      </c>
      <c r="D36" s="42">
        <v>83378</v>
      </c>
      <c r="E36" s="42"/>
      <c r="F36" s="6" t="s">
        <v>40</v>
      </c>
      <c r="G36" s="6">
        <f t="shared" si="0"/>
        <v>208</v>
      </c>
      <c r="H36" s="16">
        <f>ROUNDUP(((I36*9)/G36),1)</f>
        <v>10.799999999999999</v>
      </c>
      <c r="I36" s="17">
        <f>ROUNDUP((2242.86/9),1)</f>
        <v>249.29999999999998</v>
      </c>
      <c r="J36" s="7"/>
      <c r="K36" s="7"/>
      <c r="L36" s="7">
        <f t="shared" si="2"/>
        <v>249.29999999999998</v>
      </c>
      <c r="M36" s="7"/>
      <c r="N36" s="7"/>
      <c r="O36" s="7"/>
      <c r="P36" s="7"/>
      <c r="Q36" s="7"/>
      <c r="R36" s="7"/>
      <c r="S36" s="7">
        <f t="shared" si="3"/>
        <v>22.5</v>
      </c>
      <c r="T36" s="7"/>
      <c r="U36" s="7"/>
      <c r="V36" s="7"/>
      <c r="W36" s="7">
        <f t="shared" si="4"/>
        <v>10.4</v>
      </c>
      <c r="X36" s="7"/>
      <c r="Y36" s="7"/>
      <c r="Z36" s="7"/>
      <c r="AA36" s="7"/>
      <c r="AB36" s="8"/>
    </row>
    <row r="37" spans="1:28" x14ac:dyDescent="0.2">
      <c r="A37" s="46">
        <v>83378</v>
      </c>
      <c r="B37" s="42"/>
      <c r="C37" s="4" t="s">
        <v>32</v>
      </c>
      <c r="D37" s="42">
        <v>85500</v>
      </c>
      <c r="E37" s="42"/>
      <c r="F37" s="6" t="s">
        <v>40</v>
      </c>
      <c r="G37" s="6">
        <f t="shared" si="0"/>
        <v>2122</v>
      </c>
      <c r="H37" s="16">
        <f>ROUNDUP(((I37*9)/G37),1)</f>
        <v>10.4</v>
      </c>
      <c r="I37" s="17">
        <f>ROUNDUP((21889.95/9),1)</f>
        <v>2432.2999999999997</v>
      </c>
      <c r="J37" s="7"/>
      <c r="K37" s="7"/>
      <c r="L37" s="7">
        <f t="shared" si="2"/>
        <v>2432.2999999999997</v>
      </c>
      <c r="M37" s="7"/>
      <c r="N37" s="7"/>
      <c r="O37" s="7"/>
      <c r="P37" s="7"/>
      <c r="Q37" s="7"/>
      <c r="R37" s="7"/>
      <c r="S37" s="7">
        <f t="shared" si="3"/>
        <v>219</v>
      </c>
      <c r="T37" s="7"/>
      <c r="U37" s="7"/>
      <c r="V37" s="7"/>
      <c r="W37" s="7">
        <f t="shared" si="4"/>
        <v>101.39999999999999</v>
      </c>
      <c r="X37" s="7"/>
      <c r="Y37" s="7"/>
      <c r="Z37" s="7"/>
      <c r="AA37" s="7"/>
      <c r="AB37" s="8"/>
    </row>
    <row r="38" spans="1:28" x14ac:dyDescent="0.2">
      <c r="A38" s="45"/>
      <c r="B38" s="45"/>
      <c r="C38" s="45"/>
      <c r="D38" s="45"/>
      <c r="E38" s="46"/>
      <c r="F38" s="6"/>
      <c r="G38" s="6"/>
      <c r="H38" s="6"/>
      <c r="I38" s="19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8"/>
    </row>
    <row r="39" spans="1:28" x14ac:dyDescent="0.2">
      <c r="A39" s="45"/>
      <c r="B39" s="45"/>
      <c r="C39" s="45"/>
      <c r="D39" s="45"/>
      <c r="E39" s="46"/>
      <c r="F39" s="6"/>
      <c r="G39" s="6"/>
      <c r="H39" s="6"/>
      <c r="I39" s="20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Z39" s="7"/>
      <c r="AA39" s="7"/>
      <c r="AB39" s="8"/>
    </row>
    <row r="40" spans="1:28" x14ac:dyDescent="0.2">
      <c r="A40" s="45" t="s">
        <v>70</v>
      </c>
      <c r="B40" s="45"/>
      <c r="C40" s="45"/>
      <c r="D40" s="45"/>
      <c r="E40" s="46"/>
      <c r="F40" s="6"/>
      <c r="G40" s="6"/>
      <c r="H40" s="6"/>
      <c r="I40" s="20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  <c r="AA40" s="7"/>
      <c r="AB40" s="8"/>
    </row>
    <row r="41" spans="1:28" x14ac:dyDescent="0.2">
      <c r="A41" s="46" t="s">
        <v>88</v>
      </c>
      <c r="B41" s="42"/>
      <c r="C41" s="4" t="s">
        <v>32</v>
      </c>
      <c r="D41" s="42">
        <v>62300</v>
      </c>
      <c r="E41" s="42"/>
      <c r="F41" s="6" t="s">
        <v>40</v>
      </c>
      <c r="G41" s="6">
        <f>100</f>
        <v>100</v>
      </c>
      <c r="H41" s="27">
        <f>ROUNDUP(((I41*9)/G41),1)</f>
        <v>10.5</v>
      </c>
      <c r="I41" s="21">
        <f>ROUNDUP((1040.87/9),1)</f>
        <v>115.69999999999999</v>
      </c>
      <c r="J41" s="7"/>
      <c r="K41" s="7"/>
      <c r="L41" s="7">
        <f t="shared" ref="L41:L59" si="5">I41</f>
        <v>115.69999999999999</v>
      </c>
      <c r="M41" s="7"/>
      <c r="N41" s="7"/>
      <c r="O41" s="7"/>
      <c r="P41" s="7"/>
      <c r="Q41" s="7"/>
      <c r="R41" s="7"/>
      <c r="S41" s="7">
        <f t="shared" ref="S41:S59" si="6">ROUNDUP((I41*0.09),1)</f>
        <v>10.5</v>
      </c>
      <c r="T41" s="7"/>
      <c r="U41" s="7"/>
      <c r="V41" s="7"/>
      <c r="W41" s="7">
        <f t="shared" ref="W41:W59" si="7">ROUNDUP((I41*(1.5/36)),1)</f>
        <v>4.8999999999999995</v>
      </c>
      <c r="X41" s="7"/>
      <c r="Y41" s="7"/>
      <c r="Z41" s="7"/>
      <c r="AA41" s="7"/>
      <c r="AB41" s="8"/>
    </row>
    <row r="42" spans="1:28" x14ac:dyDescent="0.2">
      <c r="A42" s="46">
        <v>62300</v>
      </c>
      <c r="B42" s="42"/>
      <c r="C42" s="4" t="s">
        <v>32</v>
      </c>
      <c r="D42" s="42">
        <v>63965</v>
      </c>
      <c r="E42" s="42"/>
      <c r="F42" s="6" t="s">
        <v>40</v>
      </c>
      <c r="G42" s="6">
        <f>D42-A42</f>
        <v>1665</v>
      </c>
      <c r="H42" s="27">
        <f>ROUNDUP(((I42*9)/G42),1)</f>
        <v>10.6</v>
      </c>
      <c r="I42" s="21">
        <f>ROUNDUP((17571.17/9),1)</f>
        <v>1952.3999999999999</v>
      </c>
      <c r="J42" s="7"/>
      <c r="K42" s="7"/>
      <c r="L42" s="7">
        <f t="shared" si="5"/>
        <v>1952.3999999999999</v>
      </c>
      <c r="M42" s="7"/>
      <c r="N42" s="7"/>
      <c r="O42" s="7"/>
      <c r="P42" s="7"/>
      <c r="Q42" s="7"/>
      <c r="R42" s="7"/>
      <c r="S42" s="7">
        <f t="shared" si="6"/>
        <v>175.79999999999998</v>
      </c>
      <c r="T42" s="7"/>
      <c r="U42" s="7"/>
      <c r="V42" s="7"/>
      <c r="W42" s="7">
        <f t="shared" si="7"/>
        <v>81.399999999999991</v>
      </c>
      <c r="X42" s="7"/>
      <c r="Y42" s="7"/>
      <c r="Z42" s="7"/>
      <c r="AA42" s="7"/>
      <c r="AB42" s="8"/>
    </row>
    <row r="43" spans="1:28" x14ac:dyDescent="0.2">
      <c r="A43" s="46">
        <v>63965</v>
      </c>
      <c r="B43" s="42"/>
      <c r="C43" s="4" t="s">
        <v>32</v>
      </c>
      <c r="D43" s="42">
        <v>65350</v>
      </c>
      <c r="E43" s="42"/>
      <c r="F43" s="6" t="s">
        <v>40</v>
      </c>
      <c r="G43" s="6">
        <f>D43-A43</f>
        <v>1385</v>
      </c>
      <c r="H43" s="6">
        <v>10</v>
      </c>
      <c r="I43" s="20">
        <f>ROUNDUP(((H43*G43)/9),1)</f>
        <v>1538.8999999999999</v>
      </c>
      <c r="J43" s="7"/>
      <c r="K43" s="7"/>
      <c r="L43" s="7">
        <f t="shared" si="5"/>
        <v>1538.8999999999999</v>
      </c>
      <c r="M43" s="7"/>
      <c r="N43" s="7"/>
      <c r="O43" s="7"/>
      <c r="P43" s="7"/>
      <c r="Q43" s="7"/>
      <c r="R43" s="7"/>
      <c r="S43" s="7">
        <f t="shared" si="6"/>
        <v>138.6</v>
      </c>
      <c r="T43" s="7"/>
      <c r="U43" s="7"/>
      <c r="V43" s="7"/>
      <c r="W43" s="7">
        <f t="shared" si="7"/>
        <v>64.199999999999989</v>
      </c>
      <c r="X43" s="7"/>
      <c r="Y43" s="7"/>
      <c r="Z43" s="7"/>
      <c r="AA43" s="7"/>
      <c r="AB43" s="8"/>
    </row>
    <row r="44" spans="1:28" x14ac:dyDescent="0.2">
      <c r="A44" s="46">
        <v>65350</v>
      </c>
      <c r="B44" s="42"/>
      <c r="C44" s="4" t="s">
        <v>32</v>
      </c>
      <c r="D44" s="42">
        <v>65650</v>
      </c>
      <c r="E44" s="42"/>
      <c r="F44" s="6" t="s">
        <v>40</v>
      </c>
      <c r="G44" s="6">
        <f>D44-A44</f>
        <v>300</v>
      </c>
      <c r="H44" s="16">
        <v>9</v>
      </c>
      <c r="I44" s="20">
        <f>ROUNDUP(((H44*G44)/9),1)</f>
        <v>300</v>
      </c>
      <c r="J44" s="7"/>
      <c r="K44" s="7"/>
      <c r="L44" s="7">
        <f t="shared" si="5"/>
        <v>300</v>
      </c>
      <c r="M44" s="7"/>
      <c r="N44" s="7"/>
      <c r="O44" s="7"/>
      <c r="P44" s="7"/>
      <c r="Q44" s="7"/>
      <c r="R44" s="7"/>
      <c r="S44" s="7">
        <f t="shared" si="6"/>
        <v>27</v>
      </c>
      <c r="T44" s="7"/>
      <c r="U44" s="7"/>
      <c r="V44" s="7"/>
      <c r="W44" s="7">
        <f t="shared" si="7"/>
        <v>12.5</v>
      </c>
      <c r="X44" s="7"/>
      <c r="Y44" s="7"/>
      <c r="Z44" s="7"/>
      <c r="AA44" s="7"/>
      <c r="AB44" s="8"/>
    </row>
    <row r="45" spans="1:28" x14ac:dyDescent="0.2">
      <c r="A45" s="46">
        <v>65650</v>
      </c>
      <c r="B45" s="42"/>
      <c r="C45" s="4" t="s">
        <v>32</v>
      </c>
      <c r="D45" s="42">
        <v>65948.37</v>
      </c>
      <c r="E45" s="42"/>
      <c r="F45" s="6" t="s">
        <v>40</v>
      </c>
      <c r="G45" s="6">
        <f t="shared" ref="G45:G59" si="8">D45-A45</f>
        <v>298.36999999999534</v>
      </c>
      <c r="H45" s="6">
        <v>8</v>
      </c>
      <c r="I45" s="20">
        <f t="shared" ref="I45:I56" si="9">ROUNDUP(((H45*G45)/9),1)</f>
        <v>265.3</v>
      </c>
      <c r="J45" s="12"/>
      <c r="K45" s="7"/>
      <c r="L45" s="7">
        <f t="shared" si="5"/>
        <v>265.3</v>
      </c>
      <c r="M45" s="7"/>
      <c r="N45" s="7"/>
      <c r="O45" s="7"/>
      <c r="P45" s="7"/>
      <c r="Q45" s="7"/>
      <c r="R45" s="7"/>
      <c r="S45" s="7">
        <f t="shared" si="6"/>
        <v>23.900000000000002</v>
      </c>
      <c r="T45" s="7"/>
      <c r="U45" s="7"/>
      <c r="V45" s="7"/>
      <c r="W45" s="7">
        <f t="shared" si="7"/>
        <v>11.1</v>
      </c>
      <c r="X45" s="7"/>
      <c r="Y45" s="7"/>
      <c r="Z45" s="7"/>
      <c r="AA45" s="7"/>
      <c r="AB45" s="8"/>
    </row>
    <row r="46" spans="1:28" x14ac:dyDescent="0.2">
      <c r="A46" s="46">
        <v>66252</v>
      </c>
      <c r="B46" s="42"/>
      <c r="C46" s="4" t="s">
        <v>32</v>
      </c>
      <c r="D46" s="42">
        <v>66872.5</v>
      </c>
      <c r="E46" s="42"/>
      <c r="F46" s="6" t="s">
        <v>40</v>
      </c>
      <c r="G46" s="6">
        <f t="shared" si="8"/>
        <v>620.5</v>
      </c>
      <c r="H46" s="6">
        <v>10</v>
      </c>
      <c r="I46" s="20">
        <f t="shared" si="9"/>
        <v>689.5</v>
      </c>
      <c r="J46" s="7"/>
      <c r="K46" s="7"/>
      <c r="L46" s="7">
        <f t="shared" si="5"/>
        <v>689.5</v>
      </c>
      <c r="M46" s="7"/>
      <c r="N46" s="7"/>
      <c r="O46" s="7"/>
      <c r="P46" s="7"/>
      <c r="Q46" s="7"/>
      <c r="R46" s="7"/>
      <c r="S46" s="7">
        <f t="shared" si="6"/>
        <v>62.1</v>
      </c>
      <c r="T46" s="7"/>
      <c r="U46" s="7"/>
      <c r="V46" s="7"/>
      <c r="W46" s="7">
        <f t="shared" si="7"/>
        <v>28.8</v>
      </c>
      <c r="X46" s="7"/>
      <c r="Y46" s="7"/>
      <c r="Z46" s="7"/>
      <c r="AA46" s="7"/>
      <c r="AB46" s="8"/>
    </row>
    <row r="47" spans="1:28" x14ac:dyDescent="0.2">
      <c r="A47" s="46">
        <v>67133.429999999993</v>
      </c>
      <c r="B47" s="42"/>
      <c r="C47" s="4" t="s">
        <v>32</v>
      </c>
      <c r="D47" s="42">
        <v>67400</v>
      </c>
      <c r="E47" s="42"/>
      <c r="F47" s="6" t="s">
        <v>40</v>
      </c>
      <c r="G47" s="6">
        <f t="shared" si="8"/>
        <v>266.57000000000698</v>
      </c>
      <c r="H47" s="6">
        <v>8</v>
      </c>
      <c r="I47" s="20">
        <f t="shared" si="9"/>
        <v>237</v>
      </c>
      <c r="J47" s="7"/>
      <c r="K47" s="7"/>
      <c r="L47" s="7">
        <f t="shared" si="5"/>
        <v>237</v>
      </c>
      <c r="M47" s="7"/>
      <c r="N47" s="7"/>
      <c r="O47" s="7"/>
      <c r="P47" s="7"/>
      <c r="Q47" s="7"/>
      <c r="R47" s="7"/>
      <c r="S47" s="7">
        <f t="shared" si="6"/>
        <v>21.400000000000002</v>
      </c>
      <c r="T47" s="7"/>
      <c r="U47" s="7"/>
      <c r="V47" s="7"/>
      <c r="W47" s="7">
        <f t="shared" si="7"/>
        <v>9.9</v>
      </c>
      <c r="X47" s="7"/>
      <c r="Y47" s="7"/>
      <c r="Z47" s="7"/>
      <c r="AA47" s="7"/>
      <c r="AB47" s="8"/>
    </row>
    <row r="48" spans="1:28" x14ac:dyDescent="0.2">
      <c r="A48" s="46">
        <v>67400</v>
      </c>
      <c r="B48" s="42"/>
      <c r="C48" s="4" t="s">
        <v>32</v>
      </c>
      <c r="D48" s="42">
        <v>67500</v>
      </c>
      <c r="E48" s="42"/>
      <c r="F48" s="6" t="s">
        <v>40</v>
      </c>
      <c r="G48" s="6">
        <f t="shared" si="8"/>
        <v>100</v>
      </c>
      <c r="H48" s="16">
        <v>9</v>
      </c>
      <c r="I48" s="20">
        <f t="shared" si="9"/>
        <v>100</v>
      </c>
      <c r="J48" s="7"/>
      <c r="K48" s="7"/>
      <c r="L48" s="7">
        <f t="shared" si="5"/>
        <v>100</v>
      </c>
      <c r="M48" s="7"/>
      <c r="N48" s="7"/>
      <c r="O48" s="7"/>
      <c r="P48" s="7"/>
      <c r="Q48" s="7"/>
      <c r="R48" s="7"/>
      <c r="S48" s="7">
        <f t="shared" si="6"/>
        <v>9</v>
      </c>
      <c r="T48" s="7"/>
      <c r="U48" s="7"/>
      <c r="V48" s="7"/>
      <c r="W48" s="7">
        <f t="shared" si="7"/>
        <v>4.1999999999999993</v>
      </c>
      <c r="X48" s="7"/>
      <c r="Y48" s="7"/>
      <c r="Z48" s="7"/>
      <c r="AA48" s="7"/>
      <c r="AB48" s="8"/>
    </row>
    <row r="49" spans="1:28" x14ac:dyDescent="0.2">
      <c r="A49" s="46">
        <v>67500</v>
      </c>
      <c r="B49" s="42"/>
      <c r="C49" s="4" t="s">
        <v>32</v>
      </c>
      <c r="D49" s="42">
        <v>68200</v>
      </c>
      <c r="E49" s="42"/>
      <c r="F49" s="6" t="s">
        <v>40</v>
      </c>
      <c r="G49" s="6">
        <f t="shared" si="8"/>
        <v>700</v>
      </c>
      <c r="H49" s="6">
        <v>10</v>
      </c>
      <c r="I49" s="20">
        <f t="shared" si="9"/>
        <v>777.80000000000007</v>
      </c>
      <c r="J49" s="7"/>
      <c r="K49" s="7"/>
      <c r="L49" s="7">
        <f t="shared" si="5"/>
        <v>777.80000000000007</v>
      </c>
      <c r="M49" s="7"/>
      <c r="N49" s="7"/>
      <c r="O49" s="7"/>
      <c r="P49" s="7"/>
      <c r="Q49" s="7"/>
      <c r="R49" s="7"/>
      <c r="S49" s="7">
        <f t="shared" si="6"/>
        <v>70.099999999999994</v>
      </c>
      <c r="T49" s="7"/>
      <c r="U49" s="7"/>
      <c r="V49" s="7"/>
      <c r="W49" s="7">
        <f t="shared" si="7"/>
        <v>32.5</v>
      </c>
      <c r="X49" s="7"/>
      <c r="Y49" s="7"/>
      <c r="Z49" s="7"/>
      <c r="AA49" s="7"/>
      <c r="AB49" s="8"/>
    </row>
    <row r="50" spans="1:28" x14ac:dyDescent="0.2">
      <c r="A50" s="46">
        <v>68200</v>
      </c>
      <c r="B50" s="42"/>
      <c r="C50" s="4" t="s">
        <v>32</v>
      </c>
      <c r="D50" s="42">
        <v>68500</v>
      </c>
      <c r="E50" s="42"/>
      <c r="F50" s="6" t="s">
        <v>40</v>
      </c>
      <c r="G50" s="6">
        <f t="shared" si="8"/>
        <v>300</v>
      </c>
      <c r="H50" s="16">
        <v>7</v>
      </c>
      <c r="I50" s="20">
        <f t="shared" si="9"/>
        <v>233.4</v>
      </c>
      <c r="J50" s="17"/>
      <c r="K50" s="7"/>
      <c r="L50" s="7">
        <f t="shared" si="5"/>
        <v>233.4</v>
      </c>
      <c r="M50" s="7"/>
      <c r="N50" s="7"/>
      <c r="O50" s="7"/>
      <c r="P50" s="7"/>
      <c r="Q50" s="7"/>
      <c r="R50" s="7"/>
      <c r="S50" s="7">
        <f t="shared" si="6"/>
        <v>21.1</v>
      </c>
      <c r="T50" s="7"/>
      <c r="U50" s="7"/>
      <c r="V50" s="7"/>
      <c r="W50" s="7">
        <f t="shared" si="7"/>
        <v>9.7999999999999989</v>
      </c>
      <c r="X50" s="7"/>
      <c r="Y50" s="7"/>
      <c r="Z50" s="7"/>
      <c r="AA50" s="7"/>
      <c r="AB50" s="8"/>
    </row>
    <row r="51" spans="1:28" x14ac:dyDescent="0.2">
      <c r="A51" s="46">
        <v>68500</v>
      </c>
      <c r="B51" s="42"/>
      <c r="C51" s="4" t="s">
        <v>32</v>
      </c>
      <c r="D51" s="42">
        <v>68873.429999999993</v>
      </c>
      <c r="E51" s="42"/>
      <c r="F51" s="6" t="s">
        <v>40</v>
      </c>
      <c r="G51" s="6">
        <f t="shared" si="8"/>
        <v>373.42999999999302</v>
      </c>
      <c r="H51" s="6">
        <v>4</v>
      </c>
      <c r="I51" s="20">
        <f t="shared" si="9"/>
        <v>166</v>
      </c>
      <c r="J51" s="7"/>
      <c r="K51" s="7"/>
      <c r="L51" s="7">
        <f t="shared" si="5"/>
        <v>166</v>
      </c>
      <c r="M51" s="7"/>
      <c r="N51" s="7"/>
      <c r="O51" s="7"/>
      <c r="P51" s="7"/>
      <c r="Q51" s="7"/>
      <c r="R51" s="7"/>
      <c r="S51" s="7">
        <f t="shared" si="6"/>
        <v>15</v>
      </c>
      <c r="T51" s="7"/>
      <c r="U51" s="7"/>
      <c r="V51" s="7"/>
      <c r="W51" s="7">
        <f t="shared" si="7"/>
        <v>7</v>
      </c>
      <c r="X51" s="7"/>
      <c r="Y51" s="7"/>
      <c r="Z51" s="7"/>
      <c r="AA51" s="7"/>
      <c r="AB51" s="8"/>
    </row>
    <row r="52" spans="1:28" x14ac:dyDescent="0.2">
      <c r="A52" s="46">
        <v>69143</v>
      </c>
      <c r="B52" s="42"/>
      <c r="C52" s="4" t="s">
        <v>32</v>
      </c>
      <c r="D52" s="42">
        <v>70275</v>
      </c>
      <c r="E52" s="42"/>
      <c r="F52" s="6" t="s">
        <v>40</v>
      </c>
      <c r="G52" s="6">
        <f t="shared" si="8"/>
        <v>1132</v>
      </c>
      <c r="H52" s="6">
        <v>10</v>
      </c>
      <c r="I52" s="20">
        <f t="shared" si="9"/>
        <v>1257.8</v>
      </c>
      <c r="J52" s="7"/>
      <c r="K52" s="7"/>
      <c r="L52" s="7">
        <f t="shared" si="5"/>
        <v>1257.8</v>
      </c>
      <c r="M52" s="7"/>
      <c r="N52" s="7"/>
      <c r="O52" s="7"/>
      <c r="P52" s="7"/>
      <c r="Q52" s="7"/>
      <c r="R52" s="7"/>
      <c r="S52" s="7">
        <f t="shared" si="6"/>
        <v>113.3</v>
      </c>
      <c r="T52" s="7"/>
      <c r="U52" s="7"/>
      <c r="V52" s="7"/>
      <c r="W52" s="7">
        <f t="shared" si="7"/>
        <v>52.5</v>
      </c>
      <c r="X52" s="7"/>
      <c r="Y52" s="7"/>
      <c r="Z52" s="7"/>
      <c r="AA52" s="7"/>
      <c r="AB52" s="8"/>
    </row>
    <row r="53" spans="1:28" x14ac:dyDescent="0.2">
      <c r="A53" s="46">
        <v>70533.429999999993</v>
      </c>
      <c r="B53" s="42"/>
      <c r="C53" s="4" t="s">
        <v>32</v>
      </c>
      <c r="D53" s="42">
        <v>70800</v>
      </c>
      <c r="E53" s="42"/>
      <c r="F53" s="6" t="s">
        <v>40</v>
      </c>
      <c r="G53" s="6">
        <f t="shared" si="8"/>
        <v>266.57000000000698</v>
      </c>
      <c r="H53" s="6">
        <v>8</v>
      </c>
      <c r="I53" s="20">
        <f t="shared" si="9"/>
        <v>237</v>
      </c>
      <c r="J53" s="7"/>
      <c r="K53" s="7"/>
      <c r="L53" s="7">
        <f t="shared" si="5"/>
        <v>237</v>
      </c>
      <c r="M53" s="7"/>
      <c r="N53" s="7"/>
      <c r="O53" s="7"/>
      <c r="P53" s="7"/>
      <c r="Q53" s="7"/>
      <c r="R53" s="7"/>
      <c r="S53" s="7">
        <f t="shared" si="6"/>
        <v>21.400000000000002</v>
      </c>
      <c r="T53" s="7"/>
      <c r="U53" s="7"/>
      <c r="V53" s="7"/>
      <c r="W53" s="7">
        <f t="shared" si="7"/>
        <v>9.9</v>
      </c>
      <c r="X53" s="7"/>
      <c r="Y53" s="7"/>
      <c r="Z53" s="7"/>
      <c r="AA53" s="7"/>
      <c r="AB53" s="8"/>
    </row>
    <row r="54" spans="1:28" x14ac:dyDescent="0.2">
      <c r="A54" s="46">
        <v>70800</v>
      </c>
      <c r="B54" s="42"/>
      <c r="C54" s="4" t="s">
        <v>32</v>
      </c>
      <c r="D54" s="42">
        <v>70900</v>
      </c>
      <c r="E54" s="42"/>
      <c r="F54" s="6" t="s">
        <v>40</v>
      </c>
      <c r="G54" s="6">
        <f t="shared" si="8"/>
        <v>100</v>
      </c>
      <c r="H54" s="16">
        <v>9</v>
      </c>
      <c r="I54" s="20">
        <f t="shared" si="9"/>
        <v>100</v>
      </c>
      <c r="J54" s="7"/>
      <c r="K54" s="7"/>
      <c r="L54" s="7">
        <f t="shared" si="5"/>
        <v>100</v>
      </c>
      <c r="M54" s="7"/>
      <c r="N54" s="7"/>
      <c r="O54" s="7"/>
      <c r="P54" s="7"/>
      <c r="Q54" s="7"/>
      <c r="R54" s="7"/>
      <c r="S54" s="7">
        <f t="shared" si="6"/>
        <v>9</v>
      </c>
      <c r="T54" s="7"/>
      <c r="U54" s="7"/>
      <c r="V54" s="7"/>
      <c r="W54" s="7">
        <f t="shared" si="7"/>
        <v>4.1999999999999993</v>
      </c>
      <c r="X54" s="7"/>
      <c r="Y54" s="7"/>
      <c r="Z54" s="7"/>
      <c r="AA54" s="7"/>
      <c r="AB54" s="8"/>
    </row>
    <row r="55" spans="1:28" x14ac:dyDescent="0.2">
      <c r="A55" s="46">
        <v>70900</v>
      </c>
      <c r="B55" s="42"/>
      <c r="C55" s="4" t="s">
        <v>32</v>
      </c>
      <c r="D55" s="42">
        <v>74796.78</v>
      </c>
      <c r="E55" s="42"/>
      <c r="F55" s="6" t="s">
        <v>40</v>
      </c>
      <c r="G55" s="6">
        <f t="shared" si="8"/>
        <v>3896.7799999999988</v>
      </c>
      <c r="H55" s="6">
        <v>10</v>
      </c>
      <c r="I55" s="20">
        <f t="shared" si="9"/>
        <v>4329.8</v>
      </c>
      <c r="J55" s="12"/>
      <c r="K55" s="7"/>
      <c r="L55" s="7">
        <f t="shared" si="5"/>
        <v>4329.8</v>
      </c>
      <c r="M55" s="7"/>
      <c r="N55" s="7"/>
      <c r="O55" s="7"/>
      <c r="P55" s="7"/>
      <c r="Q55" s="7"/>
      <c r="R55" s="7"/>
      <c r="S55" s="7">
        <f t="shared" si="6"/>
        <v>389.70000000000005</v>
      </c>
      <c r="T55" s="7"/>
      <c r="U55" s="7"/>
      <c r="V55" s="7"/>
      <c r="W55" s="7">
        <f t="shared" si="7"/>
        <v>180.5</v>
      </c>
      <c r="X55" s="7"/>
      <c r="Y55" s="7"/>
      <c r="Z55" s="7"/>
      <c r="AA55" s="7"/>
      <c r="AB55" s="8"/>
    </row>
    <row r="56" spans="1:28" x14ac:dyDescent="0.2">
      <c r="A56" s="46">
        <v>75081.789999999994</v>
      </c>
      <c r="B56" s="42"/>
      <c r="C56" s="4" t="s">
        <v>32</v>
      </c>
      <c r="D56" s="42">
        <v>80336</v>
      </c>
      <c r="E56" s="42"/>
      <c r="F56" s="6" t="s">
        <v>40</v>
      </c>
      <c r="G56" s="6">
        <f t="shared" si="8"/>
        <v>5254.2100000000064</v>
      </c>
      <c r="H56" s="6">
        <v>10</v>
      </c>
      <c r="I56" s="20">
        <f t="shared" si="9"/>
        <v>5838.1</v>
      </c>
      <c r="J56" s="7"/>
      <c r="K56" s="7"/>
      <c r="L56" s="7">
        <f t="shared" si="5"/>
        <v>5838.1</v>
      </c>
      <c r="M56" s="7"/>
      <c r="N56" s="7"/>
      <c r="O56" s="7"/>
      <c r="P56" s="7"/>
      <c r="Q56" s="7"/>
      <c r="R56" s="7"/>
      <c r="S56" s="7">
        <f t="shared" si="6"/>
        <v>525.5</v>
      </c>
      <c r="T56" s="7"/>
      <c r="U56" s="7"/>
      <c r="V56" s="7"/>
      <c r="W56" s="7">
        <f t="shared" si="7"/>
        <v>243.29999999999998</v>
      </c>
      <c r="X56" s="7"/>
      <c r="Y56" s="7"/>
      <c r="Z56" s="7"/>
      <c r="AA56" s="7"/>
      <c r="AB56" s="8"/>
    </row>
    <row r="57" spans="1:28" x14ac:dyDescent="0.2">
      <c r="A57" s="46">
        <v>80336</v>
      </c>
      <c r="B57" s="42"/>
      <c r="C57" s="4" t="s">
        <v>32</v>
      </c>
      <c r="D57" s="42">
        <v>80681.87</v>
      </c>
      <c r="E57" s="42"/>
      <c r="F57" s="6" t="s">
        <v>40</v>
      </c>
      <c r="G57" s="6">
        <f t="shared" si="8"/>
        <v>345.86999999999534</v>
      </c>
      <c r="H57" s="16">
        <f>ROUNDUP(((I57*9)/G57),1)</f>
        <v>10.1</v>
      </c>
      <c r="I57" s="17">
        <f>ROUNDUP((3485.92/9),1)</f>
        <v>387.40000000000003</v>
      </c>
      <c r="J57" s="7"/>
      <c r="K57" s="7"/>
      <c r="L57" s="7">
        <f t="shared" ref="L57" si="10">I57</f>
        <v>387.40000000000003</v>
      </c>
      <c r="M57" s="7"/>
      <c r="N57" s="7"/>
      <c r="O57" s="7"/>
      <c r="P57" s="7"/>
      <c r="Q57" s="7"/>
      <c r="R57" s="7"/>
      <c r="S57" s="7">
        <f t="shared" ref="S57" si="11">ROUNDUP((I57*0.09),1)</f>
        <v>34.9</v>
      </c>
      <c r="T57" s="7"/>
      <c r="U57" s="7"/>
      <c r="V57" s="7"/>
      <c r="W57" s="7">
        <f t="shared" ref="W57" si="12">ROUNDUP((I57*(1.5/36)),1)</f>
        <v>16.200000000000003</v>
      </c>
      <c r="X57" s="7"/>
      <c r="Y57" s="7"/>
      <c r="Z57" s="7"/>
      <c r="AA57" s="7"/>
      <c r="AB57" s="8"/>
    </row>
    <row r="58" spans="1:28" x14ac:dyDescent="0.2">
      <c r="A58" s="46">
        <v>82223.5</v>
      </c>
      <c r="B58" s="42"/>
      <c r="C58" s="4" t="s">
        <v>32</v>
      </c>
      <c r="D58" s="42">
        <v>83170</v>
      </c>
      <c r="E58" s="42"/>
      <c r="F58" s="6" t="s">
        <v>40</v>
      </c>
      <c r="G58" s="6">
        <f t="shared" si="8"/>
        <v>946.5</v>
      </c>
      <c r="H58" s="16">
        <f>ROUNDUP(((I58*9)/G58),1)</f>
        <v>10.1</v>
      </c>
      <c r="I58" s="17">
        <f>ROUNDUP((9494.39/9),1)</f>
        <v>1055</v>
      </c>
      <c r="J58" s="7"/>
      <c r="K58" s="7"/>
      <c r="L58" s="7">
        <f t="shared" si="5"/>
        <v>1055</v>
      </c>
      <c r="M58" s="7"/>
      <c r="N58" s="7"/>
      <c r="O58" s="7"/>
      <c r="P58" s="7"/>
      <c r="Q58" s="7"/>
      <c r="R58" s="7"/>
      <c r="S58" s="7">
        <f t="shared" si="6"/>
        <v>95</v>
      </c>
      <c r="T58" s="7"/>
      <c r="U58" s="7"/>
      <c r="V58" s="7"/>
      <c r="W58" s="7">
        <f t="shared" si="7"/>
        <v>44</v>
      </c>
      <c r="X58" s="7"/>
      <c r="Y58" s="7"/>
      <c r="Z58" s="7"/>
      <c r="AA58" s="7"/>
      <c r="AB58" s="8"/>
    </row>
    <row r="59" spans="1:28" x14ac:dyDescent="0.2">
      <c r="A59" s="46">
        <v>83170</v>
      </c>
      <c r="B59" s="42"/>
      <c r="C59" s="4" t="s">
        <v>32</v>
      </c>
      <c r="D59" s="42">
        <v>84366.69</v>
      </c>
      <c r="E59" s="42"/>
      <c r="F59" s="6" t="s">
        <v>40</v>
      </c>
      <c r="G59" s="6">
        <f t="shared" si="8"/>
        <v>1196.6900000000023</v>
      </c>
      <c r="H59" s="16">
        <f>ROUNDUP(((I59*9)/G59),1)</f>
        <v>10</v>
      </c>
      <c r="I59" s="17">
        <f>ROUNDUP((11850.27/9),1)</f>
        <v>1316.6999999999998</v>
      </c>
      <c r="J59" s="7"/>
      <c r="K59" s="7"/>
      <c r="L59" s="7">
        <f t="shared" si="5"/>
        <v>1316.6999999999998</v>
      </c>
      <c r="M59" s="7"/>
      <c r="N59" s="7"/>
      <c r="O59" s="7"/>
      <c r="P59" s="7"/>
      <c r="Q59" s="7"/>
      <c r="R59" s="7"/>
      <c r="S59" s="7">
        <f t="shared" si="6"/>
        <v>118.6</v>
      </c>
      <c r="T59" s="7"/>
      <c r="U59" s="7"/>
      <c r="V59" s="7"/>
      <c r="W59" s="7">
        <f t="shared" si="7"/>
        <v>54.9</v>
      </c>
      <c r="X59" s="7"/>
      <c r="Y59" s="7"/>
      <c r="Z59" s="7"/>
      <c r="AA59" s="7"/>
      <c r="AB59" s="8"/>
    </row>
    <row r="60" spans="1:28" x14ac:dyDescent="0.2">
      <c r="A60" s="46">
        <v>85172.88</v>
      </c>
      <c r="B60" s="42"/>
      <c r="C60" s="4" t="s">
        <v>32</v>
      </c>
      <c r="D60" s="42">
        <v>85500</v>
      </c>
      <c r="E60" s="42"/>
      <c r="F60" s="6" t="s">
        <v>40</v>
      </c>
      <c r="G60" s="6">
        <f t="shared" ref="G60" si="13">D60-A60</f>
        <v>327.11999999999534</v>
      </c>
      <c r="H60" s="16">
        <f>ROUNDUP(((I60*9)/G60),1)</f>
        <v>10.5</v>
      </c>
      <c r="I60" s="17">
        <f>ROUNDUP((3419.857/9),1)</f>
        <v>380</v>
      </c>
      <c r="J60" s="7"/>
      <c r="K60" s="7"/>
      <c r="L60" s="7">
        <f t="shared" ref="L60" si="14">I60</f>
        <v>380</v>
      </c>
      <c r="M60" s="7"/>
      <c r="N60" s="7"/>
      <c r="O60" s="7"/>
      <c r="P60" s="7"/>
      <c r="Q60" s="7"/>
      <c r="R60" s="7"/>
      <c r="S60" s="7">
        <f t="shared" ref="S60" si="15">ROUNDUP((I60*0.09),1)</f>
        <v>34.200000000000003</v>
      </c>
      <c r="T60" s="7"/>
      <c r="U60" s="7"/>
      <c r="V60" s="7"/>
      <c r="W60" s="7">
        <f t="shared" ref="W60" si="16">ROUNDUP((I60*(1.5/36)),1)</f>
        <v>15.9</v>
      </c>
      <c r="X60" s="7"/>
      <c r="Y60" s="7"/>
      <c r="Z60" s="7"/>
      <c r="AA60" s="7"/>
      <c r="AB60" s="8"/>
    </row>
    <row r="61" spans="1:28" x14ac:dyDescent="0.2">
      <c r="A61" s="45"/>
      <c r="B61" s="45"/>
      <c r="C61" s="45"/>
      <c r="D61" s="45"/>
      <c r="E61" s="46"/>
      <c r="F61" s="6"/>
      <c r="G61" s="6"/>
      <c r="H61" s="6"/>
      <c r="I61" s="11"/>
      <c r="J61" s="17"/>
      <c r="K61" s="7"/>
      <c r="L61" s="7"/>
      <c r="M61" s="7"/>
      <c r="N61" s="7"/>
      <c r="O61" s="7"/>
      <c r="P61" s="7"/>
      <c r="Q61" s="7"/>
      <c r="R61" s="7"/>
      <c r="S61" s="7"/>
      <c r="T61" s="7"/>
      <c r="U61" s="7"/>
      <c r="V61" s="7"/>
      <c r="W61" s="7"/>
      <c r="X61" s="7"/>
      <c r="Y61" s="7"/>
      <c r="Z61" s="7"/>
      <c r="AA61" s="7"/>
      <c r="AB61" s="8"/>
    </row>
    <row r="62" spans="1:28" x14ac:dyDescent="0.2">
      <c r="A62" s="45"/>
      <c r="B62" s="45"/>
      <c r="C62" s="45"/>
      <c r="D62" s="45"/>
      <c r="E62" s="46"/>
      <c r="F62" s="6"/>
      <c r="G62" s="6"/>
      <c r="H62" s="6"/>
      <c r="I62" s="11"/>
      <c r="J62" s="17"/>
      <c r="K62" s="7"/>
      <c r="L62" s="7"/>
      <c r="M62" s="7"/>
      <c r="N62" s="7"/>
      <c r="O62" s="7"/>
      <c r="P62" s="7"/>
      <c r="Q62" s="7"/>
      <c r="R62" s="7"/>
      <c r="S62" s="7"/>
      <c r="T62" s="7"/>
      <c r="U62" s="7"/>
      <c r="V62" s="7"/>
      <c r="W62" s="7"/>
      <c r="X62" s="7"/>
      <c r="Y62" s="7"/>
      <c r="Z62" s="7"/>
      <c r="AA62" s="7"/>
      <c r="AB62" s="8"/>
    </row>
    <row r="63" spans="1:28" x14ac:dyDescent="0.2">
      <c r="A63" s="45" t="s">
        <v>102</v>
      </c>
      <c r="B63" s="45"/>
      <c r="C63" s="45"/>
      <c r="D63" s="45"/>
      <c r="E63" s="46"/>
      <c r="F63" s="6"/>
      <c r="G63" s="6"/>
      <c r="H63" s="6"/>
      <c r="I63" s="7"/>
      <c r="J63" s="17"/>
      <c r="K63" s="7"/>
      <c r="L63" s="7"/>
      <c r="M63" s="7"/>
      <c r="N63" s="7"/>
      <c r="O63" s="7"/>
      <c r="P63" s="7"/>
      <c r="Q63" s="7"/>
      <c r="R63" s="7"/>
      <c r="S63" s="7"/>
      <c r="T63" s="7"/>
      <c r="U63" s="7"/>
      <c r="V63" s="7"/>
      <c r="W63" s="7"/>
      <c r="X63" s="7"/>
      <c r="Y63" s="7"/>
      <c r="Z63" s="7"/>
      <c r="AA63" s="7"/>
      <c r="AB63" s="8"/>
    </row>
    <row r="64" spans="1:28" x14ac:dyDescent="0.2">
      <c r="A64" s="46" t="s">
        <v>88</v>
      </c>
      <c r="B64" s="42"/>
      <c r="C64" s="4" t="s">
        <v>32</v>
      </c>
      <c r="D64" s="42">
        <v>62300</v>
      </c>
      <c r="E64" s="42"/>
      <c r="F64" s="6" t="s">
        <v>40</v>
      </c>
      <c r="G64" s="6">
        <v>100</v>
      </c>
      <c r="H64" s="6">
        <v>2</v>
      </c>
      <c r="I64" s="7">
        <f>ROUNDUP(((H64*G64)/9),1)</f>
        <v>22.3</v>
      </c>
      <c r="J64" s="17"/>
      <c r="K64" s="7"/>
      <c r="L64" s="7"/>
      <c r="M64" s="7"/>
      <c r="N64" s="7"/>
      <c r="O64" s="7"/>
      <c r="P64" s="7"/>
      <c r="Q64" s="7"/>
      <c r="R64" s="7"/>
      <c r="S64" s="7"/>
      <c r="T64" s="7">
        <f>ROUNDUP((I64*0.4),1)</f>
        <v>9</v>
      </c>
      <c r="U64" s="7"/>
      <c r="V64" s="7"/>
      <c r="W64" s="7"/>
      <c r="X64" s="7"/>
      <c r="Y64" s="7"/>
      <c r="Z64" s="7">
        <f>ROUNDUP((I64*(2/36)),1)</f>
        <v>1.3</v>
      </c>
      <c r="AA64" s="7"/>
      <c r="AB64" s="8"/>
    </row>
    <row r="65" spans="1:28" x14ac:dyDescent="0.2">
      <c r="A65" s="46">
        <v>62300</v>
      </c>
      <c r="B65" s="42"/>
      <c r="C65" s="4" t="s">
        <v>32</v>
      </c>
      <c r="D65" s="42">
        <v>67161</v>
      </c>
      <c r="E65" s="42"/>
      <c r="F65" s="6" t="s">
        <v>40</v>
      </c>
      <c r="G65" s="6">
        <f>D65-A65</f>
        <v>4861</v>
      </c>
      <c r="H65" s="6">
        <v>2</v>
      </c>
      <c r="I65" s="11">
        <f>ROUNDUP(((H65*G65)/9),1)</f>
        <v>1080.3</v>
      </c>
      <c r="J65" s="7"/>
      <c r="K65" s="7"/>
      <c r="L65" s="7"/>
      <c r="M65" s="7"/>
      <c r="N65" s="7"/>
      <c r="O65" s="7"/>
      <c r="P65" s="7"/>
      <c r="Q65" s="7"/>
      <c r="R65" s="7"/>
      <c r="S65" s="7"/>
      <c r="T65" s="7">
        <f t="shared" ref="T65:T68" si="17">ROUNDUP((I65*0.4),1)</f>
        <v>432.20000000000005</v>
      </c>
      <c r="U65" s="7"/>
      <c r="V65" s="7"/>
      <c r="W65" s="7"/>
      <c r="X65" s="7"/>
      <c r="Y65" s="7"/>
      <c r="Z65" s="7">
        <f t="shared" ref="Z65:Z68" si="18">ROUNDUP((I65*(2/36)),1)</f>
        <v>60.1</v>
      </c>
      <c r="AA65" s="7"/>
      <c r="AB65" s="8"/>
    </row>
    <row r="66" spans="1:28" x14ac:dyDescent="0.2">
      <c r="A66" s="46">
        <v>67237</v>
      </c>
      <c r="B66" s="42"/>
      <c r="C66" s="4" t="s">
        <v>32</v>
      </c>
      <c r="D66" s="42">
        <v>74796.78</v>
      </c>
      <c r="E66" s="42"/>
      <c r="F66" s="6" t="s">
        <v>40</v>
      </c>
      <c r="G66" s="6">
        <f t="shared" ref="G66:G68" si="19">D66-A66</f>
        <v>7559.7799999999988</v>
      </c>
      <c r="H66" s="6">
        <v>2</v>
      </c>
      <c r="I66" s="11">
        <f t="shared" ref="I66:I68" si="20">ROUNDUP(((H66*G66)/9),1)</f>
        <v>1680</v>
      </c>
      <c r="J66" s="7"/>
      <c r="K66" s="7"/>
      <c r="L66" s="7"/>
      <c r="M66" s="7"/>
      <c r="N66" s="7"/>
      <c r="O66" s="7"/>
      <c r="P66" s="7"/>
      <c r="Q66" s="7"/>
      <c r="R66" s="7"/>
      <c r="S66" s="7"/>
      <c r="T66" s="7">
        <f t="shared" si="17"/>
        <v>672</v>
      </c>
      <c r="U66" s="7"/>
      <c r="V66" s="7"/>
      <c r="W66" s="7"/>
      <c r="X66" s="7"/>
      <c r="Y66" s="7"/>
      <c r="Z66" s="7">
        <f t="shared" si="18"/>
        <v>93.399999999999991</v>
      </c>
      <c r="AA66" s="7"/>
      <c r="AB66" s="8"/>
    </row>
    <row r="67" spans="1:28" x14ac:dyDescent="0.2">
      <c r="A67" s="46">
        <v>75081.789999999994</v>
      </c>
      <c r="B67" s="42"/>
      <c r="C67" s="4" t="s">
        <v>32</v>
      </c>
      <c r="D67" s="42">
        <v>84887.65</v>
      </c>
      <c r="E67" s="42"/>
      <c r="F67" s="6" t="s">
        <v>40</v>
      </c>
      <c r="G67" s="6">
        <f t="shared" si="19"/>
        <v>9805.86</v>
      </c>
      <c r="H67" s="6">
        <v>2</v>
      </c>
      <c r="I67" s="11">
        <f t="shared" si="20"/>
        <v>2179.1</v>
      </c>
      <c r="J67" s="7"/>
      <c r="K67" s="7"/>
      <c r="L67" s="7"/>
      <c r="M67" s="7"/>
      <c r="N67" s="7"/>
      <c r="O67" s="7"/>
      <c r="P67" s="7"/>
      <c r="Q67" s="7"/>
      <c r="R67" s="7"/>
      <c r="S67" s="7"/>
      <c r="T67" s="7">
        <f t="shared" si="17"/>
        <v>871.7</v>
      </c>
      <c r="U67" s="7"/>
      <c r="V67" s="7"/>
      <c r="W67" s="7"/>
      <c r="X67" s="7"/>
      <c r="Y67" s="7"/>
      <c r="Z67" s="7">
        <f t="shared" si="18"/>
        <v>121.1</v>
      </c>
      <c r="AA67" s="7"/>
      <c r="AB67" s="8"/>
    </row>
    <row r="68" spans="1:28" x14ac:dyDescent="0.2">
      <c r="A68" s="46">
        <v>85346.13</v>
      </c>
      <c r="B68" s="42"/>
      <c r="C68" s="4" t="s">
        <v>32</v>
      </c>
      <c r="D68" s="42">
        <v>85500</v>
      </c>
      <c r="E68" s="42"/>
      <c r="F68" s="6" t="s">
        <v>40</v>
      </c>
      <c r="G68" s="6">
        <f t="shared" si="19"/>
        <v>153.86999999999534</v>
      </c>
      <c r="H68" s="6">
        <v>2</v>
      </c>
      <c r="I68" s="11">
        <f t="shared" si="20"/>
        <v>34.200000000000003</v>
      </c>
      <c r="J68" s="7"/>
      <c r="K68" s="7"/>
      <c r="L68" s="7"/>
      <c r="M68" s="7"/>
      <c r="N68" s="7"/>
      <c r="O68" s="7"/>
      <c r="P68" s="7"/>
      <c r="Q68" s="7"/>
      <c r="R68" s="7"/>
      <c r="S68" s="7"/>
      <c r="T68" s="7">
        <f t="shared" si="17"/>
        <v>13.7</v>
      </c>
      <c r="U68" s="7"/>
      <c r="V68" s="7"/>
      <c r="W68" s="7"/>
      <c r="X68" s="7"/>
      <c r="Y68" s="7"/>
      <c r="Z68" s="7">
        <f t="shared" si="18"/>
        <v>1.9</v>
      </c>
      <c r="AA68" s="7"/>
      <c r="AB68" s="8"/>
    </row>
    <row r="69" spans="1:28" x14ac:dyDescent="0.2">
      <c r="A69" s="45"/>
      <c r="B69" s="45"/>
      <c r="C69" s="45"/>
      <c r="D69" s="45"/>
      <c r="E69" s="46"/>
      <c r="F69" s="6"/>
      <c r="G69" s="6"/>
      <c r="H69" s="6"/>
      <c r="I69" s="11"/>
      <c r="J69" s="7"/>
      <c r="K69" s="7"/>
      <c r="L69" s="7"/>
      <c r="M69" s="7"/>
      <c r="N69" s="7"/>
      <c r="O69" s="7"/>
      <c r="P69" s="7"/>
      <c r="Q69" s="7"/>
      <c r="R69" s="7"/>
      <c r="S69" s="7"/>
      <c r="T69" s="7"/>
      <c r="U69" s="7"/>
      <c r="V69" s="7"/>
      <c r="W69" s="7"/>
      <c r="X69" s="7"/>
      <c r="Y69" s="7"/>
      <c r="Z69" s="7"/>
      <c r="AA69" s="7"/>
      <c r="AB69" s="8"/>
    </row>
    <row r="70" spans="1:28" x14ac:dyDescent="0.2">
      <c r="A70" s="45"/>
      <c r="B70" s="45"/>
      <c r="C70" s="45"/>
      <c r="D70" s="45"/>
      <c r="E70" s="46"/>
      <c r="F70" s="6"/>
      <c r="G70" s="6"/>
      <c r="H70" s="6"/>
      <c r="I70" s="11"/>
      <c r="J70" s="7"/>
      <c r="K70" s="7"/>
      <c r="L70" s="7"/>
      <c r="M70" s="7"/>
      <c r="N70" s="7"/>
      <c r="O70" s="7"/>
      <c r="P70" s="7"/>
      <c r="Q70" s="7"/>
      <c r="R70" s="7"/>
      <c r="S70" s="7"/>
      <c r="T70" s="7"/>
      <c r="U70" s="7"/>
      <c r="V70" s="7"/>
      <c r="W70" s="7"/>
      <c r="X70" s="7"/>
      <c r="Y70" s="7"/>
      <c r="Z70" s="7"/>
      <c r="AA70" s="7"/>
      <c r="AB70" s="8"/>
    </row>
    <row r="71" spans="1:28" x14ac:dyDescent="0.2">
      <c r="A71" s="45"/>
      <c r="B71" s="45"/>
      <c r="C71" s="45"/>
      <c r="D71" s="45"/>
      <c r="E71" s="46"/>
      <c r="F71" s="6"/>
      <c r="G71" s="6"/>
      <c r="H71" s="6"/>
      <c r="I71" s="7"/>
      <c r="J71" s="7"/>
      <c r="K71" s="7"/>
      <c r="L71" s="7"/>
      <c r="M71" s="7"/>
      <c r="N71" s="7"/>
      <c r="O71" s="7"/>
      <c r="P71" s="7"/>
      <c r="Q71" s="7"/>
      <c r="R71" s="7"/>
      <c r="S71" s="7"/>
      <c r="T71" s="7"/>
      <c r="U71" s="7"/>
      <c r="V71" s="7"/>
      <c r="W71" s="7"/>
      <c r="X71" s="7"/>
      <c r="Y71" s="7"/>
      <c r="Z71" s="7"/>
      <c r="AA71" s="7"/>
      <c r="AB71" s="8"/>
    </row>
    <row r="72" spans="1:28" x14ac:dyDescent="0.2">
      <c r="A72" s="45"/>
      <c r="B72" s="45"/>
      <c r="C72" s="45"/>
      <c r="D72" s="45"/>
      <c r="E72" s="46"/>
      <c r="F72" s="6"/>
      <c r="G72" s="6"/>
      <c r="H72" s="6"/>
      <c r="I72" s="7"/>
      <c r="J72" s="7"/>
      <c r="K72" s="7"/>
      <c r="L72" s="7"/>
      <c r="M72" s="7"/>
      <c r="N72" s="7"/>
      <c r="O72" s="7"/>
      <c r="P72" s="7"/>
      <c r="Q72" s="7"/>
      <c r="R72" s="7"/>
      <c r="S72" s="7"/>
      <c r="T72" s="7"/>
      <c r="U72" s="7"/>
      <c r="V72" s="7"/>
      <c r="W72" s="7"/>
      <c r="X72" s="7"/>
      <c r="Y72" s="7"/>
      <c r="Z72" s="7"/>
      <c r="AA72" s="7"/>
      <c r="AB72" s="8"/>
    </row>
    <row r="73" spans="1:28" x14ac:dyDescent="0.2">
      <c r="A73" s="45"/>
      <c r="B73" s="45"/>
      <c r="C73" s="45"/>
      <c r="D73" s="45"/>
      <c r="E73" s="46"/>
      <c r="F73" s="6"/>
      <c r="G73" s="6"/>
      <c r="H73" s="6"/>
      <c r="I73" s="7"/>
      <c r="J73" s="7"/>
      <c r="K73" s="7"/>
      <c r="L73" s="7"/>
      <c r="M73" s="7"/>
      <c r="N73" s="7"/>
      <c r="O73" s="7"/>
      <c r="P73" s="7"/>
      <c r="Q73" s="7"/>
      <c r="R73" s="7"/>
      <c r="S73" s="7"/>
      <c r="T73" s="7"/>
      <c r="U73" s="7"/>
      <c r="V73" s="7"/>
      <c r="W73" s="7"/>
      <c r="X73" s="7"/>
      <c r="Y73" s="7"/>
      <c r="Z73" s="7"/>
      <c r="AA73" s="7"/>
      <c r="AB73" s="8"/>
    </row>
    <row r="74" spans="1:28" ht="12.75" customHeight="1" x14ac:dyDescent="0.2">
      <c r="A74" s="37" t="s">
        <v>132</v>
      </c>
      <c r="B74" s="38"/>
      <c r="C74" s="38"/>
      <c r="D74" s="38"/>
      <c r="E74" s="38"/>
      <c r="F74" s="38"/>
      <c r="G74" s="38"/>
      <c r="H74" s="38"/>
      <c r="I74" s="38"/>
      <c r="J74" s="48">
        <f t="shared" ref="J74:P74" si="21">ROUNDUP(SUM(J19:J73),0)</f>
        <v>0</v>
      </c>
      <c r="K74" s="48">
        <f t="shared" si="21"/>
        <v>0</v>
      </c>
      <c r="L74" s="60">
        <f t="shared" si="21"/>
        <v>34362</v>
      </c>
      <c r="M74" s="48">
        <f t="shared" si="21"/>
        <v>0</v>
      </c>
      <c r="N74" s="48">
        <f t="shared" si="21"/>
        <v>0</v>
      </c>
      <c r="O74" s="48">
        <f t="shared" si="21"/>
        <v>0</v>
      </c>
      <c r="P74" s="48">
        <f t="shared" si="21"/>
        <v>0</v>
      </c>
      <c r="Q74" s="51">
        <f>ROUNDUP(SUM(Q19:S73),0)</f>
        <v>3095</v>
      </c>
      <c r="R74" s="62"/>
      <c r="S74" s="63"/>
      <c r="T74" s="48">
        <f t="shared" ref="T74:AB74" si="22">ROUNDUP(SUM(T19:T73),0)</f>
        <v>1999</v>
      </c>
      <c r="U74" s="48">
        <f t="shared" si="22"/>
        <v>0</v>
      </c>
      <c r="V74" s="48">
        <f t="shared" si="22"/>
        <v>0</v>
      </c>
      <c r="W74" s="48">
        <f t="shared" si="22"/>
        <v>1434</v>
      </c>
      <c r="X74" s="48">
        <f t="shared" si="22"/>
        <v>0</v>
      </c>
      <c r="Y74" s="48">
        <f t="shared" si="22"/>
        <v>0</v>
      </c>
      <c r="Z74" s="48">
        <f t="shared" si="22"/>
        <v>278</v>
      </c>
      <c r="AA74" s="48">
        <f t="shared" si="22"/>
        <v>0</v>
      </c>
      <c r="AB74" s="50">
        <f t="shared" si="22"/>
        <v>0</v>
      </c>
    </row>
    <row r="75" spans="1:28" ht="12.75" customHeight="1" x14ac:dyDescent="0.2">
      <c r="A75" s="58"/>
      <c r="B75" s="59"/>
      <c r="C75" s="59"/>
      <c r="D75" s="59"/>
      <c r="E75" s="59"/>
      <c r="F75" s="59"/>
      <c r="G75" s="59"/>
      <c r="H75" s="59"/>
      <c r="I75" s="59"/>
      <c r="J75" s="49"/>
      <c r="K75" s="49"/>
      <c r="L75" s="61"/>
      <c r="M75" s="49"/>
      <c r="N75" s="49"/>
      <c r="O75" s="49"/>
      <c r="P75" s="49"/>
      <c r="Q75" s="64"/>
      <c r="R75" s="65"/>
      <c r="S75" s="66"/>
      <c r="T75" s="49"/>
      <c r="U75" s="49"/>
      <c r="V75" s="49"/>
      <c r="W75" s="49"/>
      <c r="X75" s="49"/>
      <c r="Y75" s="49"/>
      <c r="Z75" s="49"/>
      <c r="AA75" s="49"/>
      <c r="AB75" s="51"/>
    </row>
  </sheetData>
  <mergeCells count="137">
    <mergeCell ref="Z2:Z16"/>
    <mergeCell ref="AA2:AA17"/>
    <mergeCell ref="AB2:AB17"/>
    <mergeCell ref="Q2:Q16"/>
    <mergeCell ref="R2:R16"/>
    <mergeCell ref="S2:S16"/>
    <mergeCell ref="T2:T16"/>
    <mergeCell ref="U2:U16"/>
    <mergeCell ref="V2:V17"/>
    <mergeCell ref="A19:E19"/>
    <mergeCell ref="A20:E20"/>
    <mergeCell ref="A21:E21"/>
    <mergeCell ref="A22:E22"/>
    <mergeCell ref="A23:B23"/>
    <mergeCell ref="D23:E23"/>
    <mergeCell ref="W2:W16"/>
    <mergeCell ref="X2:X16"/>
    <mergeCell ref="Y2:Y16"/>
    <mergeCell ref="K2:K17"/>
    <mergeCell ref="L2:L17"/>
    <mergeCell ref="M2:M17"/>
    <mergeCell ref="N2:N17"/>
    <mergeCell ref="O2:O16"/>
    <mergeCell ref="P2:P16"/>
    <mergeCell ref="A1:E18"/>
    <mergeCell ref="F1:F18"/>
    <mergeCell ref="G1:G18"/>
    <mergeCell ref="H1:H18"/>
    <mergeCell ref="I1:I18"/>
    <mergeCell ref="J2:J17"/>
    <mergeCell ref="A27:B27"/>
    <mergeCell ref="D27:E27"/>
    <mergeCell ref="A28:B28"/>
    <mergeCell ref="D28:E28"/>
    <mergeCell ref="A29:B29"/>
    <mergeCell ref="D29:E29"/>
    <mergeCell ref="A24:B24"/>
    <mergeCell ref="D24:E24"/>
    <mergeCell ref="A25:B25"/>
    <mergeCell ref="D25:E25"/>
    <mergeCell ref="A26:B26"/>
    <mergeCell ref="D26:E26"/>
    <mergeCell ref="A33:B33"/>
    <mergeCell ref="D33:E33"/>
    <mergeCell ref="A34:B34"/>
    <mergeCell ref="D34:E34"/>
    <mergeCell ref="A35:B35"/>
    <mergeCell ref="D35:E35"/>
    <mergeCell ref="A30:B30"/>
    <mergeCell ref="D30:E30"/>
    <mergeCell ref="A31:B31"/>
    <mergeCell ref="D31:E31"/>
    <mergeCell ref="A32:B32"/>
    <mergeCell ref="D32:E32"/>
    <mergeCell ref="A40:E40"/>
    <mergeCell ref="A41:B41"/>
    <mergeCell ref="D41:E41"/>
    <mergeCell ref="A42:B42"/>
    <mergeCell ref="D42:E42"/>
    <mergeCell ref="A43:B43"/>
    <mergeCell ref="D43:E43"/>
    <mergeCell ref="A36:B36"/>
    <mergeCell ref="D36:E36"/>
    <mergeCell ref="A37:B37"/>
    <mergeCell ref="D37:E37"/>
    <mergeCell ref="A38:E38"/>
    <mergeCell ref="A39:E39"/>
    <mergeCell ref="A47:B47"/>
    <mergeCell ref="D47:E47"/>
    <mergeCell ref="A48:B48"/>
    <mergeCell ref="D48:E48"/>
    <mergeCell ref="A49:B49"/>
    <mergeCell ref="D49:E49"/>
    <mergeCell ref="A44:B44"/>
    <mergeCell ref="D44:E44"/>
    <mergeCell ref="A45:B45"/>
    <mergeCell ref="D45:E45"/>
    <mergeCell ref="A46:B46"/>
    <mergeCell ref="D46:E46"/>
    <mergeCell ref="A53:B53"/>
    <mergeCell ref="D53:E53"/>
    <mergeCell ref="A54:B54"/>
    <mergeCell ref="D54:E54"/>
    <mergeCell ref="A55:B55"/>
    <mergeCell ref="D55:E55"/>
    <mergeCell ref="A50:B50"/>
    <mergeCell ref="D50:E50"/>
    <mergeCell ref="A51:B51"/>
    <mergeCell ref="D51:E51"/>
    <mergeCell ref="A52:B52"/>
    <mergeCell ref="D52:E52"/>
    <mergeCell ref="A60:B60"/>
    <mergeCell ref="D60:E60"/>
    <mergeCell ref="A63:E63"/>
    <mergeCell ref="A64:B64"/>
    <mergeCell ref="D64:E64"/>
    <mergeCell ref="A56:B56"/>
    <mergeCell ref="D56:E56"/>
    <mergeCell ref="A58:B58"/>
    <mergeCell ref="D58:E58"/>
    <mergeCell ref="A59:B59"/>
    <mergeCell ref="D59:E59"/>
    <mergeCell ref="A57:B57"/>
    <mergeCell ref="D57:E57"/>
    <mergeCell ref="A61:E61"/>
    <mergeCell ref="A62:E62"/>
    <mergeCell ref="A68:B68"/>
    <mergeCell ref="D68:E68"/>
    <mergeCell ref="A65:B65"/>
    <mergeCell ref="D65:E65"/>
    <mergeCell ref="A66:B66"/>
    <mergeCell ref="D66:E66"/>
    <mergeCell ref="A67:B67"/>
    <mergeCell ref="D67:E67"/>
    <mergeCell ref="A69:E69"/>
    <mergeCell ref="A70:E70"/>
    <mergeCell ref="J74:J75"/>
    <mergeCell ref="K74:K75"/>
    <mergeCell ref="L74:L75"/>
    <mergeCell ref="M74:M75"/>
    <mergeCell ref="N74:N75"/>
    <mergeCell ref="O74:O75"/>
    <mergeCell ref="A71:E71"/>
    <mergeCell ref="A72:E72"/>
    <mergeCell ref="A73:E73"/>
    <mergeCell ref="A74:I75"/>
    <mergeCell ref="X74:X75"/>
    <mergeCell ref="Y74:Y75"/>
    <mergeCell ref="Z74:Z75"/>
    <mergeCell ref="AA74:AA75"/>
    <mergeCell ref="AB74:AB75"/>
    <mergeCell ref="P74:P75"/>
    <mergeCell ref="Q74:S75"/>
    <mergeCell ref="T74:T75"/>
    <mergeCell ref="U74:U75"/>
    <mergeCell ref="V74:V75"/>
    <mergeCell ref="W74:W75"/>
  </mergeCells>
  <pageMargins left="0.7" right="0.7" top="0.75" bottom="0.75" header="0.3" footer="0.3"/>
  <pageSetup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D4C060-4E13-40CD-9348-70AC345BDA56}">
  <dimension ref="A1:AB75"/>
  <sheetViews>
    <sheetView showZeros="0" topLeftCell="A31" zoomScale="85" zoomScaleNormal="85" workbookViewId="0">
      <selection activeCell="A74" sqref="A74:I75"/>
    </sheetView>
  </sheetViews>
  <sheetFormatPr defaultRowHeight="12.75" x14ac:dyDescent="0.2"/>
  <cols>
    <col min="1" max="2" width="10.7109375" style="1" customWidth="1"/>
    <col min="3" max="3" width="3.7109375" style="1" customWidth="1"/>
    <col min="4" max="5" width="10.7109375" style="1" customWidth="1"/>
    <col min="6" max="7" width="9.7109375" style="1" customWidth="1"/>
    <col min="8" max="8" width="9.7109375" style="18" customWidth="1"/>
    <col min="9" max="9" width="9.7109375" style="15" customWidth="1"/>
    <col min="10" max="28" width="9.42578125" style="1" customWidth="1"/>
    <col min="29" max="36" width="9.7109375" style="1" customWidth="1"/>
    <col min="37" max="16384" width="9.140625" style="1"/>
  </cols>
  <sheetData>
    <row r="1" spans="1:28" ht="12.75" customHeight="1" x14ac:dyDescent="0.2">
      <c r="A1" s="83" t="s">
        <v>98</v>
      </c>
      <c r="B1" s="83"/>
      <c r="C1" s="83"/>
      <c r="D1" s="83"/>
      <c r="E1" s="84"/>
      <c r="F1" s="39" t="s">
        <v>29</v>
      </c>
      <c r="G1" s="39" t="s">
        <v>30</v>
      </c>
      <c r="H1" s="81" t="s">
        <v>36</v>
      </c>
      <c r="I1" s="67" t="s">
        <v>31</v>
      </c>
      <c r="J1" s="2">
        <v>202</v>
      </c>
      <c r="K1" s="2">
        <v>206</v>
      </c>
      <c r="L1" s="2">
        <v>254</v>
      </c>
      <c r="M1" s="2">
        <v>254</v>
      </c>
      <c r="N1" s="2">
        <v>255</v>
      </c>
      <c r="O1" s="2">
        <v>302</v>
      </c>
      <c r="P1" s="2">
        <v>304</v>
      </c>
      <c r="Q1" s="2">
        <v>407</v>
      </c>
      <c r="R1" s="2">
        <v>407</v>
      </c>
      <c r="S1" s="2">
        <v>407</v>
      </c>
      <c r="T1" s="2">
        <v>408</v>
      </c>
      <c r="U1" s="2">
        <v>441</v>
      </c>
      <c r="V1" s="2">
        <v>442</v>
      </c>
      <c r="W1" s="2">
        <v>442</v>
      </c>
      <c r="X1" s="2">
        <v>442</v>
      </c>
      <c r="Y1" s="2">
        <v>442</v>
      </c>
      <c r="Z1" s="2">
        <v>617</v>
      </c>
      <c r="AA1" s="2">
        <v>874</v>
      </c>
      <c r="AB1" s="3">
        <v>874</v>
      </c>
    </row>
    <row r="2" spans="1:28" ht="12.75" customHeight="1" x14ac:dyDescent="0.2">
      <c r="A2" s="83"/>
      <c r="B2" s="83"/>
      <c r="C2" s="83"/>
      <c r="D2" s="83"/>
      <c r="E2" s="84"/>
      <c r="F2" s="40"/>
      <c r="G2" s="40"/>
      <c r="H2" s="81"/>
      <c r="I2" s="68"/>
      <c r="J2" s="29" t="s">
        <v>0</v>
      </c>
      <c r="K2" s="28" t="s">
        <v>2</v>
      </c>
      <c r="L2" s="28" t="s">
        <v>3</v>
      </c>
      <c r="M2" s="28" t="s">
        <v>6</v>
      </c>
      <c r="N2" s="29" t="s">
        <v>4</v>
      </c>
      <c r="O2" s="28" t="s">
        <v>22</v>
      </c>
      <c r="P2" s="29" t="s">
        <v>8</v>
      </c>
      <c r="Q2" s="32" t="s">
        <v>12</v>
      </c>
      <c r="R2" s="28" t="s">
        <v>11</v>
      </c>
      <c r="S2" s="28" t="s">
        <v>11</v>
      </c>
      <c r="T2" s="29" t="s">
        <v>17</v>
      </c>
      <c r="U2" s="28" t="s">
        <v>19</v>
      </c>
      <c r="V2" s="29" t="s">
        <v>21</v>
      </c>
      <c r="W2" s="28" t="s">
        <v>109</v>
      </c>
      <c r="X2" s="28" t="s">
        <v>23</v>
      </c>
      <c r="Y2" s="28" t="s">
        <v>110</v>
      </c>
      <c r="Z2" s="28" t="s">
        <v>25</v>
      </c>
      <c r="AA2" s="28" t="s">
        <v>27</v>
      </c>
      <c r="AB2" s="30" t="s">
        <v>28</v>
      </c>
    </row>
    <row r="3" spans="1:28" ht="12.75" customHeight="1" x14ac:dyDescent="0.2">
      <c r="A3" s="83"/>
      <c r="B3" s="83"/>
      <c r="C3" s="83"/>
      <c r="D3" s="83"/>
      <c r="E3" s="84"/>
      <c r="F3" s="40"/>
      <c r="G3" s="40"/>
      <c r="H3" s="81"/>
      <c r="I3" s="68"/>
      <c r="J3" s="29"/>
      <c r="K3" s="29"/>
      <c r="L3" s="29"/>
      <c r="M3" s="29"/>
      <c r="N3" s="29"/>
      <c r="O3" s="29"/>
      <c r="P3" s="29"/>
      <c r="Q3" s="33"/>
      <c r="R3" s="29"/>
      <c r="S3" s="29"/>
      <c r="T3" s="29"/>
      <c r="U3" s="29"/>
      <c r="V3" s="29"/>
      <c r="W3" s="29"/>
      <c r="X3" s="29"/>
      <c r="Y3" s="29"/>
      <c r="Z3" s="29"/>
      <c r="AA3" s="29"/>
      <c r="AB3" s="31"/>
    </row>
    <row r="4" spans="1:28" ht="12.75" customHeight="1" x14ac:dyDescent="0.2">
      <c r="A4" s="83"/>
      <c r="B4" s="83"/>
      <c r="C4" s="83"/>
      <c r="D4" s="83"/>
      <c r="E4" s="84"/>
      <c r="F4" s="40"/>
      <c r="G4" s="40"/>
      <c r="H4" s="81"/>
      <c r="I4" s="68"/>
      <c r="J4" s="29"/>
      <c r="K4" s="29"/>
      <c r="L4" s="29"/>
      <c r="M4" s="29"/>
      <c r="N4" s="29"/>
      <c r="O4" s="29"/>
      <c r="P4" s="29"/>
      <c r="Q4" s="33"/>
      <c r="R4" s="29"/>
      <c r="S4" s="29"/>
      <c r="T4" s="29"/>
      <c r="U4" s="29"/>
      <c r="V4" s="29"/>
      <c r="W4" s="29"/>
      <c r="X4" s="29"/>
      <c r="Y4" s="29"/>
      <c r="Z4" s="29"/>
      <c r="AA4" s="29"/>
      <c r="AB4" s="31"/>
    </row>
    <row r="5" spans="1:28" ht="12.75" customHeight="1" x14ac:dyDescent="0.2">
      <c r="A5" s="83"/>
      <c r="B5" s="83"/>
      <c r="C5" s="83"/>
      <c r="D5" s="83"/>
      <c r="E5" s="84"/>
      <c r="F5" s="40"/>
      <c r="G5" s="40"/>
      <c r="H5" s="81"/>
      <c r="I5" s="68"/>
      <c r="J5" s="29"/>
      <c r="K5" s="29"/>
      <c r="L5" s="29"/>
      <c r="M5" s="29"/>
      <c r="N5" s="29"/>
      <c r="O5" s="29"/>
      <c r="P5" s="29"/>
      <c r="Q5" s="33"/>
      <c r="R5" s="29"/>
      <c r="S5" s="29"/>
      <c r="T5" s="29"/>
      <c r="U5" s="29"/>
      <c r="V5" s="29"/>
      <c r="W5" s="29"/>
      <c r="X5" s="29"/>
      <c r="Y5" s="29"/>
      <c r="Z5" s="29"/>
      <c r="AA5" s="29"/>
      <c r="AB5" s="31"/>
    </row>
    <row r="6" spans="1:28" ht="12.75" customHeight="1" x14ac:dyDescent="0.2">
      <c r="A6" s="83"/>
      <c r="B6" s="83"/>
      <c r="C6" s="83"/>
      <c r="D6" s="83"/>
      <c r="E6" s="84"/>
      <c r="F6" s="40"/>
      <c r="G6" s="40"/>
      <c r="H6" s="81"/>
      <c r="I6" s="68"/>
      <c r="J6" s="29"/>
      <c r="K6" s="29"/>
      <c r="L6" s="29"/>
      <c r="M6" s="29"/>
      <c r="N6" s="29"/>
      <c r="O6" s="29"/>
      <c r="P6" s="29"/>
      <c r="Q6" s="33"/>
      <c r="R6" s="29"/>
      <c r="S6" s="29"/>
      <c r="T6" s="29"/>
      <c r="U6" s="29"/>
      <c r="V6" s="29"/>
      <c r="W6" s="29"/>
      <c r="X6" s="29"/>
      <c r="Y6" s="29"/>
      <c r="Z6" s="29"/>
      <c r="AA6" s="29"/>
      <c r="AB6" s="31"/>
    </row>
    <row r="7" spans="1:28" ht="12.75" customHeight="1" x14ac:dyDescent="0.2">
      <c r="A7" s="83"/>
      <c r="B7" s="83"/>
      <c r="C7" s="83"/>
      <c r="D7" s="83"/>
      <c r="E7" s="84"/>
      <c r="F7" s="40"/>
      <c r="G7" s="40"/>
      <c r="H7" s="81"/>
      <c r="I7" s="68"/>
      <c r="J7" s="29"/>
      <c r="K7" s="29"/>
      <c r="L7" s="29"/>
      <c r="M7" s="29"/>
      <c r="N7" s="29"/>
      <c r="O7" s="29"/>
      <c r="P7" s="29"/>
      <c r="Q7" s="33"/>
      <c r="R7" s="29"/>
      <c r="S7" s="29"/>
      <c r="T7" s="29"/>
      <c r="U7" s="29"/>
      <c r="V7" s="29"/>
      <c r="W7" s="29"/>
      <c r="X7" s="29"/>
      <c r="Y7" s="29"/>
      <c r="Z7" s="29"/>
      <c r="AA7" s="29"/>
      <c r="AB7" s="31"/>
    </row>
    <row r="8" spans="1:28" ht="12.75" customHeight="1" x14ac:dyDescent="0.2">
      <c r="A8" s="83"/>
      <c r="B8" s="83"/>
      <c r="C8" s="83"/>
      <c r="D8" s="83"/>
      <c r="E8" s="84"/>
      <c r="F8" s="40"/>
      <c r="G8" s="40"/>
      <c r="H8" s="81"/>
      <c r="I8" s="68"/>
      <c r="J8" s="29"/>
      <c r="K8" s="29"/>
      <c r="L8" s="29"/>
      <c r="M8" s="29"/>
      <c r="N8" s="29"/>
      <c r="O8" s="29"/>
      <c r="P8" s="29"/>
      <c r="Q8" s="33"/>
      <c r="R8" s="29"/>
      <c r="S8" s="29"/>
      <c r="T8" s="29"/>
      <c r="U8" s="29"/>
      <c r="V8" s="29"/>
      <c r="W8" s="29"/>
      <c r="X8" s="29"/>
      <c r="Y8" s="29"/>
      <c r="Z8" s="29"/>
      <c r="AA8" s="29"/>
      <c r="AB8" s="31"/>
    </row>
    <row r="9" spans="1:28" ht="12.75" customHeight="1" x14ac:dyDescent="0.2">
      <c r="A9" s="83"/>
      <c r="B9" s="83"/>
      <c r="C9" s="83"/>
      <c r="D9" s="83"/>
      <c r="E9" s="84"/>
      <c r="F9" s="40"/>
      <c r="G9" s="40"/>
      <c r="H9" s="81"/>
      <c r="I9" s="68"/>
      <c r="J9" s="29"/>
      <c r="K9" s="29"/>
      <c r="L9" s="29"/>
      <c r="M9" s="29"/>
      <c r="N9" s="29"/>
      <c r="O9" s="29"/>
      <c r="P9" s="29"/>
      <c r="Q9" s="33"/>
      <c r="R9" s="29"/>
      <c r="S9" s="29"/>
      <c r="T9" s="29"/>
      <c r="U9" s="29"/>
      <c r="V9" s="29"/>
      <c r="W9" s="29"/>
      <c r="X9" s="29"/>
      <c r="Y9" s="29"/>
      <c r="Z9" s="29"/>
      <c r="AA9" s="29"/>
      <c r="AB9" s="31"/>
    </row>
    <row r="10" spans="1:28" ht="12.75" customHeight="1" x14ac:dyDescent="0.2">
      <c r="A10" s="83"/>
      <c r="B10" s="83"/>
      <c r="C10" s="83"/>
      <c r="D10" s="83"/>
      <c r="E10" s="84"/>
      <c r="F10" s="40"/>
      <c r="G10" s="40"/>
      <c r="H10" s="81"/>
      <c r="I10" s="68"/>
      <c r="J10" s="29"/>
      <c r="K10" s="29"/>
      <c r="L10" s="29"/>
      <c r="M10" s="29"/>
      <c r="N10" s="29"/>
      <c r="O10" s="29"/>
      <c r="P10" s="29"/>
      <c r="Q10" s="33"/>
      <c r="R10" s="29"/>
      <c r="S10" s="29"/>
      <c r="T10" s="29"/>
      <c r="U10" s="29"/>
      <c r="V10" s="29"/>
      <c r="W10" s="29"/>
      <c r="X10" s="29"/>
      <c r="Y10" s="29"/>
      <c r="Z10" s="29"/>
      <c r="AA10" s="29"/>
      <c r="AB10" s="31"/>
    </row>
    <row r="11" spans="1:28" ht="12.75" customHeight="1" x14ac:dyDescent="0.2">
      <c r="A11" s="83"/>
      <c r="B11" s="83"/>
      <c r="C11" s="83"/>
      <c r="D11" s="83"/>
      <c r="E11" s="84"/>
      <c r="F11" s="40"/>
      <c r="G11" s="40"/>
      <c r="H11" s="81"/>
      <c r="I11" s="68"/>
      <c r="J11" s="29"/>
      <c r="K11" s="29"/>
      <c r="L11" s="29"/>
      <c r="M11" s="29"/>
      <c r="N11" s="29"/>
      <c r="O11" s="29"/>
      <c r="P11" s="29"/>
      <c r="Q11" s="33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31"/>
    </row>
    <row r="12" spans="1:28" ht="12.75" customHeight="1" x14ac:dyDescent="0.2">
      <c r="A12" s="83"/>
      <c r="B12" s="83"/>
      <c r="C12" s="83"/>
      <c r="D12" s="83"/>
      <c r="E12" s="84"/>
      <c r="F12" s="40"/>
      <c r="G12" s="40"/>
      <c r="H12" s="81"/>
      <c r="I12" s="68"/>
      <c r="J12" s="29"/>
      <c r="K12" s="29"/>
      <c r="L12" s="29"/>
      <c r="M12" s="29"/>
      <c r="N12" s="29"/>
      <c r="O12" s="29"/>
      <c r="P12" s="29"/>
      <c r="Q12" s="33"/>
      <c r="R12" s="29"/>
      <c r="S12" s="29"/>
      <c r="T12" s="29"/>
      <c r="U12" s="29"/>
      <c r="V12" s="29"/>
      <c r="W12" s="29"/>
      <c r="X12" s="29"/>
      <c r="Y12" s="29"/>
      <c r="Z12" s="29"/>
      <c r="AA12" s="29"/>
      <c r="AB12" s="31"/>
    </row>
    <row r="13" spans="1:28" ht="12.75" customHeight="1" x14ac:dyDescent="0.2">
      <c r="A13" s="83"/>
      <c r="B13" s="83"/>
      <c r="C13" s="83"/>
      <c r="D13" s="83"/>
      <c r="E13" s="84"/>
      <c r="F13" s="40"/>
      <c r="G13" s="40"/>
      <c r="H13" s="81"/>
      <c r="I13" s="68"/>
      <c r="J13" s="29"/>
      <c r="K13" s="29"/>
      <c r="L13" s="29"/>
      <c r="M13" s="29"/>
      <c r="N13" s="29"/>
      <c r="O13" s="29"/>
      <c r="P13" s="29"/>
      <c r="Q13" s="33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31"/>
    </row>
    <row r="14" spans="1:28" ht="12.75" customHeight="1" x14ac:dyDescent="0.2">
      <c r="A14" s="83"/>
      <c r="B14" s="83"/>
      <c r="C14" s="83"/>
      <c r="D14" s="83"/>
      <c r="E14" s="84"/>
      <c r="F14" s="40"/>
      <c r="G14" s="40"/>
      <c r="H14" s="81"/>
      <c r="I14" s="68"/>
      <c r="J14" s="29"/>
      <c r="K14" s="29"/>
      <c r="L14" s="29"/>
      <c r="M14" s="29"/>
      <c r="N14" s="29"/>
      <c r="O14" s="29"/>
      <c r="P14" s="29"/>
      <c r="Q14" s="33"/>
      <c r="R14" s="29"/>
      <c r="S14" s="29"/>
      <c r="T14" s="29"/>
      <c r="U14" s="29"/>
      <c r="V14" s="29"/>
      <c r="W14" s="29"/>
      <c r="X14" s="29"/>
      <c r="Y14" s="29"/>
      <c r="Z14" s="29"/>
      <c r="AA14" s="29"/>
      <c r="AB14" s="31"/>
    </row>
    <row r="15" spans="1:28" ht="12.75" customHeight="1" x14ac:dyDescent="0.2">
      <c r="A15" s="83"/>
      <c r="B15" s="83"/>
      <c r="C15" s="83"/>
      <c r="D15" s="83"/>
      <c r="E15" s="84"/>
      <c r="F15" s="40"/>
      <c r="G15" s="40"/>
      <c r="H15" s="81"/>
      <c r="I15" s="68"/>
      <c r="J15" s="29"/>
      <c r="K15" s="29"/>
      <c r="L15" s="29"/>
      <c r="M15" s="29"/>
      <c r="N15" s="29"/>
      <c r="O15" s="29"/>
      <c r="P15" s="29"/>
      <c r="Q15" s="33"/>
      <c r="R15" s="29"/>
      <c r="S15" s="29"/>
      <c r="T15" s="29"/>
      <c r="U15" s="29"/>
      <c r="V15" s="29"/>
      <c r="W15" s="29"/>
      <c r="X15" s="29"/>
      <c r="Y15" s="29"/>
      <c r="Z15" s="29"/>
      <c r="AA15" s="29"/>
      <c r="AB15" s="31"/>
    </row>
    <row r="16" spans="1:28" ht="12.75" customHeight="1" x14ac:dyDescent="0.2">
      <c r="A16" s="83"/>
      <c r="B16" s="83"/>
      <c r="C16" s="83"/>
      <c r="D16" s="83"/>
      <c r="E16" s="84"/>
      <c r="F16" s="40"/>
      <c r="G16" s="40"/>
      <c r="H16" s="81"/>
      <c r="I16" s="68"/>
      <c r="J16" s="29"/>
      <c r="K16" s="29"/>
      <c r="L16" s="29"/>
      <c r="M16" s="29"/>
      <c r="N16" s="29"/>
      <c r="O16" s="29"/>
      <c r="P16" s="29"/>
      <c r="Q16" s="34"/>
      <c r="R16" s="29"/>
      <c r="S16" s="29"/>
      <c r="T16" s="29"/>
      <c r="U16" s="29"/>
      <c r="V16" s="29"/>
      <c r="W16" s="29"/>
      <c r="X16" s="29"/>
      <c r="Y16" s="29"/>
      <c r="Z16" s="29"/>
      <c r="AA16" s="29"/>
      <c r="AB16" s="31"/>
    </row>
    <row r="17" spans="1:28" ht="12.75" customHeight="1" x14ac:dyDescent="0.2">
      <c r="A17" s="83"/>
      <c r="B17" s="83"/>
      <c r="C17" s="83"/>
      <c r="D17" s="83"/>
      <c r="E17" s="84"/>
      <c r="F17" s="40"/>
      <c r="G17" s="40"/>
      <c r="H17" s="81"/>
      <c r="I17" s="68"/>
      <c r="J17" s="29"/>
      <c r="K17" s="29"/>
      <c r="L17" s="29"/>
      <c r="M17" s="29"/>
      <c r="N17" s="29"/>
      <c r="O17" s="4" t="s">
        <v>10</v>
      </c>
      <c r="P17" s="4" t="s">
        <v>9</v>
      </c>
      <c r="Q17" s="4" t="s">
        <v>13</v>
      </c>
      <c r="R17" s="4" t="s">
        <v>15</v>
      </c>
      <c r="S17" s="4" t="s">
        <v>16</v>
      </c>
      <c r="T17" s="4" t="s">
        <v>18</v>
      </c>
      <c r="U17" s="4" t="s">
        <v>20</v>
      </c>
      <c r="V17" s="29"/>
      <c r="W17" s="4" t="s">
        <v>20</v>
      </c>
      <c r="X17" s="4" t="s">
        <v>20</v>
      </c>
      <c r="Y17" s="4" t="s">
        <v>24</v>
      </c>
      <c r="Z17" s="4" t="s">
        <v>26</v>
      </c>
      <c r="AA17" s="29"/>
      <c r="AB17" s="31"/>
    </row>
    <row r="18" spans="1:28" ht="12.75" customHeight="1" x14ac:dyDescent="0.2">
      <c r="A18" s="85"/>
      <c r="B18" s="85"/>
      <c r="C18" s="85"/>
      <c r="D18" s="85"/>
      <c r="E18" s="35"/>
      <c r="F18" s="40"/>
      <c r="G18" s="40"/>
      <c r="H18" s="82"/>
      <c r="I18" s="68"/>
      <c r="J18" s="4" t="s">
        <v>1</v>
      </c>
      <c r="K18" s="4" t="s">
        <v>1</v>
      </c>
      <c r="L18" s="4" t="s">
        <v>1</v>
      </c>
      <c r="M18" s="4" t="s">
        <v>1</v>
      </c>
      <c r="N18" s="4" t="s">
        <v>5</v>
      </c>
      <c r="O18" s="4" t="s">
        <v>7</v>
      </c>
      <c r="P18" s="4" t="s">
        <v>7</v>
      </c>
      <c r="Q18" s="4" t="s">
        <v>14</v>
      </c>
      <c r="R18" s="4" t="s">
        <v>14</v>
      </c>
      <c r="S18" s="4" t="s">
        <v>14</v>
      </c>
      <c r="T18" s="4" t="s">
        <v>14</v>
      </c>
      <c r="U18" s="4" t="s">
        <v>7</v>
      </c>
      <c r="V18" s="4" t="s">
        <v>7</v>
      </c>
      <c r="W18" s="4" t="s">
        <v>7</v>
      </c>
      <c r="X18" s="4" t="s">
        <v>7</v>
      </c>
      <c r="Y18" s="4" t="s">
        <v>7</v>
      </c>
      <c r="Z18" s="4" t="s">
        <v>7</v>
      </c>
      <c r="AA18" s="4" t="s">
        <v>5</v>
      </c>
      <c r="AB18" s="5" t="s">
        <v>5</v>
      </c>
    </row>
    <row r="19" spans="1:28" x14ac:dyDescent="0.2">
      <c r="A19" s="43" t="s">
        <v>57</v>
      </c>
      <c r="B19" s="43"/>
      <c r="C19" s="43"/>
      <c r="D19" s="43"/>
      <c r="E19" s="44"/>
      <c r="F19" s="6"/>
      <c r="G19" s="6"/>
      <c r="H19" s="6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8"/>
    </row>
    <row r="20" spans="1:28" x14ac:dyDescent="0.2">
      <c r="A20" s="43"/>
      <c r="B20" s="43"/>
      <c r="C20" s="43"/>
      <c r="D20" s="43"/>
      <c r="E20" s="44"/>
      <c r="F20" s="6"/>
      <c r="G20" s="6"/>
      <c r="H20" s="6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8"/>
    </row>
    <row r="21" spans="1:28" x14ac:dyDescent="0.2">
      <c r="A21" s="43" t="s">
        <v>111</v>
      </c>
      <c r="B21" s="43"/>
      <c r="C21" s="43"/>
      <c r="D21" s="43"/>
      <c r="E21" s="44"/>
      <c r="F21" s="6"/>
      <c r="G21" s="6"/>
      <c r="H21" s="6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8"/>
    </row>
    <row r="22" spans="1:28" x14ac:dyDescent="0.2">
      <c r="A22" s="43"/>
      <c r="B22" s="43"/>
      <c r="C22" s="43"/>
      <c r="D22" s="43"/>
      <c r="E22" s="44"/>
      <c r="F22" s="6"/>
      <c r="G22" s="6"/>
      <c r="H22" s="6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8"/>
    </row>
    <row r="23" spans="1:28" x14ac:dyDescent="0.2">
      <c r="A23" s="43" t="s">
        <v>71</v>
      </c>
      <c r="B23" s="43"/>
      <c r="C23" s="43"/>
      <c r="D23" s="43"/>
      <c r="E23" s="44"/>
      <c r="F23" s="6"/>
      <c r="G23" s="6"/>
      <c r="H23" s="6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8"/>
    </row>
    <row r="24" spans="1:28" x14ac:dyDescent="0.2">
      <c r="A24" s="46">
        <v>65806.8</v>
      </c>
      <c r="B24" s="42"/>
      <c r="C24" s="4" t="s">
        <v>32</v>
      </c>
      <c r="D24" s="74">
        <v>66175.31</v>
      </c>
      <c r="E24" s="74"/>
      <c r="F24" s="6" t="s">
        <v>35</v>
      </c>
      <c r="G24" s="6">
        <f>D24-A24</f>
        <v>368.50999999999476</v>
      </c>
      <c r="H24" s="16">
        <f>(I24*9)/G24</f>
        <v>19.254837046484763</v>
      </c>
      <c r="I24" s="12">
        <f>ROUNDUP((7095.1/9),1)</f>
        <v>788.4</v>
      </c>
      <c r="J24" s="7"/>
      <c r="K24" s="7"/>
      <c r="L24" s="7">
        <f>I24</f>
        <v>788.4</v>
      </c>
      <c r="M24" s="7"/>
      <c r="N24" s="7"/>
      <c r="O24" s="7"/>
      <c r="P24" s="7"/>
      <c r="Q24" s="7"/>
      <c r="R24" s="7"/>
      <c r="S24" s="7">
        <f>ROUNDUP((I24*0.09),1)</f>
        <v>71</v>
      </c>
      <c r="T24" s="7"/>
      <c r="U24" s="7"/>
      <c r="V24" s="7">
        <f>W24</f>
        <v>32.9</v>
      </c>
      <c r="W24" s="7">
        <f>ROUNDUP((I24*(1.5/36)),1)</f>
        <v>32.9</v>
      </c>
      <c r="X24" s="7"/>
      <c r="Y24" s="7"/>
      <c r="Z24" s="7"/>
      <c r="AA24" s="7"/>
      <c r="AB24" s="8"/>
    </row>
    <row r="25" spans="1:28" x14ac:dyDescent="0.2">
      <c r="A25" s="43"/>
      <c r="B25" s="43"/>
      <c r="C25" s="43"/>
      <c r="D25" s="43"/>
      <c r="E25" s="44"/>
      <c r="F25" s="6"/>
      <c r="G25" s="6"/>
      <c r="H25" s="16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8"/>
    </row>
    <row r="26" spans="1:28" x14ac:dyDescent="0.2">
      <c r="A26" s="43" t="s">
        <v>72</v>
      </c>
      <c r="B26" s="43"/>
      <c r="C26" s="43"/>
      <c r="D26" s="43"/>
      <c r="E26" s="44"/>
      <c r="F26" s="6"/>
      <c r="G26" s="6"/>
      <c r="H26" s="6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8"/>
    </row>
    <row r="27" spans="1:28" x14ac:dyDescent="0.2">
      <c r="A27" s="46">
        <v>65806.8</v>
      </c>
      <c r="B27" s="42"/>
      <c r="C27" s="4" t="s">
        <v>32</v>
      </c>
      <c r="D27" s="74">
        <v>66175.31</v>
      </c>
      <c r="E27" s="74"/>
      <c r="F27" s="6" t="s">
        <v>35</v>
      </c>
      <c r="G27" s="6">
        <f>D27-A27</f>
        <v>368.50999999999476</v>
      </c>
      <c r="H27" s="16">
        <v>5</v>
      </c>
      <c r="I27" s="7">
        <f>ROUNDUP(((H27*G27)/9),1)</f>
        <v>204.79999999999998</v>
      </c>
      <c r="J27" s="7"/>
      <c r="K27" s="7"/>
      <c r="L27" s="7">
        <f t="shared" ref="L27:L52" si="0">I27</f>
        <v>204.79999999999998</v>
      </c>
      <c r="M27" s="7"/>
      <c r="N27" s="7"/>
      <c r="O27" s="7"/>
      <c r="P27" s="7"/>
      <c r="Q27" s="7"/>
      <c r="R27" s="7"/>
      <c r="S27" s="7">
        <f t="shared" ref="S27:S52" si="1">ROUNDUP((I27*0.09),1)</f>
        <v>18.5</v>
      </c>
      <c r="T27" s="7"/>
      <c r="U27" s="7"/>
      <c r="V27" s="7"/>
      <c r="W27" s="7">
        <f t="shared" ref="W27:W52" si="2">ROUNDUP((I27*(1.5/36)),1)</f>
        <v>8.6</v>
      </c>
      <c r="X27" s="7"/>
      <c r="Y27" s="7"/>
      <c r="Z27" s="7"/>
      <c r="AA27" s="7"/>
      <c r="AB27" s="8"/>
    </row>
    <row r="28" spans="1:28" x14ac:dyDescent="0.2">
      <c r="A28" s="43"/>
      <c r="B28" s="43"/>
      <c r="C28" s="43"/>
      <c r="D28" s="43"/>
      <c r="E28" s="44"/>
      <c r="F28" s="6"/>
      <c r="G28" s="6"/>
      <c r="H28" s="6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8"/>
    </row>
    <row r="29" spans="1:28" x14ac:dyDescent="0.2">
      <c r="A29" s="43"/>
      <c r="B29" s="43"/>
      <c r="C29" s="43"/>
      <c r="D29" s="43"/>
      <c r="E29" s="44"/>
      <c r="F29" s="6"/>
      <c r="G29" s="6"/>
      <c r="H29" s="6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8"/>
    </row>
    <row r="30" spans="1:28" x14ac:dyDescent="0.2">
      <c r="A30" s="43" t="s">
        <v>73</v>
      </c>
      <c r="B30" s="43"/>
      <c r="C30" s="43"/>
      <c r="D30" s="43"/>
      <c r="E30" s="44"/>
      <c r="F30" s="6"/>
      <c r="G30" s="6"/>
      <c r="H30" s="6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8"/>
    </row>
    <row r="31" spans="1:28" x14ac:dyDescent="0.2">
      <c r="A31" s="46">
        <v>67675.490000000005</v>
      </c>
      <c r="B31" s="42"/>
      <c r="C31" s="4" t="s">
        <v>32</v>
      </c>
      <c r="D31" s="70">
        <v>67938.53</v>
      </c>
      <c r="E31" s="70"/>
      <c r="F31" s="6" t="s">
        <v>35</v>
      </c>
      <c r="G31" s="6">
        <f>D31-A31</f>
        <v>263.0399999999936</v>
      </c>
      <c r="H31" s="16">
        <f>(I31*9)/G31</f>
        <v>19.331660583942078</v>
      </c>
      <c r="I31" s="12">
        <f>ROUNDUP((5084.66/9),1)</f>
        <v>565</v>
      </c>
      <c r="J31" s="7"/>
      <c r="K31" s="7"/>
      <c r="L31" s="7">
        <f t="shared" si="0"/>
        <v>565</v>
      </c>
      <c r="M31" s="7"/>
      <c r="N31" s="7"/>
      <c r="O31" s="7"/>
      <c r="P31" s="7"/>
      <c r="Q31" s="7"/>
      <c r="R31" s="7"/>
      <c r="S31" s="7">
        <f t="shared" si="1"/>
        <v>50.9</v>
      </c>
      <c r="T31" s="7"/>
      <c r="U31" s="7"/>
      <c r="V31" s="7">
        <f t="shared" ref="V31:V52" si="3">W31</f>
        <v>23.6</v>
      </c>
      <c r="W31" s="7">
        <f t="shared" si="2"/>
        <v>23.6</v>
      </c>
      <c r="X31" s="7"/>
      <c r="Y31" s="7"/>
      <c r="Z31" s="7"/>
      <c r="AA31" s="7"/>
      <c r="AB31" s="8"/>
    </row>
    <row r="32" spans="1:28" x14ac:dyDescent="0.2">
      <c r="A32" s="43"/>
      <c r="B32" s="43"/>
      <c r="C32" s="43"/>
      <c r="D32" s="43"/>
      <c r="E32" s="44"/>
      <c r="F32" s="6"/>
      <c r="G32" s="6"/>
      <c r="H32" s="6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8"/>
    </row>
    <row r="33" spans="1:28" x14ac:dyDescent="0.2">
      <c r="A33" s="43" t="s">
        <v>81</v>
      </c>
      <c r="B33" s="43"/>
      <c r="C33" s="43"/>
      <c r="D33" s="43"/>
      <c r="E33" s="44"/>
      <c r="F33" s="6"/>
      <c r="G33" s="6"/>
      <c r="H33" s="6"/>
      <c r="I33" s="7"/>
      <c r="J33" s="12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8"/>
    </row>
    <row r="34" spans="1:28" x14ac:dyDescent="0.2">
      <c r="A34" s="46">
        <v>67675.490000000005</v>
      </c>
      <c r="B34" s="42"/>
      <c r="C34" s="4" t="s">
        <v>32</v>
      </c>
      <c r="D34" s="70">
        <v>67938.53</v>
      </c>
      <c r="E34" s="70"/>
      <c r="F34" s="6" t="s">
        <v>35</v>
      </c>
      <c r="G34" s="6">
        <f>D34-A34</f>
        <v>263.0399999999936</v>
      </c>
      <c r="H34" s="16">
        <v>6.75</v>
      </c>
      <c r="I34" s="7">
        <f>ROUNDUP(((H34*G34)/9),1)</f>
        <v>197.29999999999998</v>
      </c>
      <c r="J34" s="7"/>
      <c r="K34" s="7"/>
      <c r="L34" s="7">
        <f t="shared" si="0"/>
        <v>197.29999999999998</v>
      </c>
      <c r="M34" s="7"/>
      <c r="N34" s="7"/>
      <c r="O34" s="7"/>
      <c r="P34" s="7"/>
      <c r="Q34" s="7"/>
      <c r="R34" s="7"/>
      <c r="S34" s="7">
        <f t="shared" si="1"/>
        <v>17.8</v>
      </c>
      <c r="T34" s="7"/>
      <c r="U34" s="7"/>
      <c r="V34" s="7"/>
      <c r="W34" s="7">
        <f t="shared" si="2"/>
        <v>8.2999999999999989</v>
      </c>
      <c r="X34" s="7"/>
      <c r="Y34" s="7"/>
      <c r="Z34" s="7"/>
      <c r="AA34" s="7"/>
      <c r="AB34" s="8"/>
    </row>
    <row r="35" spans="1:28" x14ac:dyDescent="0.2">
      <c r="A35" s="43"/>
      <c r="B35" s="43"/>
      <c r="C35" s="43"/>
      <c r="D35" s="43"/>
      <c r="E35" s="44"/>
      <c r="F35" s="6"/>
      <c r="G35" s="6"/>
      <c r="H35" s="6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8"/>
    </row>
    <row r="36" spans="1:28" x14ac:dyDescent="0.2">
      <c r="A36" s="43"/>
      <c r="B36" s="43"/>
      <c r="C36" s="43"/>
      <c r="D36" s="43"/>
      <c r="E36" s="44"/>
      <c r="F36" s="6"/>
      <c r="G36" s="6"/>
      <c r="H36" s="6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8"/>
    </row>
    <row r="37" spans="1:28" x14ac:dyDescent="0.2">
      <c r="A37" s="43" t="s">
        <v>75</v>
      </c>
      <c r="B37" s="43"/>
      <c r="C37" s="43"/>
      <c r="D37" s="43"/>
      <c r="E37" s="44"/>
      <c r="F37" s="6"/>
      <c r="G37" s="6"/>
      <c r="H37" s="6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8"/>
    </row>
    <row r="38" spans="1:28" x14ac:dyDescent="0.2">
      <c r="A38" s="46">
        <v>68503.41</v>
      </c>
      <c r="B38" s="42"/>
      <c r="C38" s="4" t="s">
        <v>32</v>
      </c>
      <c r="D38" s="71">
        <v>68798.34</v>
      </c>
      <c r="E38" s="71"/>
      <c r="F38" s="6" t="s">
        <v>35</v>
      </c>
      <c r="G38" s="6">
        <f>D38-A38</f>
        <v>294.92999999999302</v>
      </c>
      <c r="H38" s="16">
        <f>(I38*9)/G38</f>
        <v>20.643881599023985</v>
      </c>
      <c r="I38" s="12">
        <f>ROUNDUP((6088.22/9),1)</f>
        <v>676.5</v>
      </c>
      <c r="J38" s="7"/>
      <c r="K38" s="7"/>
      <c r="L38" s="7">
        <f t="shared" si="0"/>
        <v>676.5</v>
      </c>
      <c r="M38" s="7"/>
      <c r="N38" s="7"/>
      <c r="O38" s="7"/>
      <c r="P38" s="7"/>
      <c r="Q38" s="7"/>
      <c r="R38" s="7"/>
      <c r="S38" s="7">
        <f t="shared" si="1"/>
        <v>60.9</v>
      </c>
      <c r="T38" s="7"/>
      <c r="U38" s="7"/>
      <c r="V38" s="7">
        <f t="shared" si="3"/>
        <v>28.200000000000003</v>
      </c>
      <c r="W38" s="7">
        <f t="shared" si="2"/>
        <v>28.200000000000003</v>
      </c>
      <c r="X38" s="7"/>
      <c r="Y38" s="7"/>
      <c r="Z38" s="7"/>
      <c r="AA38" s="7"/>
      <c r="AB38" s="8"/>
    </row>
    <row r="39" spans="1:28" x14ac:dyDescent="0.2">
      <c r="A39" s="43"/>
      <c r="B39" s="43"/>
      <c r="C39" s="43"/>
      <c r="D39" s="43"/>
      <c r="E39" s="44"/>
      <c r="F39" s="6"/>
      <c r="G39" s="6"/>
      <c r="H39" s="6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Z39" s="7"/>
      <c r="AA39" s="7"/>
      <c r="AB39" s="8"/>
    </row>
    <row r="40" spans="1:28" x14ac:dyDescent="0.2">
      <c r="A40" s="43" t="s">
        <v>76</v>
      </c>
      <c r="B40" s="43"/>
      <c r="C40" s="43"/>
      <c r="D40" s="43"/>
      <c r="E40" s="44"/>
      <c r="F40" s="6"/>
      <c r="G40" s="6"/>
      <c r="H40" s="6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  <c r="AA40" s="7"/>
      <c r="AB40" s="8"/>
    </row>
    <row r="41" spans="1:28" x14ac:dyDescent="0.2">
      <c r="A41" s="46">
        <v>68503.41</v>
      </c>
      <c r="B41" s="42"/>
      <c r="C41" s="4" t="s">
        <v>32</v>
      </c>
      <c r="D41" s="71">
        <v>68798.34</v>
      </c>
      <c r="E41" s="71"/>
      <c r="F41" s="6" t="s">
        <v>35</v>
      </c>
      <c r="G41" s="6">
        <f>D41-A41</f>
        <v>294.92999999999302</v>
      </c>
      <c r="H41" s="6">
        <v>4</v>
      </c>
      <c r="I41" s="7">
        <f>ROUNDUP(((H41*G41)/9),1)</f>
        <v>131.1</v>
      </c>
      <c r="J41" s="7"/>
      <c r="K41" s="7"/>
      <c r="L41" s="7">
        <f t="shared" si="0"/>
        <v>131.1</v>
      </c>
      <c r="M41" s="7"/>
      <c r="N41" s="7"/>
      <c r="O41" s="7"/>
      <c r="P41" s="7"/>
      <c r="Q41" s="7"/>
      <c r="R41" s="7"/>
      <c r="S41" s="7">
        <f t="shared" si="1"/>
        <v>11.799999999999999</v>
      </c>
      <c r="T41" s="7"/>
      <c r="U41" s="7"/>
      <c r="V41" s="7"/>
      <c r="W41" s="7">
        <f t="shared" si="2"/>
        <v>5.5</v>
      </c>
      <c r="X41" s="7"/>
      <c r="Y41" s="7"/>
      <c r="Z41" s="7"/>
      <c r="AA41" s="7"/>
      <c r="AB41" s="8"/>
    </row>
    <row r="42" spans="1:28" x14ac:dyDescent="0.2">
      <c r="A42" s="43"/>
      <c r="B42" s="43"/>
      <c r="C42" s="43"/>
      <c r="D42" s="43"/>
      <c r="E42" s="44"/>
      <c r="F42" s="6"/>
      <c r="G42" s="6"/>
      <c r="H42" s="6"/>
      <c r="I42" s="7"/>
      <c r="J42" s="12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8"/>
    </row>
    <row r="43" spans="1:28" x14ac:dyDescent="0.2">
      <c r="A43" s="43"/>
      <c r="B43" s="43"/>
      <c r="C43" s="43"/>
      <c r="D43" s="43"/>
      <c r="E43" s="44"/>
      <c r="F43" s="6"/>
      <c r="G43" s="6"/>
      <c r="H43" s="6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8"/>
    </row>
    <row r="44" spans="1:28" x14ac:dyDescent="0.2">
      <c r="A44" s="43" t="s">
        <v>78</v>
      </c>
      <c r="B44" s="43"/>
      <c r="C44" s="43"/>
      <c r="D44" s="43"/>
      <c r="E44" s="44"/>
      <c r="F44" s="6"/>
      <c r="G44" s="6"/>
      <c r="H44" s="6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8"/>
    </row>
    <row r="45" spans="1:28" x14ac:dyDescent="0.2">
      <c r="A45" s="45">
        <v>70745.960000000006</v>
      </c>
      <c r="B45" s="46"/>
      <c r="C45" s="4" t="s">
        <v>32</v>
      </c>
      <c r="D45" s="72">
        <v>71206.81</v>
      </c>
      <c r="E45" s="73"/>
      <c r="F45" s="6" t="s">
        <v>35</v>
      </c>
      <c r="G45" s="6">
        <f>D45-A45</f>
        <v>460.84999999999127</v>
      </c>
      <c r="H45" s="16">
        <f>(I45*9)/G45</f>
        <v>10.891396332863394</v>
      </c>
      <c r="I45" s="12">
        <f>ROUNDUP((5018.92/9),1)</f>
        <v>557.70000000000005</v>
      </c>
      <c r="J45" s="7"/>
      <c r="K45" s="7"/>
      <c r="L45" s="7">
        <f t="shared" si="0"/>
        <v>557.70000000000005</v>
      </c>
      <c r="M45" s="7"/>
      <c r="N45" s="7"/>
      <c r="O45" s="7"/>
      <c r="P45" s="7"/>
      <c r="Q45" s="7"/>
      <c r="R45" s="7"/>
      <c r="S45" s="7">
        <f t="shared" si="1"/>
        <v>50.2</v>
      </c>
      <c r="T45" s="7"/>
      <c r="U45" s="7"/>
      <c r="V45" s="7">
        <f t="shared" si="3"/>
        <v>23.3</v>
      </c>
      <c r="W45" s="7">
        <f t="shared" si="2"/>
        <v>23.3</v>
      </c>
      <c r="X45" s="7"/>
      <c r="Y45" s="7"/>
      <c r="Z45" s="7"/>
      <c r="AA45" s="7"/>
      <c r="AB45" s="8"/>
    </row>
    <row r="46" spans="1:28" x14ac:dyDescent="0.2">
      <c r="A46" s="43"/>
      <c r="B46" s="43"/>
      <c r="C46" s="43"/>
      <c r="D46" s="43"/>
      <c r="E46" s="44"/>
      <c r="F46" s="6"/>
      <c r="G46" s="6"/>
      <c r="H46" s="6"/>
      <c r="I46" s="7"/>
      <c r="J46" s="1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8"/>
    </row>
    <row r="47" spans="1:28" x14ac:dyDescent="0.2">
      <c r="A47" s="43" t="s">
        <v>79</v>
      </c>
      <c r="B47" s="43"/>
      <c r="C47" s="43"/>
      <c r="D47" s="43"/>
      <c r="E47" s="44"/>
      <c r="F47" s="6"/>
      <c r="G47" s="6"/>
      <c r="H47" s="6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  <c r="AA47" s="7"/>
      <c r="AB47" s="8"/>
    </row>
    <row r="48" spans="1:28" x14ac:dyDescent="0.2">
      <c r="A48" s="45">
        <v>70745.960000000006</v>
      </c>
      <c r="B48" s="46"/>
      <c r="C48" s="4" t="s">
        <v>32</v>
      </c>
      <c r="D48" s="72">
        <v>71206.81</v>
      </c>
      <c r="E48" s="73"/>
      <c r="F48" s="6" t="s">
        <v>35</v>
      </c>
      <c r="G48" s="6">
        <f>D48-A48</f>
        <v>460.84999999999127</v>
      </c>
      <c r="H48" s="16">
        <v>6.25</v>
      </c>
      <c r="I48" s="7">
        <f>ROUNDUP(((H48*G48)/9),1)</f>
        <v>320.10000000000002</v>
      </c>
      <c r="J48" s="7"/>
      <c r="K48" s="7"/>
      <c r="L48" s="7">
        <f t="shared" si="0"/>
        <v>320.10000000000002</v>
      </c>
      <c r="M48" s="7"/>
      <c r="N48" s="7"/>
      <c r="O48" s="7"/>
      <c r="P48" s="7"/>
      <c r="Q48" s="7"/>
      <c r="R48" s="7"/>
      <c r="S48" s="7">
        <f t="shared" si="1"/>
        <v>28.900000000000002</v>
      </c>
      <c r="T48" s="7"/>
      <c r="U48" s="7"/>
      <c r="V48" s="7"/>
      <c r="W48" s="7">
        <f t="shared" si="2"/>
        <v>13.4</v>
      </c>
      <c r="X48" s="7"/>
      <c r="Y48" s="7"/>
      <c r="Z48" s="7"/>
      <c r="AA48" s="7"/>
      <c r="AB48" s="8"/>
    </row>
    <row r="49" spans="1:28" x14ac:dyDescent="0.2">
      <c r="A49" s="43"/>
      <c r="B49" s="43"/>
      <c r="C49" s="43"/>
      <c r="D49" s="43"/>
      <c r="E49" s="44"/>
      <c r="F49" s="6"/>
      <c r="G49" s="6"/>
      <c r="H49" s="6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8"/>
    </row>
    <row r="50" spans="1:28" x14ac:dyDescent="0.2">
      <c r="A50" s="43"/>
      <c r="B50" s="43"/>
      <c r="C50" s="43"/>
      <c r="D50" s="43"/>
      <c r="E50" s="44"/>
      <c r="F50" s="6"/>
      <c r="G50" s="6"/>
      <c r="H50" s="6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B50" s="8"/>
    </row>
    <row r="51" spans="1:28" x14ac:dyDescent="0.2">
      <c r="A51" s="45" t="s">
        <v>103</v>
      </c>
      <c r="B51" s="45"/>
      <c r="C51" s="45"/>
      <c r="D51" s="45"/>
      <c r="E51" s="46"/>
      <c r="F51" s="6"/>
      <c r="G51" s="6"/>
      <c r="H51" s="6"/>
      <c r="I51" s="7"/>
      <c r="J51" s="12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8"/>
    </row>
    <row r="52" spans="1:28" x14ac:dyDescent="0.2">
      <c r="A52" s="45">
        <v>80681.87</v>
      </c>
      <c r="B52" s="46"/>
      <c r="C52" s="4" t="s">
        <v>32</v>
      </c>
      <c r="D52" s="47">
        <v>82223.5</v>
      </c>
      <c r="E52" s="46"/>
      <c r="F52" s="6" t="s">
        <v>35</v>
      </c>
      <c r="G52" s="6">
        <f>D52-A52</f>
        <v>1541.6300000000047</v>
      </c>
      <c r="H52" s="16">
        <f>(I52*9)/G52</f>
        <v>15.570467621932581</v>
      </c>
      <c r="I52" s="12">
        <f>ROUNDUP(((24003.539)/9),1)</f>
        <v>2667.1</v>
      </c>
      <c r="J52" s="7"/>
      <c r="K52" s="7"/>
      <c r="L52" s="7">
        <f t="shared" si="0"/>
        <v>2667.1</v>
      </c>
      <c r="M52" s="7"/>
      <c r="N52" s="7"/>
      <c r="O52" s="7"/>
      <c r="P52" s="7"/>
      <c r="Q52" s="7"/>
      <c r="R52" s="7"/>
      <c r="S52" s="7">
        <f t="shared" si="1"/>
        <v>240.1</v>
      </c>
      <c r="T52" s="7"/>
      <c r="U52" s="7"/>
      <c r="V52" s="7">
        <f t="shared" si="3"/>
        <v>111.19999999999999</v>
      </c>
      <c r="W52" s="7">
        <f t="shared" si="2"/>
        <v>111.19999999999999</v>
      </c>
      <c r="X52" s="7"/>
      <c r="Y52" s="7"/>
      <c r="Z52" s="7"/>
      <c r="AA52" s="7"/>
      <c r="AB52" s="8"/>
    </row>
    <row r="53" spans="1:28" x14ac:dyDescent="0.2">
      <c r="A53" s="45"/>
      <c r="B53" s="45"/>
      <c r="C53" s="45"/>
      <c r="D53" s="45"/>
      <c r="E53" s="46"/>
      <c r="F53" s="6"/>
      <c r="G53" s="6"/>
      <c r="H53" s="6"/>
      <c r="I53" s="1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  <c r="AB53" s="8"/>
    </row>
    <row r="54" spans="1:28" x14ac:dyDescent="0.2">
      <c r="A54" s="45" t="s">
        <v>104</v>
      </c>
      <c r="B54" s="45"/>
      <c r="C54" s="45"/>
      <c r="D54" s="45"/>
      <c r="E54" s="46"/>
      <c r="F54" s="6"/>
      <c r="G54" s="6"/>
      <c r="H54" s="6"/>
      <c r="I54" s="7"/>
      <c r="J54" s="12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  <c r="AA54" s="7"/>
      <c r="AB54" s="8"/>
    </row>
    <row r="55" spans="1:28" x14ac:dyDescent="0.2">
      <c r="A55" s="45">
        <v>80681.87</v>
      </c>
      <c r="B55" s="46"/>
      <c r="C55" s="4" t="s">
        <v>32</v>
      </c>
      <c r="D55" s="47">
        <v>82218.649999999994</v>
      </c>
      <c r="E55" s="46"/>
      <c r="F55" s="6" t="s">
        <v>35</v>
      </c>
      <c r="G55" s="6">
        <f>D55-A55</f>
        <v>1536.7799999999988</v>
      </c>
      <c r="H55" s="16">
        <f>(I55*9)/G55</f>
        <v>7.4060047632061901</v>
      </c>
      <c r="I55" s="12">
        <f>ROUNDUP(((11380.79)/9),1)</f>
        <v>1264.5999999999999</v>
      </c>
      <c r="J55" s="7"/>
      <c r="K55" s="7"/>
      <c r="L55" s="7">
        <f t="shared" ref="L55" si="4">I55</f>
        <v>1264.5999999999999</v>
      </c>
      <c r="M55" s="7"/>
      <c r="N55" s="7"/>
      <c r="O55" s="7"/>
      <c r="P55" s="7"/>
      <c r="Q55" s="7"/>
      <c r="R55" s="7"/>
      <c r="S55" s="7">
        <f t="shared" ref="S55" si="5">ROUNDUP((I55*0.09),1)</f>
        <v>113.89999999999999</v>
      </c>
      <c r="T55" s="7"/>
      <c r="U55" s="7"/>
      <c r="V55" s="7"/>
      <c r="W55" s="7">
        <f t="shared" ref="W55" si="6">ROUNDUP((I55*(1.5/36)),1)</f>
        <v>52.7</v>
      </c>
      <c r="X55" s="7"/>
      <c r="Y55" s="7"/>
      <c r="Z55" s="7"/>
      <c r="AA55" s="7"/>
      <c r="AB55" s="8"/>
    </row>
    <row r="56" spans="1:28" x14ac:dyDescent="0.2">
      <c r="A56" s="45"/>
      <c r="B56" s="45"/>
      <c r="C56" s="45"/>
      <c r="D56" s="45"/>
      <c r="E56" s="46"/>
      <c r="F56" s="6"/>
      <c r="G56" s="6"/>
      <c r="H56" s="6"/>
      <c r="I56" s="11"/>
      <c r="J56" s="17"/>
      <c r="K56" s="7"/>
      <c r="L56" s="7"/>
      <c r="M56" s="7"/>
      <c r="N56" s="7"/>
      <c r="O56" s="7"/>
      <c r="P56" s="7"/>
      <c r="Q56" s="7"/>
      <c r="R56" s="7"/>
      <c r="S56" s="7"/>
      <c r="T56" s="7"/>
      <c r="U56" s="7"/>
      <c r="V56" s="7"/>
      <c r="W56" s="7"/>
      <c r="X56" s="7"/>
      <c r="Y56" s="7"/>
      <c r="Z56" s="7"/>
      <c r="AA56" s="7"/>
      <c r="AB56" s="8"/>
    </row>
    <row r="57" spans="1:28" x14ac:dyDescent="0.2">
      <c r="A57" s="45"/>
      <c r="B57" s="45"/>
      <c r="C57" s="45"/>
      <c r="D57" s="45"/>
      <c r="E57" s="46"/>
      <c r="F57" s="6"/>
      <c r="G57" s="6"/>
      <c r="H57" s="6"/>
      <c r="I57" s="7"/>
      <c r="J57" s="17"/>
      <c r="K57" s="7"/>
      <c r="L57" s="7"/>
      <c r="M57" s="7"/>
      <c r="N57" s="7"/>
      <c r="O57" s="7"/>
      <c r="P57" s="7"/>
      <c r="Q57" s="7"/>
      <c r="R57" s="7"/>
      <c r="S57" s="7"/>
      <c r="T57" s="7"/>
      <c r="U57" s="7"/>
      <c r="V57" s="7"/>
      <c r="W57" s="7"/>
      <c r="X57" s="7"/>
      <c r="Y57" s="7"/>
      <c r="Z57" s="7"/>
      <c r="AA57" s="7"/>
      <c r="AB57" s="8"/>
    </row>
    <row r="58" spans="1:28" x14ac:dyDescent="0.2">
      <c r="A58" s="45" t="s">
        <v>105</v>
      </c>
      <c r="B58" s="45"/>
      <c r="C58" s="45"/>
      <c r="D58" s="45"/>
      <c r="E58" s="46"/>
      <c r="F58" s="6"/>
      <c r="G58" s="6"/>
      <c r="H58" s="6"/>
      <c r="I58" s="7"/>
      <c r="J58" s="12"/>
      <c r="K58" s="7"/>
      <c r="L58" s="7"/>
      <c r="M58" s="7"/>
      <c r="N58" s="7"/>
      <c r="O58" s="7"/>
      <c r="P58" s="7"/>
      <c r="Q58" s="7"/>
      <c r="R58" s="7"/>
      <c r="S58" s="7"/>
      <c r="T58" s="7"/>
      <c r="U58" s="7"/>
      <c r="V58" s="7"/>
      <c r="W58" s="7"/>
      <c r="X58" s="7"/>
      <c r="Y58" s="7"/>
      <c r="Z58" s="7"/>
      <c r="AA58" s="7"/>
      <c r="AB58" s="8"/>
    </row>
    <row r="59" spans="1:28" x14ac:dyDescent="0.2">
      <c r="A59" s="45">
        <v>84366.69</v>
      </c>
      <c r="B59" s="46"/>
      <c r="C59" s="4" t="s">
        <v>32</v>
      </c>
      <c r="D59" s="47">
        <v>85172.88</v>
      </c>
      <c r="E59" s="46"/>
      <c r="F59" s="6" t="s">
        <v>35</v>
      </c>
      <c r="G59" s="6">
        <f>D59-A59</f>
        <v>806.19000000000233</v>
      </c>
      <c r="H59" s="16">
        <f>(I59*9)/G59</f>
        <v>16.345774569270223</v>
      </c>
      <c r="I59" s="12">
        <f>ROUNDUP(((13177.01)/9),1)</f>
        <v>1464.1999999999998</v>
      </c>
      <c r="J59" s="7"/>
      <c r="K59" s="7"/>
      <c r="L59" s="7">
        <f t="shared" ref="L59" si="7">I59</f>
        <v>1464.1999999999998</v>
      </c>
      <c r="M59" s="7"/>
      <c r="N59" s="7"/>
      <c r="O59" s="7"/>
      <c r="P59" s="7"/>
      <c r="Q59" s="7"/>
      <c r="R59" s="7"/>
      <c r="S59" s="7">
        <f t="shared" ref="S59" si="8">ROUNDUP((I59*0.09),1)</f>
        <v>131.79999999999998</v>
      </c>
      <c r="T59" s="7"/>
      <c r="U59" s="7"/>
      <c r="V59" s="7">
        <f t="shared" ref="V59" si="9">W59</f>
        <v>61.1</v>
      </c>
      <c r="W59" s="7">
        <f t="shared" ref="W59" si="10">ROUNDUP((I59*(1.5/36)),1)</f>
        <v>61.1</v>
      </c>
      <c r="X59" s="7"/>
      <c r="Y59" s="7"/>
      <c r="Z59" s="7"/>
      <c r="AA59" s="7"/>
      <c r="AB59" s="8"/>
    </row>
    <row r="60" spans="1:28" x14ac:dyDescent="0.2">
      <c r="A60" s="45"/>
      <c r="B60" s="45"/>
      <c r="C60" s="45"/>
      <c r="D60" s="45"/>
      <c r="E60" s="46"/>
      <c r="F60" s="6"/>
      <c r="G60" s="6"/>
      <c r="H60" s="6"/>
      <c r="I60" s="11"/>
      <c r="J60" s="7"/>
      <c r="K60" s="7"/>
      <c r="L60" s="7"/>
      <c r="M60" s="7"/>
      <c r="N60" s="7"/>
      <c r="O60" s="7"/>
      <c r="P60" s="7"/>
      <c r="Q60" s="7"/>
      <c r="R60" s="7"/>
      <c r="S60" s="7"/>
      <c r="T60" s="7"/>
      <c r="U60" s="7"/>
      <c r="V60" s="7"/>
      <c r="W60" s="7"/>
      <c r="X60" s="7"/>
      <c r="Y60" s="7"/>
      <c r="Z60" s="7"/>
      <c r="AA60" s="7"/>
      <c r="AB60" s="8"/>
    </row>
    <row r="61" spans="1:28" x14ac:dyDescent="0.2">
      <c r="A61" s="45" t="s">
        <v>106</v>
      </c>
      <c r="B61" s="45"/>
      <c r="C61" s="45"/>
      <c r="D61" s="45"/>
      <c r="E61" s="46"/>
      <c r="F61" s="6"/>
      <c r="G61" s="6"/>
      <c r="H61" s="6"/>
      <c r="I61" s="7"/>
      <c r="J61" s="12"/>
      <c r="K61" s="7"/>
      <c r="L61" s="7"/>
      <c r="M61" s="7"/>
      <c r="N61" s="7"/>
      <c r="O61" s="7"/>
      <c r="P61" s="7"/>
      <c r="Q61" s="7"/>
      <c r="R61" s="7"/>
      <c r="S61" s="7"/>
      <c r="T61" s="7"/>
      <c r="U61" s="7"/>
      <c r="V61" s="7"/>
      <c r="W61" s="7"/>
      <c r="X61" s="7"/>
      <c r="Y61" s="7"/>
      <c r="Z61" s="7"/>
      <c r="AA61" s="7"/>
      <c r="AB61" s="8"/>
    </row>
    <row r="62" spans="1:28" x14ac:dyDescent="0.2">
      <c r="A62" s="45">
        <v>84370.96</v>
      </c>
      <c r="B62" s="46"/>
      <c r="C62" s="4" t="s">
        <v>32</v>
      </c>
      <c r="D62" s="47">
        <v>85172.88</v>
      </c>
      <c r="E62" s="46"/>
      <c r="F62" s="6" t="s">
        <v>35</v>
      </c>
      <c r="G62" s="6">
        <f>D62-A62</f>
        <v>801.91999999999825</v>
      </c>
      <c r="H62" s="16">
        <f>(I62*9)/G62</f>
        <v>9.025588587390283</v>
      </c>
      <c r="I62" s="12">
        <f>ROUNDUP(((7237.11)/9),1)</f>
        <v>804.2</v>
      </c>
      <c r="J62" s="7"/>
      <c r="K62" s="7"/>
      <c r="L62" s="7">
        <f t="shared" ref="L62" si="11">I62</f>
        <v>804.2</v>
      </c>
      <c r="M62" s="7"/>
      <c r="N62" s="7"/>
      <c r="O62" s="7"/>
      <c r="P62" s="7"/>
      <c r="Q62" s="7"/>
      <c r="R62" s="7"/>
      <c r="S62" s="7">
        <f t="shared" ref="S62" si="12">ROUNDUP((I62*0.09),1)</f>
        <v>72.399999999999991</v>
      </c>
      <c r="T62" s="7"/>
      <c r="U62" s="7"/>
      <c r="V62" s="7"/>
      <c r="W62" s="7">
        <f t="shared" ref="W62" si="13">ROUNDUP((I62*(1.5/36)),1)</f>
        <v>33.6</v>
      </c>
      <c r="X62" s="7"/>
      <c r="Y62" s="7"/>
      <c r="Z62" s="7"/>
      <c r="AA62" s="7"/>
      <c r="AB62" s="8"/>
    </row>
    <row r="63" spans="1:28" x14ac:dyDescent="0.2">
      <c r="A63" s="45"/>
      <c r="B63" s="45"/>
      <c r="C63" s="45"/>
      <c r="D63" s="45"/>
      <c r="E63" s="46"/>
      <c r="F63" s="6"/>
      <c r="G63" s="6"/>
      <c r="H63" s="6"/>
      <c r="I63" s="11"/>
      <c r="J63" s="7"/>
      <c r="K63" s="7"/>
      <c r="L63" s="7"/>
      <c r="M63" s="7"/>
      <c r="N63" s="7"/>
      <c r="O63" s="7"/>
      <c r="P63" s="7"/>
      <c r="Q63" s="7"/>
      <c r="R63" s="7"/>
      <c r="S63" s="7"/>
      <c r="T63" s="7"/>
      <c r="U63" s="7"/>
      <c r="V63" s="7"/>
      <c r="W63" s="7"/>
      <c r="X63" s="7"/>
      <c r="Y63" s="7"/>
      <c r="Z63" s="7"/>
      <c r="AA63" s="7"/>
      <c r="AB63" s="8"/>
    </row>
    <row r="64" spans="1:28" x14ac:dyDescent="0.2">
      <c r="A64" s="45"/>
      <c r="B64" s="45"/>
      <c r="C64" s="45"/>
      <c r="D64" s="45"/>
      <c r="E64" s="46"/>
      <c r="F64" s="6"/>
      <c r="G64" s="6"/>
      <c r="H64" s="6"/>
      <c r="I64" s="11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8"/>
    </row>
    <row r="65" spans="1:28" x14ac:dyDescent="0.2">
      <c r="A65" s="45"/>
      <c r="B65" s="45"/>
      <c r="C65" s="45"/>
      <c r="D65" s="45"/>
      <c r="E65" s="46"/>
      <c r="F65" s="6"/>
      <c r="G65" s="6"/>
      <c r="H65" s="6"/>
      <c r="I65" s="11"/>
      <c r="J65" s="7"/>
      <c r="K65" s="7"/>
      <c r="L65" s="7"/>
      <c r="M65" s="7"/>
      <c r="N65" s="7"/>
      <c r="O65" s="7"/>
      <c r="P65" s="7"/>
      <c r="Q65" s="7"/>
      <c r="R65" s="7"/>
      <c r="S65" s="7"/>
      <c r="T65" s="7"/>
      <c r="U65" s="7"/>
      <c r="V65" s="7"/>
      <c r="W65" s="7"/>
      <c r="X65" s="7"/>
      <c r="Y65" s="7"/>
      <c r="Z65" s="7"/>
      <c r="AA65" s="7"/>
      <c r="AB65" s="8"/>
    </row>
    <row r="66" spans="1:28" x14ac:dyDescent="0.2">
      <c r="A66" s="45"/>
      <c r="B66" s="45"/>
      <c r="C66" s="45"/>
      <c r="D66" s="45"/>
      <c r="E66" s="46"/>
      <c r="F66" s="6"/>
      <c r="G66" s="6"/>
      <c r="H66" s="6"/>
      <c r="I66" s="11"/>
      <c r="J66" s="7"/>
      <c r="K66" s="7"/>
      <c r="L66" s="7"/>
      <c r="M66" s="7"/>
      <c r="N66" s="7"/>
      <c r="O66" s="7"/>
      <c r="P66" s="7"/>
      <c r="Q66" s="7"/>
      <c r="R66" s="7"/>
      <c r="S66" s="7"/>
      <c r="T66" s="7"/>
      <c r="U66" s="7"/>
      <c r="V66" s="7"/>
      <c r="W66" s="7"/>
      <c r="X66" s="7"/>
      <c r="Y66" s="7"/>
      <c r="Z66" s="7"/>
      <c r="AA66" s="7"/>
      <c r="AB66" s="8"/>
    </row>
    <row r="67" spans="1:28" x14ac:dyDescent="0.2">
      <c r="A67" s="45"/>
      <c r="B67" s="45"/>
      <c r="C67" s="45"/>
      <c r="D67" s="45"/>
      <c r="E67" s="46"/>
      <c r="F67" s="6"/>
      <c r="G67" s="6"/>
      <c r="H67" s="6"/>
      <c r="I67" s="11"/>
      <c r="J67" s="7"/>
      <c r="K67" s="7"/>
      <c r="L67" s="7"/>
      <c r="M67" s="7"/>
      <c r="N67" s="7"/>
      <c r="O67" s="7"/>
      <c r="P67" s="7"/>
      <c r="Q67" s="7"/>
      <c r="R67" s="7"/>
      <c r="S67" s="7"/>
      <c r="T67" s="7"/>
      <c r="U67" s="7"/>
      <c r="V67" s="7"/>
      <c r="W67" s="7"/>
      <c r="X67" s="7"/>
      <c r="Y67" s="7"/>
      <c r="Z67" s="7"/>
      <c r="AA67" s="7"/>
      <c r="AB67" s="8"/>
    </row>
    <row r="68" spans="1:28" x14ac:dyDescent="0.2">
      <c r="A68" s="45"/>
      <c r="B68" s="45"/>
      <c r="C68" s="45"/>
      <c r="D68" s="45"/>
      <c r="E68" s="46"/>
      <c r="F68" s="6"/>
      <c r="G68" s="6"/>
      <c r="H68" s="6"/>
      <c r="I68" s="11"/>
      <c r="J68" s="7"/>
      <c r="K68" s="7"/>
      <c r="L68" s="7"/>
      <c r="M68" s="7"/>
      <c r="N68" s="7"/>
      <c r="O68" s="7"/>
      <c r="P68" s="7"/>
      <c r="Q68" s="7"/>
      <c r="R68" s="7"/>
      <c r="S68" s="7"/>
      <c r="T68" s="7"/>
      <c r="U68" s="7"/>
      <c r="V68" s="7"/>
      <c r="W68" s="7"/>
      <c r="X68" s="7"/>
      <c r="Y68" s="7"/>
      <c r="Z68" s="7"/>
      <c r="AA68" s="7"/>
      <c r="AB68" s="8"/>
    </row>
    <row r="69" spans="1:28" x14ac:dyDescent="0.2">
      <c r="A69" s="45"/>
      <c r="B69" s="45"/>
      <c r="C69" s="45"/>
      <c r="D69" s="45"/>
      <c r="E69" s="46"/>
      <c r="F69" s="6"/>
      <c r="G69" s="6"/>
      <c r="H69" s="6"/>
      <c r="I69" s="7"/>
      <c r="J69" s="7"/>
      <c r="K69" s="7"/>
      <c r="L69" s="7"/>
      <c r="M69" s="7"/>
      <c r="N69" s="7"/>
      <c r="O69" s="7"/>
      <c r="P69" s="7"/>
      <c r="Q69" s="7"/>
      <c r="R69" s="7"/>
      <c r="S69" s="7"/>
      <c r="T69" s="7"/>
      <c r="U69" s="7"/>
      <c r="V69" s="7"/>
      <c r="W69" s="7"/>
      <c r="X69" s="7"/>
      <c r="Y69" s="7"/>
      <c r="Z69" s="7"/>
      <c r="AA69" s="7"/>
      <c r="AB69" s="8"/>
    </row>
    <row r="70" spans="1:28" x14ac:dyDescent="0.2">
      <c r="A70" s="45"/>
      <c r="B70" s="45"/>
      <c r="C70" s="45"/>
      <c r="D70" s="45"/>
      <c r="E70" s="46"/>
      <c r="F70" s="6"/>
      <c r="G70" s="6"/>
      <c r="H70" s="6"/>
      <c r="I70" s="7"/>
      <c r="J70" s="7"/>
      <c r="K70" s="7"/>
      <c r="L70" s="7"/>
      <c r="M70" s="7"/>
      <c r="N70" s="7"/>
      <c r="O70" s="7"/>
      <c r="P70" s="7"/>
      <c r="Q70" s="7"/>
      <c r="R70" s="7"/>
      <c r="S70" s="7"/>
      <c r="T70" s="7"/>
      <c r="U70" s="7"/>
      <c r="V70" s="7"/>
      <c r="W70" s="7"/>
      <c r="X70" s="7"/>
      <c r="Y70" s="7"/>
      <c r="Z70" s="7"/>
      <c r="AA70" s="7"/>
      <c r="AB70" s="8"/>
    </row>
    <row r="71" spans="1:28" x14ac:dyDescent="0.2">
      <c r="A71" s="45"/>
      <c r="B71" s="45"/>
      <c r="C71" s="45"/>
      <c r="D71" s="45"/>
      <c r="E71" s="46"/>
      <c r="F71" s="6"/>
      <c r="G71" s="6"/>
      <c r="H71" s="6"/>
      <c r="I71" s="7"/>
      <c r="J71" s="7"/>
      <c r="K71" s="7"/>
      <c r="L71" s="7"/>
      <c r="M71" s="7"/>
      <c r="N71" s="7"/>
      <c r="O71" s="7"/>
      <c r="P71" s="7"/>
      <c r="Q71" s="7"/>
      <c r="R71" s="7"/>
      <c r="S71" s="7"/>
      <c r="T71" s="7"/>
      <c r="U71" s="7"/>
      <c r="V71" s="7"/>
      <c r="W71" s="7"/>
      <c r="X71" s="7"/>
      <c r="Y71" s="7"/>
      <c r="Z71" s="7"/>
      <c r="AA71" s="7"/>
      <c r="AB71" s="8"/>
    </row>
    <row r="72" spans="1:28" x14ac:dyDescent="0.2">
      <c r="A72" s="45"/>
      <c r="B72" s="45"/>
      <c r="C72" s="45"/>
      <c r="D72" s="45"/>
      <c r="E72" s="46"/>
      <c r="F72" s="6"/>
      <c r="G72" s="6"/>
      <c r="H72" s="6"/>
      <c r="I72" s="7"/>
      <c r="J72" s="7"/>
      <c r="K72" s="7"/>
      <c r="L72" s="7"/>
      <c r="M72" s="7"/>
      <c r="N72" s="7"/>
      <c r="O72" s="7"/>
      <c r="P72" s="7"/>
      <c r="Q72" s="7"/>
      <c r="R72" s="7"/>
      <c r="S72" s="7"/>
      <c r="T72" s="7"/>
      <c r="U72" s="7"/>
      <c r="V72" s="7"/>
      <c r="W72" s="7"/>
      <c r="X72" s="7"/>
      <c r="Y72" s="7"/>
      <c r="Z72" s="7"/>
      <c r="AA72" s="7"/>
      <c r="AB72" s="8"/>
    </row>
    <row r="73" spans="1:28" x14ac:dyDescent="0.2">
      <c r="A73" s="45"/>
      <c r="B73" s="45"/>
      <c r="C73" s="45"/>
      <c r="D73" s="45"/>
      <c r="E73" s="46"/>
      <c r="F73" s="6"/>
      <c r="G73" s="6"/>
      <c r="H73" s="6"/>
      <c r="I73" s="7"/>
      <c r="J73" s="7"/>
      <c r="K73" s="7"/>
      <c r="L73" s="7"/>
      <c r="M73" s="7"/>
      <c r="N73" s="7"/>
      <c r="O73" s="7"/>
      <c r="P73" s="7"/>
      <c r="Q73" s="7"/>
      <c r="R73" s="7"/>
      <c r="S73" s="7"/>
      <c r="T73" s="7"/>
      <c r="U73" s="7"/>
      <c r="V73" s="7"/>
      <c r="W73" s="7"/>
      <c r="X73" s="7"/>
      <c r="Y73" s="7"/>
      <c r="Z73" s="7"/>
      <c r="AA73" s="7"/>
      <c r="AB73" s="8"/>
    </row>
    <row r="74" spans="1:28" ht="12.75" customHeight="1" x14ac:dyDescent="0.2">
      <c r="A74" s="37" t="s">
        <v>132</v>
      </c>
      <c r="B74" s="38"/>
      <c r="C74" s="38"/>
      <c r="D74" s="38"/>
      <c r="E74" s="38"/>
      <c r="F74" s="38"/>
      <c r="G74" s="38"/>
      <c r="H74" s="38"/>
      <c r="I74" s="38"/>
      <c r="J74" s="48">
        <f t="shared" ref="J74:P74" si="14">ROUNDUP(SUM(J19:J73),0)</f>
        <v>0</v>
      </c>
      <c r="K74" s="48">
        <f t="shared" si="14"/>
        <v>0</v>
      </c>
      <c r="L74" s="48">
        <f t="shared" si="14"/>
        <v>9641</v>
      </c>
      <c r="M74" s="48">
        <f t="shared" si="14"/>
        <v>0</v>
      </c>
      <c r="N74" s="48">
        <f t="shared" si="14"/>
        <v>0</v>
      </c>
      <c r="O74" s="48">
        <f t="shared" si="14"/>
        <v>0</v>
      </c>
      <c r="P74" s="48">
        <f t="shared" si="14"/>
        <v>0</v>
      </c>
      <c r="Q74" s="51">
        <f>ROUNDUP(SUM(Q19:S73),0)</f>
        <v>869</v>
      </c>
      <c r="R74" s="62"/>
      <c r="S74" s="63"/>
      <c r="T74" s="48">
        <f t="shared" ref="T74:AB74" si="15">ROUNDUP(SUM(T19:T73),0)</f>
        <v>0</v>
      </c>
      <c r="U74" s="48">
        <f t="shared" si="15"/>
        <v>0</v>
      </c>
      <c r="V74" s="48">
        <f t="shared" si="15"/>
        <v>281</v>
      </c>
      <c r="W74" s="48">
        <f t="shared" si="15"/>
        <v>403</v>
      </c>
      <c r="X74" s="48">
        <f t="shared" si="15"/>
        <v>0</v>
      </c>
      <c r="Y74" s="48">
        <f t="shared" si="15"/>
        <v>0</v>
      </c>
      <c r="Z74" s="48">
        <f t="shared" si="15"/>
        <v>0</v>
      </c>
      <c r="AA74" s="48">
        <f t="shared" si="15"/>
        <v>0</v>
      </c>
      <c r="AB74" s="50">
        <f t="shared" si="15"/>
        <v>0</v>
      </c>
    </row>
    <row r="75" spans="1:28" ht="12.75" customHeight="1" x14ac:dyDescent="0.2">
      <c r="A75" s="58"/>
      <c r="B75" s="59"/>
      <c r="C75" s="59"/>
      <c r="D75" s="59"/>
      <c r="E75" s="59"/>
      <c r="F75" s="59"/>
      <c r="G75" s="59"/>
      <c r="H75" s="59"/>
      <c r="I75" s="59"/>
      <c r="J75" s="49"/>
      <c r="K75" s="49"/>
      <c r="L75" s="49"/>
      <c r="M75" s="49"/>
      <c r="N75" s="49"/>
      <c r="O75" s="49"/>
      <c r="P75" s="49"/>
      <c r="Q75" s="64"/>
      <c r="R75" s="65"/>
      <c r="S75" s="66"/>
      <c r="T75" s="49"/>
      <c r="U75" s="49"/>
      <c r="V75" s="49"/>
      <c r="W75" s="49"/>
      <c r="X75" s="49"/>
      <c r="Y75" s="49"/>
      <c r="Z75" s="49"/>
      <c r="AA75" s="49"/>
      <c r="AB75" s="51"/>
    </row>
  </sheetData>
  <mergeCells count="109">
    <mergeCell ref="Y2:Y16"/>
    <mergeCell ref="Z2:Z16"/>
    <mergeCell ref="AA2:AA17"/>
    <mergeCell ref="AB2:AB17"/>
    <mergeCell ref="Q2:Q16"/>
    <mergeCell ref="R2:R16"/>
    <mergeCell ref="S2:S16"/>
    <mergeCell ref="T2:T16"/>
    <mergeCell ref="U2:U16"/>
    <mergeCell ref="V2:V17"/>
    <mergeCell ref="A19:E19"/>
    <mergeCell ref="A20:E20"/>
    <mergeCell ref="A21:E21"/>
    <mergeCell ref="A22:E22"/>
    <mergeCell ref="A23:E23"/>
    <mergeCell ref="A24:B24"/>
    <mergeCell ref="D24:E24"/>
    <mergeCell ref="W2:W16"/>
    <mergeCell ref="X2:X16"/>
    <mergeCell ref="K2:K17"/>
    <mergeCell ref="L2:L17"/>
    <mergeCell ref="M2:M17"/>
    <mergeCell ref="N2:N17"/>
    <mergeCell ref="O2:O16"/>
    <mergeCell ref="P2:P16"/>
    <mergeCell ref="A1:E18"/>
    <mergeCell ref="F1:F18"/>
    <mergeCell ref="G1:G18"/>
    <mergeCell ref="H1:H18"/>
    <mergeCell ref="I1:I18"/>
    <mergeCell ref="J2:J17"/>
    <mergeCell ref="A29:E29"/>
    <mergeCell ref="A30:E30"/>
    <mergeCell ref="A31:B31"/>
    <mergeCell ref="D31:E31"/>
    <mergeCell ref="A32:E32"/>
    <mergeCell ref="A25:E25"/>
    <mergeCell ref="A26:E26"/>
    <mergeCell ref="A27:B27"/>
    <mergeCell ref="D27:E27"/>
    <mergeCell ref="A28:E28"/>
    <mergeCell ref="A38:B38"/>
    <mergeCell ref="D38:E38"/>
    <mergeCell ref="A39:E39"/>
    <mergeCell ref="A40:E40"/>
    <mergeCell ref="A41:B41"/>
    <mergeCell ref="D41:E41"/>
    <mergeCell ref="A33:E33"/>
    <mergeCell ref="A34:B34"/>
    <mergeCell ref="D34:E34"/>
    <mergeCell ref="A35:E35"/>
    <mergeCell ref="A36:E36"/>
    <mergeCell ref="A37:E37"/>
    <mergeCell ref="A42:E42"/>
    <mergeCell ref="A43:E43"/>
    <mergeCell ref="A44:E44"/>
    <mergeCell ref="A45:B45"/>
    <mergeCell ref="D45:E45"/>
    <mergeCell ref="A56:E56"/>
    <mergeCell ref="A57:E57"/>
    <mergeCell ref="A58:E58"/>
    <mergeCell ref="A60:E60"/>
    <mergeCell ref="A51:E51"/>
    <mergeCell ref="A52:B52"/>
    <mergeCell ref="D52:E52"/>
    <mergeCell ref="A53:E53"/>
    <mergeCell ref="A54:E54"/>
    <mergeCell ref="A55:B55"/>
    <mergeCell ref="K74:K75"/>
    <mergeCell ref="L74:L75"/>
    <mergeCell ref="A63:E63"/>
    <mergeCell ref="A64:E64"/>
    <mergeCell ref="A62:B62"/>
    <mergeCell ref="D62:E62"/>
    <mergeCell ref="A46:E46"/>
    <mergeCell ref="A47:E47"/>
    <mergeCell ref="A48:B48"/>
    <mergeCell ref="D48:E48"/>
    <mergeCell ref="A49:E49"/>
    <mergeCell ref="A50:E50"/>
    <mergeCell ref="A61:E61"/>
    <mergeCell ref="A65:E65"/>
    <mergeCell ref="A66:E66"/>
    <mergeCell ref="A67:E67"/>
    <mergeCell ref="A68:E68"/>
    <mergeCell ref="AA74:AA75"/>
    <mergeCell ref="A69:E69"/>
    <mergeCell ref="A70:E70"/>
    <mergeCell ref="A71:E71"/>
    <mergeCell ref="D55:E55"/>
    <mergeCell ref="A59:B59"/>
    <mergeCell ref="D59:E59"/>
    <mergeCell ref="AB74:AB75"/>
    <mergeCell ref="U74:U75"/>
    <mergeCell ref="V74:V75"/>
    <mergeCell ref="W74:W75"/>
    <mergeCell ref="X74:X75"/>
    <mergeCell ref="Y74:Y75"/>
    <mergeCell ref="Z74:Z75"/>
    <mergeCell ref="M74:M75"/>
    <mergeCell ref="N74:N75"/>
    <mergeCell ref="O74:O75"/>
    <mergeCell ref="P74:P75"/>
    <mergeCell ref="Q74:S75"/>
    <mergeCell ref="T74:T75"/>
    <mergeCell ref="A72:E72"/>
    <mergeCell ref="A73:E73"/>
    <mergeCell ref="A74:I75"/>
    <mergeCell ref="J74:J75"/>
  </mergeCells>
  <pageMargins left="0.7" right="0.7" top="0.75" bottom="0.75" header="0.3" footer="0.3"/>
  <pageSetup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A26D26-8155-4F72-B82C-DAE83DC76D10}">
  <dimension ref="A1:AB75"/>
  <sheetViews>
    <sheetView showZeros="0" tabSelected="1" topLeftCell="A37" zoomScale="85" zoomScaleNormal="85" workbookViewId="0">
      <selection activeCell="A39" sqref="A39:E39"/>
    </sheetView>
  </sheetViews>
  <sheetFormatPr defaultRowHeight="12.75" x14ac:dyDescent="0.2"/>
  <cols>
    <col min="1" max="2" width="10.7109375" style="1" customWidth="1"/>
    <col min="3" max="3" width="3.7109375" style="1" customWidth="1"/>
    <col min="4" max="5" width="10.7109375" style="1" customWidth="1"/>
    <col min="6" max="7" width="9.7109375" style="1" customWidth="1"/>
    <col min="8" max="8" width="9.7109375" style="18" customWidth="1"/>
    <col min="9" max="9" width="9.7109375" style="15" customWidth="1"/>
    <col min="10" max="28" width="9.42578125" style="1" customWidth="1"/>
    <col min="29" max="36" width="9.7109375" style="1" customWidth="1"/>
    <col min="37" max="16384" width="9.140625" style="1"/>
  </cols>
  <sheetData>
    <row r="1" spans="1:28" ht="12.75" customHeight="1" x14ac:dyDescent="0.2">
      <c r="A1" s="35" t="s">
        <v>33</v>
      </c>
      <c r="B1" s="36"/>
      <c r="C1" s="36"/>
      <c r="D1" s="36"/>
      <c r="E1" s="36"/>
      <c r="F1" s="39" t="s">
        <v>29</v>
      </c>
      <c r="G1" s="39" t="s">
        <v>30</v>
      </c>
      <c r="H1" s="81" t="s">
        <v>36</v>
      </c>
      <c r="I1" s="67" t="s">
        <v>31</v>
      </c>
      <c r="J1" s="2">
        <v>202</v>
      </c>
      <c r="K1" s="2">
        <v>206</v>
      </c>
      <c r="L1" s="2">
        <v>254</v>
      </c>
      <c r="M1" s="2">
        <v>254</v>
      </c>
      <c r="N1" s="2">
        <v>255</v>
      </c>
      <c r="O1" s="2">
        <v>302</v>
      </c>
      <c r="P1" s="2">
        <v>304</v>
      </c>
      <c r="Q1" s="2">
        <v>407</v>
      </c>
      <c r="R1" s="2">
        <v>407</v>
      </c>
      <c r="S1" s="2">
        <v>407</v>
      </c>
      <c r="T1" s="2">
        <v>408</v>
      </c>
      <c r="U1" s="2">
        <v>441</v>
      </c>
      <c r="V1" s="2">
        <v>442</v>
      </c>
      <c r="W1" s="2">
        <v>442</v>
      </c>
      <c r="X1" s="2">
        <v>442</v>
      </c>
      <c r="Y1" s="2">
        <v>442</v>
      </c>
      <c r="Z1" s="2">
        <v>617</v>
      </c>
      <c r="AA1" s="2">
        <v>874</v>
      </c>
      <c r="AB1" s="3">
        <v>874</v>
      </c>
    </row>
    <row r="2" spans="1:28" ht="12.75" customHeight="1" x14ac:dyDescent="0.2">
      <c r="A2" s="37"/>
      <c r="B2" s="38"/>
      <c r="C2" s="38"/>
      <c r="D2" s="38"/>
      <c r="E2" s="38"/>
      <c r="F2" s="40"/>
      <c r="G2" s="40"/>
      <c r="H2" s="81"/>
      <c r="I2" s="68"/>
      <c r="J2" s="29" t="s">
        <v>0</v>
      </c>
      <c r="K2" s="28" t="s">
        <v>2</v>
      </c>
      <c r="L2" s="28" t="s">
        <v>3</v>
      </c>
      <c r="M2" s="28" t="s">
        <v>6</v>
      </c>
      <c r="N2" s="29" t="s">
        <v>4</v>
      </c>
      <c r="O2" s="28" t="s">
        <v>22</v>
      </c>
      <c r="P2" s="29" t="s">
        <v>8</v>
      </c>
      <c r="Q2" s="32" t="s">
        <v>12</v>
      </c>
      <c r="R2" s="28" t="s">
        <v>11</v>
      </c>
      <c r="S2" s="28" t="s">
        <v>11</v>
      </c>
      <c r="T2" s="29" t="s">
        <v>17</v>
      </c>
      <c r="U2" s="28" t="s">
        <v>19</v>
      </c>
      <c r="V2" s="29" t="s">
        <v>21</v>
      </c>
      <c r="W2" s="28" t="s">
        <v>109</v>
      </c>
      <c r="X2" s="28" t="s">
        <v>23</v>
      </c>
      <c r="Y2" s="28" t="s">
        <v>110</v>
      </c>
      <c r="Z2" s="28" t="s">
        <v>25</v>
      </c>
      <c r="AA2" s="28" t="s">
        <v>27</v>
      </c>
      <c r="AB2" s="30" t="s">
        <v>28</v>
      </c>
    </row>
    <row r="3" spans="1:28" ht="12.75" customHeight="1" x14ac:dyDescent="0.2">
      <c r="A3" s="37"/>
      <c r="B3" s="38"/>
      <c r="C3" s="38"/>
      <c r="D3" s="38"/>
      <c r="E3" s="38"/>
      <c r="F3" s="40"/>
      <c r="G3" s="40"/>
      <c r="H3" s="81"/>
      <c r="I3" s="68"/>
      <c r="J3" s="29"/>
      <c r="K3" s="29"/>
      <c r="L3" s="29"/>
      <c r="M3" s="29"/>
      <c r="N3" s="29"/>
      <c r="O3" s="29"/>
      <c r="P3" s="29"/>
      <c r="Q3" s="33"/>
      <c r="R3" s="29"/>
      <c r="S3" s="29"/>
      <c r="T3" s="29"/>
      <c r="U3" s="29"/>
      <c r="V3" s="29"/>
      <c r="W3" s="29"/>
      <c r="X3" s="29"/>
      <c r="Y3" s="29"/>
      <c r="Z3" s="29"/>
      <c r="AA3" s="29"/>
      <c r="AB3" s="31"/>
    </row>
    <row r="4" spans="1:28" ht="12.75" customHeight="1" x14ac:dyDescent="0.2">
      <c r="A4" s="37"/>
      <c r="B4" s="38"/>
      <c r="C4" s="38"/>
      <c r="D4" s="38"/>
      <c r="E4" s="38"/>
      <c r="F4" s="40"/>
      <c r="G4" s="40"/>
      <c r="H4" s="81"/>
      <c r="I4" s="68"/>
      <c r="J4" s="29"/>
      <c r="K4" s="29"/>
      <c r="L4" s="29"/>
      <c r="M4" s="29"/>
      <c r="N4" s="29"/>
      <c r="O4" s="29"/>
      <c r="P4" s="29"/>
      <c r="Q4" s="33"/>
      <c r="R4" s="29"/>
      <c r="S4" s="29"/>
      <c r="T4" s="29"/>
      <c r="U4" s="29"/>
      <c r="V4" s="29"/>
      <c r="W4" s="29"/>
      <c r="X4" s="29"/>
      <c r="Y4" s="29"/>
      <c r="Z4" s="29"/>
      <c r="AA4" s="29"/>
      <c r="AB4" s="31"/>
    </row>
    <row r="5" spans="1:28" ht="12.75" customHeight="1" x14ac:dyDescent="0.2">
      <c r="A5" s="37"/>
      <c r="B5" s="38"/>
      <c r="C5" s="38"/>
      <c r="D5" s="38"/>
      <c r="E5" s="38"/>
      <c r="F5" s="40"/>
      <c r="G5" s="40"/>
      <c r="H5" s="81"/>
      <c r="I5" s="68"/>
      <c r="J5" s="29"/>
      <c r="K5" s="29"/>
      <c r="L5" s="29"/>
      <c r="M5" s="29"/>
      <c r="N5" s="29"/>
      <c r="O5" s="29"/>
      <c r="P5" s="29"/>
      <c r="Q5" s="33"/>
      <c r="R5" s="29"/>
      <c r="S5" s="29"/>
      <c r="T5" s="29"/>
      <c r="U5" s="29"/>
      <c r="V5" s="29"/>
      <c r="W5" s="29"/>
      <c r="X5" s="29"/>
      <c r="Y5" s="29"/>
      <c r="Z5" s="29"/>
      <c r="AA5" s="29"/>
      <c r="AB5" s="31"/>
    </row>
    <row r="6" spans="1:28" ht="12.75" customHeight="1" x14ac:dyDescent="0.2">
      <c r="A6" s="37"/>
      <c r="B6" s="38"/>
      <c r="C6" s="38"/>
      <c r="D6" s="38"/>
      <c r="E6" s="38"/>
      <c r="F6" s="40"/>
      <c r="G6" s="40"/>
      <c r="H6" s="81"/>
      <c r="I6" s="68"/>
      <c r="J6" s="29"/>
      <c r="K6" s="29"/>
      <c r="L6" s="29"/>
      <c r="M6" s="29"/>
      <c r="N6" s="29"/>
      <c r="O6" s="29"/>
      <c r="P6" s="29"/>
      <c r="Q6" s="33"/>
      <c r="R6" s="29"/>
      <c r="S6" s="29"/>
      <c r="T6" s="29"/>
      <c r="U6" s="29"/>
      <c r="V6" s="29"/>
      <c r="W6" s="29"/>
      <c r="X6" s="29"/>
      <c r="Y6" s="29"/>
      <c r="Z6" s="29"/>
      <c r="AA6" s="29"/>
      <c r="AB6" s="31"/>
    </row>
    <row r="7" spans="1:28" ht="12.75" customHeight="1" x14ac:dyDescent="0.2">
      <c r="A7" s="37"/>
      <c r="B7" s="38"/>
      <c r="C7" s="38"/>
      <c r="D7" s="38"/>
      <c r="E7" s="38"/>
      <c r="F7" s="40"/>
      <c r="G7" s="40"/>
      <c r="H7" s="81"/>
      <c r="I7" s="68"/>
      <c r="J7" s="29"/>
      <c r="K7" s="29"/>
      <c r="L7" s="29"/>
      <c r="M7" s="29"/>
      <c r="N7" s="29"/>
      <c r="O7" s="29"/>
      <c r="P7" s="29"/>
      <c r="Q7" s="33"/>
      <c r="R7" s="29"/>
      <c r="S7" s="29"/>
      <c r="T7" s="29"/>
      <c r="U7" s="29"/>
      <c r="V7" s="29"/>
      <c r="W7" s="29"/>
      <c r="X7" s="29"/>
      <c r="Y7" s="29"/>
      <c r="Z7" s="29"/>
      <c r="AA7" s="29"/>
      <c r="AB7" s="31"/>
    </row>
    <row r="8" spans="1:28" ht="12.75" customHeight="1" x14ac:dyDescent="0.2">
      <c r="A8" s="37"/>
      <c r="B8" s="38"/>
      <c r="C8" s="38"/>
      <c r="D8" s="38"/>
      <c r="E8" s="38"/>
      <c r="F8" s="40"/>
      <c r="G8" s="40"/>
      <c r="H8" s="81"/>
      <c r="I8" s="68"/>
      <c r="J8" s="29"/>
      <c r="K8" s="29"/>
      <c r="L8" s="29"/>
      <c r="M8" s="29"/>
      <c r="N8" s="29"/>
      <c r="O8" s="29"/>
      <c r="P8" s="29"/>
      <c r="Q8" s="33"/>
      <c r="R8" s="29"/>
      <c r="S8" s="29"/>
      <c r="T8" s="29"/>
      <c r="U8" s="29"/>
      <c r="V8" s="29"/>
      <c r="W8" s="29"/>
      <c r="X8" s="29"/>
      <c r="Y8" s="29"/>
      <c r="Z8" s="29"/>
      <c r="AA8" s="29"/>
      <c r="AB8" s="31"/>
    </row>
    <row r="9" spans="1:28" ht="12.75" customHeight="1" x14ac:dyDescent="0.2">
      <c r="A9" s="37"/>
      <c r="B9" s="38"/>
      <c r="C9" s="38"/>
      <c r="D9" s="38"/>
      <c r="E9" s="38"/>
      <c r="F9" s="40"/>
      <c r="G9" s="40"/>
      <c r="H9" s="81"/>
      <c r="I9" s="68"/>
      <c r="J9" s="29"/>
      <c r="K9" s="29"/>
      <c r="L9" s="29"/>
      <c r="M9" s="29"/>
      <c r="N9" s="29"/>
      <c r="O9" s="29"/>
      <c r="P9" s="29"/>
      <c r="Q9" s="33"/>
      <c r="R9" s="29"/>
      <c r="S9" s="29"/>
      <c r="T9" s="29"/>
      <c r="U9" s="29"/>
      <c r="V9" s="29"/>
      <c r="W9" s="29"/>
      <c r="X9" s="29"/>
      <c r="Y9" s="29"/>
      <c r="Z9" s="29"/>
      <c r="AA9" s="29"/>
      <c r="AB9" s="31"/>
    </row>
    <row r="10" spans="1:28" ht="12.75" customHeight="1" x14ac:dyDescent="0.2">
      <c r="A10" s="37"/>
      <c r="B10" s="38"/>
      <c r="C10" s="38"/>
      <c r="D10" s="38"/>
      <c r="E10" s="38"/>
      <c r="F10" s="40"/>
      <c r="G10" s="40"/>
      <c r="H10" s="81"/>
      <c r="I10" s="68"/>
      <c r="J10" s="29"/>
      <c r="K10" s="29"/>
      <c r="L10" s="29"/>
      <c r="M10" s="29"/>
      <c r="N10" s="29"/>
      <c r="O10" s="29"/>
      <c r="P10" s="29"/>
      <c r="Q10" s="33"/>
      <c r="R10" s="29"/>
      <c r="S10" s="29"/>
      <c r="T10" s="29"/>
      <c r="U10" s="29"/>
      <c r="V10" s="29"/>
      <c r="W10" s="29"/>
      <c r="X10" s="29"/>
      <c r="Y10" s="29"/>
      <c r="Z10" s="29"/>
      <c r="AA10" s="29"/>
      <c r="AB10" s="31"/>
    </row>
    <row r="11" spans="1:28" ht="12.75" customHeight="1" x14ac:dyDescent="0.2">
      <c r="A11" s="37"/>
      <c r="B11" s="38"/>
      <c r="C11" s="38"/>
      <c r="D11" s="38"/>
      <c r="E11" s="38"/>
      <c r="F11" s="40"/>
      <c r="G11" s="40"/>
      <c r="H11" s="81"/>
      <c r="I11" s="68"/>
      <c r="J11" s="29"/>
      <c r="K11" s="29"/>
      <c r="L11" s="29"/>
      <c r="M11" s="29"/>
      <c r="N11" s="29"/>
      <c r="O11" s="29"/>
      <c r="P11" s="29"/>
      <c r="Q11" s="33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31"/>
    </row>
    <row r="12" spans="1:28" ht="12.75" customHeight="1" x14ac:dyDescent="0.2">
      <c r="A12" s="37"/>
      <c r="B12" s="38"/>
      <c r="C12" s="38"/>
      <c r="D12" s="38"/>
      <c r="E12" s="38"/>
      <c r="F12" s="40"/>
      <c r="G12" s="40"/>
      <c r="H12" s="81"/>
      <c r="I12" s="68"/>
      <c r="J12" s="29"/>
      <c r="K12" s="29"/>
      <c r="L12" s="29"/>
      <c r="M12" s="29"/>
      <c r="N12" s="29"/>
      <c r="O12" s="29"/>
      <c r="P12" s="29"/>
      <c r="Q12" s="33"/>
      <c r="R12" s="29"/>
      <c r="S12" s="29"/>
      <c r="T12" s="29"/>
      <c r="U12" s="29"/>
      <c r="V12" s="29"/>
      <c r="W12" s="29"/>
      <c r="X12" s="29"/>
      <c r="Y12" s="29"/>
      <c r="Z12" s="29"/>
      <c r="AA12" s="29"/>
      <c r="AB12" s="31"/>
    </row>
    <row r="13" spans="1:28" ht="12.75" customHeight="1" x14ac:dyDescent="0.2">
      <c r="A13" s="37"/>
      <c r="B13" s="38"/>
      <c r="C13" s="38"/>
      <c r="D13" s="38"/>
      <c r="E13" s="38"/>
      <c r="F13" s="40"/>
      <c r="G13" s="40"/>
      <c r="H13" s="81"/>
      <c r="I13" s="68"/>
      <c r="J13" s="29"/>
      <c r="K13" s="29"/>
      <c r="L13" s="29"/>
      <c r="M13" s="29"/>
      <c r="N13" s="29"/>
      <c r="O13" s="29"/>
      <c r="P13" s="29"/>
      <c r="Q13" s="33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31"/>
    </row>
    <row r="14" spans="1:28" ht="12.75" customHeight="1" x14ac:dyDescent="0.2">
      <c r="A14" s="37"/>
      <c r="B14" s="38"/>
      <c r="C14" s="38"/>
      <c r="D14" s="38"/>
      <c r="E14" s="38"/>
      <c r="F14" s="40"/>
      <c r="G14" s="40"/>
      <c r="H14" s="81"/>
      <c r="I14" s="68"/>
      <c r="J14" s="29"/>
      <c r="K14" s="29"/>
      <c r="L14" s="29"/>
      <c r="M14" s="29"/>
      <c r="N14" s="29"/>
      <c r="O14" s="29"/>
      <c r="P14" s="29"/>
      <c r="Q14" s="33"/>
      <c r="R14" s="29"/>
      <c r="S14" s="29"/>
      <c r="T14" s="29"/>
      <c r="U14" s="29"/>
      <c r="V14" s="29"/>
      <c r="W14" s="29"/>
      <c r="X14" s="29"/>
      <c r="Y14" s="29"/>
      <c r="Z14" s="29"/>
      <c r="AA14" s="29"/>
      <c r="AB14" s="31"/>
    </row>
    <row r="15" spans="1:28" ht="12.75" customHeight="1" x14ac:dyDescent="0.2">
      <c r="A15" s="37"/>
      <c r="B15" s="38"/>
      <c r="C15" s="38"/>
      <c r="D15" s="38"/>
      <c r="E15" s="38"/>
      <c r="F15" s="40"/>
      <c r="G15" s="40"/>
      <c r="H15" s="81"/>
      <c r="I15" s="68"/>
      <c r="J15" s="29"/>
      <c r="K15" s="29"/>
      <c r="L15" s="29"/>
      <c r="M15" s="29"/>
      <c r="N15" s="29"/>
      <c r="O15" s="29"/>
      <c r="P15" s="29"/>
      <c r="Q15" s="33"/>
      <c r="R15" s="29"/>
      <c r="S15" s="29"/>
      <c r="T15" s="29"/>
      <c r="U15" s="29"/>
      <c r="V15" s="29"/>
      <c r="W15" s="29"/>
      <c r="X15" s="29"/>
      <c r="Y15" s="29"/>
      <c r="Z15" s="29"/>
      <c r="AA15" s="29"/>
      <c r="AB15" s="31"/>
    </row>
    <row r="16" spans="1:28" ht="12.75" customHeight="1" x14ac:dyDescent="0.2">
      <c r="A16" s="37"/>
      <c r="B16" s="38"/>
      <c r="C16" s="38"/>
      <c r="D16" s="38"/>
      <c r="E16" s="38"/>
      <c r="F16" s="40"/>
      <c r="G16" s="40"/>
      <c r="H16" s="81"/>
      <c r="I16" s="68"/>
      <c r="J16" s="29"/>
      <c r="K16" s="29"/>
      <c r="L16" s="29"/>
      <c r="M16" s="29"/>
      <c r="N16" s="29"/>
      <c r="O16" s="29"/>
      <c r="P16" s="29"/>
      <c r="Q16" s="34"/>
      <c r="R16" s="29"/>
      <c r="S16" s="29"/>
      <c r="T16" s="29"/>
      <c r="U16" s="29"/>
      <c r="V16" s="29"/>
      <c r="W16" s="29"/>
      <c r="X16" s="29"/>
      <c r="Y16" s="29"/>
      <c r="Z16" s="29"/>
      <c r="AA16" s="29"/>
      <c r="AB16" s="31"/>
    </row>
    <row r="17" spans="1:28" ht="12.75" customHeight="1" x14ac:dyDescent="0.2">
      <c r="A17" s="37"/>
      <c r="B17" s="38"/>
      <c r="C17" s="38"/>
      <c r="D17" s="38"/>
      <c r="E17" s="38"/>
      <c r="F17" s="40"/>
      <c r="G17" s="40"/>
      <c r="H17" s="81"/>
      <c r="I17" s="68"/>
      <c r="J17" s="29"/>
      <c r="K17" s="29"/>
      <c r="L17" s="29"/>
      <c r="M17" s="29"/>
      <c r="N17" s="29"/>
      <c r="O17" s="4" t="s">
        <v>10</v>
      </c>
      <c r="P17" s="4" t="s">
        <v>9</v>
      </c>
      <c r="Q17" s="4" t="s">
        <v>13</v>
      </c>
      <c r="R17" s="4" t="s">
        <v>15</v>
      </c>
      <c r="S17" s="4" t="s">
        <v>16</v>
      </c>
      <c r="T17" s="4" t="s">
        <v>18</v>
      </c>
      <c r="U17" s="4" t="s">
        <v>20</v>
      </c>
      <c r="V17" s="29"/>
      <c r="W17" s="4" t="s">
        <v>20</v>
      </c>
      <c r="X17" s="4" t="s">
        <v>20</v>
      </c>
      <c r="Y17" s="4" t="s">
        <v>24</v>
      </c>
      <c r="Z17" s="4" t="s">
        <v>26</v>
      </c>
      <c r="AA17" s="29"/>
      <c r="AB17" s="31"/>
    </row>
    <row r="18" spans="1:28" ht="12.75" customHeight="1" x14ac:dyDescent="0.2">
      <c r="A18" s="37"/>
      <c r="B18" s="38"/>
      <c r="C18" s="38"/>
      <c r="D18" s="38"/>
      <c r="E18" s="38"/>
      <c r="F18" s="40"/>
      <c r="G18" s="40"/>
      <c r="H18" s="82"/>
      <c r="I18" s="68"/>
      <c r="J18" s="4" t="s">
        <v>1</v>
      </c>
      <c r="K18" s="4" t="s">
        <v>1</v>
      </c>
      <c r="L18" s="4" t="s">
        <v>1</v>
      </c>
      <c r="M18" s="4" t="s">
        <v>1</v>
      </c>
      <c r="N18" s="4" t="s">
        <v>5</v>
      </c>
      <c r="O18" s="4" t="s">
        <v>7</v>
      </c>
      <c r="P18" s="4" t="s">
        <v>7</v>
      </c>
      <c r="Q18" s="4" t="s">
        <v>14</v>
      </c>
      <c r="R18" s="4" t="s">
        <v>14</v>
      </c>
      <c r="S18" s="4" t="s">
        <v>14</v>
      </c>
      <c r="T18" s="4" t="s">
        <v>14</v>
      </c>
      <c r="U18" s="4" t="s">
        <v>7</v>
      </c>
      <c r="V18" s="4" t="s">
        <v>7</v>
      </c>
      <c r="W18" s="4" t="s">
        <v>7</v>
      </c>
      <c r="X18" s="4" t="s">
        <v>7</v>
      </c>
      <c r="Y18" s="4" t="s">
        <v>7</v>
      </c>
      <c r="Z18" s="4" t="s">
        <v>7</v>
      </c>
      <c r="AA18" s="4" t="s">
        <v>5</v>
      </c>
      <c r="AB18" s="5" t="s">
        <v>5</v>
      </c>
    </row>
    <row r="19" spans="1:28" x14ac:dyDescent="0.2">
      <c r="A19" s="43"/>
      <c r="B19" s="43"/>
      <c r="C19" s="43"/>
      <c r="D19" s="43"/>
      <c r="E19" s="44"/>
      <c r="F19" s="6"/>
      <c r="G19" s="6"/>
      <c r="H19" s="6"/>
      <c r="I19" s="7"/>
      <c r="J19" s="7"/>
      <c r="K19" s="7"/>
      <c r="L19" s="7"/>
      <c r="M19" s="7"/>
      <c r="N19" s="7"/>
      <c r="O19" s="7"/>
      <c r="P19" s="7"/>
      <c r="Q19" s="50"/>
      <c r="R19" s="86"/>
      <c r="S19" s="87"/>
      <c r="T19" s="7"/>
      <c r="U19" s="7"/>
      <c r="V19" s="7"/>
      <c r="W19" s="7"/>
      <c r="X19" s="7"/>
      <c r="Y19" s="7"/>
      <c r="Z19" s="7"/>
      <c r="AA19" s="7"/>
      <c r="AB19" s="8"/>
    </row>
    <row r="20" spans="1:28" x14ac:dyDescent="0.2">
      <c r="A20" s="43" t="s">
        <v>37</v>
      </c>
      <c r="B20" s="43"/>
      <c r="C20" s="43"/>
      <c r="D20" s="43"/>
      <c r="E20" s="44"/>
      <c r="F20" s="6"/>
      <c r="G20" s="6"/>
      <c r="H20" s="6"/>
      <c r="I20" s="7"/>
      <c r="J20" s="23"/>
      <c r="K20" s="23"/>
      <c r="L20" s="23"/>
      <c r="M20" s="23"/>
      <c r="N20" s="23"/>
      <c r="O20" s="23"/>
      <c r="P20" s="23"/>
      <c r="Q20" s="50"/>
      <c r="R20" s="86"/>
      <c r="S20" s="87"/>
      <c r="T20" s="23"/>
      <c r="U20" s="23"/>
      <c r="V20" s="23"/>
      <c r="W20" s="23"/>
      <c r="X20" s="23"/>
      <c r="Y20" s="23"/>
      <c r="Z20" s="23"/>
      <c r="AA20" s="23"/>
      <c r="AB20" s="24"/>
    </row>
    <row r="21" spans="1:28" x14ac:dyDescent="0.2">
      <c r="A21" s="43" t="s">
        <v>120</v>
      </c>
      <c r="B21" s="43"/>
      <c r="C21" s="43"/>
      <c r="D21" s="43"/>
      <c r="E21" s="44"/>
      <c r="F21" s="6"/>
      <c r="G21" s="6"/>
      <c r="H21" s="6"/>
      <c r="I21" s="7"/>
      <c r="J21" s="22">
        <f>Sheet1!J74</f>
        <v>27995</v>
      </c>
      <c r="K21" s="22">
        <f>Sheet1!K74</f>
        <v>50447</v>
      </c>
      <c r="L21" s="22">
        <f>Sheet1!L74</f>
        <v>81815</v>
      </c>
      <c r="M21" s="23">
        <f>Sheet1!M74</f>
        <v>0</v>
      </c>
      <c r="N21" s="22">
        <f>Sheet1!N74</f>
        <v>37884</v>
      </c>
      <c r="O21" s="23">
        <f>Sheet1!O74</f>
        <v>7744</v>
      </c>
      <c r="P21" s="23">
        <f>Sheet1!P74</f>
        <v>8408</v>
      </c>
      <c r="Q21" s="69">
        <f>Sheet1!Q74</f>
        <v>13581</v>
      </c>
      <c r="R21" s="96"/>
      <c r="S21" s="97"/>
      <c r="T21" s="23">
        <f>Sheet1!T74</f>
        <v>0</v>
      </c>
      <c r="U21" s="23">
        <f>Sheet1!U74</f>
        <v>3411</v>
      </c>
      <c r="V21" s="23">
        <f>Sheet1!V74</f>
        <v>2320</v>
      </c>
      <c r="W21" s="23">
        <f>Sheet1!W74</f>
        <v>0</v>
      </c>
      <c r="X21" s="23">
        <f>Sheet1!X74</f>
        <v>2122</v>
      </c>
      <c r="Y21" s="23">
        <f>Sheet1!Y74</f>
        <v>2476</v>
      </c>
      <c r="Z21" s="23">
        <f>Sheet1!Z74</f>
        <v>0</v>
      </c>
      <c r="AA21" s="23">
        <f>Sheet1!AA74</f>
        <v>4244</v>
      </c>
      <c r="AB21" s="24">
        <f>Sheet1!AB74</f>
        <v>4244</v>
      </c>
    </row>
    <row r="22" spans="1:28" x14ac:dyDescent="0.2">
      <c r="A22" s="43" t="s">
        <v>121</v>
      </c>
      <c r="B22" s="43"/>
      <c r="C22" s="43"/>
      <c r="D22" s="43"/>
      <c r="E22" s="44"/>
      <c r="F22" s="6"/>
      <c r="G22" s="6"/>
      <c r="H22" s="6"/>
      <c r="I22" s="7"/>
      <c r="J22" s="23">
        <f>Sheet2!J74</f>
        <v>72</v>
      </c>
      <c r="K22" s="22">
        <f>Sheet2!K74</f>
        <v>54467</v>
      </c>
      <c r="L22" s="23">
        <f>Sheet2!L74</f>
        <v>0</v>
      </c>
      <c r="M22" s="23">
        <f>Sheet2!M74</f>
        <v>0</v>
      </c>
      <c r="N22" s="23">
        <f>Sheet2!N74</f>
        <v>0</v>
      </c>
      <c r="O22" s="23">
        <f>Sheet2!O74</f>
        <v>8256</v>
      </c>
      <c r="P22" s="23">
        <f>Sheet2!P74</f>
        <v>9078</v>
      </c>
      <c r="Q22" s="50">
        <f>Sheet2!Q74</f>
        <v>6219</v>
      </c>
      <c r="R22" s="86"/>
      <c r="S22" s="87"/>
      <c r="T22" s="23">
        <f>Sheet2!T74</f>
        <v>0</v>
      </c>
      <c r="U22" s="23">
        <f>Sheet2!U74</f>
        <v>0</v>
      </c>
      <c r="V22" s="23">
        <f>Sheet2!V74</f>
        <v>43</v>
      </c>
      <c r="W22" s="23">
        <f>Sheet2!W74</f>
        <v>0</v>
      </c>
      <c r="X22" s="23">
        <f>Sheet2!X74</f>
        <v>1996</v>
      </c>
      <c r="Y22" s="23">
        <f>Sheet2!Y74</f>
        <v>2681</v>
      </c>
      <c r="Z22" s="23">
        <f>Sheet2!Z74</f>
        <v>0</v>
      </c>
      <c r="AA22" s="23">
        <f>Sheet2!AA74</f>
        <v>4244</v>
      </c>
      <c r="AB22" s="24">
        <f>Sheet2!AB74</f>
        <v>4244</v>
      </c>
    </row>
    <row r="23" spans="1:28" x14ac:dyDescent="0.2">
      <c r="A23" s="43"/>
      <c r="B23" s="43"/>
      <c r="C23" s="43"/>
      <c r="D23" s="43"/>
      <c r="E23" s="44"/>
      <c r="F23" s="6"/>
      <c r="G23" s="6"/>
      <c r="H23" s="6"/>
      <c r="I23" s="7"/>
      <c r="J23" s="23"/>
      <c r="K23" s="23"/>
      <c r="L23" s="23"/>
      <c r="M23" s="23"/>
      <c r="N23" s="23"/>
      <c r="O23" s="23"/>
      <c r="P23" s="23"/>
      <c r="Q23" s="50"/>
      <c r="R23" s="86"/>
      <c r="S23" s="87"/>
      <c r="T23" s="23"/>
      <c r="U23" s="23"/>
      <c r="V23" s="23"/>
      <c r="W23" s="23"/>
      <c r="X23" s="23"/>
      <c r="Y23" s="23"/>
      <c r="Z23" s="23"/>
      <c r="AA23" s="23"/>
      <c r="AB23" s="24"/>
    </row>
    <row r="24" spans="1:28" x14ac:dyDescent="0.2">
      <c r="A24" s="43" t="s">
        <v>107</v>
      </c>
      <c r="B24" s="43"/>
      <c r="C24" s="43"/>
      <c r="D24" s="43"/>
      <c r="E24" s="44"/>
      <c r="F24" s="6"/>
      <c r="G24" s="6"/>
      <c r="H24" s="6"/>
      <c r="I24" s="7"/>
      <c r="J24" s="22">
        <f>SUM(J21:J22)</f>
        <v>28067</v>
      </c>
      <c r="K24" s="22">
        <f t="shared" ref="K24:P24" si="0">SUM(K21:K22)</f>
        <v>104914</v>
      </c>
      <c r="L24" s="22">
        <f t="shared" si="0"/>
        <v>81815</v>
      </c>
      <c r="M24" s="22">
        <f t="shared" si="0"/>
        <v>0</v>
      </c>
      <c r="N24" s="22">
        <f t="shared" si="0"/>
        <v>37884</v>
      </c>
      <c r="O24" s="22">
        <f t="shared" si="0"/>
        <v>16000</v>
      </c>
      <c r="P24" s="22">
        <f t="shared" si="0"/>
        <v>17486</v>
      </c>
      <c r="Q24" s="69">
        <f>SUM(Q21:S22)</f>
        <v>19800</v>
      </c>
      <c r="R24" s="96"/>
      <c r="S24" s="97"/>
      <c r="T24" s="23"/>
      <c r="U24" s="23">
        <f>SUM(U21:U22)</f>
        <v>3411</v>
      </c>
      <c r="V24" s="23">
        <f t="shared" ref="V24:AB24" si="1">SUM(V21:V22)</f>
        <v>2363</v>
      </c>
      <c r="W24" s="23">
        <f t="shared" si="1"/>
        <v>0</v>
      </c>
      <c r="X24" s="23">
        <f t="shared" si="1"/>
        <v>4118</v>
      </c>
      <c r="Y24" s="23">
        <f t="shared" si="1"/>
        <v>5157</v>
      </c>
      <c r="Z24" s="23">
        <f t="shared" si="1"/>
        <v>0</v>
      </c>
      <c r="AA24" s="23">
        <f t="shared" si="1"/>
        <v>8488</v>
      </c>
      <c r="AB24" s="24">
        <f t="shared" si="1"/>
        <v>8488</v>
      </c>
    </row>
    <row r="25" spans="1:28" x14ac:dyDescent="0.2">
      <c r="A25" s="43"/>
      <c r="B25" s="43"/>
      <c r="C25" s="43"/>
      <c r="D25" s="43"/>
      <c r="E25" s="44"/>
      <c r="F25" s="6"/>
      <c r="G25" s="6"/>
      <c r="H25" s="16"/>
      <c r="I25" s="12"/>
      <c r="J25" s="23"/>
      <c r="K25" s="23"/>
      <c r="L25" s="23"/>
      <c r="M25" s="23"/>
      <c r="N25" s="23"/>
      <c r="O25" s="23"/>
      <c r="P25" s="23"/>
      <c r="Q25" s="50"/>
      <c r="R25" s="86"/>
      <c r="S25" s="87"/>
      <c r="T25" s="23"/>
      <c r="U25" s="23"/>
      <c r="V25" s="23"/>
      <c r="W25" s="23"/>
      <c r="X25" s="23"/>
      <c r="Y25" s="23"/>
      <c r="Z25" s="23"/>
      <c r="AA25" s="23"/>
      <c r="AB25" s="24"/>
    </row>
    <row r="26" spans="1:28" x14ac:dyDescent="0.2">
      <c r="A26" s="43"/>
      <c r="B26" s="43"/>
      <c r="C26" s="43"/>
      <c r="D26" s="43"/>
      <c r="E26" s="44"/>
      <c r="F26" s="6"/>
      <c r="G26" s="6"/>
      <c r="H26" s="16"/>
      <c r="I26" s="12"/>
      <c r="J26" s="23"/>
      <c r="K26" s="23"/>
      <c r="L26" s="23"/>
      <c r="M26" s="23"/>
      <c r="N26" s="23"/>
      <c r="O26" s="23"/>
      <c r="P26" s="23"/>
      <c r="Q26" s="50"/>
      <c r="R26" s="86"/>
      <c r="S26" s="87"/>
      <c r="T26" s="23"/>
      <c r="U26" s="23"/>
      <c r="V26" s="23"/>
      <c r="W26" s="23"/>
      <c r="X26" s="23"/>
      <c r="Y26" s="23"/>
      <c r="Z26" s="23"/>
      <c r="AA26" s="23"/>
      <c r="AB26" s="24"/>
    </row>
    <row r="27" spans="1:28" x14ac:dyDescent="0.2">
      <c r="A27" s="43"/>
      <c r="B27" s="43"/>
      <c r="C27" s="43"/>
      <c r="D27" s="43"/>
      <c r="E27" s="44"/>
      <c r="F27" s="6"/>
      <c r="G27" s="6"/>
      <c r="H27" s="16"/>
      <c r="I27" s="12"/>
      <c r="J27" s="23"/>
      <c r="K27" s="23"/>
      <c r="L27" s="23"/>
      <c r="M27" s="23"/>
      <c r="N27" s="23"/>
      <c r="O27" s="23"/>
      <c r="P27" s="23"/>
      <c r="Q27" s="50"/>
      <c r="R27" s="86"/>
      <c r="S27" s="87"/>
      <c r="T27" s="23"/>
      <c r="U27" s="23"/>
      <c r="V27" s="23"/>
      <c r="W27" s="23"/>
      <c r="X27" s="23"/>
      <c r="Y27" s="23"/>
      <c r="Z27" s="23"/>
      <c r="AA27" s="23"/>
      <c r="AB27" s="24"/>
    </row>
    <row r="28" spans="1:28" x14ac:dyDescent="0.2">
      <c r="A28" s="43"/>
      <c r="B28" s="43"/>
      <c r="C28" s="43"/>
      <c r="D28" s="43"/>
      <c r="E28" s="44"/>
      <c r="F28" s="6"/>
      <c r="G28" s="6"/>
      <c r="H28" s="16"/>
      <c r="I28" s="12"/>
      <c r="J28" s="23"/>
      <c r="K28" s="23"/>
      <c r="L28" s="23"/>
      <c r="M28" s="23"/>
      <c r="N28" s="23"/>
      <c r="O28" s="23"/>
      <c r="P28" s="23"/>
      <c r="Q28" s="50"/>
      <c r="R28" s="86"/>
      <c r="S28" s="87"/>
      <c r="T28" s="23"/>
      <c r="U28" s="23"/>
      <c r="V28" s="23"/>
      <c r="W28" s="23"/>
      <c r="X28" s="23"/>
      <c r="Y28" s="23"/>
      <c r="Z28" s="23"/>
      <c r="AA28" s="23"/>
      <c r="AB28" s="24"/>
    </row>
    <row r="29" spans="1:28" x14ac:dyDescent="0.2">
      <c r="A29" s="43"/>
      <c r="B29" s="43"/>
      <c r="C29" s="43"/>
      <c r="D29" s="43"/>
      <c r="E29" s="44"/>
      <c r="F29" s="6"/>
      <c r="G29" s="6"/>
      <c r="H29" s="16"/>
      <c r="I29" s="12"/>
      <c r="J29" s="23"/>
      <c r="K29" s="23"/>
      <c r="L29" s="23"/>
      <c r="M29" s="23"/>
      <c r="N29" s="23"/>
      <c r="O29" s="23"/>
      <c r="P29" s="23"/>
      <c r="Q29" s="50"/>
      <c r="R29" s="86"/>
      <c r="S29" s="87"/>
      <c r="T29" s="23"/>
      <c r="U29" s="23"/>
      <c r="V29" s="23"/>
      <c r="W29" s="23"/>
      <c r="X29" s="23"/>
      <c r="Y29" s="23"/>
      <c r="Z29" s="23"/>
      <c r="AA29" s="23"/>
      <c r="AB29" s="24"/>
    </row>
    <row r="30" spans="1:28" x14ac:dyDescent="0.2">
      <c r="A30" s="43" t="s">
        <v>52</v>
      </c>
      <c r="B30" s="43"/>
      <c r="C30" s="43"/>
      <c r="D30" s="43"/>
      <c r="E30" s="44"/>
      <c r="F30" s="6"/>
      <c r="G30" s="6"/>
      <c r="H30" s="16"/>
      <c r="I30" s="7"/>
      <c r="J30" s="23"/>
      <c r="K30" s="23"/>
      <c r="L30" s="23"/>
      <c r="M30" s="23"/>
      <c r="N30" s="23"/>
      <c r="O30" s="23"/>
      <c r="P30" s="23"/>
      <c r="Q30" s="50"/>
      <c r="R30" s="86"/>
      <c r="S30" s="87"/>
      <c r="T30" s="23"/>
      <c r="U30" s="23"/>
      <c r="V30" s="23"/>
      <c r="W30" s="23"/>
      <c r="X30" s="23"/>
      <c r="Y30" s="23"/>
      <c r="Z30" s="23"/>
      <c r="AA30" s="23"/>
      <c r="AB30" s="24"/>
    </row>
    <row r="31" spans="1:28" x14ac:dyDescent="0.2">
      <c r="A31" s="43" t="s">
        <v>122</v>
      </c>
      <c r="B31" s="43"/>
      <c r="C31" s="43"/>
      <c r="D31" s="43"/>
      <c r="E31" s="44"/>
      <c r="F31" s="6"/>
      <c r="G31" s="6"/>
      <c r="H31" s="6"/>
      <c r="I31" s="7"/>
      <c r="J31" s="22">
        <f>Sheet3!J74</f>
        <v>53579</v>
      </c>
      <c r="K31" s="22">
        <f>Sheet3!K74</f>
        <v>57529</v>
      </c>
      <c r="L31" s="23">
        <f>Sheet3!L74</f>
        <v>0</v>
      </c>
      <c r="M31" s="23">
        <f>Sheet3!M74</f>
        <v>5327</v>
      </c>
      <c r="N31" s="23">
        <f>Sheet3!N74</f>
        <v>202</v>
      </c>
      <c r="O31" s="23">
        <f>Sheet3!O74</f>
        <v>8655</v>
      </c>
      <c r="P31" s="23">
        <f>Sheet3!P74</f>
        <v>9428</v>
      </c>
      <c r="Q31" s="50">
        <f>Sheet3!Q74</f>
        <v>7723</v>
      </c>
      <c r="R31" s="86"/>
      <c r="S31" s="87"/>
      <c r="T31" s="23">
        <f>Sheet3!T74</f>
        <v>0</v>
      </c>
      <c r="U31" s="23">
        <f>Sheet3!U74</f>
        <v>0</v>
      </c>
      <c r="V31" s="23">
        <f>Sheet3!V74</f>
        <v>4233</v>
      </c>
      <c r="W31" s="23">
        <f>Sheet3!W74</f>
        <v>0</v>
      </c>
      <c r="X31" s="23">
        <f>Sheet3!X74</f>
        <v>2597</v>
      </c>
      <c r="Y31" s="23">
        <f>Sheet3!Y74</f>
        <v>3036</v>
      </c>
      <c r="Z31" s="23">
        <f>Sheet3!Z74</f>
        <v>0</v>
      </c>
      <c r="AA31" s="22">
        <f>Sheet3!AA74</f>
        <v>14672</v>
      </c>
      <c r="AB31" s="25">
        <f>Sheet3!AB74</f>
        <v>14672</v>
      </c>
    </row>
    <row r="32" spans="1:28" x14ac:dyDescent="0.2">
      <c r="A32" s="43" t="s">
        <v>123</v>
      </c>
      <c r="B32" s="43"/>
      <c r="C32" s="43"/>
      <c r="D32" s="43"/>
      <c r="E32" s="44"/>
      <c r="F32" s="6"/>
      <c r="G32" s="6"/>
      <c r="H32" s="16"/>
      <c r="I32" s="7"/>
      <c r="J32" s="23">
        <f>Sheet4!J74</f>
        <v>4108</v>
      </c>
      <c r="K32" s="23">
        <f>Sheet4!K74</f>
        <v>4263</v>
      </c>
      <c r="L32" s="23">
        <f>Sheet4!L74</f>
        <v>0</v>
      </c>
      <c r="M32" s="23">
        <f>Sheet4!M74</f>
        <v>0</v>
      </c>
      <c r="N32" s="23">
        <f>Sheet4!N74</f>
        <v>476</v>
      </c>
      <c r="O32" s="23">
        <f>Sheet4!O74</f>
        <v>630</v>
      </c>
      <c r="P32" s="23">
        <f>Sheet4!P74</f>
        <v>698</v>
      </c>
      <c r="Q32" s="50">
        <f>Sheet4!Q74</f>
        <v>498</v>
      </c>
      <c r="R32" s="86"/>
      <c r="S32" s="87"/>
      <c r="T32" s="23">
        <f>Sheet4!T74</f>
        <v>0</v>
      </c>
      <c r="U32" s="23">
        <f>Sheet4!U74</f>
        <v>0</v>
      </c>
      <c r="V32" s="23">
        <f>Sheet4!V74</f>
        <v>306</v>
      </c>
      <c r="W32" s="23">
        <f>Sheet4!W74</f>
        <v>0</v>
      </c>
      <c r="X32" s="23">
        <f>Sheet4!X74</f>
        <v>174</v>
      </c>
      <c r="Y32" s="23">
        <f>Sheet4!Y74</f>
        <v>203</v>
      </c>
      <c r="Z32" s="23">
        <f>Sheet4!Z74</f>
        <v>0</v>
      </c>
      <c r="AA32" s="23">
        <f>Sheet4!AA74</f>
        <v>0</v>
      </c>
      <c r="AB32" s="24">
        <f>Sheet4!AB74</f>
        <v>0</v>
      </c>
    </row>
    <row r="33" spans="1:28" x14ac:dyDescent="0.2">
      <c r="A33" s="43" t="s">
        <v>124</v>
      </c>
      <c r="B33" s="43"/>
      <c r="C33" s="43"/>
      <c r="D33" s="43"/>
      <c r="E33" s="44"/>
      <c r="F33" s="6"/>
      <c r="G33" s="6"/>
      <c r="H33" s="6"/>
      <c r="I33" s="7"/>
      <c r="J33" s="22">
        <f>Sheet5!J74</f>
        <v>54719</v>
      </c>
      <c r="K33" s="22">
        <f>Sheet5!K74</f>
        <v>58416</v>
      </c>
      <c r="L33" s="23">
        <f>Sheet5!L74</f>
        <v>0</v>
      </c>
      <c r="M33" s="23">
        <f>Sheet5!M74</f>
        <v>5327</v>
      </c>
      <c r="N33" s="23">
        <f>Sheet5!N74</f>
        <v>136</v>
      </c>
      <c r="O33" s="23">
        <f>Sheet5!O74</f>
        <v>8782</v>
      </c>
      <c r="P33" s="23">
        <f>Sheet5!P74</f>
        <v>9570</v>
      </c>
      <c r="Q33" s="50">
        <f>Sheet5!Q74</f>
        <v>7822</v>
      </c>
      <c r="R33" s="86"/>
      <c r="S33" s="87"/>
      <c r="T33" s="23">
        <f>Sheet5!T74</f>
        <v>0</v>
      </c>
      <c r="U33" s="23">
        <f>Sheet5!U74</f>
        <v>0</v>
      </c>
      <c r="V33" s="23">
        <f>Sheet5!V74</f>
        <v>5703</v>
      </c>
      <c r="W33" s="23">
        <f>Sheet5!W74</f>
        <v>0</v>
      </c>
      <c r="X33" s="23">
        <f>Sheet5!X74</f>
        <v>2632</v>
      </c>
      <c r="Y33" s="23">
        <f>Sheet5!Y74</f>
        <v>3072</v>
      </c>
      <c r="Z33" s="23">
        <f>Sheet5!Z74</f>
        <v>0</v>
      </c>
      <c r="AA33" s="22">
        <f>Sheet5!AA74</f>
        <v>14677</v>
      </c>
      <c r="AB33" s="25">
        <f>Sheet5!AB74</f>
        <v>14677</v>
      </c>
    </row>
    <row r="34" spans="1:28" x14ac:dyDescent="0.2">
      <c r="A34" s="43" t="s">
        <v>125</v>
      </c>
      <c r="B34" s="43"/>
      <c r="C34" s="43"/>
      <c r="D34" s="43"/>
      <c r="E34" s="44"/>
      <c r="F34" s="6"/>
      <c r="G34" s="6"/>
      <c r="H34" s="6"/>
      <c r="I34" s="7"/>
      <c r="J34" s="23">
        <f>Sheet6!J74</f>
        <v>3252</v>
      </c>
      <c r="K34" s="23">
        <f>Sheet6!K74</f>
        <v>3428</v>
      </c>
      <c r="L34" s="23">
        <f>Sheet6!L74</f>
        <v>0</v>
      </c>
      <c r="M34" s="23">
        <f>Sheet6!M74</f>
        <v>0</v>
      </c>
      <c r="N34" s="23">
        <f>Sheet6!N74</f>
        <v>94</v>
      </c>
      <c r="O34" s="23">
        <f>Sheet6!O74</f>
        <v>503</v>
      </c>
      <c r="P34" s="23">
        <f>Sheet6!P74</f>
        <v>559</v>
      </c>
      <c r="Q34" s="50">
        <f>Sheet6!Q74</f>
        <v>396</v>
      </c>
      <c r="R34" s="86"/>
      <c r="S34" s="87"/>
      <c r="T34" s="23">
        <f>Sheet6!T74</f>
        <v>97</v>
      </c>
      <c r="U34" s="23">
        <f>Sheet6!U74</f>
        <v>0</v>
      </c>
      <c r="V34" s="23">
        <f>Sheet6!V74</f>
        <v>234</v>
      </c>
      <c r="W34" s="23">
        <f>Sheet6!W74</f>
        <v>0</v>
      </c>
      <c r="X34" s="23">
        <f>Sheet6!X74</f>
        <v>136</v>
      </c>
      <c r="Y34" s="23">
        <f>Sheet6!Y74</f>
        <v>159</v>
      </c>
      <c r="Z34" s="23">
        <f>Sheet6!Z74</f>
        <v>14</v>
      </c>
      <c r="AA34" s="23">
        <f>Sheet6!AA74</f>
        <v>0</v>
      </c>
      <c r="AB34" s="24">
        <f>Sheet6!AB74</f>
        <v>0</v>
      </c>
    </row>
    <row r="35" spans="1:28" x14ac:dyDescent="0.2">
      <c r="A35" s="43" t="s">
        <v>126</v>
      </c>
      <c r="B35" s="43"/>
      <c r="C35" s="43"/>
      <c r="D35" s="43"/>
      <c r="E35" s="44"/>
      <c r="F35" s="6"/>
      <c r="G35" s="6"/>
      <c r="H35" s="6"/>
      <c r="I35" s="7"/>
      <c r="J35" s="23">
        <f>Sheet7!J74</f>
        <v>0</v>
      </c>
      <c r="K35" s="23">
        <f>Sheet7!K74</f>
        <v>0</v>
      </c>
      <c r="L35" s="22">
        <f>Sheet7!L74</f>
        <v>104207</v>
      </c>
      <c r="M35" s="23">
        <f>Sheet7!M74</f>
        <v>0</v>
      </c>
      <c r="N35" s="23">
        <f>Sheet7!N74</f>
        <v>0</v>
      </c>
      <c r="O35" s="23">
        <f>Sheet7!O74</f>
        <v>0</v>
      </c>
      <c r="P35" s="23">
        <f>Sheet7!P74</f>
        <v>0</v>
      </c>
      <c r="Q35" s="50">
        <f>Sheet7!Q74</f>
        <v>9381</v>
      </c>
      <c r="R35" s="86"/>
      <c r="S35" s="87"/>
      <c r="T35" s="23">
        <f>Sheet7!T74</f>
        <v>0</v>
      </c>
      <c r="U35" s="23">
        <f>Sheet7!U74</f>
        <v>0</v>
      </c>
      <c r="V35" s="23">
        <f>Sheet7!V74</f>
        <v>3716</v>
      </c>
      <c r="W35" s="23">
        <f>Sheet7!W74</f>
        <v>4344</v>
      </c>
      <c r="X35" s="23">
        <f>Sheet7!X74</f>
        <v>0</v>
      </c>
      <c r="Y35" s="23">
        <f>Sheet7!Y74</f>
        <v>0</v>
      </c>
      <c r="Z35" s="23">
        <f>Sheet7!Z74</f>
        <v>0</v>
      </c>
      <c r="AA35" s="23">
        <f>Sheet7!AA74</f>
        <v>0</v>
      </c>
      <c r="AB35" s="24">
        <f>Sheet7!AB74</f>
        <v>0</v>
      </c>
    </row>
    <row r="36" spans="1:28" x14ac:dyDescent="0.2">
      <c r="A36" s="43" t="s">
        <v>127</v>
      </c>
      <c r="B36" s="43"/>
      <c r="C36" s="43"/>
      <c r="D36" s="43"/>
      <c r="E36" s="44"/>
      <c r="F36" s="6"/>
      <c r="G36" s="6"/>
      <c r="H36" s="16"/>
      <c r="I36" s="12"/>
      <c r="J36" s="23">
        <f>Sheet8!J74</f>
        <v>0</v>
      </c>
      <c r="K36" s="23">
        <f>Sheet8!K74</f>
        <v>0</v>
      </c>
      <c r="L36" s="22">
        <f>Sheet8!L74</f>
        <v>33608</v>
      </c>
      <c r="M36" s="23">
        <f>Sheet8!M74</f>
        <v>0</v>
      </c>
      <c r="N36" s="23">
        <f>Sheet8!N74</f>
        <v>0</v>
      </c>
      <c r="O36" s="23">
        <f>Sheet8!O74</f>
        <v>0</v>
      </c>
      <c r="P36" s="23">
        <f>Sheet8!P74</f>
        <v>0</v>
      </c>
      <c r="Q36" s="50">
        <f>Sheet8!Q74</f>
        <v>3027</v>
      </c>
      <c r="R36" s="86"/>
      <c r="S36" s="87"/>
      <c r="T36" s="23">
        <f>Sheet8!T74</f>
        <v>1925</v>
      </c>
      <c r="U36" s="23">
        <f>Sheet8!U74</f>
        <v>0</v>
      </c>
      <c r="V36" s="23">
        <f>Sheet8!V74</f>
        <v>0</v>
      </c>
      <c r="W36" s="23">
        <f>Sheet8!W74</f>
        <v>1402</v>
      </c>
      <c r="X36" s="23">
        <f>Sheet8!X74</f>
        <v>0</v>
      </c>
      <c r="Y36" s="23">
        <f>Sheet8!Y74</f>
        <v>0</v>
      </c>
      <c r="Z36" s="23">
        <f>Sheet8!Z74</f>
        <v>268</v>
      </c>
      <c r="AA36" s="23">
        <f>Sheet8!AA74</f>
        <v>0</v>
      </c>
      <c r="AB36" s="24">
        <f>Sheet8!AB74</f>
        <v>0</v>
      </c>
    </row>
    <row r="37" spans="1:28" x14ac:dyDescent="0.2">
      <c r="A37" s="43" t="s">
        <v>128</v>
      </c>
      <c r="B37" s="43"/>
      <c r="C37" s="43"/>
      <c r="D37" s="43"/>
      <c r="E37" s="44"/>
      <c r="F37" s="6"/>
      <c r="G37" s="6"/>
      <c r="H37" s="6"/>
      <c r="I37" s="7"/>
      <c r="J37" s="23">
        <f>Sheet9!J74</f>
        <v>0</v>
      </c>
      <c r="K37" s="23">
        <f>Sheet9!K74</f>
        <v>0</v>
      </c>
      <c r="L37" s="22">
        <f>Sheet9!L74</f>
        <v>10381</v>
      </c>
      <c r="M37" s="23">
        <f>Sheet9!M74</f>
        <v>0</v>
      </c>
      <c r="N37" s="23">
        <f>Sheet9!N74</f>
        <v>0</v>
      </c>
      <c r="O37" s="23">
        <f>Sheet9!O74</f>
        <v>0</v>
      </c>
      <c r="P37" s="23">
        <f>Sheet9!P74</f>
        <v>0</v>
      </c>
      <c r="Q37" s="50">
        <f>Sheet9!Q74</f>
        <v>935</v>
      </c>
      <c r="R37" s="86"/>
      <c r="S37" s="87"/>
      <c r="T37" s="23">
        <f>Sheet9!T74</f>
        <v>0</v>
      </c>
      <c r="U37" s="23">
        <f>Sheet9!U74</f>
        <v>0</v>
      </c>
      <c r="V37" s="23">
        <f>Sheet9!V74</f>
        <v>317</v>
      </c>
      <c r="W37" s="23">
        <f>Sheet9!W74</f>
        <v>434</v>
      </c>
      <c r="X37" s="23">
        <f>Sheet9!X74</f>
        <v>0</v>
      </c>
      <c r="Y37" s="23">
        <f>Sheet9!Y74</f>
        <v>0</v>
      </c>
      <c r="Z37" s="23">
        <f>Sheet9!Z74</f>
        <v>0</v>
      </c>
      <c r="AA37" s="23">
        <f>Sheet9!AA74</f>
        <v>0</v>
      </c>
      <c r="AB37" s="24">
        <f>Sheet9!AB74</f>
        <v>0</v>
      </c>
    </row>
    <row r="38" spans="1:28" x14ac:dyDescent="0.2">
      <c r="A38" s="43" t="s">
        <v>129</v>
      </c>
      <c r="B38" s="43"/>
      <c r="C38" s="43"/>
      <c r="D38" s="43"/>
      <c r="E38" s="44"/>
      <c r="F38" s="6"/>
      <c r="G38" s="6"/>
      <c r="H38" s="6"/>
      <c r="I38" s="7"/>
      <c r="J38" s="23">
        <f>Sheet10!J74</f>
        <v>0</v>
      </c>
      <c r="K38" s="23">
        <f>Sheet10!K74</f>
        <v>0</v>
      </c>
      <c r="L38" s="22">
        <f>Sheet10!L74</f>
        <v>104582</v>
      </c>
      <c r="M38" s="23">
        <f>Sheet10!M74</f>
        <v>0</v>
      </c>
      <c r="N38" s="23">
        <f>Sheet10!N74</f>
        <v>0</v>
      </c>
      <c r="O38" s="23">
        <f>Sheet10!O74</f>
        <v>0</v>
      </c>
      <c r="P38" s="23">
        <f>Sheet10!P74</f>
        <v>0</v>
      </c>
      <c r="Q38" s="50">
        <f>Sheet10!Q74</f>
        <v>9415</v>
      </c>
      <c r="R38" s="86"/>
      <c r="S38" s="87"/>
      <c r="T38" s="23">
        <f>Sheet10!T74</f>
        <v>0</v>
      </c>
      <c r="U38" s="23">
        <f>Sheet10!U74</f>
        <v>0</v>
      </c>
      <c r="V38" s="23">
        <f>Sheet10!V74</f>
        <v>3728</v>
      </c>
      <c r="W38" s="23">
        <f>Sheet10!W74</f>
        <v>4360</v>
      </c>
      <c r="X38" s="23">
        <f>Sheet10!X74</f>
        <v>0</v>
      </c>
      <c r="Y38" s="23">
        <f>Sheet10!Y74</f>
        <v>0</v>
      </c>
      <c r="Z38" s="23">
        <f>Sheet10!Z74</f>
        <v>0</v>
      </c>
      <c r="AA38" s="23">
        <f>Sheet10!AA74</f>
        <v>0</v>
      </c>
      <c r="AB38" s="24">
        <f>Sheet10!AB74</f>
        <v>0</v>
      </c>
    </row>
    <row r="39" spans="1:28" x14ac:dyDescent="0.2">
      <c r="A39" s="43" t="s">
        <v>130</v>
      </c>
      <c r="B39" s="43"/>
      <c r="C39" s="43"/>
      <c r="D39" s="43"/>
      <c r="E39" s="44"/>
      <c r="F39" s="6"/>
      <c r="G39" s="6"/>
      <c r="H39" s="16"/>
      <c r="I39" s="7"/>
      <c r="J39" s="23">
        <f>Sheet11!J74</f>
        <v>0</v>
      </c>
      <c r="K39" s="23">
        <f>Sheet11!K74</f>
        <v>0</v>
      </c>
      <c r="L39" s="22">
        <f>Sheet11!L74</f>
        <v>34362</v>
      </c>
      <c r="M39" s="23">
        <f>Sheet11!M74</f>
        <v>0</v>
      </c>
      <c r="N39" s="23">
        <f>Sheet11!N74</f>
        <v>0</v>
      </c>
      <c r="O39" s="23">
        <f>Sheet11!O74</f>
        <v>0</v>
      </c>
      <c r="P39" s="23">
        <f>Sheet11!P74</f>
        <v>0</v>
      </c>
      <c r="Q39" s="50">
        <f>Sheet11!Q74</f>
        <v>3095</v>
      </c>
      <c r="R39" s="86"/>
      <c r="S39" s="87"/>
      <c r="T39" s="23">
        <f>Sheet11!T74</f>
        <v>1999</v>
      </c>
      <c r="U39" s="23">
        <f>Sheet11!U74</f>
        <v>0</v>
      </c>
      <c r="V39" s="23">
        <f>Sheet11!V74</f>
        <v>0</v>
      </c>
      <c r="W39" s="23">
        <f>Sheet11!W74</f>
        <v>1434</v>
      </c>
      <c r="X39" s="23">
        <f>Sheet11!X74</f>
        <v>0</v>
      </c>
      <c r="Y39" s="23">
        <f>Sheet11!Y74</f>
        <v>0</v>
      </c>
      <c r="Z39" s="23">
        <f>Sheet11!Z74</f>
        <v>278</v>
      </c>
      <c r="AA39" s="23">
        <f>Sheet11!AA74</f>
        <v>0</v>
      </c>
      <c r="AB39" s="24">
        <f>Sheet11!AB74</f>
        <v>0</v>
      </c>
    </row>
    <row r="40" spans="1:28" x14ac:dyDescent="0.2">
      <c r="A40" s="43" t="s">
        <v>131</v>
      </c>
      <c r="B40" s="43"/>
      <c r="C40" s="43"/>
      <c r="D40" s="43"/>
      <c r="E40" s="44"/>
      <c r="F40" s="6"/>
      <c r="G40" s="6"/>
      <c r="H40" s="6"/>
      <c r="I40" s="7"/>
      <c r="J40" s="23">
        <f>Sheet12!J74</f>
        <v>0</v>
      </c>
      <c r="K40" s="23">
        <f>Sheet12!K74</f>
        <v>0</v>
      </c>
      <c r="L40" s="23">
        <f>Sheet12!L74</f>
        <v>9641</v>
      </c>
      <c r="M40" s="23">
        <f>Sheet12!M74</f>
        <v>0</v>
      </c>
      <c r="N40" s="23">
        <f>Sheet12!N74</f>
        <v>0</v>
      </c>
      <c r="O40" s="23">
        <f>Sheet12!O74</f>
        <v>0</v>
      </c>
      <c r="P40" s="23">
        <f>Sheet12!P74</f>
        <v>0</v>
      </c>
      <c r="Q40" s="50">
        <f>Sheet12!Q74</f>
        <v>869</v>
      </c>
      <c r="R40" s="86"/>
      <c r="S40" s="87"/>
      <c r="T40" s="23">
        <f>Sheet12!T74</f>
        <v>0</v>
      </c>
      <c r="U40" s="23">
        <f>Sheet12!U74</f>
        <v>0</v>
      </c>
      <c r="V40" s="23">
        <f>Sheet12!V74</f>
        <v>281</v>
      </c>
      <c r="W40" s="23">
        <f>Sheet12!W74</f>
        <v>403</v>
      </c>
      <c r="X40" s="23">
        <f>Sheet12!X74</f>
        <v>0</v>
      </c>
      <c r="Y40" s="23">
        <f>Sheet12!Y74</f>
        <v>0</v>
      </c>
      <c r="Z40" s="23">
        <f>Sheet12!Z74</f>
        <v>0</v>
      </c>
      <c r="AA40" s="23">
        <f>Sheet12!AA74</f>
        <v>0</v>
      </c>
      <c r="AB40" s="24">
        <f>Sheet12!AB74</f>
        <v>0</v>
      </c>
    </row>
    <row r="41" spans="1:28" x14ac:dyDescent="0.2">
      <c r="A41" s="43"/>
      <c r="B41" s="43"/>
      <c r="C41" s="43"/>
      <c r="D41" s="43"/>
      <c r="E41" s="44"/>
      <c r="F41" s="6"/>
      <c r="G41" s="6"/>
      <c r="H41" s="6"/>
      <c r="I41" s="7"/>
      <c r="J41" s="23"/>
      <c r="K41" s="23"/>
      <c r="L41" s="23"/>
      <c r="M41" s="23"/>
      <c r="N41" s="23"/>
      <c r="O41" s="23"/>
      <c r="P41" s="23"/>
      <c r="Q41" s="50"/>
      <c r="R41" s="86"/>
      <c r="S41" s="87"/>
      <c r="T41" s="23"/>
      <c r="U41" s="23"/>
      <c r="V41" s="23"/>
      <c r="W41" s="23"/>
      <c r="X41" s="23"/>
      <c r="Y41" s="23"/>
      <c r="Z41" s="23"/>
      <c r="AA41" s="23"/>
      <c r="AB41" s="24"/>
    </row>
    <row r="42" spans="1:28" x14ac:dyDescent="0.2">
      <c r="A42" s="43" t="s">
        <v>108</v>
      </c>
      <c r="B42" s="43"/>
      <c r="C42" s="43"/>
      <c r="D42" s="43"/>
      <c r="E42" s="44"/>
      <c r="F42" s="6"/>
      <c r="G42" s="6"/>
      <c r="H42" s="6"/>
      <c r="I42" s="7"/>
      <c r="J42" s="22">
        <f>SUM(J31:J40)</f>
        <v>115658</v>
      </c>
      <c r="K42" s="22">
        <f t="shared" ref="K42:P42" si="2">SUM(K31:K40)</f>
        <v>123636</v>
      </c>
      <c r="L42" s="22">
        <f t="shared" si="2"/>
        <v>296781</v>
      </c>
      <c r="M42" s="22">
        <f t="shared" si="2"/>
        <v>10654</v>
      </c>
      <c r="N42" s="4">
        <f t="shared" si="2"/>
        <v>908</v>
      </c>
      <c r="O42" s="22">
        <f t="shared" si="2"/>
        <v>18570</v>
      </c>
      <c r="P42" s="22">
        <f t="shared" si="2"/>
        <v>20255</v>
      </c>
      <c r="Q42" s="69">
        <f>SUM(Q31:S40)</f>
        <v>43161</v>
      </c>
      <c r="R42" s="96"/>
      <c r="S42" s="97"/>
      <c r="T42" s="4">
        <f>SUM(T31:T40)</f>
        <v>4021</v>
      </c>
      <c r="U42" s="4">
        <f t="shared" ref="U42:AB42" si="3">SUM(U31:U40)</f>
        <v>0</v>
      </c>
      <c r="V42" s="22">
        <f t="shared" si="3"/>
        <v>18518</v>
      </c>
      <c r="W42" s="22">
        <f t="shared" si="3"/>
        <v>12377</v>
      </c>
      <c r="X42" s="4">
        <f t="shared" si="3"/>
        <v>5539</v>
      </c>
      <c r="Y42" s="4">
        <f t="shared" si="3"/>
        <v>6470</v>
      </c>
      <c r="Z42" s="4">
        <f t="shared" si="3"/>
        <v>560</v>
      </c>
      <c r="AA42" s="22">
        <f t="shared" si="3"/>
        <v>29349</v>
      </c>
      <c r="AB42" s="25">
        <f t="shared" si="3"/>
        <v>29349</v>
      </c>
    </row>
    <row r="43" spans="1:28" x14ac:dyDescent="0.2">
      <c r="A43" s="43"/>
      <c r="B43" s="43"/>
      <c r="C43" s="43"/>
      <c r="D43" s="43"/>
      <c r="E43" s="44"/>
      <c r="F43" s="6"/>
      <c r="G43" s="6"/>
      <c r="H43" s="16"/>
      <c r="I43" s="12"/>
      <c r="J43" s="7"/>
      <c r="K43" s="7"/>
      <c r="L43" s="7"/>
      <c r="M43" s="7"/>
      <c r="N43" s="7"/>
      <c r="O43" s="7"/>
      <c r="P43" s="7"/>
      <c r="Q43" s="50"/>
      <c r="R43" s="86"/>
      <c r="S43" s="87"/>
      <c r="T43" s="7"/>
      <c r="U43" s="7"/>
      <c r="V43" s="7"/>
      <c r="W43" s="7"/>
      <c r="X43" s="7"/>
      <c r="Y43" s="7"/>
      <c r="Z43" s="7"/>
      <c r="AA43" s="7"/>
      <c r="AB43" s="8"/>
    </row>
    <row r="44" spans="1:28" x14ac:dyDescent="0.2">
      <c r="A44" s="43"/>
      <c r="B44" s="43"/>
      <c r="C44" s="43"/>
      <c r="D44" s="43"/>
      <c r="E44" s="44"/>
      <c r="F44" s="6"/>
      <c r="G44" s="6"/>
      <c r="H44" s="6"/>
      <c r="I44" s="7"/>
      <c r="J44" s="7"/>
      <c r="K44" s="7"/>
      <c r="L44" s="7"/>
      <c r="M44" s="7"/>
      <c r="N44" s="7"/>
      <c r="O44" s="7"/>
      <c r="P44" s="7"/>
      <c r="Q44" s="50"/>
      <c r="R44" s="86"/>
      <c r="S44" s="87"/>
      <c r="T44" s="7"/>
      <c r="U44" s="7"/>
      <c r="V44" s="7"/>
      <c r="W44" s="7"/>
      <c r="X44" s="7"/>
      <c r="Y44" s="7"/>
      <c r="Z44" s="7"/>
      <c r="AA44" s="7"/>
      <c r="AB44" s="8"/>
    </row>
    <row r="45" spans="1:28" x14ac:dyDescent="0.2">
      <c r="A45" s="43"/>
      <c r="B45" s="43"/>
      <c r="C45" s="43"/>
      <c r="D45" s="43"/>
      <c r="E45" s="44"/>
      <c r="F45" s="6"/>
      <c r="G45" s="6"/>
      <c r="H45" s="6"/>
      <c r="I45" s="7"/>
      <c r="J45" s="7"/>
      <c r="K45" s="7"/>
      <c r="L45" s="7"/>
      <c r="M45" s="7"/>
      <c r="N45" s="7"/>
      <c r="O45" s="7"/>
      <c r="P45" s="7"/>
      <c r="Q45" s="50"/>
      <c r="R45" s="86"/>
      <c r="S45" s="87"/>
      <c r="T45" s="7"/>
      <c r="U45" s="7"/>
      <c r="V45" s="7"/>
      <c r="W45" s="7"/>
      <c r="X45" s="7"/>
      <c r="Y45" s="7"/>
      <c r="Z45" s="7"/>
      <c r="AA45" s="7"/>
      <c r="AB45" s="8"/>
    </row>
    <row r="46" spans="1:28" x14ac:dyDescent="0.2">
      <c r="A46" s="43"/>
      <c r="B46" s="43"/>
      <c r="C46" s="43"/>
      <c r="D46" s="43"/>
      <c r="E46" s="44"/>
      <c r="F46" s="6"/>
      <c r="G46" s="6"/>
      <c r="H46" s="6"/>
      <c r="I46" s="7"/>
      <c r="J46" s="7"/>
      <c r="K46" s="7"/>
      <c r="L46" s="7"/>
      <c r="M46" s="7"/>
      <c r="N46" s="7"/>
      <c r="O46" s="7"/>
      <c r="P46" s="7"/>
      <c r="Q46" s="50"/>
      <c r="R46" s="86"/>
      <c r="S46" s="87"/>
      <c r="T46" s="7"/>
      <c r="U46" s="7"/>
      <c r="V46" s="7"/>
      <c r="W46" s="7"/>
      <c r="X46" s="7"/>
      <c r="Y46" s="7"/>
      <c r="Z46" s="7"/>
      <c r="AA46" s="7"/>
      <c r="AB46" s="8"/>
    </row>
    <row r="47" spans="1:28" x14ac:dyDescent="0.2">
      <c r="A47" s="43"/>
      <c r="B47" s="43"/>
      <c r="C47" s="43"/>
      <c r="D47" s="43"/>
      <c r="E47" s="44"/>
      <c r="F47" s="6"/>
      <c r="G47" s="6"/>
      <c r="H47" s="6"/>
      <c r="I47" s="7"/>
      <c r="J47" s="12"/>
      <c r="K47" s="7"/>
      <c r="L47" s="7"/>
      <c r="M47" s="7"/>
      <c r="N47" s="7"/>
      <c r="O47" s="7"/>
      <c r="P47" s="7"/>
      <c r="Q47" s="50"/>
      <c r="R47" s="86"/>
      <c r="S47" s="87"/>
      <c r="T47" s="7"/>
      <c r="U47" s="7"/>
      <c r="V47" s="7"/>
      <c r="W47" s="7"/>
      <c r="X47" s="7"/>
      <c r="Y47" s="7"/>
      <c r="Z47" s="7"/>
      <c r="AA47" s="7"/>
      <c r="AB47" s="8"/>
    </row>
    <row r="48" spans="1:28" x14ac:dyDescent="0.2">
      <c r="A48" s="43"/>
      <c r="B48" s="43"/>
      <c r="C48" s="43"/>
      <c r="D48" s="43"/>
      <c r="E48" s="44"/>
      <c r="F48" s="6"/>
      <c r="G48" s="6"/>
      <c r="H48" s="6"/>
      <c r="I48" s="7"/>
      <c r="J48" s="7"/>
      <c r="K48" s="7"/>
      <c r="L48" s="7"/>
      <c r="M48" s="7"/>
      <c r="N48" s="7"/>
      <c r="O48" s="7"/>
      <c r="P48" s="7"/>
      <c r="Q48" s="50"/>
      <c r="R48" s="86"/>
      <c r="S48" s="87"/>
      <c r="T48" s="7"/>
      <c r="U48" s="7"/>
      <c r="V48" s="7"/>
      <c r="W48" s="7"/>
      <c r="X48" s="7"/>
      <c r="Y48" s="7"/>
      <c r="Z48" s="7"/>
      <c r="AA48" s="7"/>
      <c r="AB48" s="8"/>
    </row>
    <row r="49" spans="1:28" x14ac:dyDescent="0.2">
      <c r="A49" s="43"/>
      <c r="B49" s="43"/>
      <c r="C49" s="43"/>
      <c r="D49" s="43"/>
      <c r="E49" s="44"/>
      <c r="F49" s="6"/>
      <c r="G49" s="6"/>
      <c r="H49" s="6"/>
      <c r="I49" s="7"/>
      <c r="J49" s="7"/>
      <c r="K49" s="7"/>
      <c r="L49" s="7"/>
      <c r="M49" s="7"/>
      <c r="N49" s="7"/>
      <c r="O49" s="7"/>
      <c r="P49" s="7"/>
      <c r="Q49" s="50"/>
      <c r="R49" s="86"/>
      <c r="S49" s="87"/>
      <c r="T49" s="7"/>
      <c r="U49" s="7"/>
      <c r="V49" s="7"/>
      <c r="W49" s="7"/>
      <c r="X49" s="7"/>
      <c r="Y49" s="7"/>
      <c r="Z49" s="7"/>
      <c r="AA49" s="7"/>
      <c r="AB49" s="8"/>
    </row>
    <row r="50" spans="1:28" x14ac:dyDescent="0.2">
      <c r="A50" s="43"/>
      <c r="B50" s="43"/>
      <c r="C50" s="43"/>
      <c r="D50" s="43"/>
      <c r="E50" s="44"/>
      <c r="F50" s="6"/>
      <c r="G50" s="6"/>
      <c r="H50" s="16"/>
      <c r="I50" s="12"/>
      <c r="J50" s="7"/>
      <c r="K50" s="7"/>
      <c r="L50" s="7"/>
      <c r="M50" s="7"/>
      <c r="N50" s="7"/>
      <c r="O50" s="7"/>
      <c r="P50" s="7"/>
      <c r="Q50" s="50"/>
      <c r="R50" s="86"/>
      <c r="S50" s="87"/>
      <c r="T50" s="7"/>
      <c r="U50" s="7"/>
      <c r="V50" s="7"/>
      <c r="W50" s="7"/>
      <c r="X50" s="7"/>
      <c r="Y50" s="7"/>
      <c r="Z50" s="7"/>
      <c r="AA50" s="7"/>
      <c r="AB50" s="8"/>
    </row>
    <row r="51" spans="1:28" x14ac:dyDescent="0.2">
      <c r="A51" s="43"/>
      <c r="B51" s="43"/>
      <c r="C51" s="43"/>
      <c r="D51" s="43"/>
      <c r="E51" s="44"/>
      <c r="F51" s="6"/>
      <c r="G51" s="6"/>
      <c r="H51" s="6"/>
      <c r="I51" s="7"/>
      <c r="J51" s="17"/>
      <c r="K51" s="7"/>
      <c r="L51" s="7"/>
      <c r="M51" s="7"/>
      <c r="N51" s="7"/>
      <c r="O51" s="7"/>
      <c r="P51" s="7"/>
      <c r="Q51" s="50"/>
      <c r="R51" s="86"/>
      <c r="S51" s="87"/>
      <c r="T51" s="7"/>
      <c r="U51" s="7"/>
      <c r="V51" s="7"/>
      <c r="W51" s="7"/>
      <c r="X51" s="7"/>
      <c r="Y51" s="7"/>
      <c r="Z51" s="7"/>
      <c r="AA51" s="7"/>
      <c r="AB51" s="8"/>
    </row>
    <row r="52" spans="1:28" x14ac:dyDescent="0.2">
      <c r="A52" s="43"/>
      <c r="B52" s="43"/>
      <c r="C52" s="43"/>
      <c r="D52" s="43"/>
      <c r="E52" s="44"/>
      <c r="F52" s="6"/>
      <c r="G52" s="6"/>
      <c r="H52" s="6"/>
      <c r="I52" s="7"/>
      <c r="J52" s="7"/>
      <c r="K52" s="7"/>
      <c r="L52" s="7"/>
      <c r="M52" s="7"/>
      <c r="N52" s="7"/>
      <c r="O52" s="7"/>
      <c r="P52" s="7"/>
      <c r="Q52" s="50"/>
      <c r="R52" s="86"/>
      <c r="S52" s="87"/>
      <c r="T52" s="7"/>
      <c r="U52" s="7"/>
      <c r="V52" s="7"/>
      <c r="W52" s="7"/>
      <c r="X52" s="7"/>
      <c r="Y52" s="7"/>
      <c r="Z52" s="7"/>
      <c r="AA52" s="7"/>
      <c r="AB52" s="8"/>
    </row>
    <row r="53" spans="1:28" x14ac:dyDescent="0.2">
      <c r="A53" s="43"/>
      <c r="B53" s="43"/>
      <c r="C53" s="43"/>
      <c r="D53" s="43"/>
      <c r="E53" s="44"/>
      <c r="F53" s="6"/>
      <c r="G53" s="6"/>
      <c r="H53" s="16"/>
      <c r="I53" s="7"/>
      <c r="J53" s="7"/>
      <c r="K53" s="7"/>
      <c r="L53" s="7"/>
      <c r="M53" s="7"/>
      <c r="N53" s="7"/>
      <c r="O53" s="7"/>
      <c r="P53" s="7"/>
      <c r="Q53" s="50"/>
      <c r="R53" s="86"/>
      <c r="S53" s="87"/>
      <c r="T53" s="7"/>
      <c r="U53" s="7"/>
      <c r="V53" s="7"/>
      <c r="W53" s="7"/>
      <c r="X53" s="7"/>
      <c r="Y53" s="7"/>
      <c r="Z53" s="7"/>
      <c r="AA53" s="7"/>
      <c r="AB53" s="8"/>
    </row>
    <row r="54" spans="1:28" x14ac:dyDescent="0.2">
      <c r="A54" s="43"/>
      <c r="B54" s="43"/>
      <c r="C54" s="43"/>
      <c r="D54" s="43"/>
      <c r="E54" s="44"/>
      <c r="F54" s="6"/>
      <c r="G54" s="6"/>
      <c r="H54" s="6"/>
      <c r="I54" s="7"/>
      <c r="J54" s="7"/>
      <c r="K54" s="7"/>
      <c r="L54" s="7"/>
      <c r="M54" s="7"/>
      <c r="N54" s="7"/>
      <c r="O54" s="7"/>
      <c r="P54" s="7"/>
      <c r="Q54" s="50"/>
      <c r="R54" s="86"/>
      <c r="S54" s="87"/>
      <c r="T54" s="7"/>
      <c r="U54" s="7"/>
      <c r="V54" s="7"/>
      <c r="W54" s="7"/>
      <c r="X54" s="7"/>
      <c r="Y54" s="7"/>
      <c r="Z54" s="7"/>
      <c r="AA54" s="7"/>
      <c r="AB54" s="8"/>
    </row>
    <row r="55" spans="1:28" x14ac:dyDescent="0.2">
      <c r="A55" s="43"/>
      <c r="B55" s="43"/>
      <c r="C55" s="43"/>
      <c r="D55" s="43"/>
      <c r="E55" s="44"/>
      <c r="F55" s="6"/>
      <c r="G55" s="6"/>
      <c r="H55" s="6"/>
      <c r="I55" s="7"/>
      <c r="J55" s="7"/>
      <c r="K55" s="7"/>
      <c r="L55" s="7"/>
      <c r="M55" s="7"/>
      <c r="N55" s="7"/>
      <c r="O55" s="7"/>
      <c r="P55" s="7"/>
      <c r="Q55" s="50"/>
      <c r="R55" s="86"/>
      <c r="S55" s="87"/>
      <c r="T55" s="7"/>
      <c r="U55" s="7"/>
      <c r="V55" s="7"/>
      <c r="W55" s="7"/>
      <c r="X55" s="7"/>
      <c r="Y55" s="7"/>
      <c r="Z55" s="7"/>
      <c r="AA55" s="7"/>
      <c r="AB55" s="8"/>
    </row>
    <row r="56" spans="1:28" x14ac:dyDescent="0.2">
      <c r="A56" s="45"/>
      <c r="B56" s="45"/>
      <c r="C56" s="45"/>
      <c r="D56" s="45"/>
      <c r="E56" s="46"/>
      <c r="F56" s="6"/>
      <c r="G56" s="6"/>
      <c r="H56" s="6"/>
      <c r="I56" s="7"/>
      <c r="J56" s="12"/>
      <c r="K56" s="7"/>
      <c r="L56" s="7"/>
      <c r="M56" s="7"/>
      <c r="N56" s="7"/>
      <c r="O56" s="7"/>
      <c r="P56" s="7"/>
      <c r="Q56" s="50"/>
      <c r="R56" s="86"/>
      <c r="S56" s="87"/>
      <c r="T56" s="7"/>
      <c r="U56" s="7"/>
      <c r="V56" s="7"/>
      <c r="W56" s="7"/>
      <c r="X56" s="7"/>
      <c r="Y56" s="7"/>
      <c r="Z56" s="7"/>
      <c r="AA56" s="7"/>
      <c r="AB56" s="8"/>
    </row>
    <row r="57" spans="1:28" x14ac:dyDescent="0.2">
      <c r="A57" s="43"/>
      <c r="B57" s="43"/>
      <c r="C57" s="43"/>
      <c r="D57" s="43"/>
      <c r="E57" s="44"/>
      <c r="F57" s="6"/>
      <c r="G57" s="6"/>
      <c r="H57" s="16"/>
      <c r="I57" s="12"/>
      <c r="J57" s="7"/>
      <c r="K57" s="7"/>
      <c r="L57" s="7"/>
      <c r="M57" s="7"/>
      <c r="N57" s="7"/>
      <c r="O57" s="7"/>
      <c r="P57" s="7"/>
      <c r="Q57" s="50"/>
      <c r="R57" s="86"/>
      <c r="S57" s="87"/>
      <c r="T57" s="7"/>
      <c r="U57" s="7"/>
      <c r="V57" s="7"/>
      <c r="W57" s="7"/>
      <c r="X57" s="7"/>
      <c r="Y57" s="7"/>
      <c r="Z57" s="7"/>
      <c r="AA57" s="7"/>
      <c r="AB57" s="8"/>
    </row>
    <row r="58" spans="1:28" x14ac:dyDescent="0.2">
      <c r="A58" s="43"/>
      <c r="B58" s="43"/>
      <c r="C58" s="43"/>
      <c r="D58" s="43"/>
      <c r="E58" s="44"/>
      <c r="F58" s="6"/>
      <c r="G58" s="6"/>
      <c r="H58" s="6"/>
      <c r="I58" s="17"/>
      <c r="J58" s="7"/>
      <c r="K58" s="7"/>
      <c r="L58" s="7"/>
      <c r="M58" s="7"/>
      <c r="N58" s="7"/>
      <c r="O58" s="7"/>
      <c r="P58" s="7"/>
      <c r="Q58" s="50"/>
      <c r="R58" s="86"/>
      <c r="S58" s="87"/>
      <c r="T58" s="7"/>
      <c r="U58" s="7"/>
      <c r="V58" s="7"/>
      <c r="W58" s="7"/>
      <c r="X58" s="7"/>
      <c r="Y58" s="7"/>
      <c r="Z58" s="7"/>
      <c r="AA58" s="7"/>
      <c r="AB58" s="8"/>
    </row>
    <row r="59" spans="1:28" x14ac:dyDescent="0.2">
      <c r="A59" s="43"/>
      <c r="B59" s="43"/>
      <c r="C59" s="43"/>
      <c r="D59" s="43"/>
      <c r="E59" s="44"/>
      <c r="F59" s="6"/>
      <c r="G59" s="6"/>
      <c r="H59" s="6"/>
      <c r="I59" s="7"/>
      <c r="J59" s="12"/>
      <c r="K59" s="7"/>
      <c r="L59" s="7"/>
      <c r="M59" s="7"/>
      <c r="N59" s="7"/>
      <c r="O59" s="7"/>
      <c r="P59" s="7"/>
      <c r="Q59" s="50"/>
      <c r="R59" s="86"/>
      <c r="S59" s="87"/>
      <c r="T59" s="7"/>
      <c r="U59" s="7"/>
      <c r="V59" s="7"/>
      <c r="W59" s="7"/>
      <c r="X59" s="7"/>
      <c r="Y59" s="7"/>
      <c r="Z59" s="7"/>
      <c r="AA59" s="7"/>
      <c r="AB59" s="8"/>
    </row>
    <row r="60" spans="1:28" x14ac:dyDescent="0.2">
      <c r="A60" s="43"/>
      <c r="B60" s="43"/>
      <c r="C60" s="43"/>
      <c r="D60" s="43"/>
      <c r="E60" s="44"/>
      <c r="F60" s="6"/>
      <c r="G60" s="6"/>
      <c r="H60" s="16"/>
      <c r="I60" s="12"/>
      <c r="J60" s="7"/>
      <c r="K60" s="7"/>
      <c r="L60" s="7"/>
      <c r="M60" s="7"/>
      <c r="N60" s="7"/>
      <c r="O60" s="7"/>
      <c r="P60" s="7"/>
      <c r="Q60" s="50"/>
      <c r="R60" s="86"/>
      <c r="S60" s="87"/>
      <c r="T60" s="7"/>
      <c r="U60" s="7"/>
      <c r="V60" s="7"/>
      <c r="W60" s="7"/>
      <c r="X60" s="7"/>
      <c r="Y60" s="7"/>
      <c r="Z60" s="7"/>
      <c r="AA60" s="7"/>
      <c r="AB60" s="8"/>
    </row>
    <row r="61" spans="1:28" x14ac:dyDescent="0.2">
      <c r="A61" s="43"/>
      <c r="B61" s="43"/>
      <c r="C61" s="43"/>
      <c r="D61" s="43"/>
      <c r="E61" s="44"/>
      <c r="F61" s="6"/>
      <c r="G61" s="6"/>
      <c r="H61" s="6"/>
      <c r="I61" s="11"/>
      <c r="J61" s="17"/>
      <c r="K61" s="7"/>
      <c r="L61" s="7"/>
      <c r="M61" s="7"/>
      <c r="N61" s="7"/>
      <c r="O61" s="7"/>
      <c r="P61" s="7"/>
      <c r="Q61" s="50"/>
      <c r="R61" s="86"/>
      <c r="S61" s="87"/>
      <c r="T61" s="7"/>
      <c r="U61" s="7"/>
      <c r="V61" s="7"/>
      <c r="W61" s="7"/>
      <c r="X61" s="7"/>
      <c r="Y61" s="7"/>
      <c r="Z61" s="7"/>
      <c r="AA61" s="7"/>
      <c r="AB61" s="8"/>
    </row>
    <row r="62" spans="1:28" x14ac:dyDescent="0.2">
      <c r="A62" s="45"/>
      <c r="B62" s="45"/>
      <c r="C62" s="45"/>
      <c r="D62" s="45"/>
      <c r="E62" s="46"/>
      <c r="F62" s="6"/>
      <c r="G62" s="6"/>
      <c r="H62" s="6"/>
      <c r="I62" s="7"/>
      <c r="J62" s="17"/>
      <c r="K62" s="7"/>
      <c r="L62" s="7"/>
      <c r="M62" s="7"/>
      <c r="N62" s="7"/>
      <c r="O62" s="7"/>
      <c r="P62" s="7"/>
      <c r="Q62" s="50"/>
      <c r="R62" s="86"/>
      <c r="S62" s="87"/>
      <c r="T62" s="7"/>
      <c r="U62" s="7"/>
      <c r="V62" s="7"/>
      <c r="W62" s="7"/>
      <c r="X62" s="7"/>
      <c r="Y62" s="7"/>
      <c r="Z62" s="7"/>
      <c r="AA62" s="7"/>
      <c r="AB62" s="8"/>
    </row>
    <row r="63" spans="1:28" x14ac:dyDescent="0.2">
      <c r="A63" s="45"/>
      <c r="B63" s="45"/>
      <c r="C63" s="45"/>
      <c r="D63" s="45"/>
      <c r="E63" s="46"/>
      <c r="F63" s="6"/>
      <c r="G63" s="6"/>
      <c r="H63" s="6"/>
      <c r="I63" s="7"/>
      <c r="J63" s="12"/>
      <c r="K63" s="7"/>
      <c r="L63" s="7"/>
      <c r="M63" s="7"/>
      <c r="N63" s="7"/>
      <c r="O63" s="7"/>
      <c r="P63" s="7"/>
      <c r="Q63" s="50"/>
      <c r="R63" s="86"/>
      <c r="S63" s="87"/>
      <c r="T63" s="7"/>
      <c r="U63" s="7"/>
      <c r="V63" s="7"/>
      <c r="W63" s="7"/>
      <c r="X63" s="7"/>
      <c r="Y63" s="7"/>
      <c r="Z63" s="7"/>
      <c r="AA63" s="7"/>
      <c r="AB63" s="8"/>
    </row>
    <row r="64" spans="1:28" x14ac:dyDescent="0.2">
      <c r="A64" s="43"/>
      <c r="B64" s="43"/>
      <c r="C64" s="43"/>
      <c r="D64" s="43"/>
      <c r="E64" s="44"/>
      <c r="F64" s="6"/>
      <c r="G64" s="6"/>
      <c r="H64" s="16"/>
      <c r="I64" s="12"/>
      <c r="J64" s="7"/>
      <c r="K64" s="7"/>
      <c r="L64" s="7"/>
      <c r="M64" s="7"/>
      <c r="N64" s="7"/>
      <c r="O64" s="7"/>
      <c r="P64" s="7"/>
      <c r="Q64" s="50"/>
      <c r="R64" s="86"/>
      <c r="S64" s="87"/>
      <c r="T64" s="7"/>
      <c r="U64" s="7"/>
      <c r="V64" s="7"/>
      <c r="W64" s="7"/>
      <c r="X64" s="7"/>
      <c r="Y64" s="7"/>
      <c r="Z64" s="7"/>
      <c r="AA64" s="7"/>
      <c r="AB64" s="8"/>
    </row>
    <row r="65" spans="1:28" x14ac:dyDescent="0.2">
      <c r="A65" s="43"/>
      <c r="B65" s="43"/>
      <c r="C65" s="43"/>
      <c r="D65" s="43"/>
      <c r="E65" s="44"/>
      <c r="F65" s="6"/>
      <c r="G65" s="6"/>
      <c r="H65" s="6"/>
      <c r="I65" s="11"/>
      <c r="J65" s="7"/>
      <c r="K65" s="7"/>
      <c r="L65" s="7"/>
      <c r="M65" s="7"/>
      <c r="N65" s="7"/>
      <c r="O65" s="7"/>
      <c r="P65" s="7"/>
      <c r="Q65" s="50"/>
      <c r="R65" s="86"/>
      <c r="S65" s="87"/>
      <c r="T65" s="7"/>
      <c r="U65" s="7"/>
      <c r="V65" s="7"/>
      <c r="W65" s="7"/>
      <c r="X65" s="7"/>
      <c r="Y65" s="7"/>
      <c r="Z65" s="7"/>
      <c r="AA65" s="7"/>
      <c r="AB65" s="8"/>
    </row>
    <row r="66" spans="1:28" x14ac:dyDescent="0.2">
      <c r="A66" s="43"/>
      <c r="B66" s="43"/>
      <c r="C66" s="43"/>
      <c r="D66" s="43"/>
      <c r="E66" s="44"/>
      <c r="F66" s="6"/>
      <c r="G66" s="6"/>
      <c r="H66" s="16"/>
      <c r="I66" s="12"/>
      <c r="J66" s="7"/>
      <c r="K66" s="7"/>
      <c r="L66" s="7"/>
      <c r="M66" s="7"/>
      <c r="N66" s="7"/>
      <c r="O66" s="7"/>
      <c r="P66" s="7"/>
      <c r="Q66" s="50"/>
      <c r="R66" s="86"/>
      <c r="S66" s="87"/>
      <c r="T66" s="7"/>
      <c r="U66" s="7"/>
      <c r="V66" s="7"/>
      <c r="W66" s="7"/>
      <c r="X66" s="7"/>
      <c r="Y66" s="7"/>
      <c r="Z66" s="7"/>
      <c r="AA66" s="7"/>
      <c r="AB66" s="8"/>
    </row>
    <row r="67" spans="1:28" x14ac:dyDescent="0.2">
      <c r="A67" s="43"/>
      <c r="B67" s="43"/>
      <c r="C67" s="43"/>
      <c r="D67" s="43"/>
      <c r="E67" s="44"/>
      <c r="F67" s="6"/>
      <c r="G67" s="6"/>
      <c r="H67" s="6"/>
      <c r="I67" s="11"/>
      <c r="J67" s="7"/>
      <c r="K67" s="7"/>
      <c r="L67" s="7"/>
      <c r="M67" s="7"/>
      <c r="N67" s="7"/>
      <c r="O67" s="7"/>
      <c r="P67" s="7"/>
      <c r="Q67" s="50"/>
      <c r="R67" s="86"/>
      <c r="S67" s="87"/>
      <c r="T67" s="7"/>
      <c r="U67" s="7"/>
      <c r="V67" s="7"/>
      <c r="W67" s="7"/>
      <c r="X67" s="7"/>
      <c r="Y67" s="7"/>
      <c r="Z67" s="7"/>
      <c r="AA67" s="7"/>
      <c r="AB67" s="8"/>
    </row>
    <row r="68" spans="1:28" x14ac:dyDescent="0.2">
      <c r="A68" s="45"/>
      <c r="B68" s="45"/>
      <c r="C68" s="45"/>
      <c r="D68" s="45"/>
      <c r="E68" s="46"/>
      <c r="F68" s="6"/>
      <c r="G68" s="6"/>
      <c r="H68" s="6"/>
      <c r="I68" s="11"/>
      <c r="J68" s="7"/>
      <c r="K68" s="7"/>
      <c r="L68" s="7"/>
      <c r="M68" s="7"/>
      <c r="N68" s="7"/>
      <c r="O68" s="7"/>
      <c r="P68" s="7"/>
      <c r="Q68" s="50"/>
      <c r="R68" s="86"/>
      <c r="S68" s="87"/>
      <c r="T68" s="7"/>
      <c r="U68" s="7"/>
      <c r="V68" s="7"/>
      <c r="W68" s="7"/>
      <c r="X68" s="7"/>
      <c r="Y68" s="7"/>
      <c r="Z68" s="7"/>
      <c r="AA68" s="7"/>
      <c r="AB68" s="8"/>
    </row>
    <row r="69" spans="1:28" x14ac:dyDescent="0.2">
      <c r="A69" s="45"/>
      <c r="B69" s="45"/>
      <c r="C69" s="45"/>
      <c r="D69" s="45"/>
      <c r="E69" s="46"/>
      <c r="F69" s="6"/>
      <c r="G69" s="6"/>
      <c r="H69" s="6"/>
      <c r="I69" s="7"/>
      <c r="J69" s="7"/>
      <c r="K69" s="7"/>
      <c r="L69" s="7"/>
      <c r="M69" s="7"/>
      <c r="N69" s="7"/>
      <c r="O69" s="7"/>
      <c r="P69" s="7"/>
      <c r="Q69" s="50"/>
      <c r="R69" s="86"/>
      <c r="S69" s="87"/>
      <c r="T69" s="7"/>
      <c r="U69" s="7"/>
      <c r="V69" s="7"/>
      <c r="W69" s="7"/>
      <c r="X69" s="7"/>
      <c r="Y69" s="7"/>
      <c r="Z69" s="7"/>
      <c r="AA69" s="7"/>
      <c r="AB69" s="8"/>
    </row>
    <row r="70" spans="1:28" x14ac:dyDescent="0.2">
      <c r="A70" s="45"/>
      <c r="B70" s="45"/>
      <c r="C70" s="45"/>
      <c r="D70" s="45"/>
      <c r="E70" s="46"/>
      <c r="F70" s="6"/>
      <c r="G70" s="6"/>
      <c r="H70" s="6"/>
      <c r="I70" s="7"/>
      <c r="J70" s="7"/>
      <c r="K70" s="7"/>
      <c r="L70" s="7"/>
      <c r="M70" s="7"/>
      <c r="N70" s="7"/>
      <c r="O70" s="7"/>
      <c r="P70" s="7"/>
      <c r="Q70" s="50"/>
      <c r="R70" s="86"/>
      <c r="S70" s="87"/>
      <c r="T70" s="7"/>
      <c r="U70" s="7"/>
      <c r="V70" s="7"/>
      <c r="W70" s="7"/>
      <c r="X70" s="7"/>
      <c r="Y70" s="7"/>
      <c r="Z70" s="7"/>
      <c r="AA70" s="7"/>
      <c r="AB70" s="8"/>
    </row>
    <row r="71" spans="1:28" x14ac:dyDescent="0.2">
      <c r="A71" s="43" t="s">
        <v>107</v>
      </c>
      <c r="B71" s="43"/>
      <c r="C71" s="43"/>
      <c r="D71" s="43"/>
      <c r="E71" s="44"/>
      <c r="F71" s="6"/>
      <c r="G71" s="6"/>
      <c r="H71" s="6"/>
      <c r="I71" s="7"/>
      <c r="J71" s="22">
        <f t="shared" ref="J71:Q71" si="4">J24</f>
        <v>28067</v>
      </c>
      <c r="K71" s="22">
        <f t="shared" si="4"/>
        <v>104914</v>
      </c>
      <c r="L71" s="22">
        <f t="shared" si="4"/>
        <v>81815</v>
      </c>
      <c r="M71" s="22">
        <f t="shared" si="4"/>
        <v>0</v>
      </c>
      <c r="N71" s="22">
        <f t="shared" si="4"/>
        <v>37884</v>
      </c>
      <c r="O71" s="22">
        <f t="shared" si="4"/>
        <v>16000</v>
      </c>
      <c r="P71" s="22">
        <f t="shared" si="4"/>
        <v>17486</v>
      </c>
      <c r="Q71" s="69">
        <f t="shared" si="4"/>
        <v>19800</v>
      </c>
      <c r="R71" s="96"/>
      <c r="S71" s="97"/>
      <c r="T71" s="4">
        <f t="shared" ref="T71:AB71" si="5">T24</f>
        <v>0</v>
      </c>
      <c r="U71" s="4">
        <f t="shared" si="5"/>
        <v>3411</v>
      </c>
      <c r="V71" s="4">
        <f t="shared" si="5"/>
        <v>2363</v>
      </c>
      <c r="W71" s="4">
        <f t="shared" si="5"/>
        <v>0</v>
      </c>
      <c r="X71" s="4">
        <f t="shared" si="5"/>
        <v>4118</v>
      </c>
      <c r="Y71" s="4">
        <f t="shared" si="5"/>
        <v>5157</v>
      </c>
      <c r="Z71" s="4">
        <f t="shared" si="5"/>
        <v>0</v>
      </c>
      <c r="AA71" s="4">
        <f t="shared" si="5"/>
        <v>8488</v>
      </c>
      <c r="AB71" s="5">
        <f t="shared" si="5"/>
        <v>8488</v>
      </c>
    </row>
    <row r="72" spans="1:28" x14ac:dyDescent="0.2">
      <c r="A72" s="43" t="s">
        <v>108</v>
      </c>
      <c r="B72" s="43"/>
      <c r="C72" s="43"/>
      <c r="D72" s="43"/>
      <c r="E72" s="44"/>
      <c r="F72" s="6"/>
      <c r="G72" s="6"/>
      <c r="H72" s="6"/>
      <c r="I72" s="7"/>
      <c r="J72" s="22">
        <f t="shared" ref="J72:Q72" si="6">J42</f>
        <v>115658</v>
      </c>
      <c r="K72" s="22">
        <f t="shared" si="6"/>
        <v>123636</v>
      </c>
      <c r="L72" s="22">
        <f t="shared" si="6"/>
        <v>296781</v>
      </c>
      <c r="M72" s="22">
        <f t="shared" si="6"/>
        <v>10654</v>
      </c>
      <c r="N72" s="4">
        <f t="shared" si="6"/>
        <v>908</v>
      </c>
      <c r="O72" s="22">
        <f t="shared" si="6"/>
        <v>18570</v>
      </c>
      <c r="P72" s="22">
        <f t="shared" si="6"/>
        <v>20255</v>
      </c>
      <c r="Q72" s="69">
        <f t="shared" si="6"/>
        <v>43161</v>
      </c>
      <c r="R72" s="96"/>
      <c r="S72" s="97"/>
      <c r="T72" s="4">
        <f t="shared" ref="T72:AB72" si="7">T42</f>
        <v>4021</v>
      </c>
      <c r="U72" s="4">
        <f t="shared" si="7"/>
        <v>0</v>
      </c>
      <c r="V72" s="22">
        <f t="shared" si="7"/>
        <v>18518</v>
      </c>
      <c r="W72" s="22">
        <f t="shared" si="7"/>
        <v>12377</v>
      </c>
      <c r="X72" s="4">
        <f t="shared" si="7"/>
        <v>5539</v>
      </c>
      <c r="Y72" s="4">
        <f t="shared" si="7"/>
        <v>6470</v>
      </c>
      <c r="Z72" s="4">
        <f t="shared" si="7"/>
        <v>560</v>
      </c>
      <c r="AA72" s="22">
        <f t="shared" si="7"/>
        <v>29349</v>
      </c>
      <c r="AB72" s="25">
        <f t="shared" si="7"/>
        <v>29349</v>
      </c>
    </row>
    <row r="73" spans="1:28" x14ac:dyDescent="0.2">
      <c r="A73" s="45"/>
      <c r="B73" s="45"/>
      <c r="C73" s="45"/>
      <c r="D73" s="45"/>
      <c r="E73" s="46"/>
      <c r="F73" s="6"/>
      <c r="G73" s="6"/>
      <c r="H73" s="6"/>
      <c r="I73" s="7"/>
      <c r="J73" s="4"/>
      <c r="K73" s="4"/>
      <c r="L73" s="4"/>
      <c r="M73" s="4"/>
      <c r="N73" s="4"/>
      <c r="O73" s="4"/>
      <c r="P73" s="4"/>
      <c r="Q73" s="90"/>
      <c r="R73" s="43"/>
      <c r="S73" s="44"/>
      <c r="T73" s="4"/>
      <c r="U73" s="4"/>
      <c r="V73" s="4"/>
      <c r="W73" s="4"/>
      <c r="X73" s="4"/>
      <c r="Y73" s="4"/>
      <c r="Z73" s="4"/>
      <c r="AA73" s="4"/>
      <c r="AB73" s="5"/>
    </row>
    <row r="74" spans="1:28" x14ac:dyDescent="0.2">
      <c r="A74" s="37" t="s">
        <v>112</v>
      </c>
      <c r="B74" s="38"/>
      <c r="C74" s="38"/>
      <c r="D74" s="38"/>
      <c r="E74" s="38"/>
      <c r="F74" s="38"/>
      <c r="G74" s="38"/>
      <c r="H74" s="38"/>
      <c r="I74" s="38"/>
      <c r="J74" s="60">
        <f>SUM(J71:J72)</f>
        <v>143725</v>
      </c>
      <c r="K74" s="60">
        <f t="shared" ref="K74:O74" si="8">SUM(K71:K72)</f>
        <v>228550</v>
      </c>
      <c r="L74" s="60">
        <f t="shared" si="8"/>
        <v>378596</v>
      </c>
      <c r="M74" s="60">
        <f t="shared" si="8"/>
        <v>10654</v>
      </c>
      <c r="N74" s="60">
        <f t="shared" si="8"/>
        <v>38792</v>
      </c>
      <c r="O74" s="60">
        <f t="shared" si="8"/>
        <v>34570</v>
      </c>
      <c r="P74" s="60">
        <f>SUM(P71:P72)</f>
        <v>37741</v>
      </c>
      <c r="Q74" s="52">
        <f>SUM(Q71:S72)</f>
        <v>62961</v>
      </c>
      <c r="R74" s="91"/>
      <c r="S74" s="92"/>
      <c r="T74" s="88">
        <f>SUM(T71:T72)</f>
        <v>4021</v>
      </c>
      <c r="U74" s="88">
        <f t="shared" ref="U74:AB74" si="9">SUM(U71:U72)</f>
        <v>3411</v>
      </c>
      <c r="V74" s="60">
        <f t="shared" si="9"/>
        <v>20881</v>
      </c>
      <c r="W74" s="60">
        <f t="shared" si="9"/>
        <v>12377</v>
      </c>
      <c r="X74" s="88">
        <f t="shared" si="9"/>
        <v>9657</v>
      </c>
      <c r="Y74" s="60">
        <f t="shared" si="9"/>
        <v>11627</v>
      </c>
      <c r="Z74" s="88">
        <f t="shared" si="9"/>
        <v>560</v>
      </c>
      <c r="AA74" s="60">
        <f t="shared" si="9"/>
        <v>37837</v>
      </c>
      <c r="AB74" s="69">
        <f t="shared" si="9"/>
        <v>37837</v>
      </c>
    </row>
    <row r="75" spans="1:28" x14ac:dyDescent="0.2">
      <c r="A75" s="58"/>
      <c r="B75" s="59"/>
      <c r="C75" s="59"/>
      <c r="D75" s="59"/>
      <c r="E75" s="59"/>
      <c r="F75" s="59"/>
      <c r="G75" s="59"/>
      <c r="H75" s="59"/>
      <c r="I75" s="59"/>
      <c r="J75" s="89"/>
      <c r="K75" s="89"/>
      <c r="L75" s="89"/>
      <c r="M75" s="89"/>
      <c r="N75" s="89"/>
      <c r="O75" s="89"/>
      <c r="P75" s="89"/>
      <c r="Q75" s="93"/>
      <c r="R75" s="94"/>
      <c r="S75" s="95"/>
      <c r="T75" s="89"/>
      <c r="U75" s="89"/>
      <c r="V75" s="61"/>
      <c r="W75" s="61"/>
      <c r="X75" s="89"/>
      <c r="Y75" s="61"/>
      <c r="Z75" s="89"/>
      <c r="AA75" s="61"/>
      <c r="AB75" s="52"/>
    </row>
  </sheetData>
  <mergeCells count="152">
    <mergeCell ref="Q67:S67"/>
    <mergeCell ref="Q68:S68"/>
    <mergeCell ref="Q69:S69"/>
    <mergeCell ref="Q70:S70"/>
    <mergeCell ref="Q71:S71"/>
    <mergeCell ref="Q72:S72"/>
    <mergeCell ref="Q62:S62"/>
    <mergeCell ref="Q63:S63"/>
    <mergeCell ref="Q64:S64"/>
    <mergeCell ref="Q65:S65"/>
    <mergeCell ref="Q66:S66"/>
    <mergeCell ref="Q19:S19"/>
    <mergeCell ref="Q20:S20"/>
    <mergeCell ref="A26:E26"/>
    <mergeCell ref="A27:E27"/>
    <mergeCell ref="A28:E28"/>
    <mergeCell ref="A29:E29"/>
    <mergeCell ref="Q26:S26"/>
    <mergeCell ref="Q21:S21"/>
    <mergeCell ref="Q22:S22"/>
    <mergeCell ref="Q58:S58"/>
    <mergeCell ref="Q59:S59"/>
    <mergeCell ref="Q60:S60"/>
    <mergeCell ref="Q61:S61"/>
    <mergeCell ref="Q50:S50"/>
    <mergeCell ref="Q51:S51"/>
    <mergeCell ref="Q52:S52"/>
    <mergeCell ref="Q53:S53"/>
    <mergeCell ref="Q54:S54"/>
    <mergeCell ref="Q55:S55"/>
    <mergeCell ref="Q56:S56"/>
    <mergeCell ref="Q57:S57"/>
    <mergeCell ref="Q47:S47"/>
    <mergeCell ref="Q48:S48"/>
    <mergeCell ref="Q49:S49"/>
    <mergeCell ref="A24:E24"/>
    <mergeCell ref="Q23:S23"/>
    <mergeCell ref="Q24:S24"/>
    <mergeCell ref="Q41:S41"/>
    <mergeCell ref="Q42:S42"/>
    <mergeCell ref="Q43:S43"/>
    <mergeCell ref="Q27:S27"/>
    <mergeCell ref="Q28:S28"/>
    <mergeCell ref="Q29:S29"/>
    <mergeCell ref="Q35:S35"/>
    <mergeCell ref="Q36:S36"/>
    <mergeCell ref="Q37:S37"/>
    <mergeCell ref="Q38:S38"/>
    <mergeCell ref="Q39:S39"/>
    <mergeCell ref="Q40:S40"/>
    <mergeCell ref="A35:E35"/>
    <mergeCell ref="A37:E37"/>
    <mergeCell ref="A38:E38"/>
    <mergeCell ref="Q25:S25"/>
    <mergeCell ref="Q30:S30"/>
    <mergeCell ref="A30:E30"/>
    <mergeCell ref="Q34:S34"/>
    <mergeCell ref="AB74:AB75"/>
    <mergeCell ref="A25:E25"/>
    <mergeCell ref="A32:E32"/>
    <mergeCell ref="A36:E36"/>
    <mergeCell ref="A39:E39"/>
    <mergeCell ref="A43:E43"/>
    <mergeCell ref="A46:E46"/>
    <mergeCell ref="A50:E50"/>
    <mergeCell ref="A53:E53"/>
    <mergeCell ref="A57:E57"/>
    <mergeCell ref="V74:V75"/>
    <mergeCell ref="W74:W75"/>
    <mergeCell ref="X74:X75"/>
    <mergeCell ref="Y74:Y75"/>
    <mergeCell ref="Z74:Z75"/>
    <mergeCell ref="AA74:AA75"/>
    <mergeCell ref="N74:N75"/>
    <mergeCell ref="O74:O75"/>
    <mergeCell ref="P74:P75"/>
    <mergeCell ref="Q74:S75"/>
    <mergeCell ref="Q44:S44"/>
    <mergeCell ref="Q45:S45"/>
    <mergeCell ref="Q46:S46"/>
    <mergeCell ref="T74:T75"/>
    <mergeCell ref="U74:U75"/>
    <mergeCell ref="A73:E73"/>
    <mergeCell ref="A74:I75"/>
    <mergeCell ref="J74:J75"/>
    <mergeCell ref="K74:K75"/>
    <mergeCell ref="L74:L75"/>
    <mergeCell ref="M74:M75"/>
    <mergeCell ref="Q73:S73"/>
    <mergeCell ref="A67:E67"/>
    <mergeCell ref="A68:E68"/>
    <mergeCell ref="A69:E69"/>
    <mergeCell ref="A70:E70"/>
    <mergeCell ref="A71:E71"/>
    <mergeCell ref="A72:E72"/>
    <mergeCell ref="A65:E65"/>
    <mergeCell ref="A64:E64"/>
    <mergeCell ref="A66:E66"/>
    <mergeCell ref="A59:E59"/>
    <mergeCell ref="A61:E61"/>
    <mergeCell ref="A62:E62"/>
    <mergeCell ref="A63:E63"/>
    <mergeCell ref="A60:E60"/>
    <mergeCell ref="A54:E54"/>
    <mergeCell ref="A55:E55"/>
    <mergeCell ref="A56:E56"/>
    <mergeCell ref="A58:E58"/>
    <mergeCell ref="A51:E51"/>
    <mergeCell ref="A52:E52"/>
    <mergeCell ref="A45:E45"/>
    <mergeCell ref="A47:E47"/>
    <mergeCell ref="A48:E48"/>
    <mergeCell ref="A49:E49"/>
    <mergeCell ref="A40:E40"/>
    <mergeCell ref="A41:E41"/>
    <mergeCell ref="A42:E42"/>
    <mergeCell ref="A44:E44"/>
    <mergeCell ref="A31:E31"/>
    <mergeCell ref="A33:E33"/>
    <mergeCell ref="A34:E34"/>
    <mergeCell ref="A19:E19"/>
    <mergeCell ref="A20:E20"/>
    <mergeCell ref="A21:E21"/>
    <mergeCell ref="A22:E22"/>
    <mergeCell ref="A23:E23"/>
    <mergeCell ref="W2:W16"/>
    <mergeCell ref="K2:K17"/>
    <mergeCell ref="L2:L17"/>
    <mergeCell ref="M2:M17"/>
    <mergeCell ref="N2:N17"/>
    <mergeCell ref="O2:O16"/>
    <mergeCell ref="P2:P16"/>
    <mergeCell ref="A1:E18"/>
    <mergeCell ref="F1:F18"/>
    <mergeCell ref="G1:G18"/>
    <mergeCell ref="H1:H18"/>
    <mergeCell ref="I1:I18"/>
    <mergeCell ref="J2:J17"/>
    <mergeCell ref="Q31:S31"/>
    <mergeCell ref="Q32:S32"/>
    <mergeCell ref="Q33:S33"/>
    <mergeCell ref="X2:X16"/>
    <mergeCell ref="Y2:Y16"/>
    <mergeCell ref="Z2:Z16"/>
    <mergeCell ref="AA2:AA17"/>
    <mergeCell ref="AB2:AB17"/>
    <mergeCell ref="Q2:Q16"/>
    <mergeCell ref="R2:R16"/>
    <mergeCell ref="S2:S16"/>
    <mergeCell ref="T2:T16"/>
    <mergeCell ref="U2:U16"/>
    <mergeCell ref="V2:V17"/>
  </mergeCells>
  <phoneticPr fontId="5" type="noConversion"/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8D76EA-1481-42E3-A7C3-3F4D9EB8697B}">
  <dimension ref="A1:AB75"/>
  <sheetViews>
    <sheetView showZeros="0" topLeftCell="A37" zoomScale="85" zoomScaleNormal="85" workbookViewId="0">
      <selection activeCell="A74" sqref="A74:I75"/>
    </sheetView>
  </sheetViews>
  <sheetFormatPr defaultRowHeight="12.75" x14ac:dyDescent="0.2"/>
  <cols>
    <col min="1" max="2" width="10.7109375" style="1" customWidth="1"/>
    <col min="3" max="3" width="3.7109375" style="1" customWidth="1"/>
    <col min="4" max="5" width="10.7109375" style="1" customWidth="1"/>
    <col min="6" max="9" width="9.7109375" style="1" customWidth="1"/>
    <col min="10" max="28" width="9.42578125" style="1" customWidth="1"/>
    <col min="29" max="36" width="9.7109375" style="1" customWidth="1"/>
    <col min="37" max="16384" width="9.140625" style="1"/>
  </cols>
  <sheetData>
    <row r="1" spans="1:28" ht="12.75" customHeight="1" x14ac:dyDescent="0.2">
      <c r="A1" s="35" t="s">
        <v>48</v>
      </c>
      <c r="B1" s="36"/>
      <c r="C1" s="36"/>
      <c r="D1" s="36"/>
      <c r="E1" s="36"/>
      <c r="F1" s="39" t="s">
        <v>29</v>
      </c>
      <c r="G1" s="39" t="s">
        <v>30</v>
      </c>
      <c r="H1" s="41" t="s">
        <v>36</v>
      </c>
      <c r="I1" s="39" t="s">
        <v>31</v>
      </c>
      <c r="J1" s="2">
        <v>202</v>
      </c>
      <c r="K1" s="2">
        <v>206</v>
      </c>
      <c r="L1" s="2">
        <v>254</v>
      </c>
      <c r="M1" s="2">
        <v>254</v>
      </c>
      <c r="N1" s="2">
        <v>255</v>
      </c>
      <c r="O1" s="2">
        <v>302</v>
      </c>
      <c r="P1" s="2">
        <v>304</v>
      </c>
      <c r="Q1" s="2">
        <v>407</v>
      </c>
      <c r="R1" s="2">
        <v>407</v>
      </c>
      <c r="S1" s="2">
        <v>407</v>
      </c>
      <c r="T1" s="2">
        <v>408</v>
      </c>
      <c r="U1" s="2">
        <v>441</v>
      </c>
      <c r="V1" s="2">
        <v>442</v>
      </c>
      <c r="W1" s="2">
        <v>442</v>
      </c>
      <c r="X1" s="2">
        <v>442</v>
      </c>
      <c r="Y1" s="2">
        <v>442</v>
      </c>
      <c r="Z1" s="2">
        <v>617</v>
      </c>
      <c r="AA1" s="2">
        <v>874</v>
      </c>
      <c r="AB1" s="3">
        <v>874</v>
      </c>
    </row>
    <row r="2" spans="1:28" ht="12.75" customHeight="1" x14ac:dyDescent="0.2">
      <c r="A2" s="37"/>
      <c r="B2" s="38"/>
      <c r="C2" s="38"/>
      <c r="D2" s="38"/>
      <c r="E2" s="38"/>
      <c r="F2" s="40"/>
      <c r="G2" s="40"/>
      <c r="H2" s="41"/>
      <c r="I2" s="40"/>
      <c r="J2" s="29" t="s">
        <v>0</v>
      </c>
      <c r="K2" s="28" t="s">
        <v>2</v>
      </c>
      <c r="L2" s="28" t="s">
        <v>3</v>
      </c>
      <c r="M2" s="28" t="s">
        <v>6</v>
      </c>
      <c r="N2" s="29" t="s">
        <v>4</v>
      </c>
      <c r="O2" s="28" t="s">
        <v>22</v>
      </c>
      <c r="P2" s="29" t="s">
        <v>8</v>
      </c>
      <c r="Q2" s="32" t="s">
        <v>12</v>
      </c>
      <c r="R2" s="28" t="s">
        <v>11</v>
      </c>
      <c r="S2" s="28" t="s">
        <v>11</v>
      </c>
      <c r="T2" s="29" t="s">
        <v>17</v>
      </c>
      <c r="U2" s="28" t="s">
        <v>19</v>
      </c>
      <c r="V2" s="29" t="s">
        <v>21</v>
      </c>
      <c r="W2" s="28" t="s">
        <v>109</v>
      </c>
      <c r="X2" s="28" t="s">
        <v>23</v>
      </c>
      <c r="Y2" s="28" t="s">
        <v>110</v>
      </c>
      <c r="Z2" s="28" t="s">
        <v>25</v>
      </c>
      <c r="AA2" s="28" t="s">
        <v>27</v>
      </c>
      <c r="AB2" s="30" t="s">
        <v>28</v>
      </c>
    </row>
    <row r="3" spans="1:28" ht="12.75" customHeight="1" x14ac:dyDescent="0.2">
      <c r="A3" s="37"/>
      <c r="B3" s="38"/>
      <c r="C3" s="38"/>
      <c r="D3" s="38"/>
      <c r="E3" s="38"/>
      <c r="F3" s="40"/>
      <c r="G3" s="40"/>
      <c r="H3" s="41"/>
      <c r="I3" s="40"/>
      <c r="J3" s="29"/>
      <c r="K3" s="29"/>
      <c r="L3" s="29"/>
      <c r="M3" s="29"/>
      <c r="N3" s="29"/>
      <c r="O3" s="29"/>
      <c r="P3" s="29"/>
      <c r="Q3" s="33"/>
      <c r="R3" s="29"/>
      <c r="S3" s="29"/>
      <c r="T3" s="29"/>
      <c r="U3" s="29"/>
      <c r="V3" s="29"/>
      <c r="W3" s="29"/>
      <c r="X3" s="29"/>
      <c r="Y3" s="29"/>
      <c r="Z3" s="29"/>
      <c r="AA3" s="29"/>
      <c r="AB3" s="31"/>
    </row>
    <row r="4" spans="1:28" ht="12.75" customHeight="1" x14ac:dyDescent="0.2">
      <c r="A4" s="37"/>
      <c r="B4" s="38"/>
      <c r="C4" s="38"/>
      <c r="D4" s="38"/>
      <c r="E4" s="38"/>
      <c r="F4" s="40"/>
      <c r="G4" s="40"/>
      <c r="H4" s="41"/>
      <c r="I4" s="40"/>
      <c r="J4" s="29"/>
      <c r="K4" s="29"/>
      <c r="L4" s="29"/>
      <c r="M4" s="29"/>
      <c r="N4" s="29"/>
      <c r="O4" s="29"/>
      <c r="P4" s="29"/>
      <c r="Q4" s="33"/>
      <c r="R4" s="29"/>
      <c r="S4" s="29"/>
      <c r="T4" s="29"/>
      <c r="U4" s="29"/>
      <c r="V4" s="29"/>
      <c r="W4" s="29"/>
      <c r="X4" s="29"/>
      <c r="Y4" s="29"/>
      <c r="Z4" s="29"/>
      <c r="AA4" s="29"/>
      <c r="AB4" s="31"/>
    </row>
    <row r="5" spans="1:28" ht="12.75" customHeight="1" x14ac:dyDescent="0.2">
      <c r="A5" s="37"/>
      <c r="B5" s="38"/>
      <c r="C5" s="38"/>
      <c r="D5" s="38"/>
      <c r="E5" s="38"/>
      <c r="F5" s="40"/>
      <c r="G5" s="40"/>
      <c r="H5" s="41"/>
      <c r="I5" s="40"/>
      <c r="J5" s="29"/>
      <c r="K5" s="29"/>
      <c r="L5" s="29"/>
      <c r="M5" s="29"/>
      <c r="N5" s="29"/>
      <c r="O5" s="29"/>
      <c r="P5" s="29"/>
      <c r="Q5" s="33"/>
      <c r="R5" s="29"/>
      <c r="S5" s="29"/>
      <c r="T5" s="29"/>
      <c r="U5" s="29"/>
      <c r="V5" s="29"/>
      <c r="W5" s="29"/>
      <c r="X5" s="29"/>
      <c r="Y5" s="29"/>
      <c r="Z5" s="29"/>
      <c r="AA5" s="29"/>
      <c r="AB5" s="31"/>
    </row>
    <row r="6" spans="1:28" ht="12.75" customHeight="1" x14ac:dyDescent="0.2">
      <c r="A6" s="37"/>
      <c r="B6" s="38"/>
      <c r="C6" s="38"/>
      <c r="D6" s="38"/>
      <c r="E6" s="38"/>
      <c r="F6" s="40"/>
      <c r="G6" s="40"/>
      <c r="H6" s="41"/>
      <c r="I6" s="40"/>
      <c r="J6" s="29"/>
      <c r="K6" s="29"/>
      <c r="L6" s="29"/>
      <c r="M6" s="29"/>
      <c r="N6" s="29"/>
      <c r="O6" s="29"/>
      <c r="P6" s="29"/>
      <c r="Q6" s="33"/>
      <c r="R6" s="29"/>
      <c r="S6" s="29"/>
      <c r="T6" s="29"/>
      <c r="U6" s="29"/>
      <c r="V6" s="29"/>
      <c r="W6" s="29"/>
      <c r="X6" s="29"/>
      <c r="Y6" s="29"/>
      <c r="Z6" s="29"/>
      <c r="AA6" s="29"/>
      <c r="AB6" s="31"/>
    </row>
    <row r="7" spans="1:28" ht="12.75" customHeight="1" x14ac:dyDescent="0.2">
      <c r="A7" s="37"/>
      <c r="B7" s="38"/>
      <c r="C7" s="38"/>
      <c r="D7" s="38"/>
      <c r="E7" s="38"/>
      <c r="F7" s="40"/>
      <c r="G7" s="40"/>
      <c r="H7" s="41"/>
      <c r="I7" s="40"/>
      <c r="J7" s="29"/>
      <c r="K7" s="29"/>
      <c r="L7" s="29"/>
      <c r="M7" s="29"/>
      <c r="N7" s="29"/>
      <c r="O7" s="29"/>
      <c r="P7" s="29"/>
      <c r="Q7" s="33"/>
      <c r="R7" s="29"/>
      <c r="S7" s="29"/>
      <c r="T7" s="29"/>
      <c r="U7" s="29"/>
      <c r="V7" s="29"/>
      <c r="W7" s="29"/>
      <c r="X7" s="29"/>
      <c r="Y7" s="29"/>
      <c r="Z7" s="29"/>
      <c r="AA7" s="29"/>
      <c r="AB7" s="31"/>
    </row>
    <row r="8" spans="1:28" ht="12.75" customHeight="1" x14ac:dyDescent="0.2">
      <c r="A8" s="37"/>
      <c r="B8" s="38"/>
      <c r="C8" s="38"/>
      <c r="D8" s="38"/>
      <c r="E8" s="38"/>
      <c r="F8" s="40"/>
      <c r="G8" s="40"/>
      <c r="H8" s="41"/>
      <c r="I8" s="40"/>
      <c r="J8" s="29"/>
      <c r="K8" s="29"/>
      <c r="L8" s="29"/>
      <c r="M8" s="29"/>
      <c r="N8" s="29"/>
      <c r="O8" s="29"/>
      <c r="P8" s="29"/>
      <c r="Q8" s="33"/>
      <c r="R8" s="29"/>
      <c r="S8" s="29"/>
      <c r="T8" s="29"/>
      <c r="U8" s="29"/>
      <c r="V8" s="29"/>
      <c r="W8" s="29"/>
      <c r="X8" s="29"/>
      <c r="Y8" s="29"/>
      <c r="Z8" s="29"/>
      <c r="AA8" s="29"/>
      <c r="AB8" s="31"/>
    </row>
    <row r="9" spans="1:28" ht="12.75" customHeight="1" x14ac:dyDescent="0.2">
      <c r="A9" s="37"/>
      <c r="B9" s="38"/>
      <c r="C9" s="38"/>
      <c r="D9" s="38"/>
      <c r="E9" s="38"/>
      <c r="F9" s="40"/>
      <c r="G9" s="40"/>
      <c r="H9" s="41"/>
      <c r="I9" s="40"/>
      <c r="J9" s="29"/>
      <c r="K9" s="29"/>
      <c r="L9" s="29"/>
      <c r="M9" s="29"/>
      <c r="N9" s="29"/>
      <c r="O9" s="29"/>
      <c r="P9" s="29"/>
      <c r="Q9" s="33"/>
      <c r="R9" s="29"/>
      <c r="S9" s="29"/>
      <c r="T9" s="29"/>
      <c r="U9" s="29"/>
      <c r="V9" s="29"/>
      <c r="W9" s="29"/>
      <c r="X9" s="29"/>
      <c r="Y9" s="29"/>
      <c r="Z9" s="29"/>
      <c r="AA9" s="29"/>
      <c r="AB9" s="31"/>
    </row>
    <row r="10" spans="1:28" ht="12.75" customHeight="1" x14ac:dyDescent="0.2">
      <c r="A10" s="37"/>
      <c r="B10" s="38"/>
      <c r="C10" s="38"/>
      <c r="D10" s="38"/>
      <c r="E10" s="38"/>
      <c r="F10" s="40"/>
      <c r="G10" s="40"/>
      <c r="H10" s="41"/>
      <c r="I10" s="40"/>
      <c r="J10" s="29"/>
      <c r="K10" s="29"/>
      <c r="L10" s="29"/>
      <c r="M10" s="29"/>
      <c r="N10" s="29"/>
      <c r="O10" s="29"/>
      <c r="P10" s="29"/>
      <c r="Q10" s="33"/>
      <c r="R10" s="29"/>
      <c r="S10" s="29"/>
      <c r="T10" s="29"/>
      <c r="U10" s="29"/>
      <c r="V10" s="29"/>
      <c r="W10" s="29"/>
      <c r="X10" s="29"/>
      <c r="Y10" s="29"/>
      <c r="Z10" s="29"/>
      <c r="AA10" s="29"/>
      <c r="AB10" s="31"/>
    </row>
    <row r="11" spans="1:28" ht="12.75" customHeight="1" x14ac:dyDescent="0.2">
      <c r="A11" s="37"/>
      <c r="B11" s="38"/>
      <c r="C11" s="38"/>
      <c r="D11" s="38"/>
      <c r="E11" s="38"/>
      <c r="F11" s="40"/>
      <c r="G11" s="40"/>
      <c r="H11" s="41"/>
      <c r="I11" s="40"/>
      <c r="J11" s="29"/>
      <c r="K11" s="29"/>
      <c r="L11" s="29"/>
      <c r="M11" s="29"/>
      <c r="N11" s="29"/>
      <c r="O11" s="29"/>
      <c r="P11" s="29"/>
      <c r="Q11" s="33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31"/>
    </row>
    <row r="12" spans="1:28" ht="12.75" customHeight="1" x14ac:dyDescent="0.2">
      <c r="A12" s="37"/>
      <c r="B12" s="38"/>
      <c r="C12" s="38"/>
      <c r="D12" s="38"/>
      <c r="E12" s="38"/>
      <c r="F12" s="40"/>
      <c r="G12" s="40"/>
      <c r="H12" s="41"/>
      <c r="I12" s="40"/>
      <c r="J12" s="29"/>
      <c r="K12" s="29"/>
      <c r="L12" s="29"/>
      <c r="M12" s="29"/>
      <c r="N12" s="29"/>
      <c r="O12" s="29"/>
      <c r="P12" s="29"/>
      <c r="Q12" s="33"/>
      <c r="R12" s="29"/>
      <c r="S12" s="29"/>
      <c r="T12" s="29"/>
      <c r="U12" s="29"/>
      <c r="V12" s="29"/>
      <c r="W12" s="29"/>
      <c r="X12" s="29"/>
      <c r="Y12" s="29"/>
      <c r="Z12" s="29"/>
      <c r="AA12" s="29"/>
      <c r="AB12" s="31"/>
    </row>
    <row r="13" spans="1:28" ht="12.75" customHeight="1" x14ac:dyDescent="0.2">
      <c r="A13" s="37"/>
      <c r="B13" s="38"/>
      <c r="C13" s="38"/>
      <c r="D13" s="38"/>
      <c r="E13" s="38"/>
      <c r="F13" s="40"/>
      <c r="G13" s="40"/>
      <c r="H13" s="41"/>
      <c r="I13" s="40"/>
      <c r="J13" s="29"/>
      <c r="K13" s="29"/>
      <c r="L13" s="29"/>
      <c r="M13" s="29"/>
      <c r="N13" s="29"/>
      <c r="O13" s="29"/>
      <c r="P13" s="29"/>
      <c r="Q13" s="33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31"/>
    </row>
    <row r="14" spans="1:28" ht="12.75" customHeight="1" x14ac:dyDescent="0.2">
      <c r="A14" s="37"/>
      <c r="B14" s="38"/>
      <c r="C14" s="38"/>
      <c r="D14" s="38"/>
      <c r="E14" s="38"/>
      <c r="F14" s="40"/>
      <c r="G14" s="40"/>
      <c r="H14" s="41"/>
      <c r="I14" s="40"/>
      <c r="J14" s="29"/>
      <c r="K14" s="29"/>
      <c r="L14" s="29"/>
      <c r="M14" s="29"/>
      <c r="N14" s="29"/>
      <c r="O14" s="29"/>
      <c r="P14" s="29"/>
      <c r="Q14" s="33"/>
      <c r="R14" s="29"/>
      <c r="S14" s="29"/>
      <c r="T14" s="29"/>
      <c r="U14" s="29"/>
      <c r="V14" s="29"/>
      <c r="W14" s="29"/>
      <c r="X14" s="29"/>
      <c r="Y14" s="29"/>
      <c r="Z14" s="29"/>
      <c r="AA14" s="29"/>
      <c r="AB14" s="31"/>
    </row>
    <row r="15" spans="1:28" ht="12.75" customHeight="1" x14ac:dyDescent="0.2">
      <c r="A15" s="37"/>
      <c r="B15" s="38"/>
      <c r="C15" s="38"/>
      <c r="D15" s="38"/>
      <c r="E15" s="38"/>
      <c r="F15" s="40"/>
      <c r="G15" s="40"/>
      <c r="H15" s="41"/>
      <c r="I15" s="40"/>
      <c r="J15" s="29"/>
      <c r="K15" s="29"/>
      <c r="L15" s="29"/>
      <c r="M15" s="29"/>
      <c r="N15" s="29"/>
      <c r="O15" s="29"/>
      <c r="P15" s="29"/>
      <c r="Q15" s="33"/>
      <c r="R15" s="29"/>
      <c r="S15" s="29"/>
      <c r="T15" s="29"/>
      <c r="U15" s="29"/>
      <c r="V15" s="29"/>
      <c r="W15" s="29"/>
      <c r="X15" s="29"/>
      <c r="Y15" s="29"/>
      <c r="Z15" s="29"/>
      <c r="AA15" s="29"/>
      <c r="AB15" s="31"/>
    </row>
    <row r="16" spans="1:28" ht="12.75" customHeight="1" x14ac:dyDescent="0.2">
      <c r="A16" s="37"/>
      <c r="B16" s="38"/>
      <c r="C16" s="38"/>
      <c r="D16" s="38"/>
      <c r="E16" s="38"/>
      <c r="F16" s="40"/>
      <c r="G16" s="40"/>
      <c r="H16" s="41"/>
      <c r="I16" s="40"/>
      <c r="J16" s="29"/>
      <c r="K16" s="29"/>
      <c r="L16" s="29"/>
      <c r="M16" s="29"/>
      <c r="N16" s="29"/>
      <c r="O16" s="29"/>
      <c r="P16" s="29"/>
      <c r="Q16" s="34"/>
      <c r="R16" s="29"/>
      <c r="S16" s="29"/>
      <c r="T16" s="29"/>
      <c r="U16" s="29"/>
      <c r="V16" s="29"/>
      <c r="W16" s="29"/>
      <c r="X16" s="29"/>
      <c r="Y16" s="29"/>
      <c r="Z16" s="29"/>
      <c r="AA16" s="29"/>
      <c r="AB16" s="31"/>
    </row>
    <row r="17" spans="1:28" ht="12.75" customHeight="1" x14ac:dyDescent="0.2">
      <c r="A17" s="37"/>
      <c r="B17" s="38"/>
      <c r="C17" s="38"/>
      <c r="D17" s="38"/>
      <c r="E17" s="38"/>
      <c r="F17" s="40"/>
      <c r="G17" s="40"/>
      <c r="H17" s="41"/>
      <c r="I17" s="40"/>
      <c r="J17" s="29"/>
      <c r="K17" s="29"/>
      <c r="L17" s="29"/>
      <c r="M17" s="29"/>
      <c r="N17" s="29"/>
      <c r="O17" s="4" t="s">
        <v>10</v>
      </c>
      <c r="P17" s="4" t="s">
        <v>9</v>
      </c>
      <c r="Q17" s="4" t="s">
        <v>13</v>
      </c>
      <c r="R17" s="4" t="s">
        <v>15</v>
      </c>
      <c r="S17" s="4" t="s">
        <v>16</v>
      </c>
      <c r="T17" s="4" t="s">
        <v>18</v>
      </c>
      <c r="U17" s="4" t="s">
        <v>20</v>
      </c>
      <c r="V17" s="29"/>
      <c r="W17" s="4" t="s">
        <v>20</v>
      </c>
      <c r="X17" s="4" t="s">
        <v>20</v>
      </c>
      <c r="Y17" s="4" t="s">
        <v>24</v>
      </c>
      <c r="Z17" s="4" t="s">
        <v>26</v>
      </c>
      <c r="AA17" s="29"/>
      <c r="AB17" s="31"/>
    </row>
    <row r="18" spans="1:28" ht="12.75" customHeight="1" x14ac:dyDescent="0.2">
      <c r="A18" s="37"/>
      <c r="B18" s="38"/>
      <c r="C18" s="38"/>
      <c r="D18" s="38"/>
      <c r="E18" s="38"/>
      <c r="F18" s="40"/>
      <c r="G18" s="40"/>
      <c r="H18" s="39"/>
      <c r="I18" s="40"/>
      <c r="J18" s="4" t="s">
        <v>1</v>
      </c>
      <c r="K18" s="4" t="s">
        <v>1</v>
      </c>
      <c r="L18" s="4" t="s">
        <v>1</v>
      </c>
      <c r="M18" s="4" t="s">
        <v>1</v>
      </c>
      <c r="N18" s="4" t="s">
        <v>5</v>
      </c>
      <c r="O18" s="4" t="s">
        <v>7</v>
      </c>
      <c r="P18" s="4" t="s">
        <v>7</v>
      </c>
      <c r="Q18" s="4" t="s">
        <v>14</v>
      </c>
      <c r="R18" s="4" t="s">
        <v>14</v>
      </c>
      <c r="S18" s="4" t="s">
        <v>14</v>
      </c>
      <c r="T18" s="4" t="s">
        <v>14</v>
      </c>
      <c r="U18" s="4" t="s">
        <v>7</v>
      </c>
      <c r="V18" s="4" t="s">
        <v>7</v>
      </c>
      <c r="W18" s="4" t="s">
        <v>7</v>
      </c>
      <c r="X18" s="4" t="s">
        <v>7</v>
      </c>
      <c r="Y18" s="4" t="s">
        <v>7</v>
      </c>
      <c r="Z18" s="4" t="s">
        <v>7</v>
      </c>
      <c r="AA18" s="4" t="s">
        <v>5</v>
      </c>
      <c r="AB18" s="5" t="s">
        <v>5</v>
      </c>
    </row>
    <row r="19" spans="1:28" x14ac:dyDescent="0.2">
      <c r="A19" s="45" t="s">
        <v>90</v>
      </c>
      <c r="B19" s="45"/>
      <c r="C19" s="45"/>
      <c r="D19" s="45"/>
      <c r="E19" s="46"/>
      <c r="F19" s="6"/>
      <c r="G19" s="6"/>
      <c r="H19" s="6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8"/>
    </row>
    <row r="20" spans="1:28" x14ac:dyDescent="0.2">
      <c r="A20" s="43"/>
      <c r="B20" s="43"/>
      <c r="C20" s="43"/>
      <c r="D20" s="43"/>
      <c r="E20" s="44"/>
      <c r="F20" s="6"/>
      <c r="G20" s="6"/>
      <c r="H20" s="6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8"/>
    </row>
    <row r="21" spans="1:28" x14ac:dyDescent="0.2">
      <c r="A21" s="43" t="s">
        <v>45</v>
      </c>
      <c r="B21" s="43"/>
      <c r="C21" s="43"/>
      <c r="D21" s="43"/>
      <c r="E21" s="44"/>
      <c r="F21" s="6"/>
      <c r="G21" s="6"/>
      <c r="H21" s="6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8"/>
    </row>
    <row r="22" spans="1:28" x14ac:dyDescent="0.2">
      <c r="A22" s="46">
        <v>63965</v>
      </c>
      <c r="B22" s="42"/>
      <c r="C22" s="4" t="s">
        <v>32</v>
      </c>
      <c r="D22" s="42">
        <v>65375</v>
      </c>
      <c r="E22" s="42"/>
      <c r="F22" s="6" t="s">
        <v>40</v>
      </c>
      <c r="G22" s="6">
        <f>D22-A22</f>
        <v>1410</v>
      </c>
      <c r="H22" s="6">
        <v>0.5</v>
      </c>
      <c r="I22" s="7">
        <f>ROUNDUP(((H22*G22)/9),1)</f>
        <v>78.399999999999991</v>
      </c>
      <c r="J22" s="7"/>
      <c r="K22" s="7"/>
      <c r="L22" s="7"/>
      <c r="M22" s="7"/>
      <c r="N22" s="7"/>
      <c r="O22" s="7">
        <f>ROUNDUP((I22*(5.5/36)),1)</f>
        <v>12</v>
      </c>
      <c r="P22" s="7"/>
      <c r="Q22" s="7"/>
      <c r="R22" s="7">
        <f>ROUNDUP((2*I22*0.06),1)</f>
        <v>9.5</v>
      </c>
      <c r="S22" s="7">
        <f>ROUNDUP((I22*0.09),1)</f>
        <v>7.1</v>
      </c>
      <c r="T22" s="7"/>
      <c r="U22" s="7"/>
      <c r="V22" s="7">
        <f>ROUNDUP((X22+Y22),1)</f>
        <v>7.2</v>
      </c>
      <c r="W22" s="7"/>
      <c r="X22" s="7">
        <f>ROUNDUP((I22*(1.5/36)),1)</f>
        <v>3.3000000000000003</v>
      </c>
      <c r="Y22" s="7">
        <f>ROUNDUP((I22*(1.75/36)),1)</f>
        <v>3.9</v>
      </c>
      <c r="Z22" s="7"/>
      <c r="AA22" s="7">
        <f>G22</f>
        <v>1410</v>
      </c>
      <c r="AB22" s="8"/>
    </row>
    <row r="23" spans="1:28" x14ac:dyDescent="0.2">
      <c r="A23" s="46">
        <v>80336</v>
      </c>
      <c r="B23" s="42"/>
      <c r="C23" s="4" t="s">
        <v>32</v>
      </c>
      <c r="D23" s="42">
        <v>83170</v>
      </c>
      <c r="E23" s="42"/>
      <c r="F23" s="6" t="s">
        <v>40</v>
      </c>
      <c r="G23" s="6">
        <f>D23-A23</f>
        <v>2834</v>
      </c>
      <c r="H23" s="6">
        <v>0.5</v>
      </c>
      <c r="I23" s="7">
        <f>ROUNDUP(((H23*G23)/9),1)</f>
        <v>157.5</v>
      </c>
      <c r="J23" s="7"/>
      <c r="K23" s="7"/>
      <c r="L23" s="7"/>
      <c r="M23" s="7"/>
      <c r="N23" s="7"/>
      <c r="O23" s="7">
        <f>ROUNDUP((I23*(5.5/36)),1)</f>
        <v>24.1</v>
      </c>
      <c r="P23" s="7"/>
      <c r="Q23" s="7"/>
      <c r="R23" s="7">
        <f>ROUNDUP((2*I23*0.06),1)</f>
        <v>18.899999999999999</v>
      </c>
      <c r="S23" s="7">
        <f>ROUNDUP((I23*0.09),1)</f>
        <v>14.2</v>
      </c>
      <c r="T23" s="7"/>
      <c r="U23" s="7"/>
      <c r="V23" s="7">
        <f>ROUNDUP((X23+Y23),1)</f>
        <v>14.3</v>
      </c>
      <c r="W23" s="7"/>
      <c r="X23" s="7">
        <f>ROUNDUP((I23*(1.5/36)),1)</f>
        <v>6.6</v>
      </c>
      <c r="Y23" s="7">
        <f>ROUNDUP((I23*(1.75/36)),1)</f>
        <v>7.6999999999999993</v>
      </c>
      <c r="Z23" s="7"/>
      <c r="AA23" s="7">
        <f>G23</f>
        <v>2834</v>
      </c>
      <c r="AB23" s="8"/>
    </row>
    <row r="24" spans="1:28" x14ac:dyDescent="0.2">
      <c r="A24" s="43"/>
      <c r="B24" s="43"/>
      <c r="C24" s="43"/>
      <c r="D24" s="43"/>
      <c r="E24" s="44"/>
      <c r="F24" s="6"/>
      <c r="G24" s="6"/>
      <c r="H24" s="6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8"/>
    </row>
    <row r="25" spans="1:28" x14ac:dyDescent="0.2">
      <c r="A25" s="43" t="s">
        <v>46</v>
      </c>
      <c r="B25" s="43"/>
      <c r="C25" s="43"/>
      <c r="D25" s="43"/>
      <c r="E25" s="44"/>
      <c r="F25" s="6" t="s">
        <v>40</v>
      </c>
      <c r="G25" s="6"/>
      <c r="H25" s="6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8"/>
    </row>
    <row r="26" spans="1:28" x14ac:dyDescent="0.2">
      <c r="A26" s="46">
        <v>63965</v>
      </c>
      <c r="B26" s="42"/>
      <c r="C26" s="4" t="s">
        <v>32</v>
      </c>
      <c r="D26" s="42">
        <v>65375</v>
      </c>
      <c r="E26" s="42"/>
      <c r="F26" s="6" t="s">
        <v>40</v>
      </c>
      <c r="G26" s="6">
        <f>D26-A26</f>
        <v>1410</v>
      </c>
      <c r="H26" s="6">
        <v>0.5</v>
      </c>
      <c r="I26" s="7">
        <f>ROUNDUP(((H26*G26)/9),1)</f>
        <v>78.399999999999991</v>
      </c>
      <c r="J26" s="7"/>
      <c r="K26" s="7"/>
      <c r="L26" s="7"/>
      <c r="M26" s="7"/>
      <c r="N26" s="7"/>
      <c r="O26" s="7"/>
      <c r="P26" s="7"/>
      <c r="Q26" s="7"/>
      <c r="R26" s="7">
        <f>ROUNDUP((I26*0.06),1)</f>
        <v>4.8</v>
      </c>
      <c r="S26" s="7">
        <f>ROUNDUP((I26*0.09),1)</f>
        <v>7.1</v>
      </c>
      <c r="T26" s="7"/>
      <c r="U26" s="7"/>
      <c r="V26" s="7">
        <f>ROUNDUP((X26+Y26),1)</f>
        <v>7.2</v>
      </c>
      <c r="W26" s="7"/>
      <c r="X26" s="7">
        <f>ROUNDUP((I26*(1.5/36)),1)</f>
        <v>3.3000000000000003</v>
      </c>
      <c r="Y26" s="7">
        <f>ROUNDUP((I26*(1.75/36)),1)</f>
        <v>3.9</v>
      </c>
      <c r="Z26" s="7"/>
      <c r="AA26" s="7"/>
      <c r="AB26" s="8">
        <f>G26</f>
        <v>1410</v>
      </c>
    </row>
    <row r="27" spans="1:28" x14ac:dyDescent="0.2">
      <c r="A27" s="46">
        <v>80336</v>
      </c>
      <c r="B27" s="42"/>
      <c r="C27" s="4" t="s">
        <v>32</v>
      </c>
      <c r="D27" s="42">
        <v>83170</v>
      </c>
      <c r="E27" s="42"/>
      <c r="F27" s="6" t="s">
        <v>40</v>
      </c>
      <c r="G27" s="6">
        <f>D27-A27</f>
        <v>2834</v>
      </c>
      <c r="H27" s="6">
        <v>0.5</v>
      </c>
      <c r="I27" s="7">
        <f>ROUNDUP(((H27*G27)/9),1)</f>
        <v>157.5</v>
      </c>
      <c r="J27" s="7"/>
      <c r="K27" s="7"/>
      <c r="L27" s="7"/>
      <c r="M27" s="7"/>
      <c r="N27" s="7"/>
      <c r="O27" s="7"/>
      <c r="P27" s="7"/>
      <c r="Q27" s="7"/>
      <c r="R27" s="7">
        <f>ROUNDUP((I27*0.06),1)</f>
        <v>9.5</v>
      </c>
      <c r="S27" s="7">
        <f>ROUNDUP((I27*0.09),1)</f>
        <v>14.2</v>
      </c>
      <c r="T27" s="7"/>
      <c r="U27" s="7"/>
      <c r="V27" s="7">
        <f>ROUNDUP((X27+Y27),1)</f>
        <v>14.3</v>
      </c>
      <c r="W27" s="7"/>
      <c r="X27" s="7">
        <f>ROUNDUP((I27*(1.5/36)),1)</f>
        <v>6.6</v>
      </c>
      <c r="Y27" s="7">
        <f>ROUNDUP((I27*(1.75/36)),1)</f>
        <v>7.6999999999999993</v>
      </c>
      <c r="Z27" s="7"/>
      <c r="AA27" s="7"/>
      <c r="AB27" s="8">
        <f>G27</f>
        <v>2834</v>
      </c>
    </row>
    <row r="28" spans="1:28" x14ac:dyDescent="0.2">
      <c r="A28" s="43"/>
      <c r="B28" s="43"/>
      <c r="C28" s="43"/>
      <c r="D28" s="43"/>
      <c r="E28" s="44"/>
      <c r="F28" s="6"/>
      <c r="G28" s="6"/>
      <c r="H28" s="6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8"/>
    </row>
    <row r="29" spans="1:28" x14ac:dyDescent="0.2">
      <c r="A29" s="43" t="s">
        <v>49</v>
      </c>
      <c r="B29" s="43"/>
      <c r="C29" s="43"/>
      <c r="D29" s="43"/>
      <c r="E29" s="44"/>
      <c r="F29" s="6"/>
      <c r="G29" s="6"/>
      <c r="H29" s="6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8"/>
    </row>
    <row r="30" spans="1:28" x14ac:dyDescent="0.2">
      <c r="A30" s="46">
        <v>63965</v>
      </c>
      <c r="B30" s="42"/>
      <c r="C30" s="4" t="s">
        <v>32</v>
      </c>
      <c r="D30" s="42">
        <v>74761.78</v>
      </c>
      <c r="E30" s="42"/>
      <c r="F30" s="6" t="s">
        <v>47</v>
      </c>
      <c r="G30" s="10">
        <f>D30-A30</f>
        <v>10796.779999999999</v>
      </c>
      <c r="H30" s="6">
        <v>26</v>
      </c>
      <c r="I30" s="11">
        <f>ROUNDUP(((G30*H30)/9),1)</f>
        <v>31190.699999999997</v>
      </c>
      <c r="J30" s="13">
        <f>ROUNDUP((640.4/9),1)</f>
        <v>71.199999999999989</v>
      </c>
      <c r="K30" s="11">
        <f>I30</f>
        <v>31190.699999999997</v>
      </c>
      <c r="L30" s="7"/>
      <c r="M30" s="7"/>
      <c r="N30" s="7"/>
      <c r="O30" s="7">
        <f>ROUNDUP((K30*(5.5/36)),1)</f>
        <v>4765.3</v>
      </c>
      <c r="P30" s="7">
        <f>ROUNDUP((K30*(6/36)),1)</f>
        <v>5198.5</v>
      </c>
      <c r="Q30" s="7"/>
      <c r="R30" s="7">
        <f>ROUNDUP((2*I30*0.06),1)</f>
        <v>3742.9</v>
      </c>
      <c r="S30" s="7"/>
      <c r="T30" s="7"/>
      <c r="U30" s="7"/>
      <c r="V30" s="7"/>
      <c r="W30" s="7"/>
      <c r="X30" s="7">
        <f>ROUNDUP((K30*(1.5/36)),1)</f>
        <v>1299.6999999999998</v>
      </c>
      <c r="Y30" s="7">
        <f>ROUNDUP((I30*(1.75/36)),1)</f>
        <v>1516.3</v>
      </c>
      <c r="Z30" s="7"/>
      <c r="AA30" s="7"/>
      <c r="AB30" s="8"/>
    </row>
    <row r="31" spans="1:28" x14ac:dyDescent="0.2">
      <c r="A31" s="46">
        <v>74761.78</v>
      </c>
      <c r="B31" s="42"/>
      <c r="C31" s="4" t="s">
        <v>32</v>
      </c>
      <c r="D31" s="42">
        <v>74796.78</v>
      </c>
      <c r="E31" s="42"/>
      <c r="F31" s="6" t="s">
        <v>40</v>
      </c>
      <c r="G31" s="6">
        <f>D31-A31</f>
        <v>35</v>
      </c>
      <c r="H31" s="6">
        <v>14.41</v>
      </c>
      <c r="I31" s="7">
        <f>ROUNDUP(((H31*G31)/9),1)</f>
        <v>56.1</v>
      </c>
      <c r="J31" s="7"/>
      <c r="K31" s="11">
        <f>I31</f>
        <v>56.1</v>
      </c>
      <c r="L31" s="7"/>
      <c r="M31" s="7"/>
      <c r="N31" s="7"/>
      <c r="O31" s="7">
        <f>ROUNDUP((K31*(5.5/36)),1)</f>
        <v>8.6</v>
      </c>
      <c r="P31" s="7">
        <f>ROUNDUP((K31*(6/36)),1)</f>
        <v>9.4</v>
      </c>
      <c r="Q31" s="7"/>
      <c r="R31" s="7">
        <f>ROUNDUP((2*I31*0.06),1)</f>
        <v>6.8</v>
      </c>
      <c r="S31" s="7"/>
      <c r="T31" s="7"/>
      <c r="U31" s="7"/>
      <c r="V31" s="7"/>
      <c r="W31" s="7"/>
      <c r="X31" s="7">
        <f>ROUNDUP((K31*(1.5/36)),1)</f>
        <v>2.4</v>
      </c>
      <c r="Y31" s="7">
        <f>ROUNDUP((I31*(1.75/36)),1)</f>
        <v>2.8000000000000003</v>
      </c>
      <c r="Z31" s="7"/>
      <c r="AA31" s="7"/>
      <c r="AB31" s="8"/>
    </row>
    <row r="32" spans="1:28" x14ac:dyDescent="0.2">
      <c r="A32" s="46">
        <v>75051.789999999994</v>
      </c>
      <c r="B32" s="42"/>
      <c r="C32" s="4" t="s">
        <v>32</v>
      </c>
      <c r="D32" s="42">
        <v>75081.789999999994</v>
      </c>
      <c r="E32" s="42"/>
      <c r="F32" s="6" t="s">
        <v>35</v>
      </c>
      <c r="G32" s="6">
        <f>D32-A32</f>
        <v>30</v>
      </c>
      <c r="H32" s="6">
        <v>14.41</v>
      </c>
      <c r="I32" s="7">
        <f>ROUNDUP(((H32*G32)/9),1)</f>
        <v>48.1</v>
      </c>
      <c r="J32" s="7"/>
      <c r="K32" s="11">
        <f>I32</f>
        <v>48.1</v>
      </c>
      <c r="L32" s="7"/>
      <c r="M32" s="7"/>
      <c r="N32" s="7"/>
      <c r="O32" s="7">
        <f>ROUNDUP((K32*(5.5/36)),1)</f>
        <v>7.3999999999999995</v>
      </c>
      <c r="P32" s="7">
        <f>ROUNDUP((K32*(6/36)),1)</f>
        <v>8.1</v>
      </c>
      <c r="Q32" s="7"/>
      <c r="R32" s="7">
        <f>ROUNDUP((2*I32*0.06),1)</f>
        <v>5.8</v>
      </c>
      <c r="S32" s="7"/>
      <c r="T32" s="7"/>
      <c r="U32" s="7"/>
      <c r="V32" s="7"/>
      <c r="W32" s="7"/>
      <c r="X32" s="7">
        <f>ROUNDUP((K32*(1.5/36)),1)</f>
        <v>2.1</v>
      </c>
      <c r="Y32" s="7">
        <f>ROUNDUP((I32*(1.75/36)),1)</f>
        <v>2.4</v>
      </c>
      <c r="Z32" s="7"/>
      <c r="AA32" s="7"/>
      <c r="AB32" s="8"/>
    </row>
    <row r="33" spans="1:28" x14ac:dyDescent="0.2">
      <c r="A33" s="46">
        <v>75081.789999999994</v>
      </c>
      <c r="B33" s="42"/>
      <c r="C33" s="4" t="s">
        <v>32</v>
      </c>
      <c r="D33" s="42">
        <v>83170</v>
      </c>
      <c r="E33" s="42"/>
      <c r="F33" s="6" t="s">
        <v>47</v>
      </c>
      <c r="G33" s="6">
        <f>D33-A33</f>
        <v>8088.2100000000064</v>
      </c>
      <c r="H33" s="6">
        <v>26</v>
      </c>
      <c r="I33" s="11">
        <f>ROUNDUP(((G33*H33)/9),1)</f>
        <v>23366</v>
      </c>
      <c r="J33" s="7"/>
      <c r="K33" s="11">
        <f>I33</f>
        <v>23366</v>
      </c>
      <c r="L33" s="7"/>
      <c r="M33" s="7"/>
      <c r="N33" s="7"/>
      <c r="O33" s="7">
        <f>ROUNDUP((K33*(5.5/36)),1)</f>
        <v>3569.9</v>
      </c>
      <c r="P33" s="7">
        <f>ROUNDUP((K33*(6/36)),1)</f>
        <v>3894.4</v>
      </c>
      <c r="Q33" s="7"/>
      <c r="R33" s="7">
        <f>ROUNDUP((2*I33*0.06),1)</f>
        <v>2804</v>
      </c>
      <c r="S33" s="7"/>
      <c r="T33" s="7"/>
      <c r="U33" s="7"/>
      <c r="V33" s="7"/>
      <c r="W33" s="7"/>
      <c r="X33" s="7">
        <f>ROUNDUP((K33*(1.5/36)),1)</f>
        <v>973.6</v>
      </c>
      <c r="Y33" s="7">
        <f>ROUNDUP((I33*(1.75/36)),1)</f>
        <v>1135.8999999999999</v>
      </c>
      <c r="Z33" s="7"/>
      <c r="AA33" s="7"/>
      <c r="AB33" s="8"/>
    </row>
    <row r="34" spans="1:28" x14ac:dyDescent="0.2">
      <c r="A34" s="43"/>
      <c r="B34" s="43"/>
      <c r="C34" s="43"/>
      <c r="D34" s="43"/>
      <c r="E34" s="44"/>
      <c r="F34" s="6"/>
      <c r="G34" s="6"/>
      <c r="H34" s="6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8"/>
    </row>
    <row r="35" spans="1:28" x14ac:dyDescent="0.2">
      <c r="A35" s="43" t="s">
        <v>91</v>
      </c>
      <c r="B35" s="43"/>
      <c r="C35" s="43"/>
      <c r="D35" s="43"/>
      <c r="E35" s="44"/>
      <c r="F35" s="6"/>
      <c r="G35" s="6"/>
      <c r="H35" s="6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8"/>
    </row>
    <row r="36" spans="1:28" x14ac:dyDescent="0.2">
      <c r="A36" s="46">
        <v>63965</v>
      </c>
      <c r="B36" s="42"/>
      <c r="C36" s="4" t="s">
        <v>32</v>
      </c>
      <c r="D36" s="42">
        <v>65953</v>
      </c>
      <c r="E36" s="42"/>
      <c r="F36" s="6" t="s">
        <v>47</v>
      </c>
      <c r="G36" s="6">
        <f t="shared" ref="G36:G69" si="0">D36-A36</f>
        <v>1988</v>
      </c>
      <c r="H36" s="6">
        <v>2.91</v>
      </c>
      <c r="I36" s="7">
        <f>((H36*G36)/9)</f>
        <v>642.78666666666663</v>
      </c>
      <c r="J36" s="7"/>
      <c r="K36" s="7"/>
      <c r="L36" s="7"/>
      <c r="M36" s="7"/>
      <c r="N36" s="7"/>
      <c r="O36" s="7"/>
      <c r="P36" s="7"/>
      <c r="Q36" s="7"/>
      <c r="R36" s="14">
        <f>(I36*0.06)</f>
        <v>38.5672</v>
      </c>
      <c r="S36" s="7"/>
      <c r="T36" s="7"/>
      <c r="U36" s="7"/>
      <c r="V36" s="7"/>
      <c r="W36" s="7"/>
      <c r="X36" s="14">
        <f>(I36*(1.5/36))</f>
        <v>26.782777777777774</v>
      </c>
      <c r="Y36" s="7"/>
      <c r="Z36" s="7"/>
      <c r="AA36" s="7"/>
      <c r="AB36" s="8"/>
    </row>
    <row r="37" spans="1:28" x14ac:dyDescent="0.2">
      <c r="A37" s="46">
        <v>65953</v>
      </c>
      <c r="B37" s="42"/>
      <c r="C37" s="4" t="s">
        <v>32</v>
      </c>
      <c r="D37" s="42">
        <v>65993</v>
      </c>
      <c r="E37" s="42"/>
      <c r="F37" s="6" t="s">
        <v>47</v>
      </c>
      <c r="G37" s="6">
        <f t="shared" si="0"/>
        <v>40</v>
      </c>
      <c r="H37" s="6">
        <v>3.86</v>
      </c>
      <c r="I37" s="7">
        <f>((H37*G37)/9)</f>
        <v>17.155555555555555</v>
      </c>
      <c r="J37" s="7"/>
      <c r="K37" s="7"/>
      <c r="L37" s="7"/>
      <c r="M37" s="7"/>
      <c r="N37" s="7"/>
      <c r="O37" s="7"/>
      <c r="P37" s="7"/>
      <c r="Q37" s="7"/>
      <c r="R37" s="14">
        <f>(I37*0.06)</f>
        <v>1.0293333333333332</v>
      </c>
      <c r="S37" s="7"/>
      <c r="T37" s="7"/>
      <c r="U37" s="7"/>
      <c r="V37" s="7"/>
      <c r="W37" s="7"/>
      <c r="X37" s="14">
        <f>(I37*(1.5/36))</f>
        <v>0.71481481481481479</v>
      </c>
      <c r="Y37" s="7"/>
      <c r="Z37" s="7"/>
      <c r="AA37" s="7"/>
      <c r="AB37" s="8"/>
    </row>
    <row r="38" spans="1:28" x14ac:dyDescent="0.2">
      <c r="A38" s="46">
        <v>65993</v>
      </c>
      <c r="B38" s="42"/>
      <c r="C38" s="4" t="s">
        <v>32</v>
      </c>
      <c r="D38" s="42">
        <v>66003</v>
      </c>
      <c r="E38" s="42"/>
      <c r="F38" s="6" t="s">
        <v>47</v>
      </c>
      <c r="G38" s="6">
        <f t="shared" si="0"/>
        <v>10</v>
      </c>
      <c r="H38" s="6">
        <v>4.8499999999999996</v>
      </c>
      <c r="I38" s="7">
        <f>((H38*G38)/9)</f>
        <v>5.3888888888888893</v>
      </c>
      <c r="J38" s="7"/>
      <c r="K38" s="7"/>
      <c r="L38" s="7"/>
      <c r="M38" s="7"/>
      <c r="N38" s="7"/>
      <c r="O38" s="7"/>
      <c r="P38" s="7"/>
      <c r="Q38" s="7"/>
      <c r="R38" s="14">
        <f>(I38*0.06)</f>
        <v>0.32333333333333336</v>
      </c>
      <c r="S38" s="7"/>
      <c r="T38" s="7"/>
      <c r="U38" s="7"/>
      <c r="V38" s="7"/>
      <c r="W38" s="7"/>
      <c r="X38" s="14">
        <f>(I38*(1.5/36))</f>
        <v>0.22453703703703703</v>
      </c>
      <c r="Y38" s="7"/>
      <c r="Z38" s="7"/>
      <c r="AA38" s="7"/>
      <c r="AB38" s="8"/>
    </row>
    <row r="39" spans="1:28" x14ac:dyDescent="0.2">
      <c r="A39" s="46">
        <v>66003</v>
      </c>
      <c r="B39" s="42"/>
      <c r="C39" s="4" t="s">
        <v>32</v>
      </c>
      <c r="D39" s="42">
        <v>66043</v>
      </c>
      <c r="E39" s="42"/>
      <c r="F39" s="6" t="s">
        <v>47</v>
      </c>
      <c r="G39" s="6">
        <f t="shared" si="0"/>
        <v>40</v>
      </c>
      <c r="H39" s="6">
        <v>3.86</v>
      </c>
      <c r="I39" s="7">
        <f>((H39*G39)/9)</f>
        <v>17.155555555555555</v>
      </c>
      <c r="J39" s="7"/>
      <c r="K39" s="7"/>
      <c r="L39" s="7"/>
      <c r="M39" s="7"/>
      <c r="N39" s="7"/>
      <c r="O39" s="7"/>
      <c r="P39" s="7"/>
      <c r="Q39" s="7"/>
      <c r="R39" s="14">
        <f>(I39*0.06)</f>
        <v>1.0293333333333332</v>
      </c>
      <c r="S39" s="7"/>
      <c r="T39" s="7"/>
      <c r="U39" s="7"/>
      <c r="V39" s="7"/>
      <c r="W39" s="7"/>
      <c r="X39" s="14">
        <f>(I39*(1.5/36))</f>
        <v>0.71481481481481479</v>
      </c>
      <c r="Y39" s="7"/>
      <c r="Z39" s="7"/>
      <c r="AA39" s="7"/>
      <c r="AB39" s="8"/>
    </row>
    <row r="40" spans="1:28" x14ac:dyDescent="0.2">
      <c r="A40" s="46">
        <v>66043</v>
      </c>
      <c r="B40" s="42"/>
      <c r="C40" s="4" t="s">
        <v>32</v>
      </c>
      <c r="D40" s="42">
        <v>67098</v>
      </c>
      <c r="E40" s="42"/>
      <c r="F40" s="6" t="s">
        <v>47</v>
      </c>
      <c r="G40" s="6">
        <f t="shared" si="0"/>
        <v>1055</v>
      </c>
      <c r="H40" s="6">
        <v>2.91</v>
      </c>
      <c r="I40" s="7">
        <f>((H40*G40)/9)</f>
        <v>341.11666666666667</v>
      </c>
      <c r="J40" s="7"/>
      <c r="K40" s="7"/>
      <c r="L40" s="7"/>
      <c r="M40" s="7"/>
      <c r="N40" s="7"/>
      <c r="O40" s="7"/>
      <c r="P40" s="7"/>
      <c r="Q40" s="7"/>
      <c r="R40" s="14">
        <f>(I40*0.06)</f>
        <v>20.466999999999999</v>
      </c>
      <c r="S40" s="7"/>
      <c r="T40" s="7"/>
      <c r="U40" s="7"/>
      <c r="V40" s="7"/>
      <c r="W40" s="7"/>
      <c r="X40" s="14">
        <f>(I40*(1.5/36))</f>
        <v>14.213194444444444</v>
      </c>
      <c r="Y40" s="7"/>
      <c r="Z40" s="7"/>
      <c r="AA40" s="7"/>
      <c r="AB40" s="8"/>
    </row>
    <row r="41" spans="1:28" x14ac:dyDescent="0.2">
      <c r="A41" s="46">
        <v>67098</v>
      </c>
      <c r="B41" s="42"/>
      <c r="C41" s="4" t="s">
        <v>32</v>
      </c>
      <c r="D41" s="42">
        <v>67138</v>
      </c>
      <c r="E41" s="42"/>
      <c r="F41" s="6" t="s">
        <v>47</v>
      </c>
      <c r="G41" s="6">
        <f t="shared" si="0"/>
        <v>40</v>
      </c>
      <c r="H41" s="6">
        <v>4.3899999999999997</v>
      </c>
      <c r="I41" s="7">
        <f t="shared" ref="I41:I69" si="1">((H41*G41)/9)</f>
        <v>19.511111111111109</v>
      </c>
      <c r="J41" s="7"/>
      <c r="K41" s="7"/>
      <c r="L41" s="7"/>
      <c r="M41" s="7"/>
      <c r="N41" s="7"/>
      <c r="O41" s="7"/>
      <c r="P41" s="7"/>
      <c r="Q41" s="7"/>
      <c r="R41" s="14">
        <f t="shared" ref="R41:R69" si="2">(I41*0.06)</f>
        <v>1.1706666666666665</v>
      </c>
      <c r="S41" s="7"/>
      <c r="T41" s="7"/>
      <c r="U41" s="7"/>
      <c r="V41" s="7"/>
      <c r="W41" s="7"/>
      <c r="X41" s="14">
        <f t="shared" ref="X41:X69" si="3">(I41*(1.5/36))</f>
        <v>0.81296296296296289</v>
      </c>
      <c r="Y41" s="7"/>
      <c r="Z41" s="7"/>
      <c r="AA41" s="7"/>
      <c r="AB41" s="8"/>
    </row>
    <row r="42" spans="1:28" x14ac:dyDescent="0.2">
      <c r="A42" s="46">
        <v>67138</v>
      </c>
      <c r="B42" s="42"/>
      <c r="C42" s="4" t="s">
        <v>32</v>
      </c>
      <c r="D42" s="42">
        <v>67183</v>
      </c>
      <c r="E42" s="42"/>
      <c r="F42" s="6" t="s">
        <v>47</v>
      </c>
      <c r="G42" s="6">
        <f t="shared" si="0"/>
        <v>45</v>
      </c>
      <c r="H42" s="6">
        <v>5.88</v>
      </c>
      <c r="I42" s="7">
        <f t="shared" si="1"/>
        <v>29.400000000000002</v>
      </c>
      <c r="J42" s="7"/>
      <c r="K42" s="7"/>
      <c r="L42" s="7"/>
      <c r="M42" s="7"/>
      <c r="N42" s="7"/>
      <c r="O42" s="7"/>
      <c r="P42" s="7"/>
      <c r="Q42" s="7"/>
      <c r="R42" s="14">
        <f t="shared" si="2"/>
        <v>1.764</v>
      </c>
      <c r="S42" s="7"/>
      <c r="T42" s="7"/>
      <c r="U42" s="7"/>
      <c r="V42" s="7"/>
      <c r="W42" s="7"/>
      <c r="X42" s="14">
        <f t="shared" si="3"/>
        <v>1.2250000000000001</v>
      </c>
      <c r="Y42" s="7"/>
      <c r="Z42" s="7"/>
      <c r="AA42" s="7"/>
      <c r="AB42" s="8"/>
    </row>
    <row r="43" spans="1:28" x14ac:dyDescent="0.2">
      <c r="A43" s="46">
        <v>67183</v>
      </c>
      <c r="B43" s="42"/>
      <c r="C43" s="4" t="s">
        <v>32</v>
      </c>
      <c r="D43" s="42">
        <v>67223</v>
      </c>
      <c r="E43" s="42"/>
      <c r="F43" s="6" t="s">
        <v>47</v>
      </c>
      <c r="G43" s="6">
        <f t="shared" si="0"/>
        <v>40</v>
      </c>
      <c r="H43" s="6">
        <v>4.3899999999999997</v>
      </c>
      <c r="I43" s="7">
        <f t="shared" si="1"/>
        <v>19.511111111111109</v>
      </c>
      <c r="J43" s="7"/>
      <c r="K43" s="7"/>
      <c r="L43" s="7"/>
      <c r="M43" s="7"/>
      <c r="N43" s="7"/>
      <c r="O43" s="7"/>
      <c r="P43" s="7"/>
      <c r="Q43" s="7"/>
      <c r="R43" s="14">
        <f t="shared" si="2"/>
        <v>1.1706666666666665</v>
      </c>
      <c r="S43" s="7"/>
      <c r="T43" s="7"/>
      <c r="U43" s="7"/>
      <c r="V43" s="7"/>
      <c r="W43" s="7"/>
      <c r="X43" s="14">
        <f t="shared" si="3"/>
        <v>0.81296296296296289</v>
      </c>
      <c r="Y43" s="7"/>
      <c r="Z43" s="7"/>
      <c r="AA43" s="7"/>
      <c r="AB43" s="8"/>
    </row>
    <row r="44" spans="1:28" x14ac:dyDescent="0.2">
      <c r="A44" s="46">
        <v>67223</v>
      </c>
      <c r="B44" s="42"/>
      <c r="C44" s="4" t="s">
        <v>32</v>
      </c>
      <c r="D44" s="42">
        <v>68553</v>
      </c>
      <c r="E44" s="42"/>
      <c r="F44" s="6" t="s">
        <v>47</v>
      </c>
      <c r="G44" s="6">
        <f t="shared" si="0"/>
        <v>1330</v>
      </c>
      <c r="H44" s="6">
        <v>2.91</v>
      </c>
      <c r="I44" s="7">
        <f t="shared" si="1"/>
        <v>430.03333333333336</v>
      </c>
      <c r="J44" s="7"/>
      <c r="K44" s="7"/>
      <c r="L44" s="7"/>
      <c r="M44" s="7"/>
      <c r="N44" s="7"/>
      <c r="O44" s="7"/>
      <c r="P44" s="7"/>
      <c r="Q44" s="7"/>
      <c r="R44" s="14">
        <f t="shared" si="2"/>
        <v>25.802</v>
      </c>
      <c r="S44" s="7"/>
      <c r="T44" s="7"/>
      <c r="U44" s="7"/>
      <c r="V44" s="7"/>
      <c r="W44" s="7"/>
      <c r="X44" s="14">
        <f t="shared" si="3"/>
        <v>17.918055555555554</v>
      </c>
      <c r="Y44" s="7"/>
      <c r="Z44" s="7"/>
      <c r="AA44" s="7"/>
      <c r="AB44" s="8"/>
    </row>
    <row r="45" spans="1:28" x14ac:dyDescent="0.2">
      <c r="A45" s="46">
        <v>68553</v>
      </c>
      <c r="B45" s="42"/>
      <c r="C45" s="4" t="s">
        <v>32</v>
      </c>
      <c r="D45" s="42">
        <v>68593</v>
      </c>
      <c r="E45" s="42"/>
      <c r="F45" s="6" t="s">
        <v>47</v>
      </c>
      <c r="G45" s="6">
        <f t="shared" si="0"/>
        <v>40</v>
      </c>
      <c r="H45" s="6">
        <v>3.86</v>
      </c>
      <c r="I45" s="7">
        <f t="shared" si="1"/>
        <v>17.155555555555555</v>
      </c>
      <c r="J45" s="7"/>
      <c r="K45" s="7"/>
      <c r="L45" s="7"/>
      <c r="M45" s="7"/>
      <c r="N45" s="7"/>
      <c r="O45" s="7"/>
      <c r="P45" s="7"/>
      <c r="Q45" s="7"/>
      <c r="R45" s="14">
        <f t="shared" si="2"/>
        <v>1.0293333333333332</v>
      </c>
      <c r="S45" s="7"/>
      <c r="T45" s="7"/>
      <c r="U45" s="7"/>
      <c r="V45" s="7"/>
      <c r="W45" s="7"/>
      <c r="X45" s="14">
        <f t="shared" si="3"/>
        <v>0.71481481481481479</v>
      </c>
      <c r="Y45" s="7"/>
      <c r="Z45" s="7"/>
      <c r="AA45" s="7"/>
      <c r="AB45" s="8"/>
    </row>
    <row r="46" spans="1:28" x14ac:dyDescent="0.2">
      <c r="A46" s="46">
        <v>68593</v>
      </c>
      <c r="B46" s="42"/>
      <c r="C46" s="4" t="s">
        <v>32</v>
      </c>
      <c r="D46" s="42">
        <v>68603</v>
      </c>
      <c r="E46" s="42"/>
      <c r="F46" s="6" t="s">
        <v>47</v>
      </c>
      <c r="G46" s="6">
        <f t="shared" si="0"/>
        <v>10</v>
      </c>
      <c r="H46" s="6">
        <v>4.8499999999999996</v>
      </c>
      <c r="I46" s="7">
        <f t="shared" si="1"/>
        <v>5.3888888888888893</v>
      </c>
      <c r="J46" s="7"/>
      <c r="K46" s="7"/>
      <c r="L46" s="7"/>
      <c r="M46" s="7"/>
      <c r="N46" s="7"/>
      <c r="O46" s="7"/>
      <c r="P46" s="7"/>
      <c r="Q46" s="7"/>
      <c r="R46" s="14">
        <f t="shared" si="2"/>
        <v>0.32333333333333336</v>
      </c>
      <c r="S46" s="7"/>
      <c r="T46" s="7"/>
      <c r="U46" s="7"/>
      <c r="V46" s="7"/>
      <c r="W46" s="7"/>
      <c r="X46" s="14">
        <f t="shared" si="3"/>
        <v>0.22453703703703703</v>
      </c>
      <c r="Y46" s="7"/>
      <c r="Z46" s="7"/>
      <c r="AA46" s="7"/>
      <c r="AB46" s="8"/>
    </row>
    <row r="47" spans="1:28" x14ac:dyDescent="0.2">
      <c r="A47" s="46">
        <v>68603</v>
      </c>
      <c r="B47" s="42"/>
      <c r="C47" s="4" t="s">
        <v>32</v>
      </c>
      <c r="D47" s="42">
        <v>68643</v>
      </c>
      <c r="E47" s="42"/>
      <c r="F47" s="6" t="s">
        <v>47</v>
      </c>
      <c r="G47" s="6">
        <f t="shared" si="0"/>
        <v>40</v>
      </c>
      <c r="H47" s="6">
        <v>3.86</v>
      </c>
      <c r="I47" s="7">
        <f t="shared" si="1"/>
        <v>17.155555555555555</v>
      </c>
      <c r="J47" s="7"/>
      <c r="K47" s="7"/>
      <c r="L47" s="7"/>
      <c r="M47" s="7"/>
      <c r="N47" s="7"/>
      <c r="O47" s="7"/>
      <c r="P47" s="7"/>
      <c r="Q47" s="7"/>
      <c r="R47" s="14">
        <f t="shared" si="2"/>
        <v>1.0293333333333332</v>
      </c>
      <c r="S47" s="7"/>
      <c r="T47" s="7"/>
      <c r="U47" s="7"/>
      <c r="V47" s="7"/>
      <c r="W47" s="7"/>
      <c r="X47" s="14">
        <f t="shared" si="3"/>
        <v>0.71481481481481479</v>
      </c>
      <c r="Y47" s="7"/>
      <c r="Z47" s="7"/>
      <c r="AA47" s="7"/>
      <c r="AB47" s="8"/>
    </row>
    <row r="48" spans="1:28" x14ac:dyDescent="0.2">
      <c r="A48" s="46">
        <v>68643</v>
      </c>
      <c r="B48" s="42"/>
      <c r="C48" s="4" t="s">
        <v>32</v>
      </c>
      <c r="D48" s="42">
        <v>69524</v>
      </c>
      <c r="E48" s="42"/>
      <c r="F48" s="6" t="s">
        <v>47</v>
      </c>
      <c r="G48" s="6">
        <f t="shared" si="0"/>
        <v>881</v>
      </c>
      <c r="H48" s="6">
        <v>2.91</v>
      </c>
      <c r="I48" s="7">
        <f t="shared" si="1"/>
        <v>284.85666666666668</v>
      </c>
      <c r="J48" s="7"/>
      <c r="K48" s="7"/>
      <c r="L48" s="7"/>
      <c r="M48" s="7"/>
      <c r="N48" s="7"/>
      <c r="O48" s="7"/>
      <c r="P48" s="7"/>
      <c r="Q48" s="7"/>
      <c r="R48" s="14">
        <f t="shared" si="2"/>
        <v>17.0914</v>
      </c>
      <c r="S48" s="7"/>
      <c r="T48" s="7"/>
      <c r="U48" s="7"/>
      <c r="V48" s="7"/>
      <c r="W48" s="7"/>
      <c r="X48" s="14">
        <f t="shared" si="3"/>
        <v>11.869027777777777</v>
      </c>
      <c r="Y48" s="7"/>
      <c r="Z48" s="7"/>
      <c r="AA48" s="7"/>
      <c r="AB48" s="8"/>
    </row>
    <row r="49" spans="1:28" x14ac:dyDescent="0.2">
      <c r="A49" s="46">
        <v>69524</v>
      </c>
      <c r="B49" s="42"/>
      <c r="C49" s="4" t="s">
        <v>32</v>
      </c>
      <c r="D49" s="42">
        <v>69564</v>
      </c>
      <c r="E49" s="42"/>
      <c r="F49" s="6" t="s">
        <v>47</v>
      </c>
      <c r="G49" s="6">
        <f t="shared" si="0"/>
        <v>40</v>
      </c>
      <c r="H49" s="6">
        <v>4.3899999999999997</v>
      </c>
      <c r="I49" s="7">
        <f t="shared" si="1"/>
        <v>19.511111111111109</v>
      </c>
      <c r="J49" s="7"/>
      <c r="K49" s="7"/>
      <c r="L49" s="7"/>
      <c r="M49" s="7"/>
      <c r="N49" s="7"/>
      <c r="O49" s="7"/>
      <c r="P49" s="7"/>
      <c r="Q49" s="7"/>
      <c r="R49" s="14">
        <f t="shared" si="2"/>
        <v>1.1706666666666665</v>
      </c>
      <c r="S49" s="7"/>
      <c r="T49" s="7"/>
      <c r="U49" s="7"/>
      <c r="V49" s="7"/>
      <c r="W49" s="7"/>
      <c r="X49" s="14">
        <f t="shared" si="3"/>
        <v>0.81296296296296289</v>
      </c>
      <c r="Y49" s="7"/>
      <c r="Z49" s="7"/>
      <c r="AA49" s="7"/>
      <c r="AB49" s="8"/>
    </row>
    <row r="50" spans="1:28" x14ac:dyDescent="0.2">
      <c r="A50" s="46">
        <v>69564</v>
      </c>
      <c r="B50" s="42"/>
      <c r="C50" s="4" t="s">
        <v>32</v>
      </c>
      <c r="D50" s="42">
        <v>69631</v>
      </c>
      <c r="E50" s="42"/>
      <c r="F50" s="6" t="s">
        <v>47</v>
      </c>
      <c r="G50" s="6">
        <f t="shared" si="0"/>
        <v>67</v>
      </c>
      <c r="H50" s="6">
        <v>5.88</v>
      </c>
      <c r="I50" s="7">
        <f t="shared" si="1"/>
        <v>43.773333333333333</v>
      </c>
      <c r="J50" s="7"/>
      <c r="K50" s="7"/>
      <c r="L50" s="7"/>
      <c r="M50" s="7"/>
      <c r="N50" s="7"/>
      <c r="O50" s="7"/>
      <c r="P50" s="7"/>
      <c r="Q50" s="7"/>
      <c r="R50" s="14">
        <f t="shared" si="2"/>
        <v>2.6263999999999998</v>
      </c>
      <c r="S50" s="7"/>
      <c r="T50" s="7"/>
      <c r="U50" s="7"/>
      <c r="V50" s="7"/>
      <c r="W50" s="7"/>
      <c r="X50" s="14">
        <f t="shared" si="3"/>
        <v>1.8238888888888889</v>
      </c>
      <c r="Y50" s="7"/>
      <c r="Z50" s="7"/>
      <c r="AA50" s="7"/>
      <c r="AB50" s="8"/>
    </row>
    <row r="51" spans="1:28" x14ac:dyDescent="0.2">
      <c r="A51" s="46">
        <v>69631</v>
      </c>
      <c r="B51" s="42"/>
      <c r="C51" s="4" t="s">
        <v>32</v>
      </c>
      <c r="D51" s="42">
        <v>69671</v>
      </c>
      <c r="E51" s="42"/>
      <c r="F51" s="6" t="s">
        <v>47</v>
      </c>
      <c r="G51" s="6">
        <f t="shared" si="0"/>
        <v>40</v>
      </c>
      <c r="H51" s="6">
        <v>4.3899999999999997</v>
      </c>
      <c r="I51" s="7">
        <f t="shared" si="1"/>
        <v>19.511111111111109</v>
      </c>
      <c r="J51" s="7"/>
      <c r="K51" s="7"/>
      <c r="L51" s="7"/>
      <c r="M51" s="7"/>
      <c r="N51" s="7"/>
      <c r="O51" s="7"/>
      <c r="P51" s="7"/>
      <c r="Q51" s="7"/>
      <c r="R51" s="14">
        <f t="shared" si="2"/>
        <v>1.1706666666666665</v>
      </c>
      <c r="S51" s="7"/>
      <c r="T51" s="7"/>
      <c r="U51" s="7"/>
      <c r="V51" s="7"/>
      <c r="W51" s="7"/>
      <c r="X51" s="14">
        <f t="shared" si="3"/>
        <v>0.81296296296296289</v>
      </c>
      <c r="Y51" s="7"/>
      <c r="Z51" s="7"/>
      <c r="AA51" s="7"/>
      <c r="AB51" s="8"/>
    </row>
    <row r="52" spans="1:28" x14ac:dyDescent="0.2">
      <c r="A52" s="46">
        <v>69671</v>
      </c>
      <c r="B52" s="42"/>
      <c r="C52" s="4" t="s">
        <v>32</v>
      </c>
      <c r="D52" s="42">
        <v>70687</v>
      </c>
      <c r="E52" s="42"/>
      <c r="F52" s="6" t="s">
        <v>47</v>
      </c>
      <c r="G52" s="6">
        <f t="shared" si="0"/>
        <v>1016</v>
      </c>
      <c r="H52" s="6">
        <v>2.91</v>
      </c>
      <c r="I52" s="7">
        <f t="shared" si="1"/>
        <v>328.50666666666666</v>
      </c>
      <c r="J52" s="7"/>
      <c r="K52" s="7"/>
      <c r="L52" s="7"/>
      <c r="M52" s="7"/>
      <c r="N52" s="7"/>
      <c r="O52" s="7"/>
      <c r="P52" s="7"/>
      <c r="Q52" s="7"/>
      <c r="R52" s="14">
        <f t="shared" si="2"/>
        <v>19.7104</v>
      </c>
      <c r="S52" s="7"/>
      <c r="T52" s="7"/>
      <c r="U52" s="7"/>
      <c r="V52" s="7"/>
      <c r="W52" s="7"/>
      <c r="X52" s="14">
        <f t="shared" si="3"/>
        <v>13.687777777777777</v>
      </c>
      <c r="Y52" s="7"/>
      <c r="Z52" s="7"/>
      <c r="AA52" s="7"/>
      <c r="AB52" s="8"/>
    </row>
    <row r="53" spans="1:28" x14ac:dyDescent="0.2">
      <c r="A53" s="46">
        <v>70687</v>
      </c>
      <c r="B53" s="42"/>
      <c r="C53" s="4" t="s">
        <v>32</v>
      </c>
      <c r="D53" s="42">
        <v>70727</v>
      </c>
      <c r="E53" s="42"/>
      <c r="F53" s="6" t="s">
        <v>47</v>
      </c>
      <c r="G53" s="6">
        <f t="shared" si="0"/>
        <v>40</v>
      </c>
      <c r="H53" s="6">
        <v>3.86</v>
      </c>
      <c r="I53" s="7">
        <f t="shared" si="1"/>
        <v>17.155555555555555</v>
      </c>
      <c r="J53" s="7"/>
      <c r="K53" s="7"/>
      <c r="L53" s="7"/>
      <c r="M53" s="7"/>
      <c r="N53" s="7"/>
      <c r="O53" s="7"/>
      <c r="P53" s="7"/>
      <c r="Q53" s="7"/>
      <c r="R53" s="14">
        <f t="shared" si="2"/>
        <v>1.0293333333333332</v>
      </c>
      <c r="S53" s="7"/>
      <c r="T53" s="7"/>
      <c r="U53" s="7"/>
      <c r="V53" s="7"/>
      <c r="W53" s="7"/>
      <c r="X53" s="14">
        <f t="shared" si="3"/>
        <v>0.71481481481481479</v>
      </c>
      <c r="Y53" s="7"/>
      <c r="Z53" s="7"/>
      <c r="AA53" s="7"/>
      <c r="AB53" s="8"/>
    </row>
    <row r="54" spans="1:28" x14ac:dyDescent="0.2">
      <c r="A54" s="46">
        <v>70727</v>
      </c>
      <c r="B54" s="42"/>
      <c r="C54" s="4" t="s">
        <v>32</v>
      </c>
      <c r="D54" s="42">
        <v>70737</v>
      </c>
      <c r="E54" s="42"/>
      <c r="F54" s="6" t="s">
        <v>47</v>
      </c>
      <c r="G54" s="6">
        <f t="shared" si="0"/>
        <v>10</v>
      </c>
      <c r="H54" s="6">
        <v>4.8499999999999996</v>
      </c>
      <c r="I54" s="7">
        <f t="shared" si="1"/>
        <v>5.3888888888888893</v>
      </c>
      <c r="J54" s="7"/>
      <c r="K54" s="7"/>
      <c r="L54" s="7"/>
      <c r="M54" s="7"/>
      <c r="N54" s="7"/>
      <c r="O54" s="7"/>
      <c r="P54" s="7"/>
      <c r="Q54" s="7"/>
      <c r="R54" s="14">
        <f t="shared" si="2"/>
        <v>0.32333333333333336</v>
      </c>
      <c r="S54" s="7"/>
      <c r="T54" s="7"/>
      <c r="U54" s="7"/>
      <c r="V54" s="7"/>
      <c r="W54" s="7"/>
      <c r="X54" s="14">
        <f t="shared" si="3"/>
        <v>0.22453703703703703</v>
      </c>
      <c r="Y54" s="7"/>
      <c r="Z54" s="7"/>
      <c r="AA54" s="7"/>
      <c r="AB54" s="8"/>
    </row>
    <row r="55" spans="1:28" x14ac:dyDescent="0.2">
      <c r="A55" s="46">
        <v>70737</v>
      </c>
      <c r="B55" s="42"/>
      <c r="C55" s="4" t="s">
        <v>32</v>
      </c>
      <c r="D55" s="42">
        <v>70777</v>
      </c>
      <c r="E55" s="42"/>
      <c r="F55" s="6" t="s">
        <v>47</v>
      </c>
      <c r="G55" s="6">
        <f t="shared" si="0"/>
        <v>40</v>
      </c>
      <c r="H55" s="6">
        <v>3.86</v>
      </c>
      <c r="I55" s="7">
        <f t="shared" si="1"/>
        <v>17.155555555555555</v>
      </c>
      <c r="J55" s="7"/>
      <c r="K55" s="7"/>
      <c r="L55" s="7"/>
      <c r="M55" s="7"/>
      <c r="N55" s="7"/>
      <c r="O55" s="7"/>
      <c r="P55" s="7"/>
      <c r="Q55" s="7"/>
      <c r="R55" s="14">
        <f t="shared" si="2"/>
        <v>1.0293333333333332</v>
      </c>
      <c r="S55" s="7"/>
      <c r="T55" s="7"/>
      <c r="U55" s="7"/>
      <c r="V55" s="7"/>
      <c r="W55" s="7"/>
      <c r="X55" s="14">
        <f t="shared" si="3"/>
        <v>0.71481481481481479</v>
      </c>
      <c r="Y55" s="7"/>
      <c r="Z55" s="7"/>
      <c r="AA55" s="7"/>
      <c r="AB55" s="8"/>
    </row>
    <row r="56" spans="1:28" x14ac:dyDescent="0.2">
      <c r="A56" s="46">
        <v>70777</v>
      </c>
      <c r="B56" s="42"/>
      <c r="C56" s="4" t="s">
        <v>32</v>
      </c>
      <c r="D56" s="42">
        <v>74761.78</v>
      </c>
      <c r="E56" s="42"/>
      <c r="F56" s="6" t="s">
        <v>47</v>
      </c>
      <c r="G56" s="6">
        <f t="shared" si="0"/>
        <v>3984.7799999999988</v>
      </c>
      <c r="H56" s="6">
        <v>2.91</v>
      </c>
      <c r="I56" s="7">
        <f t="shared" si="1"/>
        <v>1288.4121999999998</v>
      </c>
      <c r="J56" s="7"/>
      <c r="K56" s="7"/>
      <c r="L56" s="7"/>
      <c r="M56" s="7"/>
      <c r="N56" s="7"/>
      <c r="O56" s="7"/>
      <c r="P56" s="7"/>
      <c r="Q56" s="7"/>
      <c r="R56" s="14">
        <f t="shared" si="2"/>
        <v>77.304731999999987</v>
      </c>
      <c r="S56" s="7"/>
      <c r="T56" s="7"/>
      <c r="U56" s="7"/>
      <c r="V56" s="7"/>
      <c r="W56" s="7"/>
      <c r="X56" s="14">
        <f t="shared" si="3"/>
        <v>53.683841666666652</v>
      </c>
      <c r="Y56" s="7"/>
      <c r="Z56" s="7"/>
      <c r="AA56" s="7"/>
      <c r="AB56" s="8"/>
    </row>
    <row r="57" spans="1:28" x14ac:dyDescent="0.2">
      <c r="A57" s="46">
        <v>75051.789999999994</v>
      </c>
      <c r="B57" s="42"/>
      <c r="C57" s="4" t="s">
        <v>32</v>
      </c>
      <c r="D57" s="42">
        <v>76945</v>
      </c>
      <c r="E57" s="42"/>
      <c r="F57" s="6" t="s">
        <v>47</v>
      </c>
      <c r="G57" s="6">
        <f t="shared" si="0"/>
        <v>1893.2100000000064</v>
      </c>
      <c r="H57" s="6">
        <v>2.91</v>
      </c>
      <c r="I57" s="7">
        <f t="shared" si="1"/>
        <v>612.13790000000211</v>
      </c>
      <c r="J57" s="7"/>
      <c r="K57" s="7"/>
      <c r="L57" s="7"/>
      <c r="M57" s="7"/>
      <c r="N57" s="7"/>
      <c r="O57" s="7"/>
      <c r="P57" s="7"/>
      <c r="Q57" s="7"/>
      <c r="R57" s="14">
        <f t="shared" si="2"/>
        <v>36.728274000000127</v>
      </c>
      <c r="S57" s="7"/>
      <c r="T57" s="7"/>
      <c r="U57" s="7"/>
      <c r="V57" s="7"/>
      <c r="W57" s="7"/>
      <c r="X57" s="14">
        <f t="shared" si="3"/>
        <v>25.505745833333421</v>
      </c>
      <c r="Y57" s="7"/>
      <c r="Z57" s="7"/>
      <c r="AA57" s="7"/>
      <c r="AB57" s="8"/>
    </row>
    <row r="58" spans="1:28" x14ac:dyDescent="0.2">
      <c r="A58" s="46">
        <v>76945</v>
      </c>
      <c r="B58" s="42"/>
      <c r="C58" s="4" t="s">
        <v>32</v>
      </c>
      <c r="D58" s="42">
        <v>76985</v>
      </c>
      <c r="E58" s="42"/>
      <c r="F58" s="6" t="s">
        <v>47</v>
      </c>
      <c r="G58" s="6">
        <f t="shared" si="0"/>
        <v>40</v>
      </c>
      <c r="H58" s="6">
        <v>3.86</v>
      </c>
      <c r="I58" s="7">
        <f t="shared" si="1"/>
        <v>17.155555555555555</v>
      </c>
      <c r="J58" s="7"/>
      <c r="K58" s="7"/>
      <c r="L58" s="7"/>
      <c r="M58" s="7"/>
      <c r="N58" s="7"/>
      <c r="O58" s="7"/>
      <c r="P58" s="7"/>
      <c r="Q58" s="7"/>
      <c r="R58" s="14">
        <f t="shared" si="2"/>
        <v>1.0293333333333332</v>
      </c>
      <c r="S58" s="7"/>
      <c r="T58" s="7"/>
      <c r="U58" s="7"/>
      <c r="V58" s="7"/>
      <c r="W58" s="7"/>
      <c r="X58" s="14">
        <f t="shared" si="3"/>
        <v>0.71481481481481479</v>
      </c>
      <c r="Y58" s="7"/>
      <c r="Z58" s="7"/>
      <c r="AA58" s="7"/>
      <c r="AB58" s="8"/>
    </row>
    <row r="59" spans="1:28" x14ac:dyDescent="0.2">
      <c r="A59" s="46">
        <v>76985</v>
      </c>
      <c r="B59" s="42"/>
      <c r="C59" s="4" t="s">
        <v>32</v>
      </c>
      <c r="D59" s="42">
        <v>76995</v>
      </c>
      <c r="E59" s="42"/>
      <c r="F59" s="6" t="s">
        <v>47</v>
      </c>
      <c r="G59" s="6">
        <f t="shared" si="0"/>
        <v>10</v>
      </c>
      <c r="H59" s="6">
        <v>4.8499999999999996</v>
      </c>
      <c r="I59" s="7">
        <f t="shared" si="1"/>
        <v>5.3888888888888893</v>
      </c>
      <c r="J59" s="7"/>
      <c r="K59" s="7"/>
      <c r="L59" s="7"/>
      <c r="M59" s="7"/>
      <c r="N59" s="7"/>
      <c r="O59" s="7"/>
      <c r="P59" s="7"/>
      <c r="Q59" s="7"/>
      <c r="R59" s="14">
        <f t="shared" si="2"/>
        <v>0.32333333333333336</v>
      </c>
      <c r="S59" s="7"/>
      <c r="T59" s="7"/>
      <c r="U59" s="7"/>
      <c r="V59" s="7"/>
      <c r="W59" s="7"/>
      <c r="X59" s="14">
        <f t="shared" si="3"/>
        <v>0.22453703703703703</v>
      </c>
      <c r="Y59" s="7"/>
      <c r="Z59" s="7"/>
      <c r="AA59" s="7"/>
      <c r="AB59" s="8"/>
    </row>
    <row r="60" spans="1:28" x14ac:dyDescent="0.2">
      <c r="A60" s="46">
        <v>76995</v>
      </c>
      <c r="B60" s="42"/>
      <c r="C60" s="4" t="s">
        <v>32</v>
      </c>
      <c r="D60" s="42">
        <v>77035</v>
      </c>
      <c r="E60" s="42"/>
      <c r="F60" s="6" t="s">
        <v>47</v>
      </c>
      <c r="G60" s="6">
        <f t="shared" si="0"/>
        <v>40</v>
      </c>
      <c r="H60" s="6">
        <v>3.86</v>
      </c>
      <c r="I60" s="7">
        <f t="shared" si="1"/>
        <v>17.155555555555555</v>
      </c>
      <c r="J60" s="7"/>
      <c r="K60" s="7"/>
      <c r="L60" s="7"/>
      <c r="M60" s="7"/>
      <c r="N60" s="7"/>
      <c r="O60" s="7"/>
      <c r="P60" s="7"/>
      <c r="Q60" s="7"/>
      <c r="R60" s="14">
        <f t="shared" si="2"/>
        <v>1.0293333333333332</v>
      </c>
      <c r="S60" s="7"/>
      <c r="T60" s="7"/>
      <c r="U60" s="7"/>
      <c r="V60" s="7"/>
      <c r="W60" s="7"/>
      <c r="X60" s="14">
        <f t="shared" si="3"/>
        <v>0.71481481481481479</v>
      </c>
      <c r="Y60" s="7"/>
      <c r="Z60" s="7"/>
      <c r="AA60" s="7"/>
      <c r="AB60" s="8"/>
    </row>
    <row r="61" spans="1:28" x14ac:dyDescent="0.2">
      <c r="A61" s="46">
        <v>77035</v>
      </c>
      <c r="B61" s="42"/>
      <c r="C61" s="4" t="s">
        <v>32</v>
      </c>
      <c r="D61" s="42">
        <v>79585</v>
      </c>
      <c r="E61" s="42"/>
      <c r="F61" s="6" t="s">
        <v>47</v>
      </c>
      <c r="G61" s="6">
        <f t="shared" si="0"/>
        <v>2550</v>
      </c>
      <c r="H61" s="6">
        <v>2.91</v>
      </c>
      <c r="I61" s="7">
        <f t="shared" si="1"/>
        <v>824.5</v>
      </c>
      <c r="J61" s="7"/>
      <c r="K61" s="7"/>
      <c r="L61" s="7"/>
      <c r="M61" s="7"/>
      <c r="N61" s="7"/>
      <c r="O61" s="7"/>
      <c r="P61" s="7"/>
      <c r="Q61" s="7"/>
      <c r="R61" s="14">
        <f t="shared" si="2"/>
        <v>49.47</v>
      </c>
      <c r="S61" s="7"/>
      <c r="T61" s="7"/>
      <c r="U61" s="7"/>
      <c r="V61" s="7"/>
      <c r="W61" s="7"/>
      <c r="X61" s="14">
        <f t="shared" si="3"/>
        <v>34.354166666666664</v>
      </c>
      <c r="Y61" s="7"/>
      <c r="Z61" s="7"/>
      <c r="AA61" s="7"/>
      <c r="AB61" s="8"/>
    </row>
    <row r="62" spans="1:28" x14ac:dyDescent="0.2">
      <c r="A62" s="46">
        <v>79585</v>
      </c>
      <c r="B62" s="42"/>
      <c r="C62" s="4" t="s">
        <v>32</v>
      </c>
      <c r="D62" s="42">
        <v>79625</v>
      </c>
      <c r="E62" s="42"/>
      <c r="F62" s="6" t="s">
        <v>47</v>
      </c>
      <c r="G62" s="6">
        <f t="shared" si="0"/>
        <v>40</v>
      </c>
      <c r="H62" s="6">
        <v>3.86</v>
      </c>
      <c r="I62" s="7">
        <f t="shared" si="1"/>
        <v>17.155555555555555</v>
      </c>
      <c r="J62" s="7"/>
      <c r="K62" s="7"/>
      <c r="L62" s="7"/>
      <c r="M62" s="7"/>
      <c r="N62" s="7"/>
      <c r="O62" s="7"/>
      <c r="P62" s="7"/>
      <c r="Q62" s="7"/>
      <c r="R62" s="14">
        <f t="shared" si="2"/>
        <v>1.0293333333333332</v>
      </c>
      <c r="S62" s="7"/>
      <c r="T62" s="7"/>
      <c r="U62" s="7"/>
      <c r="V62" s="7"/>
      <c r="W62" s="7"/>
      <c r="X62" s="14">
        <f t="shared" si="3"/>
        <v>0.71481481481481479</v>
      </c>
      <c r="Y62" s="7"/>
      <c r="Z62" s="7"/>
      <c r="AA62" s="7"/>
      <c r="AB62" s="8"/>
    </row>
    <row r="63" spans="1:28" x14ac:dyDescent="0.2">
      <c r="A63" s="46">
        <v>79625</v>
      </c>
      <c r="B63" s="42"/>
      <c r="C63" s="4" t="s">
        <v>32</v>
      </c>
      <c r="D63" s="42">
        <v>79635</v>
      </c>
      <c r="E63" s="42"/>
      <c r="F63" s="6" t="s">
        <v>47</v>
      </c>
      <c r="G63" s="6">
        <f t="shared" si="0"/>
        <v>10</v>
      </c>
      <c r="H63" s="6">
        <v>4.8499999999999996</v>
      </c>
      <c r="I63" s="7">
        <f t="shared" si="1"/>
        <v>5.3888888888888893</v>
      </c>
      <c r="J63" s="7"/>
      <c r="K63" s="7"/>
      <c r="L63" s="7"/>
      <c r="M63" s="7"/>
      <c r="N63" s="7"/>
      <c r="O63" s="7"/>
      <c r="P63" s="7"/>
      <c r="Q63" s="7"/>
      <c r="R63" s="14">
        <f t="shared" si="2"/>
        <v>0.32333333333333336</v>
      </c>
      <c r="S63" s="7"/>
      <c r="T63" s="7"/>
      <c r="U63" s="7"/>
      <c r="V63" s="7"/>
      <c r="W63" s="7"/>
      <c r="X63" s="14">
        <f t="shared" si="3"/>
        <v>0.22453703703703703</v>
      </c>
      <c r="Y63" s="7"/>
      <c r="Z63" s="7"/>
      <c r="AA63" s="7"/>
      <c r="AB63" s="8"/>
    </row>
    <row r="64" spans="1:28" x14ac:dyDescent="0.2">
      <c r="A64" s="46">
        <v>79635</v>
      </c>
      <c r="B64" s="42"/>
      <c r="C64" s="4" t="s">
        <v>32</v>
      </c>
      <c r="D64" s="42">
        <v>79675</v>
      </c>
      <c r="E64" s="42"/>
      <c r="F64" s="6" t="s">
        <v>47</v>
      </c>
      <c r="G64" s="6">
        <f t="shared" si="0"/>
        <v>40</v>
      </c>
      <c r="H64" s="6">
        <v>3.86</v>
      </c>
      <c r="I64" s="7">
        <f t="shared" si="1"/>
        <v>17.155555555555555</v>
      </c>
      <c r="J64" s="7"/>
      <c r="K64" s="7"/>
      <c r="L64" s="7"/>
      <c r="M64" s="7"/>
      <c r="N64" s="7"/>
      <c r="O64" s="7"/>
      <c r="P64" s="7"/>
      <c r="Q64" s="7"/>
      <c r="R64" s="14">
        <f t="shared" si="2"/>
        <v>1.0293333333333332</v>
      </c>
      <c r="S64" s="7"/>
      <c r="T64" s="7"/>
      <c r="U64" s="7"/>
      <c r="V64" s="7"/>
      <c r="W64" s="7"/>
      <c r="X64" s="14">
        <f t="shared" si="3"/>
        <v>0.71481481481481479</v>
      </c>
      <c r="Y64" s="7"/>
      <c r="Z64" s="7"/>
      <c r="AA64" s="7"/>
      <c r="AB64" s="8"/>
    </row>
    <row r="65" spans="1:28" x14ac:dyDescent="0.2">
      <c r="A65" s="46">
        <v>79675</v>
      </c>
      <c r="B65" s="42"/>
      <c r="C65" s="4" t="s">
        <v>32</v>
      </c>
      <c r="D65" s="42">
        <v>82235</v>
      </c>
      <c r="E65" s="42"/>
      <c r="F65" s="6" t="s">
        <v>47</v>
      </c>
      <c r="G65" s="6">
        <f t="shared" si="0"/>
        <v>2560</v>
      </c>
      <c r="H65" s="6">
        <v>2.91</v>
      </c>
      <c r="I65" s="7">
        <f t="shared" si="1"/>
        <v>827.73333333333335</v>
      </c>
      <c r="J65" s="7"/>
      <c r="K65" s="7"/>
      <c r="L65" s="7"/>
      <c r="M65" s="7"/>
      <c r="N65" s="7"/>
      <c r="O65" s="7"/>
      <c r="P65" s="7"/>
      <c r="Q65" s="7"/>
      <c r="R65" s="14">
        <f t="shared" si="2"/>
        <v>49.664000000000001</v>
      </c>
      <c r="S65" s="7"/>
      <c r="T65" s="7"/>
      <c r="U65" s="7"/>
      <c r="V65" s="7"/>
      <c r="W65" s="7"/>
      <c r="X65" s="14">
        <f t="shared" si="3"/>
        <v>34.488888888888887</v>
      </c>
      <c r="Y65" s="7"/>
      <c r="Z65" s="7"/>
      <c r="AA65" s="7"/>
      <c r="AB65" s="8"/>
    </row>
    <row r="66" spans="1:28" x14ac:dyDescent="0.2">
      <c r="A66" s="46">
        <v>82235</v>
      </c>
      <c r="B66" s="42"/>
      <c r="C66" s="4" t="s">
        <v>32</v>
      </c>
      <c r="D66" s="42">
        <v>82275</v>
      </c>
      <c r="E66" s="42"/>
      <c r="F66" s="6" t="s">
        <v>47</v>
      </c>
      <c r="G66" s="6">
        <f t="shared" si="0"/>
        <v>40</v>
      </c>
      <c r="H66" s="6">
        <v>3.86</v>
      </c>
      <c r="I66" s="7">
        <f t="shared" si="1"/>
        <v>17.155555555555555</v>
      </c>
      <c r="J66" s="7"/>
      <c r="K66" s="7"/>
      <c r="L66" s="7"/>
      <c r="M66" s="7"/>
      <c r="N66" s="7"/>
      <c r="O66" s="7"/>
      <c r="P66" s="7"/>
      <c r="Q66" s="7"/>
      <c r="R66" s="14">
        <f t="shared" si="2"/>
        <v>1.0293333333333332</v>
      </c>
      <c r="S66" s="7"/>
      <c r="T66" s="7"/>
      <c r="U66" s="7"/>
      <c r="V66" s="7"/>
      <c r="W66" s="7"/>
      <c r="X66" s="14">
        <f t="shared" si="3"/>
        <v>0.71481481481481479</v>
      </c>
      <c r="Y66" s="7"/>
      <c r="Z66" s="7"/>
      <c r="AA66" s="7"/>
      <c r="AB66" s="8"/>
    </row>
    <row r="67" spans="1:28" x14ac:dyDescent="0.2">
      <c r="A67" s="46">
        <v>82275</v>
      </c>
      <c r="B67" s="42"/>
      <c r="C67" s="4" t="s">
        <v>32</v>
      </c>
      <c r="D67" s="42">
        <v>82285</v>
      </c>
      <c r="E67" s="42"/>
      <c r="F67" s="6" t="s">
        <v>47</v>
      </c>
      <c r="G67" s="6">
        <f t="shared" si="0"/>
        <v>10</v>
      </c>
      <c r="H67" s="6">
        <v>4.8499999999999996</v>
      </c>
      <c r="I67" s="7">
        <f t="shared" si="1"/>
        <v>5.3888888888888893</v>
      </c>
      <c r="J67" s="7"/>
      <c r="K67" s="7"/>
      <c r="L67" s="7"/>
      <c r="M67" s="7"/>
      <c r="N67" s="7"/>
      <c r="O67" s="7"/>
      <c r="P67" s="7"/>
      <c r="Q67" s="7"/>
      <c r="R67" s="14">
        <f t="shared" si="2"/>
        <v>0.32333333333333336</v>
      </c>
      <c r="S67" s="7"/>
      <c r="T67" s="7"/>
      <c r="U67" s="7"/>
      <c r="V67" s="7"/>
      <c r="W67" s="7"/>
      <c r="X67" s="14">
        <f t="shared" si="3"/>
        <v>0.22453703703703703</v>
      </c>
      <c r="Y67" s="7"/>
      <c r="Z67" s="7"/>
      <c r="AA67" s="7"/>
      <c r="AB67" s="8"/>
    </row>
    <row r="68" spans="1:28" x14ac:dyDescent="0.2">
      <c r="A68" s="46">
        <v>82285</v>
      </c>
      <c r="B68" s="42"/>
      <c r="C68" s="4" t="s">
        <v>32</v>
      </c>
      <c r="D68" s="42">
        <v>82325</v>
      </c>
      <c r="E68" s="42"/>
      <c r="F68" s="6" t="s">
        <v>47</v>
      </c>
      <c r="G68" s="6">
        <f t="shared" si="0"/>
        <v>40</v>
      </c>
      <c r="H68" s="6">
        <v>3.86</v>
      </c>
      <c r="I68" s="7">
        <f t="shared" si="1"/>
        <v>17.155555555555555</v>
      </c>
      <c r="J68" s="7"/>
      <c r="K68" s="7"/>
      <c r="L68" s="7"/>
      <c r="M68" s="7"/>
      <c r="N68" s="7"/>
      <c r="O68" s="7"/>
      <c r="P68" s="7"/>
      <c r="Q68" s="7"/>
      <c r="R68" s="14">
        <f t="shared" si="2"/>
        <v>1.0293333333333332</v>
      </c>
      <c r="S68" s="7"/>
      <c r="T68" s="7"/>
      <c r="U68" s="7"/>
      <c r="V68" s="7"/>
      <c r="W68" s="7"/>
      <c r="X68" s="14">
        <f t="shared" si="3"/>
        <v>0.71481481481481479</v>
      </c>
      <c r="Y68" s="7"/>
      <c r="Z68" s="7"/>
      <c r="AA68" s="7"/>
      <c r="AB68" s="8"/>
    </row>
    <row r="69" spans="1:28" x14ac:dyDescent="0.2">
      <c r="A69" s="46">
        <v>82325</v>
      </c>
      <c r="B69" s="42"/>
      <c r="C69" s="4" t="s">
        <v>32</v>
      </c>
      <c r="D69" s="42">
        <v>83170</v>
      </c>
      <c r="E69" s="42"/>
      <c r="F69" s="6" t="s">
        <v>47</v>
      </c>
      <c r="G69" s="6">
        <f t="shared" si="0"/>
        <v>845</v>
      </c>
      <c r="H69" s="6">
        <v>2.91</v>
      </c>
      <c r="I69" s="7">
        <f t="shared" si="1"/>
        <v>273.2166666666667</v>
      </c>
      <c r="J69" s="7"/>
      <c r="K69" s="7"/>
      <c r="L69" s="7"/>
      <c r="M69" s="7"/>
      <c r="N69" s="7"/>
      <c r="O69" s="7"/>
      <c r="P69" s="7"/>
      <c r="Q69" s="7"/>
      <c r="R69" s="14">
        <f t="shared" si="2"/>
        <v>16.393000000000001</v>
      </c>
      <c r="S69" s="7"/>
      <c r="T69" s="7"/>
      <c r="U69" s="7"/>
      <c r="V69" s="7"/>
      <c r="W69" s="7"/>
      <c r="X69" s="14">
        <f t="shared" si="3"/>
        <v>11.384027777777778</v>
      </c>
      <c r="Y69" s="7"/>
      <c r="Z69" s="7"/>
      <c r="AA69" s="7"/>
      <c r="AB69" s="8"/>
    </row>
    <row r="70" spans="1:28" x14ac:dyDescent="0.2">
      <c r="A70" s="43"/>
      <c r="B70" s="43"/>
      <c r="C70" s="43"/>
      <c r="D70" s="43"/>
      <c r="E70" s="44"/>
      <c r="F70" s="6"/>
      <c r="G70" s="6"/>
      <c r="H70" s="6"/>
      <c r="I70" s="7"/>
      <c r="J70" s="7"/>
      <c r="K70" s="7"/>
      <c r="L70" s="7"/>
      <c r="M70" s="7"/>
      <c r="N70" s="7"/>
      <c r="O70" s="7"/>
      <c r="P70" s="7"/>
      <c r="Q70" s="7"/>
      <c r="R70" s="7"/>
      <c r="S70" s="7"/>
      <c r="T70" s="7"/>
      <c r="U70" s="7"/>
      <c r="V70" s="7"/>
      <c r="W70" s="7"/>
      <c r="X70" s="7"/>
      <c r="Y70" s="7"/>
      <c r="Z70" s="7"/>
      <c r="AA70" s="7"/>
      <c r="AB70" s="8"/>
    </row>
    <row r="71" spans="1:28" x14ac:dyDescent="0.2">
      <c r="A71" s="43" t="s">
        <v>51</v>
      </c>
      <c r="B71" s="43"/>
      <c r="C71" s="43"/>
      <c r="D71" s="43"/>
      <c r="E71" s="44"/>
      <c r="F71" s="6"/>
      <c r="G71" s="6"/>
      <c r="H71" s="6"/>
      <c r="I71" s="7"/>
      <c r="J71" s="7"/>
      <c r="K71" s="14">
        <f>(34*(51.455/9))</f>
        <v>194.38555555555556</v>
      </c>
      <c r="L71" s="7"/>
      <c r="M71" s="7"/>
      <c r="N71" s="7"/>
      <c r="O71" s="14">
        <f>34*((94.83*(5.5/12))/27)</f>
        <v>54.732129629629625</v>
      </c>
      <c r="P71" s="14">
        <f>34*((51.455*(5.5/12))/27)</f>
        <v>29.69779320987654</v>
      </c>
      <c r="Q71" s="7"/>
      <c r="R71" s="14">
        <f>34*(((94.83/9)*0.06))</f>
        <v>21.494799999999998</v>
      </c>
      <c r="S71" s="7"/>
      <c r="T71" s="7"/>
      <c r="U71" s="7"/>
      <c r="V71" s="7"/>
      <c r="W71" s="7"/>
      <c r="X71" s="14">
        <f>34*((94.83*(1.75/12))/27)</f>
        <v>17.414768518518517</v>
      </c>
      <c r="Y71" s="7"/>
      <c r="Z71" s="7"/>
      <c r="AA71" s="7"/>
      <c r="AB71" s="8"/>
    </row>
    <row r="72" spans="1:28" x14ac:dyDescent="0.2">
      <c r="A72" s="43" t="s">
        <v>50</v>
      </c>
      <c r="B72" s="43"/>
      <c r="C72" s="43"/>
      <c r="D72" s="43"/>
      <c r="E72" s="44"/>
      <c r="F72" s="6"/>
      <c r="G72" s="6"/>
      <c r="H72" s="6"/>
      <c r="I72" s="7"/>
      <c r="J72" s="7"/>
      <c r="K72" s="7"/>
      <c r="L72" s="7"/>
      <c r="M72" s="7"/>
      <c r="N72" s="7"/>
      <c r="O72" s="14">
        <f>107*((42.3*(5.5/12))/27)</f>
        <v>76.831944444444446</v>
      </c>
      <c r="P72" s="14">
        <f>107*((42.3*(0.25/12))/27)</f>
        <v>3.4923611111111104</v>
      </c>
      <c r="Q72" s="7"/>
      <c r="R72" s="14">
        <f>107*(((42.3/9)*0.06))</f>
        <v>30.173999999999996</v>
      </c>
      <c r="S72" s="7"/>
      <c r="T72" s="7"/>
      <c r="U72" s="7"/>
      <c r="V72" s="7"/>
      <c r="W72" s="7"/>
      <c r="X72" s="14">
        <f>107*((42.3*(1.75/12))/27)</f>
        <v>24.446527777777778</v>
      </c>
      <c r="Y72" s="7"/>
      <c r="Z72" s="7"/>
      <c r="AA72" s="7"/>
      <c r="AB72" s="8"/>
    </row>
    <row r="73" spans="1:28" x14ac:dyDescent="0.2">
      <c r="A73" s="43"/>
      <c r="B73" s="43"/>
      <c r="C73" s="43"/>
      <c r="D73" s="43"/>
      <c r="E73" s="44"/>
      <c r="F73" s="6"/>
      <c r="G73" s="6"/>
      <c r="H73" s="6"/>
      <c r="I73" s="7"/>
      <c r="J73" s="7"/>
      <c r="K73" s="7"/>
      <c r="L73" s="7"/>
      <c r="M73" s="7"/>
      <c r="N73" s="7"/>
      <c r="O73" s="7"/>
      <c r="P73" s="7"/>
      <c r="Q73" s="7"/>
      <c r="R73" s="7"/>
      <c r="S73" s="7"/>
      <c r="T73" s="7"/>
      <c r="U73" s="7"/>
      <c r="V73" s="7"/>
      <c r="W73" s="7"/>
      <c r="X73" s="7"/>
      <c r="Y73" s="7"/>
      <c r="Z73" s="7"/>
      <c r="AA73" s="7"/>
      <c r="AB73" s="8"/>
    </row>
    <row r="74" spans="1:28" ht="12.75" customHeight="1" x14ac:dyDescent="0.2">
      <c r="A74" s="37" t="s">
        <v>132</v>
      </c>
      <c r="B74" s="38"/>
      <c r="C74" s="38"/>
      <c r="D74" s="38"/>
      <c r="E74" s="38"/>
      <c r="F74" s="38"/>
      <c r="G74" s="38"/>
      <c r="H74" s="38"/>
      <c r="I74" s="38"/>
      <c r="J74" s="48">
        <f>ROUNDUP(SUM(J19:J34)-(SUM(J35:J73)),0)</f>
        <v>72</v>
      </c>
      <c r="K74" s="60">
        <f t="shared" ref="K74:P74" si="4">ROUNDUP(SUM(K19:K34)-(SUM(K35:K73)),0)</f>
        <v>54467</v>
      </c>
      <c r="L74" s="48">
        <f t="shared" si="4"/>
        <v>0</v>
      </c>
      <c r="M74" s="48">
        <f t="shared" si="4"/>
        <v>0</v>
      </c>
      <c r="N74" s="48">
        <f t="shared" si="4"/>
        <v>0</v>
      </c>
      <c r="O74" s="48">
        <f t="shared" si="4"/>
        <v>8256</v>
      </c>
      <c r="P74" s="48">
        <f t="shared" si="4"/>
        <v>9078</v>
      </c>
      <c r="Q74" s="51">
        <f>ROUNDUP(SUM(Q19:S34)-(SUM(Q35:S73)),0)</f>
        <v>6219</v>
      </c>
      <c r="R74" s="62"/>
      <c r="S74" s="63"/>
      <c r="T74" s="48">
        <f>ROUNDUP(SUM(T19:T34)-(SUM(T35:T73)),0)</f>
        <v>0</v>
      </c>
      <c r="U74" s="48">
        <f t="shared" ref="U74:AB74" si="5">ROUNDUP(SUM(U19:U34)-(SUM(U35:U73)),0)</f>
        <v>0</v>
      </c>
      <c r="V74" s="48">
        <f t="shared" si="5"/>
        <v>43</v>
      </c>
      <c r="W74" s="48">
        <f t="shared" si="5"/>
        <v>0</v>
      </c>
      <c r="X74" s="48">
        <f t="shared" si="5"/>
        <v>1996</v>
      </c>
      <c r="Y74" s="48">
        <f t="shared" si="5"/>
        <v>2681</v>
      </c>
      <c r="Z74" s="48">
        <f t="shared" si="5"/>
        <v>0</v>
      </c>
      <c r="AA74" s="48">
        <f t="shared" si="5"/>
        <v>4244</v>
      </c>
      <c r="AB74" s="50">
        <f t="shared" si="5"/>
        <v>4244</v>
      </c>
    </row>
    <row r="75" spans="1:28" ht="12.75" customHeight="1" x14ac:dyDescent="0.2">
      <c r="A75" s="58"/>
      <c r="B75" s="59"/>
      <c r="C75" s="59"/>
      <c r="D75" s="59"/>
      <c r="E75" s="59"/>
      <c r="F75" s="59"/>
      <c r="G75" s="59"/>
      <c r="H75" s="59"/>
      <c r="I75" s="59"/>
      <c r="J75" s="49"/>
      <c r="K75" s="61"/>
      <c r="L75" s="49"/>
      <c r="M75" s="49"/>
      <c r="N75" s="49"/>
      <c r="O75" s="49"/>
      <c r="P75" s="49"/>
      <c r="Q75" s="64"/>
      <c r="R75" s="65"/>
      <c r="S75" s="66"/>
      <c r="T75" s="49"/>
      <c r="U75" s="49"/>
      <c r="V75" s="49"/>
      <c r="W75" s="49"/>
      <c r="X75" s="49"/>
      <c r="Y75" s="49"/>
      <c r="Z75" s="49"/>
      <c r="AA75" s="49"/>
      <c r="AB75" s="51"/>
    </row>
  </sheetData>
  <mergeCells count="139">
    <mergeCell ref="A28:E28"/>
    <mergeCell ref="A29:E29"/>
    <mergeCell ref="A35:E35"/>
    <mergeCell ref="A34:E34"/>
    <mergeCell ref="A65:B65"/>
    <mergeCell ref="D65:E65"/>
    <mergeCell ref="A66:B66"/>
    <mergeCell ref="A56:B56"/>
    <mergeCell ref="D56:E56"/>
    <mergeCell ref="A52:B52"/>
    <mergeCell ref="D52:E52"/>
    <mergeCell ref="A53:B53"/>
    <mergeCell ref="D53:E53"/>
    <mergeCell ref="A47:B47"/>
    <mergeCell ref="A62:B62"/>
    <mergeCell ref="D62:E62"/>
    <mergeCell ref="A63:B63"/>
    <mergeCell ref="D63:E63"/>
    <mergeCell ref="A64:B64"/>
    <mergeCell ref="D64:E64"/>
    <mergeCell ref="A58:B58"/>
    <mergeCell ref="D58:E58"/>
    <mergeCell ref="A59:B59"/>
    <mergeCell ref="D59:E59"/>
    <mergeCell ref="K74:K75"/>
    <mergeCell ref="L74:L75"/>
    <mergeCell ref="M74:M75"/>
    <mergeCell ref="N74:N75"/>
    <mergeCell ref="O74:O75"/>
    <mergeCell ref="P74:P75"/>
    <mergeCell ref="A72:E72"/>
    <mergeCell ref="A73:E73"/>
    <mergeCell ref="A74:I75"/>
    <mergeCell ref="J74:J75"/>
    <mergeCell ref="Y74:Y75"/>
    <mergeCell ref="Z74:Z75"/>
    <mergeCell ref="AA74:AA75"/>
    <mergeCell ref="AB74:AB75"/>
    <mergeCell ref="Q74:S75"/>
    <mergeCell ref="T74:T75"/>
    <mergeCell ref="U74:U75"/>
    <mergeCell ref="V74:V75"/>
    <mergeCell ref="W74:W75"/>
    <mergeCell ref="X74:X75"/>
    <mergeCell ref="A67:B67"/>
    <mergeCell ref="D67:E67"/>
    <mergeCell ref="A68:B68"/>
    <mergeCell ref="D68:E68"/>
    <mergeCell ref="A69:B69"/>
    <mergeCell ref="D69:E69"/>
    <mergeCell ref="D66:E66"/>
    <mergeCell ref="A71:E71"/>
    <mergeCell ref="A70:E70"/>
    <mergeCell ref="A60:B60"/>
    <mergeCell ref="D60:E60"/>
    <mergeCell ref="A61:B61"/>
    <mergeCell ref="D61:E61"/>
    <mergeCell ref="A54:B54"/>
    <mergeCell ref="D54:E54"/>
    <mergeCell ref="A55:B55"/>
    <mergeCell ref="D55:E55"/>
    <mergeCell ref="A57:B57"/>
    <mergeCell ref="D57:E57"/>
    <mergeCell ref="A50:B50"/>
    <mergeCell ref="D50:E50"/>
    <mergeCell ref="A51:B51"/>
    <mergeCell ref="D51:E51"/>
    <mergeCell ref="A44:B44"/>
    <mergeCell ref="D44:E44"/>
    <mergeCell ref="A45:B45"/>
    <mergeCell ref="D45:E45"/>
    <mergeCell ref="A46:B46"/>
    <mergeCell ref="D46:E46"/>
    <mergeCell ref="D47:E47"/>
    <mergeCell ref="A48:B48"/>
    <mergeCell ref="D48:E48"/>
    <mergeCell ref="A49:B49"/>
    <mergeCell ref="D49:E49"/>
    <mergeCell ref="A41:B41"/>
    <mergeCell ref="D41:E41"/>
    <mergeCell ref="A42:B42"/>
    <mergeCell ref="D42:E42"/>
    <mergeCell ref="A43:B43"/>
    <mergeCell ref="D43:E43"/>
    <mergeCell ref="A38:B38"/>
    <mergeCell ref="D38:E38"/>
    <mergeCell ref="A39:B39"/>
    <mergeCell ref="D39:E39"/>
    <mergeCell ref="A40:B40"/>
    <mergeCell ref="D40:E40"/>
    <mergeCell ref="A36:B36"/>
    <mergeCell ref="D36:E36"/>
    <mergeCell ref="A37:B37"/>
    <mergeCell ref="D37:E37"/>
    <mergeCell ref="A32:B32"/>
    <mergeCell ref="D32:E32"/>
    <mergeCell ref="A33:B33"/>
    <mergeCell ref="D33:E33"/>
    <mergeCell ref="A30:B30"/>
    <mergeCell ref="D30:E30"/>
    <mergeCell ref="A31:B31"/>
    <mergeCell ref="D31:E31"/>
    <mergeCell ref="A26:B26"/>
    <mergeCell ref="D26:E26"/>
    <mergeCell ref="A27:B27"/>
    <mergeCell ref="D27:E27"/>
    <mergeCell ref="A22:B22"/>
    <mergeCell ref="D22:E22"/>
    <mergeCell ref="A23:B23"/>
    <mergeCell ref="D23:E23"/>
    <mergeCell ref="A19:E19"/>
    <mergeCell ref="A20:E20"/>
    <mergeCell ref="A21:E21"/>
    <mergeCell ref="A24:E24"/>
    <mergeCell ref="A25:E25"/>
    <mergeCell ref="W2:W16"/>
    <mergeCell ref="X2:X16"/>
    <mergeCell ref="Y2:Y16"/>
    <mergeCell ref="Z2:Z16"/>
    <mergeCell ref="AA2:AA17"/>
    <mergeCell ref="AB2:AB17"/>
    <mergeCell ref="Q2:Q16"/>
    <mergeCell ref="R2:R16"/>
    <mergeCell ref="S2:S16"/>
    <mergeCell ref="T2:T16"/>
    <mergeCell ref="U2:U16"/>
    <mergeCell ref="V2:V17"/>
    <mergeCell ref="K2:K17"/>
    <mergeCell ref="L2:L17"/>
    <mergeCell ref="M2:M17"/>
    <mergeCell ref="N2:N17"/>
    <mergeCell ref="O2:O16"/>
    <mergeCell ref="P2:P16"/>
    <mergeCell ref="A1:E18"/>
    <mergeCell ref="F1:F18"/>
    <mergeCell ref="G1:G18"/>
    <mergeCell ref="H1:H18"/>
    <mergeCell ref="I1:I18"/>
    <mergeCell ref="J2:J17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278713-F4C4-41B8-81A4-04F0CB9274B0}">
  <dimension ref="A1:AB75"/>
  <sheetViews>
    <sheetView showZeros="0" topLeftCell="A34" zoomScale="85" zoomScaleNormal="85" workbookViewId="0">
      <selection activeCell="A74" sqref="A74:I75"/>
    </sheetView>
  </sheetViews>
  <sheetFormatPr defaultRowHeight="12.75" x14ac:dyDescent="0.2"/>
  <cols>
    <col min="1" max="2" width="10.7109375" style="1" customWidth="1"/>
    <col min="3" max="3" width="3.7109375" style="1" customWidth="1"/>
    <col min="4" max="5" width="10.7109375" style="1" customWidth="1"/>
    <col min="6" max="8" width="9.7109375" style="1" customWidth="1"/>
    <col min="9" max="9" width="9.7109375" style="15" customWidth="1"/>
    <col min="10" max="28" width="9.42578125" style="1" customWidth="1"/>
    <col min="29" max="36" width="9.7109375" style="1" customWidth="1"/>
    <col min="37" max="16384" width="9.140625" style="1"/>
  </cols>
  <sheetData>
    <row r="1" spans="1:28" ht="12.75" customHeight="1" x14ac:dyDescent="0.2">
      <c r="A1" s="35" t="s">
        <v>118</v>
      </c>
      <c r="B1" s="36"/>
      <c r="C1" s="36"/>
      <c r="D1" s="36"/>
      <c r="E1" s="36"/>
      <c r="F1" s="39" t="s">
        <v>29</v>
      </c>
      <c r="G1" s="39" t="s">
        <v>30</v>
      </c>
      <c r="H1" s="41" t="s">
        <v>36</v>
      </c>
      <c r="I1" s="67" t="s">
        <v>31</v>
      </c>
      <c r="J1" s="2">
        <v>202</v>
      </c>
      <c r="K1" s="2">
        <v>206</v>
      </c>
      <c r="L1" s="2">
        <v>254</v>
      </c>
      <c r="M1" s="2">
        <v>254</v>
      </c>
      <c r="N1" s="2">
        <v>255</v>
      </c>
      <c r="O1" s="2">
        <v>302</v>
      </c>
      <c r="P1" s="2">
        <v>304</v>
      </c>
      <c r="Q1" s="2">
        <v>407</v>
      </c>
      <c r="R1" s="2">
        <v>407</v>
      </c>
      <c r="S1" s="2">
        <v>407</v>
      </c>
      <c r="T1" s="2">
        <v>408</v>
      </c>
      <c r="U1" s="2">
        <v>441</v>
      </c>
      <c r="V1" s="2">
        <v>442</v>
      </c>
      <c r="W1" s="2">
        <v>442</v>
      </c>
      <c r="X1" s="2">
        <v>442</v>
      </c>
      <c r="Y1" s="2">
        <v>442</v>
      </c>
      <c r="Z1" s="2">
        <v>617</v>
      </c>
      <c r="AA1" s="2">
        <v>874</v>
      </c>
      <c r="AB1" s="3">
        <v>874</v>
      </c>
    </row>
    <row r="2" spans="1:28" ht="12.75" customHeight="1" x14ac:dyDescent="0.2">
      <c r="A2" s="37"/>
      <c r="B2" s="38"/>
      <c r="C2" s="38"/>
      <c r="D2" s="38"/>
      <c r="E2" s="38"/>
      <c r="F2" s="40"/>
      <c r="G2" s="40"/>
      <c r="H2" s="41"/>
      <c r="I2" s="68"/>
      <c r="J2" s="29" t="s">
        <v>0</v>
      </c>
      <c r="K2" s="28" t="s">
        <v>2</v>
      </c>
      <c r="L2" s="28" t="s">
        <v>3</v>
      </c>
      <c r="M2" s="28" t="s">
        <v>6</v>
      </c>
      <c r="N2" s="29" t="s">
        <v>4</v>
      </c>
      <c r="O2" s="28" t="s">
        <v>22</v>
      </c>
      <c r="P2" s="29" t="s">
        <v>8</v>
      </c>
      <c r="Q2" s="32" t="s">
        <v>12</v>
      </c>
      <c r="R2" s="28" t="s">
        <v>11</v>
      </c>
      <c r="S2" s="28" t="s">
        <v>11</v>
      </c>
      <c r="T2" s="29" t="s">
        <v>17</v>
      </c>
      <c r="U2" s="28" t="s">
        <v>19</v>
      </c>
      <c r="V2" s="29" t="s">
        <v>21</v>
      </c>
      <c r="W2" s="28" t="s">
        <v>109</v>
      </c>
      <c r="X2" s="28" t="s">
        <v>23</v>
      </c>
      <c r="Y2" s="28" t="s">
        <v>110</v>
      </c>
      <c r="Z2" s="28" t="s">
        <v>25</v>
      </c>
      <c r="AA2" s="28" t="s">
        <v>27</v>
      </c>
      <c r="AB2" s="30" t="s">
        <v>28</v>
      </c>
    </row>
    <row r="3" spans="1:28" ht="12.75" customHeight="1" x14ac:dyDescent="0.2">
      <c r="A3" s="37"/>
      <c r="B3" s="38"/>
      <c r="C3" s="38"/>
      <c r="D3" s="38"/>
      <c r="E3" s="38"/>
      <c r="F3" s="40"/>
      <c r="G3" s="40"/>
      <c r="H3" s="41"/>
      <c r="I3" s="68"/>
      <c r="J3" s="29"/>
      <c r="K3" s="29"/>
      <c r="L3" s="29"/>
      <c r="M3" s="29"/>
      <c r="N3" s="29"/>
      <c r="O3" s="29"/>
      <c r="P3" s="29"/>
      <c r="Q3" s="33"/>
      <c r="R3" s="29"/>
      <c r="S3" s="29"/>
      <c r="T3" s="29"/>
      <c r="U3" s="29"/>
      <c r="V3" s="29"/>
      <c r="W3" s="29"/>
      <c r="X3" s="29"/>
      <c r="Y3" s="29"/>
      <c r="Z3" s="29"/>
      <c r="AA3" s="29"/>
      <c r="AB3" s="31"/>
    </row>
    <row r="4" spans="1:28" ht="12.75" customHeight="1" x14ac:dyDescent="0.2">
      <c r="A4" s="37"/>
      <c r="B4" s="38"/>
      <c r="C4" s="38"/>
      <c r="D4" s="38"/>
      <c r="E4" s="38"/>
      <c r="F4" s="40"/>
      <c r="G4" s="40"/>
      <c r="H4" s="41"/>
      <c r="I4" s="68"/>
      <c r="J4" s="29"/>
      <c r="K4" s="29"/>
      <c r="L4" s="29"/>
      <c r="M4" s="29"/>
      <c r="N4" s="29"/>
      <c r="O4" s="29"/>
      <c r="P4" s="29"/>
      <c r="Q4" s="33"/>
      <c r="R4" s="29"/>
      <c r="S4" s="29"/>
      <c r="T4" s="29"/>
      <c r="U4" s="29"/>
      <c r="V4" s="29"/>
      <c r="W4" s="29"/>
      <c r="X4" s="29"/>
      <c r="Y4" s="29"/>
      <c r="Z4" s="29"/>
      <c r="AA4" s="29"/>
      <c r="AB4" s="31"/>
    </row>
    <row r="5" spans="1:28" ht="12.75" customHeight="1" x14ac:dyDescent="0.2">
      <c r="A5" s="37"/>
      <c r="B5" s="38"/>
      <c r="C5" s="38"/>
      <c r="D5" s="38"/>
      <c r="E5" s="38"/>
      <c r="F5" s="40"/>
      <c r="G5" s="40"/>
      <c r="H5" s="41"/>
      <c r="I5" s="68"/>
      <c r="J5" s="29"/>
      <c r="K5" s="29"/>
      <c r="L5" s="29"/>
      <c r="M5" s="29"/>
      <c r="N5" s="29"/>
      <c r="O5" s="29"/>
      <c r="P5" s="29"/>
      <c r="Q5" s="33"/>
      <c r="R5" s="29"/>
      <c r="S5" s="29"/>
      <c r="T5" s="29"/>
      <c r="U5" s="29"/>
      <c r="V5" s="29"/>
      <c r="W5" s="29"/>
      <c r="X5" s="29"/>
      <c r="Y5" s="29"/>
      <c r="Z5" s="29"/>
      <c r="AA5" s="29"/>
      <c r="AB5" s="31"/>
    </row>
    <row r="6" spans="1:28" ht="12.75" customHeight="1" x14ac:dyDescent="0.2">
      <c r="A6" s="37"/>
      <c r="B6" s="38"/>
      <c r="C6" s="38"/>
      <c r="D6" s="38"/>
      <c r="E6" s="38"/>
      <c r="F6" s="40"/>
      <c r="G6" s="40"/>
      <c r="H6" s="41"/>
      <c r="I6" s="68"/>
      <c r="J6" s="29"/>
      <c r="K6" s="29"/>
      <c r="L6" s="29"/>
      <c r="M6" s="29"/>
      <c r="N6" s="29"/>
      <c r="O6" s="29"/>
      <c r="P6" s="29"/>
      <c r="Q6" s="33"/>
      <c r="R6" s="29"/>
      <c r="S6" s="29"/>
      <c r="T6" s="29"/>
      <c r="U6" s="29"/>
      <c r="V6" s="29"/>
      <c r="W6" s="29"/>
      <c r="X6" s="29"/>
      <c r="Y6" s="29"/>
      <c r="Z6" s="29"/>
      <c r="AA6" s="29"/>
      <c r="AB6" s="31"/>
    </row>
    <row r="7" spans="1:28" ht="12.75" customHeight="1" x14ac:dyDescent="0.2">
      <c r="A7" s="37"/>
      <c r="B7" s="38"/>
      <c r="C7" s="38"/>
      <c r="D7" s="38"/>
      <c r="E7" s="38"/>
      <c r="F7" s="40"/>
      <c r="G7" s="40"/>
      <c r="H7" s="41"/>
      <c r="I7" s="68"/>
      <c r="J7" s="29"/>
      <c r="K7" s="29"/>
      <c r="L7" s="29"/>
      <c r="M7" s="29"/>
      <c r="N7" s="29"/>
      <c r="O7" s="29"/>
      <c r="P7" s="29"/>
      <c r="Q7" s="33"/>
      <c r="R7" s="29"/>
      <c r="S7" s="29"/>
      <c r="T7" s="29"/>
      <c r="U7" s="29"/>
      <c r="V7" s="29"/>
      <c r="W7" s="29"/>
      <c r="X7" s="29"/>
      <c r="Y7" s="29"/>
      <c r="Z7" s="29"/>
      <c r="AA7" s="29"/>
      <c r="AB7" s="31"/>
    </row>
    <row r="8" spans="1:28" ht="12.75" customHeight="1" x14ac:dyDescent="0.2">
      <c r="A8" s="37"/>
      <c r="B8" s="38"/>
      <c r="C8" s="38"/>
      <c r="D8" s="38"/>
      <c r="E8" s="38"/>
      <c r="F8" s="40"/>
      <c r="G8" s="40"/>
      <c r="H8" s="41"/>
      <c r="I8" s="68"/>
      <c r="J8" s="29"/>
      <c r="K8" s="29"/>
      <c r="L8" s="29"/>
      <c r="M8" s="29"/>
      <c r="N8" s="29"/>
      <c r="O8" s="29"/>
      <c r="P8" s="29"/>
      <c r="Q8" s="33"/>
      <c r="R8" s="29"/>
      <c r="S8" s="29"/>
      <c r="T8" s="29"/>
      <c r="U8" s="29"/>
      <c r="V8" s="29"/>
      <c r="W8" s="29"/>
      <c r="X8" s="29"/>
      <c r="Y8" s="29"/>
      <c r="Z8" s="29"/>
      <c r="AA8" s="29"/>
      <c r="AB8" s="31"/>
    </row>
    <row r="9" spans="1:28" ht="12.75" customHeight="1" x14ac:dyDescent="0.2">
      <c r="A9" s="37"/>
      <c r="B9" s="38"/>
      <c r="C9" s="38"/>
      <c r="D9" s="38"/>
      <c r="E9" s="38"/>
      <c r="F9" s="40"/>
      <c r="G9" s="40"/>
      <c r="H9" s="41"/>
      <c r="I9" s="68"/>
      <c r="J9" s="29"/>
      <c r="K9" s="29"/>
      <c r="L9" s="29"/>
      <c r="M9" s="29"/>
      <c r="N9" s="29"/>
      <c r="O9" s="29"/>
      <c r="P9" s="29"/>
      <c r="Q9" s="33"/>
      <c r="R9" s="29"/>
      <c r="S9" s="29"/>
      <c r="T9" s="29"/>
      <c r="U9" s="29"/>
      <c r="V9" s="29"/>
      <c r="W9" s="29"/>
      <c r="X9" s="29"/>
      <c r="Y9" s="29"/>
      <c r="Z9" s="29"/>
      <c r="AA9" s="29"/>
      <c r="AB9" s="31"/>
    </row>
    <row r="10" spans="1:28" ht="12.75" customHeight="1" x14ac:dyDescent="0.2">
      <c r="A10" s="37"/>
      <c r="B10" s="38"/>
      <c r="C10" s="38"/>
      <c r="D10" s="38"/>
      <c r="E10" s="38"/>
      <c r="F10" s="40"/>
      <c r="G10" s="40"/>
      <c r="H10" s="41"/>
      <c r="I10" s="68"/>
      <c r="J10" s="29"/>
      <c r="K10" s="29"/>
      <c r="L10" s="29"/>
      <c r="M10" s="29"/>
      <c r="N10" s="29"/>
      <c r="O10" s="29"/>
      <c r="P10" s="29"/>
      <c r="Q10" s="33"/>
      <c r="R10" s="29"/>
      <c r="S10" s="29"/>
      <c r="T10" s="29"/>
      <c r="U10" s="29"/>
      <c r="V10" s="29"/>
      <c r="W10" s="29"/>
      <c r="X10" s="29"/>
      <c r="Y10" s="29"/>
      <c r="Z10" s="29"/>
      <c r="AA10" s="29"/>
      <c r="AB10" s="31"/>
    </row>
    <row r="11" spans="1:28" ht="12.75" customHeight="1" x14ac:dyDescent="0.2">
      <c r="A11" s="37"/>
      <c r="B11" s="38"/>
      <c r="C11" s="38"/>
      <c r="D11" s="38"/>
      <c r="E11" s="38"/>
      <c r="F11" s="40"/>
      <c r="G11" s="40"/>
      <c r="H11" s="41"/>
      <c r="I11" s="68"/>
      <c r="J11" s="29"/>
      <c r="K11" s="29"/>
      <c r="L11" s="29"/>
      <c r="M11" s="29"/>
      <c r="N11" s="29"/>
      <c r="O11" s="29"/>
      <c r="P11" s="29"/>
      <c r="Q11" s="33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31"/>
    </row>
    <row r="12" spans="1:28" ht="12.75" customHeight="1" x14ac:dyDescent="0.2">
      <c r="A12" s="37"/>
      <c r="B12" s="38"/>
      <c r="C12" s="38"/>
      <c r="D12" s="38"/>
      <c r="E12" s="38"/>
      <c r="F12" s="40"/>
      <c r="G12" s="40"/>
      <c r="H12" s="41"/>
      <c r="I12" s="68"/>
      <c r="J12" s="29"/>
      <c r="K12" s="29"/>
      <c r="L12" s="29"/>
      <c r="M12" s="29"/>
      <c r="N12" s="29"/>
      <c r="O12" s="29"/>
      <c r="P12" s="29"/>
      <c r="Q12" s="33"/>
      <c r="R12" s="29"/>
      <c r="S12" s="29"/>
      <c r="T12" s="29"/>
      <c r="U12" s="29"/>
      <c r="V12" s="29"/>
      <c r="W12" s="29"/>
      <c r="X12" s="29"/>
      <c r="Y12" s="29"/>
      <c r="Z12" s="29"/>
      <c r="AA12" s="29"/>
      <c r="AB12" s="31"/>
    </row>
    <row r="13" spans="1:28" ht="12.75" customHeight="1" x14ac:dyDescent="0.2">
      <c r="A13" s="37"/>
      <c r="B13" s="38"/>
      <c r="C13" s="38"/>
      <c r="D13" s="38"/>
      <c r="E13" s="38"/>
      <c r="F13" s="40"/>
      <c r="G13" s="40"/>
      <c r="H13" s="41"/>
      <c r="I13" s="68"/>
      <c r="J13" s="29"/>
      <c r="K13" s="29"/>
      <c r="L13" s="29"/>
      <c r="M13" s="29"/>
      <c r="N13" s="29"/>
      <c r="O13" s="29"/>
      <c r="P13" s="29"/>
      <c r="Q13" s="33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31"/>
    </row>
    <row r="14" spans="1:28" ht="12.75" customHeight="1" x14ac:dyDescent="0.2">
      <c r="A14" s="37"/>
      <c r="B14" s="38"/>
      <c r="C14" s="38"/>
      <c r="D14" s="38"/>
      <c r="E14" s="38"/>
      <c r="F14" s="40"/>
      <c r="G14" s="40"/>
      <c r="H14" s="41"/>
      <c r="I14" s="68"/>
      <c r="J14" s="29"/>
      <c r="K14" s="29"/>
      <c r="L14" s="29"/>
      <c r="M14" s="29"/>
      <c r="N14" s="29"/>
      <c r="O14" s="29"/>
      <c r="P14" s="29"/>
      <c r="Q14" s="33"/>
      <c r="R14" s="29"/>
      <c r="S14" s="29"/>
      <c r="T14" s="29"/>
      <c r="U14" s="29"/>
      <c r="V14" s="29"/>
      <c r="W14" s="29"/>
      <c r="X14" s="29"/>
      <c r="Y14" s="29"/>
      <c r="Z14" s="29"/>
      <c r="AA14" s="29"/>
      <c r="AB14" s="31"/>
    </row>
    <row r="15" spans="1:28" ht="12.75" customHeight="1" x14ac:dyDescent="0.2">
      <c r="A15" s="37"/>
      <c r="B15" s="38"/>
      <c r="C15" s="38"/>
      <c r="D15" s="38"/>
      <c r="E15" s="38"/>
      <c r="F15" s="40"/>
      <c r="G15" s="40"/>
      <c r="H15" s="41"/>
      <c r="I15" s="68"/>
      <c r="J15" s="29"/>
      <c r="K15" s="29"/>
      <c r="L15" s="29"/>
      <c r="M15" s="29"/>
      <c r="N15" s="29"/>
      <c r="O15" s="29"/>
      <c r="P15" s="29"/>
      <c r="Q15" s="33"/>
      <c r="R15" s="29"/>
      <c r="S15" s="29"/>
      <c r="T15" s="29"/>
      <c r="U15" s="29"/>
      <c r="V15" s="29"/>
      <c r="W15" s="29"/>
      <c r="X15" s="29"/>
      <c r="Y15" s="29"/>
      <c r="Z15" s="29"/>
      <c r="AA15" s="29"/>
      <c r="AB15" s="31"/>
    </row>
    <row r="16" spans="1:28" ht="12.75" customHeight="1" x14ac:dyDescent="0.2">
      <c r="A16" s="37"/>
      <c r="B16" s="38"/>
      <c r="C16" s="38"/>
      <c r="D16" s="38"/>
      <c r="E16" s="38"/>
      <c r="F16" s="40"/>
      <c r="G16" s="40"/>
      <c r="H16" s="41"/>
      <c r="I16" s="68"/>
      <c r="J16" s="29"/>
      <c r="K16" s="29"/>
      <c r="L16" s="29"/>
      <c r="M16" s="29"/>
      <c r="N16" s="29"/>
      <c r="O16" s="29"/>
      <c r="P16" s="29"/>
      <c r="Q16" s="34"/>
      <c r="R16" s="29"/>
      <c r="S16" s="29"/>
      <c r="T16" s="29"/>
      <c r="U16" s="29"/>
      <c r="V16" s="29"/>
      <c r="W16" s="29"/>
      <c r="X16" s="29"/>
      <c r="Y16" s="29"/>
      <c r="Z16" s="29"/>
      <c r="AA16" s="29"/>
      <c r="AB16" s="31"/>
    </row>
    <row r="17" spans="1:28" ht="12.75" customHeight="1" x14ac:dyDescent="0.2">
      <c r="A17" s="37"/>
      <c r="B17" s="38"/>
      <c r="C17" s="38"/>
      <c r="D17" s="38"/>
      <c r="E17" s="38"/>
      <c r="F17" s="40"/>
      <c r="G17" s="40"/>
      <c r="H17" s="41"/>
      <c r="I17" s="68"/>
      <c r="J17" s="29"/>
      <c r="K17" s="29"/>
      <c r="L17" s="29"/>
      <c r="M17" s="29"/>
      <c r="N17" s="29"/>
      <c r="O17" s="4" t="s">
        <v>10</v>
      </c>
      <c r="P17" s="4" t="s">
        <v>9</v>
      </c>
      <c r="Q17" s="4" t="s">
        <v>13</v>
      </c>
      <c r="R17" s="4" t="s">
        <v>15</v>
      </c>
      <c r="S17" s="4" t="s">
        <v>16</v>
      </c>
      <c r="T17" s="4" t="s">
        <v>18</v>
      </c>
      <c r="U17" s="4" t="s">
        <v>20</v>
      </c>
      <c r="V17" s="29"/>
      <c r="W17" s="4" t="s">
        <v>20</v>
      </c>
      <c r="X17" s="4" t="s">
        <v>20</v>
      </c>
      <c r="Y17" s="4" t="s">
        <v>24</v>
      </c>
      <c r="Z17" s="4" t="s">
        <v>26</v>
      </c>
      <c r="AA17" s="29"/>
      <c r="AB17" s="31"/>
    </row>
    <row r="18" spans="1:28" ht="12.75" customHeight="1" x14ac:dyDescent="0.2">
      <c r="A18" s="37"/>
      <c r="B18" s="38"/>
      <c r="C18" s="38"/>
      <c r="D18" s="38"/>
      <c r="E18" s="38"/>
      <c r="F18" s="40"/>
      <c r="G18" s="40"/>
      <c r="H18" s="39"/>
      <c r="I18" s="68"/>
      <c r="J18" s="4" t="s">
        <v>1</v>
      </c>
      <c r="K18" s="4" t="s">
        <v>1</v>
      </c>
      <c r="L18" s="4" t="s">
        <v>1</v>
      </c>
      <c r="M18" s="4" t="s">
        <v>1</v>
      </c>
      <c r="N18" s="4" t="s">
        <v>5</v>
      </c>
      <c r="O18" s="4" t="s">
        <v>7</v>
      </c>
      <c r="P18" s="4" t="s">
        <v>7</v>
      </c>
      <c r="Q18" s="4" t="s">
        <v>14</v>
      </c>
      <c r="R18" s="4" t="s">
        <v>14</v>
      </c>
      <c r="S18" s="4" t="s">
        <v>14</v>
      </c>
      <c r="T18" s="4" t="s">
        <v>14</v>
      </c>
      <c r="U18" s="4" t="s">
        <v>7</v>
      </c>
      <c r="V18" s="4" t="s">
        <v>7</v>
      </c>
      <c r="W18" s="4" t="s">
        <v>7</v>
      </c>
      <c r="X18" s="4" t="s">
        <v>7</v>
      </c>
      <c r="Y18" s="4" t="s">
        <v>7</v>
      </c>
      <c r="Z18" s="4" t="s">
        <v>7</v>
      </c>
      <c r="AA18" s="4" t="s">
        <v>5</v>
      </c>
      <c r="AB18" s="5" t="s">
        <v>5</v>
      </c>
    </row>
    <row r="19" spans="1:28" x14ac:dyDescent="0.2">
      <c r="A19" s="43" t="s">
        <v>52</v>
      </c>
      <c r="B19" s="43"/>
      <c r="C19" s="43"/>
      <c r="D19" s="43"/>
      <c r="E19" s="44"/>
      <c r="F19" s="6"/>
      <c r="G19" s="6"/>
      <c r="H19" s="6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8"/>
    </row>
    <row r="20" spans="1:28" x14ac:dyDescent="0.2">
      <c r="A20" s="43"/>
      <c r="B20" s="43"/>
      <c r="C20" s="43"/>
      <c r="D20" s="43"/>
      <c r="E20" s="44"/>
      <c r="F20" s="6"/>
      <c r="G20" s="6"/>
      <c r="H20" s="6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8"/>
    </row>
    <row r="21" spans="1:28" x14ac:dyDescent="0.2">
      <c r="A21" s="43" t="s">
        <v>92</v>
      </c>
      <c r="B21" s="43"/>
      <c r="C21" s="43"/>
      <c r="D21" s="43"/>
      <c r="E21" s="44"/>
      <c r="F21" s="6"/>
      <c r="G21" s="6"/>
      <c r="H21" s="6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8"/>
    </row>
    <row r="22" spans="1:28" x14ac:dyDescent="0.2">
      <c r="A22" s="43"/>
      <c r="B22" s="43"/>
      <c r="C22" s="43"/>
      <c r="D22" s="43"/>
      <c r="E22" s="44"/>
      <c r="F22" s="6"/>
      <c r="G22" s="6"/>
      <c r="H22" s="6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8"/>
    </row>
    <row r="23" spans="1:28" x14ac:dyDescent="0.2">
      <c r="A23" s="43" t="s">
        <v>53</v>
      </c>
      <c r="B23" s="43"/>
      <c r="C23" s="43"/>
      <c r="D23" s="43"/>
      <c r="E23" s="44"/>
      <c r="F23" s="6"/>
      <c r="G23" s="6"/>
      <c r="H23" s="6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8"/>
    </row>
    <row r="24" spans="1:28" x14ac:dyDescent="0.2">
      <c r="A24" s="46">
        <v>63965</v>
      </c>
      <c r="B24" s="42"/>
      <c r="C24" s="4" t="s">
        <v>32</v>
      </c>
      <c r="D24" s="42">
        <v>65375</v>
      </c>
      <c r="E24" s="42"/>
      <c r="F24" s="6" t="s">
        <v>35</v>
      </c>
      <c r="G24" s="6">
        <f t="shared" ref="G24:G38" si="0">D24-A24</f>
        <v>1410</v>
      </c>
      <c r="H24" s="6">
        <v>24</v>
      </c>
      <c r="I24" s="7">
        <f t="shared" ref="I24:I38" si="1">ROUNDUP(((H24*G24)/9),1)</f>
        <v>3760</v>
      </c>
      <c r="J24" s="7"/>
      <c r="K24" s="7"/>
      <c r="L24" s="7"/>
      <c r="M24" s="7">
        <f>I24</f>
        <v>3760</v>
      </c>
      <c r="N24" s="7"/>
      <c r="O24" s="7"/>
      <c r="P24" s="7"/>
      <c r="Q24" s="7"/>
      <c r="R24" s="7">
        <f>ROUNDUP((I24*0.06),1)</f>
        <v>225.6</v>
      </c>
      <c r="S24" s="7">
        <f>ROUNDUP((I24*0.09),1)</f>
        <v>338.4</v>
      </c>
      <c r="T24" s="7"/>
      <c r="U24" s="7"/>
      <c r="V24" s="7">
        <f t="shared" ref="V24:V38" si="2">X24+Y24</f>
        <v>344.5</v>
      </c>
      <c r="W24" s="7"/>
      <c r="X24" s="7">
        <f t="shared" ref="X24:X38" si="3">ROUNDUP((I24*(1.5/36)),1)</f>
        <v>156.69999999999999</v>
      </c>
      <c r="Y24" s="13">
        <f>ROUNDUP(((I24*(1.75/36)))+5,1)</f>
        <v>187.79999999999998</v>
      </c>
      <c r="Z24" s="7"/>
      <c r="AA24" s="7"/>
      <c r="AB24" s="8"/>
    </row>
    <row r="25" spans="1:28" x14ac:dyDescent="0.2">
      <c r="A25" s="46">
        <v>65375</v>
      </c>
      <c r="B25" s="42"/>
      <c r="C25" s="4" t="s">
        <v>32</v>
      </c>
      <c r="D25" s="42">
        <v>65575</v>
      </c>
      <c r="E25" s="42"/>
      <c r="F25" s="6" t="s">
        <v>35</v>
      </c>
      <c r="G25" s="6">
        <f t="shared" si="0"/>
        <v>200</v>
      </c>
      <c r="H25" s="6">
        <v>24</v>
      </c>
      <c r="I25" s="7">
        <f t="shared" si="1"/>
        <v>533.4</v>
      </c>
      <c r="J25" s="7">
        <f t="shared" ref="J25:J38" si="4">I25</f>
        <v>533.4</v>
      </c>
      <c r="K25" s="7">
        <f t="shared" ref="K25:K38" si="5">I25</f>
        <v>533.4</v>
      </c>
      <c r="L25" s="7"/>
      <c r="M25" s="7"/>
      <c r="N25" s="7">
        <v>24</v>
      </c>
      <c r="O25" s="7">
        <f t="shared" ref="O25:O38" si="6">ROUNDUP((I25*(5.5/36)),1)</f>
        <v>81.5</v>
      </c>
      <c r="P25" s="7">
        <f t="shared" ref="P25:P38" si="7">ROUNDUP((I25*(6/36)),1)</f>
        <v>88.9</v>
      </c>
      <c r="Q25" s="7">
        <f>ROUNDUP((((24+G25)*(8.75/12))/9)*0.025,1)</f>
        <v>0.5</v>
      </c>
      <c r="R25" s="7">
        <f t="shared" ref="R25:R38" si="8">ROUNDUP((I25*2*0.06),1)</f>
        <v>64.099999999999994</v>
      </c>
      <c r="S25" s="7"/>
      <c r="T25" s="7"/>
      <c r="U25" s="7"/>
      <c r="V25" s="7">
        <f t="shared" si="2"/>
        <v>48.3</v>
      </c>
      <c r="W25" s="7"/>
      <c r="X25" s="7">
        <f t="shared" si="3"/>
        <v>22.3</v>
      </c>
      <c r="Y25" s="7">
        <f t="shared" ref="Y25:Y38" si="9">ROUNDUP((I25*(1.75/36)),1)</f>
        <v>26</v>
      </c>
      <c r="Z25" s="7"/>
      <c r="AA25" s="7"/>
      <c r="AB25" s="8"/>
    </row>
    <row r="26" spans="1:28" x14ac:dyDescent="0.2">
      <c r="A26" s="46">
        <v>65575</v>
      </c>
      <c r="B26" s="42"/>
      <c r="C26" s="4" t="s">
        <v>32</v>
      </c>
      <c r="D26" s="42">
        <v>65675</v>
      </c>
      <c r="E26" s="42"/>
      <c r="F26" s="6" t="s">
        <v>35</v>
      </c>
      <c r="G26" s="6">
        <f t="shared" si="0"/>
        <v>100</v>
      </c>
      <c r="H26" s="16">
        <v>30</v>
      </c>
      <c r="I26" s="7">
        <f t="shared" si="1"/>
        <v>333.40000000000003</v>
      </c>
      <c r="J26" s="7">
        <f t="shared" si="4"/>
        <v>333.40000000000003</v>
      </c>
      <c r="K26" s="7">
        <f t="shared" si="5"/>
        <v>333.40000000000003</v>
      </c>
      <c r="L26" s="7"/>
      <c r="M26" s="7"/>
      <c r="N26" s="7"/>
      <c r="O26" s="7">
        <f t="shared" si="6"/>
        <v>51</v>
      </c>
      <c r="P26" s="7">
        <f t="shared" si="7"/>
        <v>55.6</v>
      </c>
      <c r="Q26" s="7">
        <f>ROUNDUP((((G26)*(8.75/12))/9)*0.025,1)</f>
        <v>0.30000000000000004</v>
      </c>
      <c r="R26" s="7">
        <f t="shared" si="8"/>
        <v>40.1</v>
      </c>
      <c r="S26" s="7"/>
      <c r="T26" s="7"/>
      <c r="U26" s="7"/>
      <c r="V26" s="7">
        <f t="shared" si="2"/>
        <v>30.200000000000003</v>
      </c>
      <c r="W26" s="7"/>
      <c r="X26" s="7">
        <f t="shared" si="3"/>
        <v>13.9</v>
      </c>
      <c r="Y26" s="7">
        <f t="shared" si="9"/>
        <v>16.3</v>
      </c>
      <c r="Z26" s="7"/>
      <c r="AA26" s="7"/>
      <c r="AB26" s="8"/>
    </row>
    <row r="27" spans="1:28" x14ac:dyDescent="0.2">
      <c r="A27" s="46">
        <v>65675</v>
      </c>
      <c r="B27" s="42"/>
      <c r="C27" s="4" t="s">
        <v>32</v>
      </c>
      <c r="D27" s="42">
        <v>65806.8</v>
      </c>
      <c r="E27" s="42"/>
      <c r="F27" s="6" t="s">
        <v>35</v>
      </c>
      <c r="G27" s="6">
        <f t="shared" si="0"/>
        <v>131.80000000000291</v>
      </c>
      <c r="H27" s="6">
        <v>36</v>
      </c>
      <c r="I27" s="7">
        <f t="shared" si="1"/>
        <v>527.30000000000007</v>
      </c>
      <c r="J27" s="7">
        <f t="shared" si="4"/>
        <v>527.30000000000007</v>
      </c>
      <c r="K27" s="7">
        <f t="shared" si="5"/>
        <v>527.30000000000007</v>
      </c>
      <c r="L27" s="7"/>
      <c r="M27" s="7"/>
      <c r="N27" s="7"/>
      <c r="O27" s="7">
        <f t="shared" si="6"/>
        <v>80.599999999999994</v>
      </c>
      <c r="P27" s="7">
        <f t="shared" si="7"/>
        <v>87.899999999999991</v>
      </c>
      <c r="Q27" s="7">
        <f t="shared" ref="Q27:Q36" si="10">ROUNDUP((((G27)*(8.75/12))/9)*0.025,1)</f>
        <v>0.30000000000000004</v>
      </c>
      <c r="R27" s="7">
        <f t="shared" si="8"/>
        <v>63.300000000000004</v>
      </c>
      <c r="S27" s="7"/>
      <c r="T27" s="7"/>
      <c r="U27" s="7"/>
      <c r="V27" s="7">
        <f t="shared" si="2"/>
        <v>47.7</v>
      </c>
      <c r="W27" s="7"/>
      <c r="X27" s="7">
        <f t="shared" si="3"/>
        <v>22</v>
      </c>
      <c r="Y27" s="7">
        <f t="shared" si="9"/>
        <v>25.700000000000003</v>
      </c>
      <c r="Z27" s="7"/>
      <c r="AA27" s="7"/>
      <c r="AB27" s="8"/>
    </row>
    <row r="28" spans="1:28" x14ac:dyDescent="0.2">
      <c r="A28" s="46">
        <v>65806.8</v>
      </c>
      <c r="B28" s="42"/>
      <c r="C28" s="4" t="s">
        <v>32</v>
      </c>
      <c r="D28" s="42">
        <v>67938.53</v>
      </c>
      <c r="E28" s="42"/>
      <c r="F28" s="6" t="s">
        <v>35</v>
      </c>
      <c r="G28" s="6">
        <f t="shared" si="0"/>
        <v>2131.7299999999959</v>
      </c>
      <c r="H28" s="6">
        <v>24</v>
      </c>
      <c r="I28" s="7">
        <f t="shared" si="1"/>
        <v>5684.7000000000007</v>
      </c>
      <c r="J28" s="7">
        <f t="shared" si="4"/>
        <v>5684.7000000000007</v>
      </c>
      <c r="K28" s="7">
        <f t="shared" si="5"/>
        <v>5684.7000000000007</v>
      </c>
      <c r="L28" s="7"/>
      <c r="M28" s="7"/>
      <c r="N28" s="7"/>
      <c r="O28" s="7">
        <f t="shared" si="6"/>
        <v>868.5</v>
      </c>
      <c r="P28" s="7">
        <f t="shared" si="7"/>
        <v>947.5</v>
      </c>
      <c r="Q28" s="7">
        <f t="shared" si="10"/>
        <v>4.3999999999999995</v>
      </c>
      <c r="R28" s="7">
        <f t="shared" si="8"/>
        <v>682.2</v>
      </c>
      <c r="S28" s="7"/>
      <c r="T28" s="7"/>
      <c r="U28" s="7"/>
      <c r="V28" s="7">
        <f t="shared" si="2"/>
        <v>513.30000000000007</v>
      </c>
      <c r="W28" s="7"/>
      <c r="X28" s="7">
        <f t="shared" si="3"/>
        <v>236.9</v>
      </c>
      <c r="Y28" s="7">
        <f t="shared" si="9"/>
        <v>276.40000000000003</v>
      </c>
      <c r="Z28" s="7"/>
      <c r="AA28" s="7"/>
      <c r="AB28" s="8"/>
    </row>
    <row r="29" spans="1:28" x14ac:dyDescent="0.2">
      <c r="A29" s="46">
        <v>67938.53</v>
      </c>
      <c r="B29" s="42"/>
      <c r="C29" s="4" t="s">
        <v>32</v>
      </c>
      <c r="D29" s="42">
        <v>68503.41</v>
      </c>
      <c r="E29" s="42"/>
      <c r="F29" s="6" t="s">
        <v>35</v>
      </c>
      <c r="G29" s="6">
        <f t="shared" si="0"/>
        <v>564.88000000000466</v>
      </c>
      <c r="H29" s="6">
        <v>40</v>
      </c>
      <c r="I29" s="7">
        <f t="shared" si="1"/>
        <v>2510.6</v>
      </c>
      <c r="J29" s="7">
        <f t="shared" si="4"/>
        <v>2510.6</v>
      </c>
      <c r="K29" s="7">
        <f t="shared" si="5"/>
        <v>2510.6</v>
      </c>
      <c r="L29" s="7"/>
      <c r="M29" s="7"/>
      <c r="N29" s="7"/>
      <c r="O29" s="7">
        <f t="shared" si="6"/>
        <v>383.6</v>
      </c>
      <c r="P29" s="7">
        <f t="shared" si="7"/>
        <v>418.5</v>
      </c>
      <c r="Q29" s="7">
        <f t="shared" si="10"/>
        <v>1.2000000000000002</v>
      </c>
      <c r="R29" s="7">
        <f t="shared" si="8"/>
        <v>301.3</v>
      </c>
      <c r="S29" s="7"/>
      <c r="T29" s="7"/>
      <c r="U29" s="7"/>
      <c r="V29" s="7">
        <f t="shared" si="2"/>
        <v>226.79999999999998</v>
      </c>
      <c r="W29" s="7"/>
      <c r="X29" s="7">
        <f t="shared" si="3"/>
        <v>104.69999999999999</v>
      </c>
      <c r="Y29" s="7">
        <f t="shared" si="9"/>
        <v>122.1</v>
      </c>
      <c r="Z29" s="7"/>
      <c r="AA29" s="7"/>
      <c r="AB29" s="8"/>
    </row>
    <row r="30" spans="1:28" x14ac:dyDescent="0.2">
      <c r="A30" s="46">
        <v>68503.41</v>
      </c>
      <c r="B30" s="42"/>
      <c r="C30" s="4" t="s">
        <v>32</v>
      </c>
      <c r="D30" s="42">
        <v>71208.61</v>
      </c>
      <c r="E30" s="42"/>
      <c r="F30" s="6" t="s">
        <v>35</v>
      </c>
      <c r="G30" s="6">
        <f t="shared" si="0"/>
        <v>2705.1999999999971</v>
      </c>
      <c r="H30" s="6">
        <v>24</v>
      </c>
      <c r="I30" s="7">
        <f t="shared" si="1"/>
        <v>7213.9000000000005</v>
      </c>
      <c r="J30" s="7">
        <f t="shared" si="4"/>
        <v>7213.9000000000005</v>
      </c>
      <c r="K30" s="7">
        <f t="shared" si="5"/>
        <v>7213.9000000000005</v>
      </c>
      <c r="L30" s="7"/>
      <c r="M30" s="7"/>
      <c r="N30" s="7"/>
      <c r="O30" s="7">
        <f t="shared" si="6"/>
        <v>1102.1999999999998</v>
      </c>
      <c r="P30" s="7">
        <f t="shared" si="7"/>
        <v>1202.3999999999999</v>
      </c>
      <c r="Q30" s="7">
        <f t="shared" si="10"/>
        <v>5.5</v>
      </c>
      <c r="R30" s="7">
        <f t="shared" si="8"/>
        <v>865.7</v>
      </c>
      <c r="S30" s="7"/>
      <c r="T30" s="7"/>
      <c r="U30" s="7"/>
      <c r="V30" s="7">
        <f t="shared" si="2"/>
        <v>651.30000000000007</v>
      </c>
      <c r="W30" s="7"/>
      <c r="X30" s="7">
        <f t="shared" si="3"/>
        <v>300.60000000000002</v>
      </c>
      <c r="Y30" s="7">
        <f t="shared" si="9"/>
        <v>350.70000000000005</v>
      </c>
      <c r="Z30" s="7"/>
      <c r="AA30" s="7"/>
      <c r="AB30" s="8"/>
    </row>
    <row r="31" spans="1:28" x14ac:dyDescent="0.2">
      <c r="A31" s="46">
        <v>71208.61</v>
      </c>
      <c r="B31" s="42"/>
      <c r="C31" s="4" t="s">
        <v>32</v>
      </c>
      <c r="D31" s="42">
        <v>71400</v>
      </c>
      <c r="E31" s="42"/>
      <c r="F31" s="6" t="s">
        <v>35</v>
      </c>
      <c r="G31" s="6">
        <f t="shared" si="0"/>
        <v>191.38999999999942</v>
      </c>
      <c r="H31" s="6">
        <v>36</v>
      </c>
      <c r="I31" s="7">
        <f t="shared" si="1"/>
        <v>765.6</v>
      </c>
      <c r="J31" s="7">
        <f t="shared" si="4"/>
        <v>765.6</v>
      </c>
      <c r="K31" s="7">
        <f t="shared" si="5"/>
        <v>765.6</v>
      </c>
      <c r="L31" s="7"/>
      <c r="M31" s="7"/>
      <c r="N31" s="7"/>
      <c r="O31" s="7">
        <f t="shared" si="6"/>
        <v>117</v>
      </c>
      <c r="P31" s="7">
        <f t="shared" si="7"/>
        <v>127.6</v>
      </c>
      <c r="Q31" s="7">
        <f t="shared" si="10"/>
        <v>0.4</v>
      </c>
      <c r="R31" s="7">
        <f t="shared" si="8"/>
        <v>91.899999999999991</v>
      </c>
      <c r="S31" s="7"/>
      <c r="T31" s="7"/>
      <c r="U31" s="7"/>
      <c r="V31" s="7">
        <f t="shared" si="2"/>
        <v>69.2</v>
      </c>
      <c r="W31" s="7"/>
      <c r="X31" s="7">
        <f t="shared" si="3"/>
        <v>31.9</v>
      </c>
      <c r="Y31" s="7">
        <f t="shared" si="9"/>
        <v>37.300000000000004</v>
      </c>
      <c r="Z31" s="7"/>
      <c r="AA31" s="7"/>
      <c r="AB31" s="8"/>
    </row>
    <row r="32" spans="1:28" x14ac:dyDescent="0.2">
      <c r="A32" s="46">
        <v>71400</v>
      </c>
      <c r="B32" s="42"/>
      <c r="C32" s="4" t="s">
        <v>32</v>
      </c>
      <c r="D32" s="42">
        <v>71800</v>
      </c>
      <c r="E32" s="42"/>
      <c r="F32" s="6" t="s">
        <v>35</v>
      </c>
      <c r="G32" s="6">
        <f t="shared" si="0"/>
        <v>400</v>
      </c>
      <c r="H32" s="16">
        <v>30</v>
      </c>
      <c r="I32" s="7">
        <f t="shared" si="1"/>
        <v>1333.3999999999999</v>
      </c>
      <c r="J32" s="7">
        <f t="shared" si="4"/>
        <v>1333.3999999999999</v>
      </c>
      <c r="K32" s="7">
        <f t="shared" si="5"/>
        <v>1333.3999999999999</v>
      </c>
      <c r="L32" s="7"/>
      <c r="M32" s="7"/>
      <c r="N32" s="7"/>
      <c r="O32" s="7">
        <f t="shared" si="6"/>
        <v>203.79999999999998</v>
      </c>
      <c r="P32" s="7">
        <f t="shared" si="7"/>
        <v>222.29999999999998</v>
      </c>
      <c r="Q32" s="7">
        <f t="shared" si="10"/>
        <v>0.9</v>
      </c>
      <c r="R32" s="7">
        <f t="shared" si="8"/>
        <v>160.1</v>
      </c>
      <c r="S32" s="7"/>
      <c r="T32" s="7"/>
      <c r="U32" s="7"/>
      <c r="V32" s="7">
        <f t="shared" si="2"/>
        <v>120.5</v>
      </c>
      <c r="W32" s="7"/>
      <c r="X32" s="7">
        <f t="shared" si="3"/>
        <v>55.6</v>
      </c>
      <c r="Y32" s="7">
        <f t="shared" si="9"/>
        <v>64.899999999999991</v>
      </c>
      <c r="Z32" s="7"/>
      <c r="AA32" s="7"/>
      <c r="AB32" s="8"/>
    </row>
    <row r="33" spans="1:28" x14ac:dyDescent="0.2">
      <c r="A33" s="46">
        <v>71800</v>
      </c>
      <c r="B33" s="42"/>
      <c r="C33" s="4" t="s">
        <v>32</v>
      </c>
      <c r="D33" s="42">
        <v>72300</v>
      </c>
      <c r="E33" s="42"/>
      <c r="F33" s="6" t="s">
        <v>35</v>
      </c>
      <c r="G33" s="6">
        <f t="shared" si="0"/>
        <v>500</v>
      </c>
      <c r="H33" s="6">
        <v>24</v>
      </c>
      <c r="I33" s="7">
        <f t="shared" si="1"/>
        <v>1333.3999999999999</v>
      </c>
      <c r="J33" s="7">
        <f t="shared" si="4"/>
        <v>1333.3999999999999</v>
      </c>
      <c r="K33" s="7">
        <f t="shared" si="5"/>
        <v>1333.3999999999999</v>
      </c>
      <c r="L33" s="7"/>
      <c r="M33" s="7"/>
      <c r="N33" s="7"/>
      <c r="O33" s="7">
        <f t="shared" si="6"/>
        <v>203.79999999999998</v>
      </c>
      <c r="P33" s="7">
        <f t="shared" si="7"/>
        <v>222.29999999999998</v>
      </c>
      <c r="Q33" s="7">
        <f t="shared" si="10"/>
        <v>1.1000000000000001</v>
      </c>
      <c r="R33" s="7">
        <f t="shared" si="8"/>
        <v>160.1</v>
      </c>
      <c r="S33" s="7"/>
      <c r="T33" s="7"/>
      <c r="U33" s="7"/>
      <c r="V33" s="7">
        <f t="shared" si="2"/>
        <v>120.5</v>
      </c>
      <c r="W33" s="7"/>
      <c r="X33" s="7">
        <f t="shared" si="3"/>
        <v>55.6</v>
      </c>
      <c r="Y33" s="7">
        <f t="shared" si="9"/>
        <v>64.899999999999991</v>
      </c>
      <c r="Z33" s="7"/>
      <c r="AA33" s="7"/>
      <c r="AB33" s="8"/>
    </row>
    <row r="34" spans="1:28" x14ac:dyDescent="0.2">
      <c r="A34" s="46">
        <v>72300</v>
      </c>
      <c r="B34" s="42"/>
      <c r="C34" s="4" t="s">
        <v>32</v>
      </c>
      <c r="D34" s="42">
        <v>72400</v>
      </c>
      <c r="E34" s="42"/>
      <c r="F34" s="6" t="s">
        <v>35</v>
      </c>
      <c r="G34" s="6">
        <f t="shared" si="0"/>
        <v>100</v>
      </c>
      <c r="H34" s="16">
        <v>30</v>
      </c>
      <c r="I34" s="7">
        <f t="shared" si="1"/>
        <v>333.40000000000003</v>
      </c>
      <c r="J34" s="7">
        <f t="shared" si="4"/>
        <v>333.40000000000003</v>
      </c>
      <c r="K34" s="7">
        <f t="shared" si="5"/>
        <v>333.40000000000003</v>
      </c>
      <c r="L34" s="7"/>
      <c r="M34" s="7"/>
      <c r="N34" s="7"/>
      <c r="O34" s="7">
        <f t="shared" si="6"/>
        <v>51</v>
      </c>
      <c r="P34" s="7">
        <f t="shared" si="7"/>
        <v>55.6</v>
      </c>
      <c r="Q34" s="7">
        <f t="shared" si="10"/>
        <v>0.30000000000000004</v>
      </c>
      <c r="R34" s="7">
        <f t="shared" si="8"/>
        <v>40.1</v>
      </c>
      <c r="S34" s="7"/>
      <c r="T34" s="7"/>
      <c r="U34" s="7"/>
      <c r="V34" s="7">
        <f t="shared" si="2"/>
        <v>30.200000000000003</v>
      </c>
      <c r="W34" s="7"/>
      <c r="X34" s="7">
        <f t="shared" si="3"/>
        <v>13.9</v>
      </c>
      <c r="Y34" s="7">
        <f t="shared" si="9"/>
        <v>16.3</v>
      </c>
      <c r="Z34" s="7"/>
      <c r="AA34" s="7"/>
      <c r="AB34" s="8"/>
    </row>
    <row r="35" spans="1:28" x14ac:dyDescent="0.2">
      <c r="A35" s="46">
        <v>72400</v>
      </c>
      <c r="B35" s="42"/>
      <c r="C35" s="4" t="s">
        <v>32</v>
      </c>
      <c r="D35" s="42">
        <v>72739.5</v>
      </c>
      <c r="E35" s="42"/>
      <c r="F35" s="6" t="s">
        <v>35</v>
      </c>
      <c r="G35" s="6">
        <f t="shared" si="0"/>
        <v>339.5</v>
      </c>
      <c r="H35" s="6">
        <v>36</v>
      </c>
      <c r="I35" s="7">
        <f t="shared" si="1"/>
        <v>1358</v>
      </c>
      <c r="J35" s="7">
        <f t="shared" si="4"/>
        <v>1358</v>
      </c>
      <c r="K35" s="7">
        <f t="shared" si="5"/>
        <v>1358</v>
      </c>
      <c r="L35" s="7"/>
      <c r="M35" s="7"/>
      <c r="N35" s="7"/>
      <c r="O35" s="7">
        <f t="shared" si="6"/>
        <v>207.5</v>
      </c>
      <c r="P35" s="7">
        <f t="shared" si="7"/>
        <v>226.4</v>
      </c>
      <c r="Q35" s="7">
        <f t="shared" si="10"/>
        <v>0.7</v>
      </c>
      <c r="R35" s="7">
        <f t="shared" si="8"/>
        <v>163</v>
      </c>
      <c r="S35" s="7"/>
      <c r="T35" s="7"/>
      <c r="U35" s="7"/>
      <c r="V35" s="7">
        <f t="shared" si="2"/>
        <v>122.69999999999999</v>
      </c>
      <c r="W35" s="7"/>
      <c r="X35" s="7">
        <f t="shared" si="3"/>
        <v>56.6</v>
      </c>
      <c r="Y35" s="7">
        <f t="shared" si="9"/>
        <v>66.099999999999994</v>
      </c>
      <c r="Z35" s="7"/>
      <c r="AA35" s="7"/>
      <c r="AB35" s="8"/>
    </row>
    <row r="36" spans="1:28" x14ac:dyDescent="0.2">
      <c r="A36" s="46">
        <v>72739.5</v>
      </c>
      <c r="B36" s="42"/>
      <c r="C36" s="4" t="s">
        <v>32</v>
      </c>
      <c r="D36" s="42">
        <v>72748</v>
      </c>
      <c r="E36" s="42"/>
      <c r="F36" s="6" t="s">
        <v>35</v>
      </c>
      <c r="G36" s="6">
        <f t="shared" si="0"/>
        <v>8.5</v>
      </c>
      <c r="H36" s="16">
        <v>30</v>
      </c>
      <c r="I36" s="7">
        <f t="shared" si="1"/>
        <v>28.400000000000002</v>
      </c>
      <c r="J36" s="7">
        <f t="shared" si="4"/>
        <v>28.400000000000002</v>
      </c>
      <c r="K36" s="7">
        <f t="shared" si="5"/>
        <v>28.400000000000002</v>
      </c>
      <c r="L36" s="7"/>
      <c r="M36" s="7"/>
      <c r="N36" s="7"/>
      <c r="O36" s="7">
        <f t="shared" si="6"/>
        <v>4.3999999999999995</v>
      </c>
      <c r="P36" s="7">
        <f t="shared" si="7"/>
        <v>4.8</v>
      </c>
      <c r="Q36" s="7">
        <f t="shared" si="10"/>
        <v>0.1</v>
      </c>
      <c r="R36" s="7">
        <f t="shared" si="8"/>
        <v>3.5</v>
      </c>
      <c r="S36" s="7"/>
      <c r="T36" s="7"/>
      <c r="U36" s="7"/>
      <c r="V36" s="7">
        <f t="shared" si="2"/>
        <v>2.6000000000000005</v>
      </c>
      <c r="W36" s="7"/>
      <c r="X36" s="7">
        <f t="shared" si="3"/>
        <v>1.2000000000000002</v>
      </c>
      <c r="Y36" s="7">
        <f t="shared" si="9"/>
        <v>1.4000000000000001</v>
      </c>
      <c r="Z36" s="7"/>
      <c r="AA36" s="7"/>
      <c r="AB36" s="8"/>
    </row>
    <row r="37" spans="1:28" x14ac:dyDescent="0.2">
      <c r="A37" s="46">
        <v>72748</v>
      </c>
      <c r="B37" s="42"/>
      <c r="C37" s="4" t="s">
        <v>32</v>
      </c>
      <c r="D37" s="42">
        <v>74761.78</v>
      </c>
      <c r="E37" s="42"/>
      <c r="F37" s="6" t="s">
        <v>35</v>
      </c>
      <c r="G37" s="6">
        <f t="shared" si="0"/>
        <v>2013.7799999999988</v>
      </c>
      <c r="H37" s="6">
        <v>24</v>
      </c>
      <c r="I37" s="7">
        <f t="shared" si="1"/>
        <v>5370.1</v>
      </c>
      <c r="J37" s="7">
        <f t="shared" si="4"/>
        <v>5370.1</v>
      </c>
      <c r="K37" s="7">
        <f t="shared" si="5"/>
        <v>5370.1</v>
      </c>
      <c r="L37" s="7"/>
      <c r="M37" s="7"/>
      <c r="N37" s="7">
        <v>24</v>
      </c>
      <c r="O37" s="7">
        <f t="shared" si="6"/>
        <v>820.5</v>
      </c>
      <c r="P37" s="7">
        <f t="shared" si="7"/>
        <v>895.1</v>
      </c>
      <c r="Q37" s="7">
        <f>ROUNDUP((((24+G37)*(8.75/12))/9)*0.025,1)</f>
        <v>4.1999999999999993</v>
      </c>
      <c r="R37" s="7">
        <f t="shared" si="8"/>
        <v>644.5</v>
      </c>
      <c r="S37" s="7"/>
      <c r="T37" s="7"/>
      <c r="U37" s="7"/>
      <c r="V37" s="7">
        <f t="shared" si="2"/>
        <v>484.9</v>
      </c>
      <c r="W37" s="7"/>
      <c r="X37" s="7">
        <f t="shared" si="3"/>
        <v>223.79999999999998</v>
      </c>
      <c r="Y37" s="7">
        <f t="shared" si="9"/>
        <v>261.10000000000002</v>
      </c>
      <c r="Z37" s="7"/>
      <c r="AA37" s="7"/>
      <c r="AB37" s="8"/>
    </row>
    <row r="38" spans="1:28" x14ac:dyDescent="0.2">
      <c r="A38" s="46">
        <v>75051.789999999994</v>
      </c>
      <c r="B38" s="42"/>
      <c r="C38" s="4" t="s">
        <v>32</v>
      </c>
      <c r="D38" s="42">
        <v>80336</v>
      </c>
      <c r="E38" s="42"/>
      <c r="F38" s="6" t="s">
        <v>35</v>
      </c>
      <c r="G38" s="6">
        <f t="shared" si="0"/>
        <v>5284.2100000000064</v>
      </c>
      <c r="H38" s="6">
        <v>24</v>
      </c>
      <c r="I38" s="7">
        <f t="shared" si="1"/>
        <v>14091.300000000001</v>
      </c>
      <c r="J38" s="7">
        <f t="shared" si="4"/>
        <v>14091.300000000001</v>
      </c>
      <c r="K38" s="7">
        <f t="shared" si="5"/>
        <v>14091.300000000001</v>
      </c>
      <c r="L38" s="7"/>
      <c r="M38" s="7"/>
      <c r="N38" s="7">
        <v>48</v>
      </c>
      <c r="O38" s="7">
        <f t="shared" si="6"/>
        <v>2152.9</v>
      </c>
      <c r="P38" s="7">
        <f t="shared" si="7"/>
        <v>2348.6</v>
      </c>
      <c r="Q38" s="7">
        <f>ROUNDUP((((48+G38)*(8.75/12))/9)*0.025,1)</f>
        <v>10.9</v>
      </c>
      <c r="R38" s="7">
        <f t="shared" si="8"/>
        <v>1691</v>
      </c>
      <c r="S38" s="7"/>
      <c r="T38" s="7"/>
      <c r="U38" s="7"/>
      <c r="V38" s="7">
        <f t="shared" si="2"/>
        <v>1272.2</v>
      </c>
      <c r="W38" s="7"/>
      <c r="X38" s="7">
        <f t="shared" si="3"/>
        <v>587.20000000000005</v>
      </c>
      <c r="Y38" s="7">
        <f t="shared" si="9"/>
        <v>685</v>
      </c>
      <c r="Z38" s="7"/>
      <c r="AA38" s="7"/>
      <c r="AB38" s="8"/>
    </row>
    <row r="39" spans="1:28" x14ac:dyDescent="0.2">
      <c r="A39" s="43"/>
      <c r="B39" s="43"/>
      <c r="C39" s="43"/>
      <c r="D39" s="43"/>
      <c r="E39" s="44"/>
      <c r="F39" s="6"/>
      <c r="G39" s="6"/>
      <c r="H39" s="6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Z39" s="7"/>
      <c r="AA39" s="7"/>
      <c r="AB39" s="8"/>
    </row>
    <row r="40" spans="1:28" x14ac:dyDescent="0.2">
      <c r="A40" s="43"/>
      <c r="B40" s="43"/>
      <c r="C40" s="43"/>
      <c r="D40" s="43"/>
      <c r="E40" s="44"/>
      <c r="F40" s="6"/>
      <c r="G40" s="6"/>
      <c r="H40" s="6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  <c r="AA40" s="7"/>
      <c r="AB40" s="8"/>
    </row>
    <row r="41" spans="1:28" x14ac:dyDescent="0.2">
      <c r="A41" s="43" t="s">
        <v>54</v>
      </c>
      <c r="B41" s="43"/>
      <c r="C41" s="43"/>
      <c r="D41" s="43"/>
      <c r="E41" s="44"/>
      <c r="F41" s="6"/>
      <c r="G41" s="6"/>
      <c r="H41" s="6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8"/>
    </row>
    <row r="42" spans="1:28" x14ac:dyDescent="0.2">
      <c r="A42" s="46">
        <v>65375</v>
      </c>
      <c r="B42" s="42"/>
      <c r="C42" s="4" t="s">
        <v>32</v>
      </c>
      <c r="D42" s="42">
        <v>74761.78</v>
      </c>
      <c r="E42" s="42"/>
      <c r="F42" s="6" t="s">
        <v>35</v>
      </c>
      <c r="G42" s="6">
        <f>D42-A42</f>
        <v>9386.7799999999988</v>
      </c>
      <c r="H42" s="6">
        <v>0.5</v>
      </c>
      <c r="I42" s="7">
        <f>ROUNDUP(((H42*G42)/9),1)</f>
        <v>521.5</v>
      </c>
      <c r="J42" s="7"/>
      <c r="K42" s="7"/>
      <c r="L42" s="7"/>
      <c r="M42" s="7"/>
      <c r="N42" s="7"/>
      <c r="O42" s="7">
        <f>ROUNDUP((I42*(5.5/36)),1)</f>
        <v>79.699999999999989</v>
      </c>
      <c r="P42" s="7"/>
      <c r="Q42" s="7"/>
      <c r="R42" s="7">
        <f>ROUNDUP((I42*2*0.06),1)</f>
        <v>62.6</v>
      </c>
      <c r="S42" s="7"/>
      <c r="T42" s="7"/>
      <c r="U42" s="7"/>
      <c r="V42" s="7">
        <f>X42+Y42</f>
        <v>47.2</v>
      </c>
      <c r="W42" s="7"/>
      <c r="X42" s="7">
        <f>ROUNDUP((I42*(1.5/36)),1)</f>
        <v>21.8</v>
      </c>
      <c r="Y42" s="7">
        <f>ROUNDUP((I42*(1.75/36)),1)</f>
        <v>25.400000000000002</v>
      </c>
      <c r="Z42" s="7"/>
      <c r="AA42" s="7">
        <f>ROUNDUP(G42,1)</f>
        <v>9386.8000000000011</v>
      </c>
      <c r="AB42" s="8"/>
    </row>
    <row r="43" spans="1:28" x14ac:dyDescent="0.2">
      <c r="A43" s="46">
        <v>75051.789999999994</v>
      </c>
      <c r="B43" s="42"/>
      <c r="C43" s="4" t="s">
        <v>32</v>
      </c>
      <c r="D43" s="42">
        <v>80336</v>
      </c>
      <c r="E43" s="42"/>
      <c r="F43" s="6" t="s">
        <v>35</v>
      </c>
      <c r="G43" s="6">
        <f>D43-A43</f>
        <v>5284.2100000000064</v>
      </c>
      <c r="H43" s="6">
        <v>0.5</v>
      </c>
      <c r="I43" s="7">
        <f>ROUNDUP(((H43*G43)/9),1)</f>
        <v>293.60000000000002</v>
      </c>
      <c r="J43" s="7"/>
      <c r="K43" s="7"/>
      <c r="L43" s="7"/>
      <c r="M43" s="7"/>
      <c r="N43" s="7"/>
      <c r="O43" s="7">
        <f>ROUNDUP((I43*(5.5/36)),1)</f>
        <v>44.9</v>
      </c>
      <c r="P43" s="7"/>
      <c r="Q43" s="7"/>
      <c r="R43" s="7">
        <f>ROUNDUP((I43*2*0.06),1)</f>
        <v>35.300000000000004</v>
      </c>
      <c r="S43" s="7"/>
      <c r="T43" s="7"/>
      <c r="U43" s="7"/>
      <c r="V43" s="7">
        <f>X43+Y43</f>
        <v>26.599999999999998</v>
      </c>
      <c r="W43" s="7"/>
      <c r="X43" s="7">
        <f>ROUNDUP((I43*(1.5/36)),1)</f>
        <v>12.299999999999999</v>
      </c>
      <c r="Y43" s="7">
        <f>ROUNDUP((I43*(1.75/36)),1)</f>
        <v>14.299999999999999</v>
      </c>
      <c r="Z43" s="7"/>
      <c r="AA43" s="7">
        <f>ROUNDUP(G43,1)</f>
        <v>5284.3</v>
      </c>
      <c r="AB43" s="8"/>
    </row>
    <row r="44" spans="1:28" x14ac:dyDescent="0.2">
      <c r="A44" s="43"/>
      <c r="B44" s="43"/>
      <c r="C44" s="43"/>
      <c r="D44" s="43"/>
      <c r="E44" s="44"/>
      <c r="F44" s="6"/>
      <c r="G44" s="6"/>
      <c r="H44" s="6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8"/>
    </row>
    <row r="45" spans="1:28" x14ac:dyDescent="0.2">
      <c r="A45" s="43"/>
      <c r="B45" s="43"/>
      <c r="C45" s="43"/>
      <c r="D45" s="43"/>
      <c r="E45" s="44"/>
      <c r="F45" s="6"/>
      <c r="G45" s="6"/>
      <c r="H45" s="6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8"/>
    </row>
    <row r="46" spans="1:28" x14ac:dyDescent="0.2">
      <c r="A46" s="43" t="s">
        <v>55</v>
      </c>
      <c r="B46" s="43"/>
      <c r="C46" s="43"/>
      <c r="D46" s="43"/>
      <c r="E46" s="44"/>
      <c r="F46" s="6" t="s">
        <v>35</v>
      </c>
      <c r="G46" s="6"/>
      <c r="H46" s="6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8"/>
    </row>
    <row r="47" spans="1:28" x14ac:dyDescent="0.2">
      <c r="A47" s="46">
        <v>65375</v>
      </c>
      <c r="B47" s="42"/>
      <c r="C47" s="4" t="s">
        <v>32</v>
      </c>
      <c r="D47" s="42">
        <v>74761.78</v>
      </c>
      <c r="E47" s="42"/>
      <c r="F47" s="6" t="s">
        <v>35</v>
      </c>
      <c r="G47" s="6">
        <f>D47-A47</f>
        <v>9386.7799999999988</v>
      </c>
      <c r="H47" s="6">
        <v>0.5</v>
      </c>
      <c r="I47" s="7">
        <f>ROUNDUP(((H47*G47)/9),1)</f>
        <v>521.5</v>
      </c>
      <c r="J47" s="7"/>
      <c r="K47" s="7"/>
      <c r="L47" s="7"/>
      <c r="M47" s="7"/>
      <c r="N47" s="7"/>
      <c r="O47" s="7"/>
      <c r="P47" s="7"/>
      <c r="Q47" s="7"/>
      <c r="R47" s="7">
        <f>ROUNDUP((I47*0.06),1)</f>
        <v>31.3</v>
      </c>
      <c r="S47" s="7">
        <f>ROUNDUP((I47*0.09),1)</f>
        <v>47</v>
      </c>
      <c r="T47" s="7"/>
      <c r="U47" s="7"/>
      <c r="V47" s="7">
        <f>X47+Y47</f>
        <v>47.2</v>
      </c>
      <c r="W47" s="7"/>
      <c r="X47" s="7">
        <f>ROUNDUP((I47*(1.5/36)),1)</f>
        <v>21.8</v>
      </c>
      <c r="Y47" s="7">
        <f>ROUNDUP((I47*(1.75/36)),1)</f>
        <v>25.400000000000002</v>
      </c>
      <c r="Z47" s="7"/>
      <c r="AA47" s="7"/>
      <c r="AB47" s="8">
        <f>ROUNDUP(G47,1)</f>
        <v>9386.8000000000011</v>
      </c>
    </row>
    <row r="48" spans="1:28" x14ac:dyDescent="0.2">
      <c r="A48" s="46">
        <v>75051.789999999994</v>
      </c>
      <c r="B48" s="42"/>
      <c r="C48" s="4" t="s">
        <v>32</v>
      </c>
      <c r="D48" s="42">
        <v>80336</v>
      </c>
      <c r="E48" s="42"/>
      <c r="F48" s="6" t="s">
        <v>35</v>
      </c>
      <c r="G48" s="6">
        <f>D48-A48</f>
        <v>5284.2100000000064</v>
      </c>
      <c r="H48" s="6">
        <v>0.5</v>
      </c>
      <c r="I48" s="7">
        <f>ROUNDUP(((H48*G48)/9),1)</f>
        <v>293.60000000000002</v>
      </c>
      <c r="J48" s="7"/>
      <c r="K48" s="7"/>
      <c r="L48" s="7"/>
      <c r="M48" s="7"/>
      <c r="N48" s="7"/>
      <c r="O48" s="7"/>
      <c r="P48" s="7"/>
      <c r="Q48" s="7"/>
      <c r="R48" s="7">
        <f>ROUNDUP((I48*0.06),1)</f>
        <v>17.700000000000003</v>
      </c>
      <c r="S48" s="7">
        <f>ROUNDUP((I48*0.09),1)</f>
        <v>26.5</v>
      </c>
      <c r="T48" s="7"/>
      <c r="U48" s="7"/>
      <c r="V48" s="7">
        <f>X48+Y48</f>
        <v>26.599999999999998</v>
      </c>
      <c r="W48" s="7"/>
      <c r="X48" s="7">
        <f>ROUNDUP((I48*(1.5/36)),1)</f>
        <v>12.299999999999999</v>
      </c>
      <c r="Y48" s="7">
        <f>ROUNDUP((I48*(1.75/36)),1)</f>
        <v>14.299999999999999</v>
      </c>
      <c r="Z48" s="7"/>
      <c r="AA48" s="7"/>
      <c r="AB48" s="8">
        <f>ROUNDUP(G48,1)</f>
        <v>5284.3</v>
      </c>
    </row>
    <row r="49" spans="1:28" x14ac:dyDescent="0.2">
      <c r="A49" s="43"/>
      <c r="B49" s="43"/>
      <c r="C49" s="43"/>
      <c r="D49" s="43"/>
      <c r="E49" s="44"/>
      <c r="F49" s="6"/>
      <c r="G49" s="6"/>
      <c r="H49" s="6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8"/>
    </row>
    <row r="50" spans="1:28" x14ac:dyDescent="0.2">
      <c r="A50" s="43"/>
      <c r="B50" s="43"/>
      <c r="C50" s="43"/>
      <c r="D50" s="43"/>
      <c r="E50" s="44"/>
      <c r="F50" s="6"/>
      <c r="G50" s="6"/>
      <c r="H50" s="6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B50" s="8"/>
    </row>
    <row r="51" spans="1:28" x14ac:dyDescent="0.2">
      <c r="A51" s="43" t="s">
        <v>56</v>
      </c>
      <c r="B51" s="43"/>
      <c r="C51" s="43"/>
      <c r="D51" s="43"/>
      <c r="E51" s="44"/>
      <c r="F51" s="6"/>
      <c r="G51" s="6"/>
      <c r="H51" s="6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8"/>
    </row>
    <row r="52" spans="1:28" x14ac:dyDescent="0.2">
      <c r="A52" s="46">
        <v>63965</v>
      </c>
      <c r="B52" s="42"/>
      <c r="C52" s="4" t="s">
        <v>32</v>
      </c>
      <c r="D52" s="42">
        <v>65375</v>
      </c>
      <c r="E52" s="42"/>
      <c r="F52" s="6" t="s">
        <v>35</v>
      </c>
      <c r="G52" s="6">
        <f t="shared" ref="G52:G69" si="11">D52-A52</f>
        <v>1410</v>
      </c>
      <c r="H52" s="6">
        <v>10</v>
      </c>
      <c r="I52" s="7">
        <f t="shared" ref="I52:I64" si="12">ROUNDUP(((H52*G52)/9),1)</f>
        <v>1566.6999999999998</v>
      </c>
      <c r="J52" s="7"/>
      <c r="K52" s="7"/>
      <c r="L52" s="7"/>
      <c r="M52" s="7">
        <f>I52</f>
        <v>1566.6999999999998</v>
      </c>
      <c r="N52" s="7"/>
      <c r="O52" s="7"/>
      <c r="P52" s="7"/>
      <c r="Q52" s="7"/>
      <c r="R52" s="7">
        <f>ROUNDUP((I52*0.06),1)</f>
        <v>94.1</v>
      </c>
      <c r="S52" s="7">
        <f>ROUNDUP((0.09*I52),1)</f>
        <v>141.1</v>
      </c>
      <c r="T52" s="7"/>
      <c r="U52" s="7"/>
      <c r="V52" s="7"/>
      <c r="W52" s="7"/>
      <c r="X52" s="7">
        <f>ROUNDUP((I52*(1.5/36)),1)</f>
        <v>65.3</v>
      </c>
      <c r="Y52" s="7">
        <f t="shared" ref="Y52:Y64" si="13">ROUNDUP((I52*(1.75/36)),1)</f>
        <v>76.199999999999989</v>
      </c>
      <c r="Z52" s="7"/>
      <c r="AA52" s="7"/>
      <c r="AB52" s="8"/>
    </row>
    <row r="53" spans="1:28" x14ac:dyDescent="0.2">
      <c r="A53" s="46">
        <v>65375</v>
      </c>
      <c r="B53" s="42"/>
      <c r="C53" s="4" t="s">
        <v>32</v>
      </c>
      <c r="D53" s="42">
        <v>65575</v>
      </c>
      <c r="E53" s="42"/>
      <c r="F53" s="6" t="s">
        <v>35</v>
      </c>
      <c r="G53" s="6">
        <f t="shared" si="11"/>
        <v>200</v>
      </c>
      <c r="H53" s="6">
        <v>10</v>
      </c>
      <c r="I53" s="7">
        <f t="shared" si="12"/>
        <v>222.29999999999998</v>
      </c>
      <c r="J53" s="12">
        <f>ROUNDUP((1875.41/9),1)</f>
        <v>208.4</v>
      </c>
      <c r="K53" s="7">
        <f>ROUNDUP(((G53*(H53+(18/12)))/9),1)</f>
        <v>255.6</v>
      </c>
      <c r="L53" s="7"/>
      <c r="M53" s="7"/>
      <c r="N53" s="7">
        <v>10</v>
      </c>
      <c r="O53" s="7">
        <f>ROUNDUP(((G53*(H53+(4/12))*(5.5/12))/27),1)</f>
        <v>35.1</v>
      </c>
      <c r="P53" s="7">
        <f>ROUNDUP(((G53*(H53+(10/12))*(6/12))/27),1)</f>
        <v>40.200000000000003</v>
      </c>
      <c r="Q53" s="7"/>
      <c r="R53" s="7">
        <f>ROUNDUP((((G53*(H53+(4/12))/9)+(I53))*0.06),1)</f>
        <v>27.200000000000003</v>
      </c>
      <c r="S53" s="7"/>
      <c r="T53" s="7"/>
      <c r="U53" s="7"/>
      <c r="V53" s="7"/>
      <c r="W53" s="7"/>
      <c r="X53" s="7">
        <f>ROUNDUP((I53*(1.5/36)),1)</f>
        <v>9.2999999999999989</v>
      </c>
      <c r="Y53" s="7">
        <f t="shared" si="13"/>
        <v>10.9</v>
      </c>
      <c r="Z53" s="7"/>
      <c r="AA53" s="7"/>
      <c r="AB53" s="8"/>
    </row>
    <row r="54" spans="1:28" x14ac:dyDescent="0.2">
      <c r="A54" s="46">
        <v>65575</v>
      </c>
      <c r="B54" s="42"/>
      <c r="C54" s="4" t="s">
        <v>32</v>
      </c>
      <c r="D54" s="42">
        <v>65675</v>
      </c>
      <c r="E54" s="42"/>
      <c r="F54" s="6" t="s">
        <v>35</v>
      </c>
      <c r="G54" s="6">
        <f t="shared" si="11"/>
        <v>100</v>
      </c>
      <c r="H54" s="16">
        <v>9</v>
      </c>
      <c r="I54" s="7">
        <f t="shared" si="12"/>
        <v>100</v>
      </c>
      <c r="J54" s="12">
        <f>ROUNDUP((885.76/9),1)</f>
        <v>98.5</v>
      </c>
      <c r="K54" s="7">
        <f>ROUNDUP(((G54*(H54+(18/12)))/9),1)</f>
        <v>116.69999999999999</v>
      </c>
      <c r="L54" s="7"/>
      <c r="M54" s="7"/>
      <c r="N54" s="7"/>
      <c r="O54" s="7">
        <f>ROUNDUP(((G54*(H54+(4/12))*(5.5/12))/27),1)</f>
        <v>15.9</v>
      </c>
      <c r="P54" s="7">
        <f>ROUNDUP(((G54*(H54+(10/12))*(6/12))/27),1)</f>
        <v>18.3</v>
      </c>
      <c r="Q54" s="7"/>
      <c r="R54" s="7">
        <f>ROUNDUP((((G54*(H54+(4/12))/9)+(I54))*0.06),1)</f>
        <v>12.299999999999999</v>
      </c>
      <c r="S54" s="7"/>
      <c r="T54" s="7"/>
      <c r="U54" s="7"/>
      <c r="V54" s="7"/>
      <c r="W54" s="7"/>
      <c r="X54" s="7">
        <f>ROUNDUP((I54*(1.5/36)),1)</f>
        <v>4.1999999999999993</v>
      </c>
      <c r="Y54" s="7">
        <f t="shared" si="13"/>
        <v>4.8999999999999995</v>
      </c>
      <c r="Z54" s="7"/>
      <c r="AA54" s="7"/>
      <c r="AB54" s="8"/>
    </row>
    <row r="55" spans="1:28" x14ac:dyDescent="0.2">
      <c r="A55" s="46">
        <v>65675</v>
      </c>
      <c r="B55" s="42"/>
      <c r="C55" s="4" t="s">
        <v>32</v>
      </c>
      <c r="D55" s="42">
        <v>65806.8</v>
      </c>
      <c r="E55" s="42"/>
      <c r="F55" s="6" t="s">
        <v>35</v>
      </c>
      <c r="G55" s="6">
        <f t="shared" si="11"/>
        <v>131.80000000000291</v>
      </c>
      <c r="H55" s="6">
        <v>8</v>
      </c>
      <c r="I55" s="7">
        <f t="shared" si="12"/>
        <v>117.19999999999999</v>
      </c>
      <c r="J55" s="12">
        <f>ROUNDUP((1175.57/9),1)</f>
        <v>130.69999999999999</v>
      </c>
      <c r="K55" s="7">
        <f>ROUNDUP(((G55*(H55+(18/12)))/9),1)</f>
        <v>139.19999999999999</v>
      </c>
      <c r="L55" s="7"/>
      <c r="M55" s="7"/>
      <c r="N55" s="7"/>
      <c r="O55" s="7">
        <f>ROUNDUP(((G55*(H55+(4/12))*(5.5/12))/27),1)</f>
        <v>18.700000000000003</v>
      </c>
      <c r="P55" s="7">
        <f>ROUNDUP(((G55*(H55+(10/12))*(6/12))/27),1)</f>
        <v>21.6</v>
      </c>
      <c r="Q55" s="7"/>
      <c r="R55" s="7">
        <f>ROUNDUP((((G55*(H55+(4/12))/9)+(I55))*0.06),1)</f>
        <v>14.4</v>
      </c>
      <c r="S55" s="7"/>
      <c r="T55" s="7"/>
      <c r="U55" s="7"/>
      <c r="V55" s="7"/>
      <c r="W55" s="7"/>
      <c r="X55" s="7">
        <f>ROUNDUP((I55*(1.5/36)),1)</f>
        <v>4.8999999999999995</v>
      </c>
      <c r="Y55" s="7">
        <f t="shared" si="13"/>
        <v>5.6999999999999993</v>
      </c>
      <c r="Z55" s="7"/>
      <c r="AA55" s="7"/>
      <c r="AB55" s="8"/>
    </row>
    <row r="56" spans="1:28" x14ac:dyDescent="0.2">
      <c r="A56" s="46">
        <v>66177</v>
      </c>
      <c r="B56" s="42"/>
      <c r="C56" s="4" t="s">
        <v>32</v>
      </c>
      <c r="D56" s="42">
        <v>67106</v>
      </c>
      <c r="E56" s="42"/>
      <c r="F56" s="6" t="s">
        <v>35</v>
      </c>
      <c r="G56" s="6">
        <f t="shared" si="11"/>
        <v>929</v>
      </c>
      <c r="H56" s="6">
        <v>10</v>
      </c>
      <c r="I56" s="7">
        <f t="shared" si="12"/>
        <v>1032.3</v>
      </c>
      <c r="J56" s="12">
        <f>ROUNDUP((7755.11/9),1)</f>
        <v>861.7</v>
      </c>
      <c r="K56" s="7">
        <f>ROUNDUP(((G56*(H56+(18/12)))/9),1)</f>
        <v>1187.0999999999999</v>
      </c>
      <c r="L56" s="7"/>
      <c r="M56" s="7"/>
      <c r="N56" s="7"/>
      <c r="O56" s="7">
        <f>ROUNDUP(((G56*(H56+(4/12))*(5.5/12))/27),1)</f>
        <v>163</v>
      </c>
      <c r="P56" s="7">
        <f>ROUNDUP(((G56*(H56+(10/12))*(6/12))/27),1)</f>
        <v>186.4</v>
      </c>
      <c r="Q56" s="7"/>
      <c r="R56" s="7">
        <f>ROUNDUP((((G56*(H56+(4/12))/9)+(I56))*0.06),1)</f>
        <v>126</v>
      </c>
      <c r="S56" s="7"/>
      <c r="T56" s="7"/>
      <c r="U56" s="7"/>
      <c r="V56" s="7"/>
      <c r="W56" s="7"/>
      <c r="X56" s="7">
        <f>ROUNDUP((I56*(1.5/36)),1)</f>
        <v>43.1</v>
      </c>
      <c r="Y56" s="7">
        <f t="shared" si="13"/>
        <v>50.2</v>
      </c>
      <c r="Z56" s="7"/>
      <c r="AA56" s="7"/>
      <c r="AB56" s="8"/>
    </row>
    <row r="57" spans="1:28" x14ac:dyDescent="0.2">
      <c r="A57" s="46">
        <v>67106</v>
      </c>
      <c r="B57" s="42"/>
      <c r="C57" s="4" t="s">
        <v>32</v>
      </c>
      <c r="D57" s="42">
        <v>67163</v>
      </c>
      <c r="E57" s="42"/>
      <c r="F57" s="6" t="s">
        <v>35</v>
      </c>
      <c r="G57" s="6">
        <f t="shared" si="11"/>
        <v>57</v>
      </c>
      <c r="H57" s="6">
        <f>10+(23/12)</f>
        <v>11.916666666666666</v>
      </c>
      <c r="I57" s="7">
        <f t="shared" si="12"/>
        <v>75.5</v>
      </c>
      <c r="J57" s="12">
        <f>ROUNDUP((569.6/9),1)</f>
        <v>63.300000000000004</v>
      </c>
      <c r="K57" s="7">
        <f>ROUNDUP(((G57*(H57))/9),1)</f>
        <v>75.5</v>
      </c>
      <c r="L57" s="7"/>
      <c r="M57" s="7"/>
      <c r="N57" s="7"/>
      <c r="O57" s="7">
        <f>ROUNDUP(((G57*(H57)*(5.5/12))/27),1)</f>
        <v>11.6</v>
      </c>
      <c r="P57" s="7">
        <f>ROUNDUP(((G57*(H57)*(6/12))/27),1)</f>
        <v>12.6</v>
      </c>
      <c r="Q57" s="7">
        <f>ROUNDUP((((63.3*(8.75/12))/9)*0.025),1)</f>
        <v>0.2</v>
      </c>
      <c r="R57" s="7">
        <f>ROUNDUP((((G57*(H57)/9)+(I57))*0.06),1)</f>
        <v>9.1</v>
      </c>
      <c r="S57" s="7"/>
      <c r="T57" s="7"/>
      <c r="U57" s="7"/>
      <c r="V57" s="7"/>
      <c r="W57" s="7"/>
      <c r="X57" s="7">
        <f>ROUNDUP((((10*G57)/9)*(1.5/36)),1)</f>
        <v>2.7</v>
      </c>
      <c r="Y57" s="7">
        <f t="shared" si="13"/>
        <v>3.7</v>
      </c>
      <c r="Z57" s="7"/>
      <c r="AA57" s="7"/>
      <c r="AB57" s="8"/>
    </row>
    <row r="58" spans="1:28" x14ac:dyDescent="0.2">
      <c r="A58" s="46">
        <v>67163</v>
      </c>
      <c r="B58" s="42"/>
      <c r="C58" s="4" t="s">
        <v>32</v>
      </c>
      <c r="D58" s="42">
        <v>67674</v>
      </c>
      <c r="E58" s="42"/>
      <c r="F58" s="6" t="s">
        <v>35</v>
      </c>
      <c r="G58" s="6">
        <f t="shared" si="11"/>
        <v>511</v>
      </c>
      <c r="H58" s="6">
        <v>10</v>
      </c>
      <c r="I58" s="7">
        <f t="shared" si="12"/>
        <v>567.80000000000007</v>
      </c>
      <c r="J58" s="12">
        <f>ROUNDUP((4382.68/9),1)</f>
        <v>487</v>
      </c>
      <c r="K58" s="7">
        <f t="shared" ref="K58:K69" si="14">ROUNDUP(((G58*(H58+(18/12)))/9),1)</f>
        <v>653</v>
      </c>
      <c r="L58" s="7"/>
      <c r="M58" s="7"/>
      <c r="N58" s="7"/>
      <c r="O58" s="7">
        <f t="shared" ref="O58:O69" si="15">ROUNDUP(((G58*(H58+(4/12))*(5.5/12))/27),1)</f>
        <v>89.699999999999989</v>
      </c>
      <c r="P58" s="7">
        <f t="shared" ref="P58:P69" si="16">ROUNDUP(((G58*(H58+(10/12))*(6/12))/27),1)</f>
        <v>102.6</v>
      </c>
      <c r="Q58" s="7"/>
      <c r="R58" s="7">
        <f t="shared" ref="R58:R69" si="17">ROUNDUP((((G58*(H58+(4/12))/9)+(I58))*0.06),1)</f>
        <v>69.3</v>
      </c>
      <c r="S58" s="7"/>
      <c r="T58" s="7"/>
      <c r="U58" s="7"/>
      <c r="V58" s="7"/>
      <c r="W58" s="7"/>
      <c r="X58" s="7">
        <f t="shared" ref="X58:X69" si="18">ROUNDUP((I58*(1.5/36)),1)</f>
        <v>23.700000000000003</v>
      </c>
      <c r="Y58" s="7">
        <f t="shared" si="13"/>
        <v>27.700000000000003</v>
      </c>
      <c r="Z58" s="7"/>
      <c r="AA58" s="7"/>
      <c r="AB58" s="8"/>
    </row>
    <row r="59" spans="1:28" x14ac:dyDescent="0.2">
      <c r="A59" s="46">
        <v>67938.53</v>
      </c>
      <c r="B59" s="42"/>
      <c r="C59" s="4" t="s">
        <v>32</v>
      </c>
      <c r="D59" s="42">
        <v>68438.12</v>
      </c>
      <c r="E59" s="42"/>
      <c r="F59" s="6" t="s">
        <v>35</v>
      </c>
      <c r="G59" s="6">
        <f t="shared" si="11"/>
        <v>499.58999999999651</v>
      </c>
      <c r="H59" s="6">
        <v>4</v>
      </c>
      <c r="I59" s="7">
        <f t="shared" si="12"/>
        <v>222.1</v>
      </c>
      <c r="J59" s="12">
        <f>ROUNDUP((2154.86/9),1)</f>
        <v>239.5</v>
      </c>
      <c r="K59" s="7">
        <f t="shared" si="14"/>
        <v>305.40000000000003</v>
      </c>
      <c r="L59" s="7"/>
      <c r="M59" s="7"/>
      <c r="N59" s="7"/>
      <c r="O59" s="7">
        <f t="shared" si="15"/>
        <v>36.800000000000004</v>
      </c>
      <c r="P59" s="7">
        <f t="shared" si="16"/>
        <v>44.800000000000004</v>
      </c>
      <c r="Q59" s="7"/>
      <c r="R59" s="7">
        <f t="shared" si="17"/>
        <v>27.8</v>
      </c>
      <c r="S59" s="7"/>
      <c r="T59" s="7"/>
      <c r="U59" s="7"/>
      <c r="V59" s="7"/>
      <c r="W59" s="7"/>
      <c r="X59" s="7">
        <f t="shared" si="18"/>
        <v>9.2999999999999989</v>
      </c>
      <c r="Y59" s="7">
        <f t="shared" si="13"/>
        <v>10.799999999999999</v>
      </c>
      <c r="Z59" s="7"/>
      <c r="AA59" s="7"/>
      <c r="AB59" s="8"/>
    </row>
    <row r="60" spans="1:28" x14ac:dyDescent="0.2">
      <c r="A60" s="46">
        <v>68438.12</v>
      </c>
      <c r="B60" s="42"/>
      <c r="C60" s="4" t="s">
        <v>32</v>
      </c>
      <c r="D60" s="42">
        <v>68503.41</v>
      </c>
      <c r="E60" s="42"/>
      <c r="F60" s="6" t="s">
        <v>35</v>
      </c>
      <c r="G60" s="6">
        <f t="shared" si="11"/>
        <v>65.290000000008149</v>
      </c>
      <c r="H60" s="6">
        <v>2.5</v>
      </c>
      <c r="I60" s="7">
        <f t="shared" si="12"/>
        <v>18.200000000000003</v>
      </c>
      <c r="J60" s="12">
        <f>ROUNDUP((164.2/9),1)</f>
        <v>18.3</v>
      </c>
      <c r="K60" s="7">
        <f t="shared" si="14"/>
        <v>29.1</v>
      </c>
      <c r="L60" s="7"/>
      <c r="M60" s="7"/>
      <c r="N60" s="7">
        <f>ROUNDUP(G60,1)</f>
        <v>65.3</v>
      </c>
      <c r="O60" s="7">
        <f t="shared" si="15"/>
        <v>3.2</v>
      </c>
      <c r="P60" s="7">
        <f t="shared" si="16"/>
        <v>4.0999999999999996</v>
      </c>
      <c r="Q60" s="7"/>
      <c r="R60" s="7">
        <f t="shared" si="17"/>
        <v>2.4</v>
      </c>
      <c r="S60" s="7"/>
      <c r="T60" s="7"/>
      <c r="U60" s="7"/>
      <c r="V60" s="7"/>
      <c r="W60" s="7"/>
      <c r="X60" s="7">
        <f t="shared" si="18"/>
        <v>0.79999999999999993</v>
      </c>
      <c r="Y60" s="7">
        <f t="shared" si="13"/>
        <v>0.9</v>
      </c>
      <c r="Z60" s="7"/>
      <c r="AA60" s="7"/>
      <c r="AB60" s="8"/>
    </row>
    <row r="61" spans="1:28" x14ac:dyDescent="0.2">
      <c r="A61" s="46">
        <v>68800</v>
      </c>
      <c r="B61" s="42"/>
      <c r="C61" s="4" t="s">
        <v>32</v>
      </c>
      <c r="D61" s="42">
        <v>70753</v>
      </c>
      <c r="E61" s="42"/>
      <c r="F61" s="6" t="s">
        <v>35</v>
      </c>
      <c r="G61" s="6">
        <f t="shared" si="11"/>
        <v>1953</v>
      </c>
      <c r="H61" s="6">
        <v>10</v>
      </c>
      <c r="I61" s="7">
        <f t="shared" si="12"/>
        <v>2170</v>
      </c>
      <c r="J61" s="12">
        <f>ROUNDUP((16350.43/9),1)</f>
        <v>1816.8</v>
      </c>
      <c r="K61" s="7">
        <f t="shared" si="14"/>
        <v>2495.5</v>
      </c>
      <c r="L61" s="7"/>
      <c r="M61" s="7"/>
      <c r="N61" s="7"/>
      <c r="O61" s="7">
        <f t="shared" si="15"/>
        <v>342.6</v>
      </c>
      <c r="P61" s="7">
        <f t="shared" si="16"/>
        <v>391.90000000000003</v>
      </c>
      <c r="Q61" s="7"/>
      <c r="R61" s="7">
        <f t="shared" si="17"/>
        <v>264.8</v>
      </c>
      <c r="S61" s="7"/>
      <c r="T61" s="7"/>
      <c r="U61" s="7"/>
      <c r="V61" s="7"/>
      <c r="W61" s="7"/>
      <c r="X61" s="7">
        <f t="shared" si="18"/>
        <v>90.5</v>
      </c>
      <c r="Y61" s="7">
        <f t="shared" si="13"/>
        <v>105.5</v>
      </c>
      <c r="Z61" s="7"/>
      <c r="AA61" s="7"/>
      <c r="AB61" s="8"/>
    </row>
    <row r="62" spans="1:28" x14ac:dyDescent="0.2">
      <c r="A62" s="46">
        <v>71208.61</v>
      </c>
      <c r="B62" s="42"/>
      <c r="C62" s="4" t="s">
        <v>32</v>
      </c>
      <c r="D62" s="42">
        <v>71400</v>
      </c>
      <c r="E62" s="42"/>
      <c r="F62" s="6" t="s">
        <v>35</v>
      </c>
      <c r="G62" s="6">
        <f t="shared" si="11"/>
        <v>191.38999999999942</v>
      </c>
      <c r="H62" s="6">
        <v>8</v>
      </c>
      <c r="I62" s="7">
        <f t="shared" si="12"/>
        <v>170.2</v>
      </c>
      <c r="J62" s="12">
        <f>ROUNDUP((1586.57/9),1)</f>
        <v>176.29999999999998</v>
      </c>
      <c r="K62" s="7">
        <f t="shared" si="14"/>
        <v>202.1</v>
      </c>
      <c r="L62" s="7"/>
      <c r="M62" s="7"/>
      <c r="N62" s="7"/>
      <c r="O62" s="7">
        <f t="shared" si="15"/>
        <v>27.1</v>
      </c>
      <c r="P62" s="7">
        <f t="shared" si="16"/>
        <v>31.400000000000002</v>
      </c>
      <c r="Q62" s="7"/>
      <c r="R62" s="7">
        <f t="shared" si="17"/>
        <v>20.900000000000002</v>
      </c>
      <c r="S62" s="7"/>
      <c r="T62" s="7"/>
      <c r="U62" s="7"/>
      <c r="V62" s="7"/>
      <c r="W62" s="7"/>
      <c r="X62" s="7">
        <f t="shared" si="18"/>
        <v>7.1</v>
      </c>
      <c r="Y62" s="7">
        <f t="shared" si="13"/>
        <v>8.2999999999999989</v>
      </c>
      <c r="Z62" s="7"/>
      <c r="AA62" s="7"/>
      <c r="AB62" s="8"/>
    </row>
    <row r="63" spans="1:28" x14ac:dyDescent="0.2">
      <c r="A63" s="46">
        <v>71400</v>
      </c>
      <c r="B63" s="42"/>
      <c r="C63" s="4" t="s">
        <v>32</v>
      </c>
      <c r="D63" s="42">
        <v>71800</v>
      </c>
      <c r="E63" s="42"/>
      <c r="F63" s="6" t="s">
        <v>35</v>
      </c>
      <c r="G63" s="6">
        <f t="shared" si="11"/>
        <v>400</v>
      </c>
      <c r="H63" s="16">
        <v>9</v>
      </c>
      <c r="I63" s="7">
        <f t="shared" si="12"/>
        <v>400</v>
      </c>
      <c r="J63" s="12">
        <f>ROUNDUP((3148.74/9),1)</f>
        <v>349.90000000000003</v>
      </c>
      <c r="K63" s="7">
        <f t="shared" si="14"/>
        <v>466.70000000000005</v>
      </c>
      <c r="L63" s="7"/>
      <c r="M63" s="7"/>
      <c r="N63" s="7"/>
      <c r="O63" s="7">
        <f t="shared" si="15"/>
        <v>63.4</v>
      </c>
      <c r="P63" s="7">
        <f t="shared" si="16"/>
        <v>72.899999999999991</v>
      </c>
      <c r="Q63" s="7"/>
      <c r="R63" s="7">
        <f t="shared" si="17"/>
        <v>48.9</v>
      </c>
      <c r="S63" s="7"/>
      <c r="T63" s="7"/>
      <c r="U63" s="7"/>
      <c r="V63" s="7"/>
      <c r="W63" s="7"/>
      <c r="X63" s="7">
        <f t="shared" si="18"/>
        <v>16.700000000000003</v>
      </c>
      <c r="Y63" s="7">
        <f t="shared" si="13"/>
        <v>19.5</v>
      </c>
      <c r="Z63" s="7"/>
      <c r="AA63" s="7"/>
      <c r="AB63" s="8"/>
    </row>
    <row r="64" spans="1:28" x14ac:dyDescent="0.2">
      <c r="A64" s="46">
        <v>71800</v>
      </c>
      <c r="B64" s="42"/>
      <c r="C64" s="4" t="s">
        <v>32</v>
      </c>
      <c r="D64" s="42">
        <v>72300</v>
      </c>
      <c r="E64" s="42"/>
      <c r="F64" s="6" t="s">
        <v>35</v>
      </c>
      <c r="G64" s="6">
        <f t="shared" si="11"/>
        <v>500</v>
      </c>
      <c r="H64" s="6">
        <v>10</v>
      </c>
      <c r="I64" s="7">
        <f t="shared" si="12"/>
        <v>555.6</v>
      </c>
      <c r="J64" s="12">
        <f>ROUNDUP((4059.54/9),1)</f>
        <v>451.1</v>
      </c>
      <c r="K64" s="7">
        <f t="shared" si="14"/>
        <v>638.9</v>
      </c>
      <c r="L64" s="7"/>
      <c r="M64" s="7"/>
      <c r="N64" s="7"/>
      <c r="O64" s="7">
        <f t="shared" si="15"/>
        <v>87.8</v>
      </c>
      <c r="P64" s="7">
        <f t="shared" si="16"/>
        <v>100.39999999999999</v>
      </c>
      <c r="Q64" s="7"/>
      <c r="R64" s="7">
        <f t="shared" si="17"/>
        <v>67.8</v>
      </c>
      <c r="S64" s="7"/>
      <c r="T64" s="7"/>
      <c r="U64" s="7"/>
      <c r="V64" s="7"/>
      <c r="W64" s="7"/>
      <c r="X64" s="7">
        <f t="shared" si="18"/>
        <v>23.200000000000003</v>
      </c>
      <c r="Y64" s="7">
        <f t="shared" si="13"/>
        <v>27.1</v>
      </c>
      <c r="Z64" s="7"/>
      <c r="AA64" s="7"/>
      <c r="AB64" s="8"/>
    </row>
    <row r="65" spans="1:28" x14ac:dyDescent="0.2">
      <c r="A65" s="46">
        <v>72300</v>
      </c>
      <c r="B65" s="42"/>
      <c r="C65" s="4" t="s">
        <v>32</v>
      </c>
      <c r="D65" s="42">
        <v>72400</v>
      </c>
      <c r="E65" s="42"/>
      <c r="F65" s="6" t="s">
        <v>35</v>
      </c>
      <c r="G65" s="6">
        <f t="shared" si="11"/>
        <v>100</v>
      </c>
      <c r="H65" s="16">
        <v>6.5</v>
      </c>
      <c r="I65" s="7">
        <f t="shared" ref="I65:I69" si="19">ROUNDUP(((H65*G65)/9),1)</f>
        <v>72.3</v>
      </c>
      <c r="J65" s="12">
        <f>ROUNDUP((239.61/9),1)</f>
        <v>26.700000000000003</v>
      </c>
      <c r="K65" s="7">
        <f t="shared" si="14"/>
        <v>88.899999999999991</v>
      </c>
      <c r="L65" s="7"/>
      <c r="M65" s="7"/>
      <c r="N65" s="7"/>
      <c r="O65" s="7">
        <f t="shared" si="15"/>
        <v>11.6</v>
      </c>
      <c r="P65" s="7">
        <f t="shared" si="16"/>
        <v>13.6</v>
      </c>
      <c r="Q65" s="7"/>
      <c r="R65" s="7">
        <f t="shared" si="17"/>
        <v>8.9</v>
      </c>
      <c r="S65" s="7"/>
      <c r="T65" s="7"/>
      <c r="U65" s="7"/>
      <c r="V65" s="7"/>
      <c r="W65" s="7"/>
      <c r="X65" s="7">
        <f t="shared" si="18"/>
        <v>3.1</v>
      </c>
      <c r="Y65" s="7">
        <f t="shared" ref="Y65:Y69" si="20">ROUNDUP((I65*(1.75/36)),1)</f>
        <v>3.6</v>
      </c>
      <c r="Z65" s="7"/>
      <c r="AA65" s="7"/>
      <c r="AB65" s="8"/>
    </row>
    <row r="66" spans="1:28" x14ac:dyDescent="0.2">
      <c r="A66" s="46">
        <v>72400</v>
      </c>
      <c r="B66" s="42"/>
      <c r="C66" s="4" t="s">
        <v>32</v>
      </c>
      <c r="D66" s="42">
        <v>72650</v>
      </c>
      <c r="E66" s="42"/>
      <c r="F66" s="6" t="s">
        <v>35</v>
      </c>
      <c r="G66" s="6">
        <f t="shared" si="11"/>
        <v>250</v>
      </c>
      <c r="H66" s="6">
        <v>3</v>
      </c>
      <c r="I66" s="7">
        <f t="shared" si="19"/>
        <v>83.399999999999991</v>
      </c>
      <c r="J66" s="12">
        <f>ROUNDUP((391.69/9),1)</f>
        <v>43.6</v>
      </c>
      <c r="K66" s="7">
        <f t="shared" si="14"/>
        <v>125</v>
      </c>
      <c r="L66" s="7"/>
      <c r="M66" s="7"/>
      <c r="N66" s="7"/>
      <c r="O66" s="7">
        <f t="shared" si="15"/>
        <v>14.2</v>
      </c>
      <c r="P66" s="7">
        <f t="shared" si="16"/>
        <v>17.8</v>
      </c>
      <c r="Q66" s="7"/>
      <c r="R66" s="7">
        <f t="shared" si="17"/>
        <v>10.6</v>
      </c>
      <c r="S66" s="7"/>
      <c r="T66" s="7"/>
      <c r="U66" s="7"/>
      <c r="V66" s="7"/>
      <c r="W66" s="7"/>
      <c r="X66" s="7">
        <f t="shared" si="18"/>
        <v>3.5</v>
      </c>
      <c r="Y66" s="7">
        <f t="shared" si="20"/>
        <v>4.0999999999999996</v>
      </c>
      <c r="Z66" s="7"/>
      <c r="AA66" s="7"/>
      <c r="AB66" s="8"/>
    </row>
    <row r="67" spans="1:28" x14ac:dyDescent="0.2">
      <c r="A67" s="46">
        <v>72739.5</v>
      </c>
      <c r="B67" s="42"/>
      <c r="C67" s="4" t="s">
        <v>32</v>
      </c>
      <c r="D67" s="42">
        <v>72748</v>
      </c>
      <c r="E67" s="42"/>
      <c r="F67" s="6" t="s">
        <v>35</v>
      </c>
      <c r="G67" s="6">
        <f t="shared" si="11"/>
        <v>8.5</v>
      </c>
      <c r="H67" s="16">
        <v>6.5</v>
      </c>
      <c r="I67" s="7">
        <f t="shared" si="19"/>
        <v>6.1999999999999993</v>
      </c>
      <c r="J67" s="12">
        <f>ROUNDUP((47.9/9),1)</f>
        <v>5.3999999999999995</v>
      </c>
      <c r="K67" s="7">
        <f t="shared" si="14"/>
        <v>7.6</v>
      </c>
      <c r="L67" s="7"/>
      <c r="M67" s="7"/>
      <c r="N67" s="7"/>
      <c r="O67" s="7">
        <f t="shared" si="15"/>
        <v>1</v>
      </c>
      <c r="P67" s="7">
        <f t="shared" si="16"/>
        <v>1.2000000000000002</v>
      </c>
      <c r="Q67" s="7"/>
      <c r="R67" s="7">
        <f t="shared" si="17"/>
        <v>0.79999999999999993</v>
      </c>
      <c r="S67" s="7"/>
      <c r="T67" s="7"/>
      <c r="U67" s="7"/>
      <c r="V67" s="7"/>
      <c r="W67" s="7"/>
      <c r="X67" s="7">
        <f t="shared" si="18"/>
        <v>0.30000000000000004</v>
      </c>
      <c r="Y67" s="7">
        <f t="shared" si="20"/>
        <v>0.4</v>
      </c>
      <c r="Z67" s="7"/>
      <c r="AA67" s="7"/>
      <c r="AB67" s="8"/>
    </row>
    <row r="68" spans="1:28" x14ac:dyDescent="0.2">
      <c r="A68" s="46">
        <v>72748</v>
      </c>
      <c r="B68" s="42"/>
      <c r="C68" s="4" t="s">
        <v>32</v>
      </c>
      <c r="D68" s="42">
        <v>74761.78</v>
      </c>
      <c r="E68" s="42"/>
      <c r="F68" s="6" t="s">
        <v>35</v>
      </c>
      <c r="G68" s="6">
        <f t="shared" si="11"/>
        <v>2013.7799999999988</v>
      </c>
      <c r="H68" s="6">
        <v>10</v>
      </c>
      <c r="I68" s="7">
        <f t="shared" si="19"/>
        <v>2237.6</v>
      </c>
      <c r="J68" s="12">
        <f>ROUNDUP((17685.3/9),1)</f>
        <v>1965.1</v>
      </c>
      <c r="K68" s="7">
        <f t="shared" si="14"/>
        <v>2573.1999999999998</v>
      </c>
      <c r="L68" s="7"/>
      <c r="M68" s="7"/>
      <c r="N68" s="7">
        <v>10</v>
      </c>
      <c r="O68" s="7">
        <f t="shared" si="15"/>
        <v>353.3</v>
      </c>
      <c r="P68" s="7">
        <f t="shared" si="16"/>
        <v>404</v>
      </c>
      <c r="Q68" s="7"/>
      <c r="R68" s="7">
        <f t="shared" si="17"/>
        <v>273</v>
      </c>
      <c r="S68" s="7"/>
      <c r="T68" s="7"/>
      <c r="U68" s="7"/>
      <c r="V68" s="7"/>
      <c r="W68" s="7"/>
      <c r="X68" s="7">
        <f t="shared" si="18"/>
        <v>93.3</v>
      </c>
      <c r="Y68" s="7">
        <f t="shared" si="20"/>
        <v>108.8</v>
      </c>
      <c r="Z68" s="7"/>
      <c r="AA68" s="7"/>
      <c r="AB68" s="8"/>
    </row>
    <row r="69" spans="1:28" x14ac:dyDescent="0.2">
      <c r="A69" s="46">
        <v>75051.789999999994</v>
      </c>
      <c r="B69" s="42"/>
      <c r="C69" s="4" t="s">
        <v>32</v>
      </c>
      <c r="D69" s="42">
        <v>80336</v>
      </c>
      <c r="E69" s="42"/>
      <c r="F69" s="6" t="s">
        <v>35</v>
      </c>
      <c r="G69" s="6">
        <f t="shared" si="11"/>
        <v>5284.2100000000064</v>
      </c>
      <c r="H69" s="6">
        <v>10</v>
      </c>
      <c r="I69" s="7">
        <f t="shared" si="19"/>
        <v>5871.4000000000005</v>
      </c>
      <c r="J69" s="12">
        <f>ROUNDUP((46974.94/9),1)</f>
        <v>5219.5</v>
      </c>
      <c r="K69" s="7">
        <f t="shared" si="14"/>
        <v>6752.1</v>
      </c>
      <c r="L69" s="7"/>
      <c r="M69" s="7"/>
      <c r="N69" s="7">
        <v>20</v>
      </c>
      <c r="O69" s="7">
        <f t="shared" si="15"/>
        <v>927</v>
      </c>
      <c r="P69" s="7">
        <f t="shared" si="16"/>
        <v>1060.1999999999998</v>
      </c>
      <c r="Q69" s="7"/>
      <c r="R69" s="7">
        <f t="shared" si="17"/>
        <v>716.4</v>
      </c>
      <c r="S69" s="7"/>
      <c r="T69" s="7"/>
      <c r="U69" s="7"/>
      <c r="V69" s="7"/>
      <c r="W69" s="7"/>
      <c r="X69" s="7">
        <f t="shared" si="18"/>
        <v>244.7</v>
      </c>
      <c r="Y69" s="7">
        <f t="shared" si="20"/>
        <v>285.5</v>
      </c>
      <c r="Z69" s="7"/>
      <c r="AA69" s="7"/>
      <c r="AB69" s="8"/>
    </row>
    <row r="70" spans="1:28" x14ac:dyDescent="0.2">
      <c r="A70" s="43"/>
      <c r="B70" s="43"/>
      <c r="C70" s="43"/>
      <c r="D70" s="43"/>
      <c r="E70" s="44"/>
      <c r="F70" s="6"/>
      <c r="G70" s="6"/>
      <c r="H70" s="6"/>
      <c r="I70" s="7"/>
      <c r="J70" s="7"/>
      <c r="K70" s="7"/>
      <c r="L70" s="7"/>
      <c r="M70" s="7"/>
      <c r="N70" s="7"/>
      <c r="O70" s="7"/>
      <c r="P70" s="7"/>
      <c r="Q70" s="7"/>
      <c r="R70" s="7"/>
      <c r="S70" s="7"/>
      <c r="T70" s="7"/>
      <c r="U70" s="7"/>
      <c r="V70" s="7"/>
      <c r="W70" s="7"/>
      <c r="X70" s="7"/>
      <c r="Y70" s="7"/>
      <c r="Z70" s="7"/>
      <c r="AA70" s="7"/>
      <c r="AB70" s="8"/>
    </row>
    <row r="71" spans="1:28" x14ac:dyDescent="0.2">
      <c r="A71" s="45"/>
      <c r="B71" s="45"/>
      <c r="C71" s="45"/>
      <c r="D71" s="45"/>
      <c r="E71" s="46"/>
      <c r="F71" s="6"/>
      <c r="G71" s="6"/>
      <c r="H71" s="6"/>
      <c r="I71" s="7"/>
      <c r="J71" s="7"/>
      <c r="K71" s="7"/>
      <c r="L71" s="7"/>
      <c r="M71" s="7"/>
      <c r="N71" s="7"/>
      <c r="O71" s="7"/>
      <c r="P71" s="7"/>
      <c r="Q71" s="7"/>
      <c r="R71" s="7"/>
      <c r="S71" s="7"/>
      <c r="T71" s="7"/>
      <c r="U71" s="7"/>
      <c r="V71" s="7"/>
      <c r="W71" s="7"/>
      <c r="X71" s="7"/>
      <c r="Y71" s="7"/>
      <c r="Z71" s="7"/>
      <c r="AA71" s="7"/>
      <c r="AB71" s="8"/>
    </row>
    <row r="72" spans="1:28" x14ac:dyDescent="0.2">
      <c r="A72" s="45"/>
      <c r="B72" s="45"/>
      <c r="C72" s="45"/>
      <c r="D72" s="45"/>
      <c r="E72" s="46"/>
      <c r="F72" s="6"/>
      <c r="G72" s="6"/>
      <c r="H72" s="6"/>
      <c r="I72" s="7"/>
      <c r="J72" s="7"/>
      <c r="K72" s="7"/>
      <c r="L72" s="7"/>
      <c r="M72" s="7"/>
      <c r="N72" s="7"/>
      <c r="O72" s="7"/>
      <c r="P72" s="7"/>
      <c r="Q72" s="7"/>
      <c r="R72" s="7"/>
      <c r="S72" s="7"/>
      <c r="T72" s="7"/>
      <c r="U72" s="7"/>
      <c r="V72" s="7"/>
      <c r="W72" s="7"/>
      <c r="X72" s="7"/>
      <c r="Y72" s="7"/>
      <c r="Z72" s="7"/>
      <c r="AA72" s="7"/>
      <c r="AB72" s="8"/>
    </row>
    <row r="73" spans="1:28" x14ac:dyDescent="0.2">
      <c r="A73" s="45"/>
      <c r="B73" s="45"/>
      <c r="C73" s="45"/>
      <c r="D73" s="45"/>
      <c r="E73" s="46"/>
      <c r="F73" s="6"/>
      <c r="G73" s="6"/>
      <c r="H73" s="6"/>
      <c r="I73" s="7"/>
      <c r="J73" s="7"/>
      <c r="K73" s="7"/>
      <c r="L73" s="7"/>
      <c r="M73" s="7"/>
      <c r="N73" s="7"/>
      <c r="O73" s="7"/>
      <c r="P73" s="7"/>
      <c r="Q73" s="7"/>
      <c r="R73" s="7"/>
      <c r="S73" s="7"/>
      <c r="T73" s="7"/>
      <c r="U73" s="7"/>
      <c r="V73" s="7"/>
      <c r="W73" s="7"/>
      <c r="X73" s="7"/>
      <c r="Y73" s="7"/>
      <c r="Z73" s="7"/>
      <c r="AA73" s="7"/>
      <c r="AB73" s="8"/>
    </row>
    <row r="74" spans="1:28" ht="12.75" customHeight="1" x14ac:dyDescent="0.2">
      <c r="A74" s="37" t="s">
        <v>132</v>
      </c>
      <c r="B74" s="38"/>
      <c r="C74" s="38"/>
      <c r="D74" s="38"/>
      <c r="E74" s="38"/>
      <c r="F74" s="38"/>
      <c r="G74" s="38"/>
      <c r="H74" s="38"/>
      <c r="I74" s="38"/>
      <c r="J74" s="60">
        <f t="shared" ref="J74:P74" si="21">ROUNDUP(SUM(J19:J73),0)</f>
        <v>53579</v>
      </c>
      <c r="K74" s="60">
        <f t="shared" si="21"/>
        <v>57529</v>
      </c>
      <c r="L74" s="48">
        <f t="shared" si="21"/>
        <v>0</v>
      </c>
      <c r="M74" s="48">
        <f t="shared" si="21"/>
        <v>5327</v>
      </c>
      <c r="N74" s="48">
        <f t="shared" si="21"/>
        <v>202</v>
      </c>
      <c r="O74" s="48">
        <f t="shared" si="21"/>
        <v>8655</v>
      </c>
      <c r="P74" s="48">
        <f t="shared" si="21"/>
        <v>9428</v>
      </c>
      <c r="Q74" s="51">
        <f>ROUNDUP(SUM(Q19:S73),0)</f>
        <v>7723</v>
      </c>
      <c r="R74" s="62"/>
      <c r="S74" s="63"/>
      <c r="T74" s="48">
        <f t="shared" ref="T74:AB74" si="22">ROUNDUP(SUM(T19:T73),0)</f>
        <v>0</v>
      </c>
      <c r="U74" s="48">
        <f t="shared" si="22"/>
        <v>0</v>
      </c>
      <c r="V74" s="48">
        <f t="shared" si="22"/>
        <v>4233</v>
      </c>
      <c r="W74" s="48">
        <f t="shared" si="22"/>
        <v>0</v>
      </c>
      <c r="X74" s="48">
        <f t="shared" si="22"/>
        <v>2597</v>
      </c>
      <c r="Y74" s="48">
        <f t="shared" si="22"/>
        <v>3036</v>
      </c>
      <c r="Z74" s="48">
        <f t="shared" si="22"/>
        <v>0</v>
      </c>
      <c r="AA74" s="60">
        <f t="shared" si="22"/>
        <v>14672</v>
      </c>
      <c r="AB74" s="69">
        <f t="shared" si="22"/>
        <v>14672</v>
      </c>
    </row>
    <row r="75" spans="1:28" ht="12.75" customHeight="1" x14ac:dyDescent="0.2">
      <c r="A75" s="58"/>
      <c r="B75" s="59"/>
      <c r="C75" s="59"/>
      <c r="D75" s="59"/>
      <c r="E75" s="59"/>
      <c r="F75" s="59"/>
      <c r="G75" s="59"/>
      <c r="H75" s="59"/>
      <c r="I75" s="59"/>
      <c r="J75" s="61"/>
      <c r="K75" s="61"/>
      <c r="L75" s="49"/>
      <c r="M75" s="49"/>
      <c r="N75" s="49"/>
      <c r="O75" s="49"/>
      <c r="P75" s="49"/>
      <c r="Q75" s="64"/>
      <c r="R75" s="65"/>
      <c r="S75" s="66"/>
      <c r="T75" s="49"/>
      <c r="U75" s="49"/>
      <c r="V75" s="49"/>
      <c r="W75" s="49"/>
      <c r="X75" s="49"/>
      <c r="Y75" s="49"/>
      <c r="Z75" s="49"/>
      <c r="AA75" s="61"/>
      <c r="AB75" s="52"/>
    </row>
  </sheetData>
  <mergeCells count="134">
    <mergeCell ref="A74:I75"/>
    <mergeCell ref="J74:J75"/>
    <mergeCell ref="K74:K75"/>
    <mergeCell ref="L74:L75"/>
    <mergeCell ref="M74:M75"/>
    <mergeCell ref="N74:N75"/>
    <mergeCell ref="A73:E73"/>
    <mergeCell ref="Z74:Z75"/>
    <mergeCell ref="AA74:AA75"/>
    <mergeCell ref="AB74:AB75"/>
    <mergeCell ref="O74:O75"/>
    <mergeCell ref="P74:P75"/>
    <mergeCell ref="Q74:S75"/>
    <mergeCell ref="T74:T75"/>
    <mergeCell ref="U74:U75"/>
    <mergeCell ref="V74:V75"/>
    <mergeCell ref="W74:W75"/>
    <mergeCell ref="X74:X75"/>
    <mergeCell ref="Y74:Y75"/>
    <mergeCell ref="A68:B68"/>
    <mergeCell ref="D68:E68"/>
    <mergeCell ref="A69:B69"/>
    <mergeCell ref="D69:E69"/>
    <mergeCell ref="A70:E70"/>
    <mergeCell ref="A71:E71"/>
    <mergeCell ref="A54:B54"/>
    <mergeCell ref="D54:E54"/>
    <mergeCell ref="A55:B55"/>
    <mergeCell ref="D55:E55"/>
    <mergeCell ref="A66:B66"/>
    <mergeCell ref="D66:E66"/>
    <mergeCell ref="A67:B67"/>
    <mergeCell ref="D67:E67"/>
    <mergeCell ref="A59:B59"/>
    <mergeCell ref="D59:E59"/>
    <mergeCell ref="A60:B60"/>
    <mergeCell ref="D60:E60"/>
    <mergeCell ref="A61:B61"/>
    <mergeCell ref="D61:E61"/>
    <mergeCell ref="A62:B62"/>
    <mergeCell ref="D62:E62"/>
    <mergeCell ref="A64:B64"/>
    <mergeCell ref="D64:E64"/>
    <mergeCell ref="A65:B65"/>
    <mergeCell ref="D65:E65"/>
    <mergeCell ref="A56:B56"/>
    <mergeCell ref="D56:E56"/>
    <mergeCell ref="A57:B57"/>
    <mergeCell ref="D57:E57"/>
    <mergeCell ref="A58:B58"/>
    <mergeCell ref="D58:E58"/>
    <mergeCell ref="A63:B63"/>
    <mergeCell ref="D63:E63"/>
    <mergeCell ref="A47:B47"/>
    <mergeCell ref="D47:E47"/>
    <mergeCell ref="A48:B48"/>
    <mergeCell ref="D48:E48"/>
    <mergeCell ref="A42:B42"/>
    <mergeCell ref="D42:E42"/>
    <mergeCell ref="A43:B43"/>
    <mergeCell ref="D43:E43"/>
    <mergeCell ref="A53:B53"/>
    <mergeCell ref="D53:E53"/>
    <mergeCell ref="A51:E51"/>
    <mergeCell ref="A52:B52"/>
    <mergeCell ref="D52:E52"/>
    <mergeCell ref="A38:B38"/>
    <mergeCell ref="D38:E38"/>
    <mergeCell ref="A34:B34"/>
    <mergeCell ref="D34:E34"/>
    <mergeCell ref="A35:B35"/>
    <mergeCell ref="D35:E35"/>
    <mergeCell ref="A37:B37"/>
    <mergeCell ref="D37:E37"/>
    <mergeCell ref="A36:B36"/>
    <mergeCell ref="D36:E36"/>
    <mergeCell ref="X2:X16"/>
    <mergeCell ref="Y2:Y16"/>
    <mergeCell ref="Z2:Z16"/>
    <mergeCell ref="AA2:AA17"/>
    <mergeCell ref="AB2:AB17"/>
    <mergeCell ref="Q2:Q16"/>
    <mergeCell ref="R2:R16"/>
    <mergeCell ref="S2:S16"/>
    <mergeCell ref="T2:T16"/>
    <mergeCell ref="U2:U16"/>
    <mergeCell ref="V2:V17"/>
    <mergeCell ref="O2:O16"/>
    <mergeCell ref="P2:P16"/>
    <mergeCell ref="A1:E18"/>
    <mergeCell ref="F1:F18"/>
    <mergeCell ref="G1:G18"/>
    <mergeCell ref="H1:H18"/>
    <mergeCell ref="I1:I18"/>
    <mergeCell ref="J2:J17"/>
    <mergeCell ref="W2:W16"/>
    <mergeCell ref="D32:E32"/>
    <mergeCell ref="A33:B33"/>
    <mergeCell ref="D33:E33"/>
    <mergeCell ref="A28:B28"/>
    <mergeCell ref="K2:K17"/>
    <mergeCell ref="L2:L17"/>
    <mergeCell ref="M2:M17"/>
    <mergeCell ref="N2:N17"/>
    <mergeCell ref="D28:E28"/>
    <mergeCell ref="A29:B29"/>
    <mergeCell ref="D29:E29"/>
    <mergeCell ref="A30:B30"/>
    <mergeCell ref="D30:E30"/>
    <mergeCell ref="A22:E22"/>
    <mergeCell ref="A72:E72"/>
    <mergeCell ref="A40:E40"/>
    <mergeCell ref="A45:E45"/>
    <mergeCell ref="A50:E50"/>
    <mergeCell ref="A19:E19"/>
    <mergeCell ref="A20:E20"/>
    <mergeCell ref="A21:E21"/>
    <mergeCell ref="A23:E23"/>
    <mergeCell ref="A41:E41"/>
    <mergeCell ref="A39:E39"/>
    <mergeCell ref="A44:E44"/>
    <mergeCell ref="A46:E46"/>
    <mergeCell ref="A49:E49"/>
    <mergeCell ref="A25:B25"/>
    <mergeCell ref="D25:E25"/>
    <mergeCell ref="A26:B26"/>
    <mergeCell ref="D26:E26"/>
    <mergeCell ref="A27:B27"/>
    <mergeCell ref="D27:E27"/>
    <mergeCell ref="A24:B24"/>
    <mergeCell ref="D24:E24"/>
    <mergeCell ref="A31:B31"/>
    <mergeCell ref="D31:E31"/>
    <mergeCell ref="A32:B32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EAE2CB-77DA-40FB-83EC-4DC5E19FA37A}">
  <dimension ref="A1:AB75"/>
  <sheetViews>
    <sheetView showZeros="0" topLeftCell="A25" zoomScale="85" zoomScaleNormal="85" workbookViewId="0">
      <selection activeCell="A74" sqref="A74:I75"/>
    </sheetView>
  </sheetViews>
  <sheetFormatPr defaultRowHeight="12.75" x14ac:dyDescent="0.2"/>
  <cols>
    <col min="1" max="2" width="10.7109375" style="1" customWidth="1"/>
    <col min="3" max="3" width="3.7109375" style="1" customWidth="1"/>
    <col min="4" max="5" width="10.7109375" style="1" customWidth="1"/>
    <col min="6" max="9" width="9.7109375" style="1" customWidth="1"/>
    <col min="10" max="28" width="9.42578125" style="1" customWidth="1"/>
    <col min="29" max="36" width="9.7109375" style="1" customWidth="1"/>
    <col min="37" max="16384" width="9.140625" style="1"/>
  </cols>
  <sheetData>
    <row r="1" spans="1:28" ht="12.75" customHeight="1" x14ac:dyDescent="0.2">
      <c r="A1" s="35" t="s">
        <v>33</v>
      </c>
      <c r="B1" s="36"/>
      <c r="C1" s="36"/>
      <c r="D1" s="36"/>
      <c r="E1" s="36"/>
      <c r="F1" s="39" t="s">
        <v>29</v>
      </c>
      <c r="G1" s="39" t="s">
        <v>30</v>
      </c>
      <c r="H1" s="41" t="s">
        <v>36</v>
      </c>
      <c r="I1" s="39" t="s">
        <v>31</v>
      </c>
      <c r="J1" s="2">
        <v>202</v>
      </c>
      <c r="K1" s="2">
        <v>206</v>
      </c>
      <c r="L1" s="2">
        <v>254</v>
      </c>
      <c r="M1" s="2">
        <v>254</v>
      </c>
      <c r="N1" s="2">
        <v>255</v>
      </c>
      <c r="O1" s="2">
        <v>302</v>
      </c>
      <c r="P1" s="2">
        <v>304</v>
      </c>
      <c r="Q1" s="2">
        <v>407</v>
      </c>
      <c r="R1" s="2">
        <v>407</v>
      </c>
      <c r="S1" s="2">
        <v>407</v>
      </c>
      <c r="T1" s="2">
        <v>408</v>
      </c>
      <c r="U1" s="2">
        <v>441</v>
      </c>
      <c r="V1" s="2">
        <v>442</v>
      </c>
      <c r="W1" s="2">
        <v>442</v>
      </c>
      <c r="X1" s="2">
        <v>442</v>
      </c>
      <c r="Y1" s="2">
        <v>442</v>
      </c>
      <c r="Z1" s="2">
        <v>617</v>
      </c>
      <c r="AA1" s="2">
        <v>874</v>
      </c>
      <c r="AB1" s="3">
        <v>874</v>
      </c>
    </row>
    <row r="2" spans="1:28" ht="12.75" customHeight="1" x14ac:dyDescent="0.2">
      <c r="A2" s="37"/>
      <c r="B2" s="38"/>
      <c r="C2" s="38"/>
      <c r="D2" s="38"/>
      <c r="E2" s="38"/>
      <c r="F2" s="40"/>
      <c r="G2" s="40"/>
      <c r="H2" s="41"/>
      <c r="I2" s="40"/>
      <c r="J2" s="29" t="s">
        <v>0</v>
      </c>
      <c r="K2" s="28" t="s">
        <v>2</v>
      </c>
      <c r="L2" s="28" t="s">
        <v>3</v>
      </c>
      <c r="M2" s="28" t="s">
        <v>6</v>
      </c>
      <c r="N2" s="29" t="s">
        <v>4</v>
      </c>
      <c r="O2" s="28" t="s">
        <v>22</v>
      </c>
      <c r="P2" s="29" t="s">
        <v>8</v>
      </c>
      <c r="Q2" s="32" t="s">
        <v>12</v>
      </c>
      <c r="R2" s="28" t="s">
        <v>11</v>
      </c>
      <c r="S2" s="28" t="s">
        <v>11</v>
      </c>
      <c r="T2" s="29" t="s">
        <v>17</v>
      </c>
      <c r="U2" s="28" t="s">
        <v>19</v>
      </c>
      <c r="V2" s="29" t="s">
        <v>21</v>
      </c>
      <c r="W2" s="28" t="s">
        <v>109</v>
      </c>
      <c r="X2" s="28" t="s">
        <v>23</v>
      </c>
      <c r="Y2" s="28" t="s">
        <v>110</v>
      </c>
      <c r="Z2" s="28" t="s">
        <v>25</v>
      </c>
      <c r="AA2" s="28" t="s">
        <v>27</v>
      </c>
      <c r="AB2" s="30" t="s">
        <v>28</v>
      </c>
    </row>
    <row r="3" spans="1:28" ht="12.75" customHeight="1" x14ac:dyDescent="0.2">
      <c r="A3" s="37"/>
      <c r="B3" s="38"/>
      <c r="C3" s="38"/>
      <c r="D3" s="38"/>
      <c r="E3" s="38"/>
      <c r="F3" s="40"/>
      <c r="G3" s="40"/>
      <c r="H3" s="41"/>
      <c r="I3" s="40"/>
      <c r="J3" s="29"/>
      <c r="K3" s="29"/>
      <c r="L3" s="29"/>
      <c r="M3" s="29"/>
      <c r="N3" s="29"/>
      <c r="O3" s="29"/>
      <c r="P3" s="29"/>
      <c r="Q3" s="33"/>
      <c r="R3" s="29"/>
      <c r="S3" s="29"/>
      <c r="T3" s="29"/>
      <c r="U3" s="29"/>
      <c r="V3" s="29"/>
      <c r="W3" s="29"/>
      <c r="X3" s="29"/>
      <c r="Y3" s="29"/>
      <c r="Z3" s="29"/>
      <c r="AA3" s="29"/>
      <c r="AB3" s="31"/>
    </row>
    <row r="4" spans="1:28" ht="12.75" customHeight="1" x14ac:dyDescent="0.2">
      <c r="A4" s="37"/>
      <c r="B4" s="38"/>
      <c r="C4" s="38"/>
      <c r="D4" s="38"/>
      <c r="E4" s="38"/>
      <c r="F4" s="40"/>
      <c r="G4" s="40"/>
      <c r="H4" s="41"/>
      <c r="I4" s="40"/>
      <c r="J4" s="29"/>
      <c r="K4" s="29"/>
      <c r="L4" s="29"/>
      <c r="M4" s="29"/>
      <c r="N4" s="29"/>
      <c r="O4" s="29"/>
      <c r="P4" s="29"/>
      <c r="Q4" s="33"/>
      <c r="R4" s="29"/>
      <c r="S4" s="29"/>
      <c r="T4" s="29"/>
      <c r="U4" s="29"/>
      <c r="V4" s="29"/>
      <c r="W4" s="29"/>
      <c r="X4" s="29"/>
      <c r="Y4" s="29"/>
      <c r="Z4" s="29"/>
      <c r="AA4" s="29"/>
      <c r="AB4" s="31"/>
    </row>
    <row r="5" spans="1:28" ht="12.75" customHeight="1" x14ac:dyDescent="0.2">
      <c r="A5" s="37"/>
      <c r="B5" s="38"/>
      <c r="C5" s="38"/>
      <c r="D5" s="38"/>
      <c r="E5" s="38"/>
      <c r="F5" s="40"/>
      <c r="G5" s="40"/>
      <c r="H5" s="41"/>
      <c r="I5" s="40"/>
      <c r="J5" s="29"/>
      <c r="K5" s="29"/>
      <c r="L5" s="29"/>
      <c r="M5" s="29"/>
      <c r="N5" s="29"/>
      <c r="O5" s="29"/>
      <c r="P5" s="29"/>
      <c r="Q5" s="33"/>
      <c r="R5" s="29"/>
      <c r="S5" s="29"/>
      <c r="T5" s="29"/>
      <c r="U5" s="29"/>
      <c r="V5" s="29"/>
      <c r="W5" s="29"/>
      <c r="X5" s="29"/>
      <c r="Y5" s="29"/>
      <c r="Z5" s="29"/>
      <c r="AA5" s="29"/>
      <c r="AB5" s="31"/>
    </row>
    <row r="6" spans="1:28" ht="12.75" customHeight="1" x14ac:dyDescent="0.2">
      <c r="A6" s="37"/>
      <c r="B6" s="38"/>
      <c r="C6" s="38"/>
      <c r="D6" s="38"/>
      <c r="E6" s="38"/>
      <c r="F6" s="40"/>
      <c r="G6" s="40"/>
      <c r="H6" s="41"/>
      <c r="I6" s="40"/>
      <c r="J6" s="29"/>
      <c r="K6" s="29"/>
      <c r="L6" s="29"/>
      <c r="M6" s="29"/>
      <c r="N6" s="29"/>
      <c r="O6" s="29"/>
      <c r="P6" s="29"/>
      <c r="Q6" s="33"/>
      <c r="R6" s="29"/>
      <c r="S6" s="29"/>
      <c r="T6" s="29"/>
      <c r="U6" s="29"/>
      <c r="V6" s="29"/>
      <c r="W6" s="29"/>
      <c r="X6" s="29"/>
      <c r="Y6" s="29"/>
      <c r="Z6" s="29"/>
      <c r="AA6" s="29"/>
      <c r="AB6" s="31"/>
    </row>
    <row r="7" spans="1:28" ht="12.75" customHeight="1" x14ac:dyDescent="0.2">
      <c r="A7" s="37"/>
      <c r="B7" s="38"/>
      <c r="C7" s="38"/>
      <c r="D7" s="38"/>
      <c r="E7" s="38"/>
      <c r="F7" s="40"/>
      <c r="G7" s="40"/>
      <c r="H7" s="41"/>
      <c r="I7" s="40"/>
      <c r="J7" s="29"/>
      <c r="K7" s="29"/>
      <c r="L7" s="29"/>
      <c r="M7" s="29"/>
      <c r="N7" s="29"/>
      <c r="O7" s="29"/>
      <c r="P7" s="29"/>
      <c r="Q7" s="33"/>
      <c r="R7" s="29"/>
      <c r="S7" s="29"/>
      <c r="T7" s="29"/>
      <c r="U7" s="29"/>
      <c r="V7" s="29"/>
      <c r="W7" s="29"/>
      <c r="X7" s="29"/>
      <c r="Y7" s="29"/>
      <c r="Z7" s="29"/>
      <c r="AA7" s="29"/>
      <c r="AB7" s="31"/>
    </row>
    <row r="8" spans="1:28" ht="12.75" customHeight="1" x14ac:dyDescent="0.2">
      <c r="A8" s="37"/>
      <c r="B8" s="38"/>
      <c r="C8" s="38"/>
      <c r="D8" s="38"/>
      <c r="E8" s="38"/>
      <c r="F8" s="40"/>
      <c r="G8" s="40"/>
      <c r="H8" s="41"/>
      <c r="I8" s="40"/>
      <c r="J8" s="29"/>
      <c r="K8" s="29"/>
      <c r="L8" s="29"/>
      <c r="M8" s="29"/>
      <c r="N8" s="29"/>
      <c r="O8" s="29"/>
      <c r="P8" s="29"/>
      <c r="Q8" s="33"/>
      <c r="R8" s="29"/>
      <c r="S8" s="29"/>
      <c r="T8" s="29"/>
      <c r="U8" s="29"/>
      <c r="V8" s="29"/>
      <c r="W8" s="29"/>
      <c r="X8" s="29"/>
      <c r="Y8" s="29"/>
      <c r="Z8" s="29"/>
      <c r="AA8" s="29"/>
      <c r="AB8" s="31"/>
    </row>
    <row r="9" spans="1:28" ht="12.75" customHeight="1" x14ac:dyDescent="0.2">
      <c r="A9" s="37"/>
      <c r="B9" s="38"/>
      <c r="C9" s="38"/>
      <c r="D9" s="38"/>
      <c r="E9" s="38"/>
      <c r="F9" s="40"/>
      <c r="G9" s="40"/>
      <c r="H9" s="41"/>
      <c r="I9" s="40"/>
      <c r="J9" s="29"/>
      <c r="K9" s="29"/>
      <c r="L9" s="29"/>
      <c r="M9" s="29"/>
      <c r="N9" s="29"/>
      <c r="O9" s="29"/>
      <c r="P9" s="29"/>
      <c r="Q9" s="33"/>
      <c r="R9" s="29"/>
      <c r="S9" s="29"/>
      <c r="T9" s="29"/>
      <c r="U9" s="29"/>
      <c r="V9" s="29"/>
      <c r="W9" s="29"/>
      <c r="X9" s="29"/>
      <c r="Y9" s="29"/>
      <c r="Z9" s="29"/>
      <c r="AA9" s="29"/>
      <c r="AB9" s="31"/>
    </row>
    <row r="10" spans="1:28" ht="12.75" customHeight="1" x14ac:dyDescent="0.2">
      <c r="A10" s="37"/>
      <c r="B10" s="38"/>
      <c r="C10" s="38"/>
      <c r="D10" s="38"/>
      <c r="E10" s="38"/>
      <c r="F10" s="40"/>
      <c r="G10" s="40"/>
      <c r="H10" s="41"/>
      <c r="I10" s="40"/>
      <c r="J10" s="29"/>
      <c r="K10" s="29"/>
      <c r="L10" s="29"/>
      <c r="M10" s="29"/>
      <c r="N10" s="29"/>
      <c r="O10" s="29"/>
      <c r="P10" s="29"/>
      <c r="Q10" s="33"/>
      <c r="R10" s="29"/>
      <c r="S10" s="29"/>
      <c r="T10" s="29"/>
      <c r="U10" s="29"/>
      <c r="V10" s="29"/>
      <c r="W10" s="29"/>
      <c r="X10" s="29"/>
      <c r="Y10" s="29"/>
      <c r="Z10" s="29"/>
      <c r="AA10" s="29"/>
      <c r="AB10" s="31"/>
    </row>
    <row r="11" spans="1:28" ht="12.75" customHeight="1" x14ac:dyDescent="0.2">
      <c r="A11" s="37"/>
      <c r="B11" s="38"/>
      <c r="C11" s="38"/>
      <c r="D11" s="38"/>
      <c r="E11" s="38"/>
      <c r="F11" s="40"/>
      <c r="G11" s="40"/>
      <c r="H11" s="41"/>
      <c r="I11" s="40"/>
      <c r="J11" s="29"/>
      <c r="K11" s="29"/>
      <c r="L11" s="29"/>
      <c r="M11" s="29"/>
      <c r="N11" s="29"/>
      <c r="O11" s="29"/>
      <c r="P11" s="29"/>
      <c r="Q11" s="33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31"/>
    </row>
    <row r="12" spans="1:28" ht="12.75" customHeight="1" x14ac:dyDescent="0.2">
      <c r="A12" s="37"/>
      <c r="B12" s="38"/>
      <c r="C12" s="38"/>
      <c r="D12" s="38"/>
      <c r="E12" s="38"/>
      <c r="F12" s="40"/>
      <c r="G12" s="40"/>
      <c r="H12" s="41"/>
      <c r="I12" s="40"/>
      <c r="J12" s="29"/>
      <c r="K12" s="29"/>
      <c r="L12" s="29"/>
      <c r="M12" s="29"/>
      <c r="N12" s="29"/>
      <c r="O12" s="29"/>
      <c r="P12" s="29"/>
      <c r="Q12" s="33"/>
      <c r="R12" s="29"/>
      <c r="S12" s="29"/>
      <c r="T12" s="29"/>
      <c r="U12" s="29"/>
      <c r="V12" s="29"/>
      <c r="W12" s="29"/>
      <c r="X12" s="29"/>
      <c r="Y12" s="29"/>
      <c r="Z12" s="29"/>
      <c r="AA12" s="29"/>
      <c r="AB12" s="31"/>
    </row>
    <row r="13" spans="1:28" ht="12.75" customHeight="1" x14ac:dyDescent="0.2">
      <c r="A13" s="37"/>
      <c r="B13" s="38"/>
      <c r="C13" s="38"/>
      <c r="D13" s="38"/>
      <c r="E13" s="38"/>
      <c r="F13" s="40"/>
      <c r="G13" s="40"/>
      <c r="H13" s="41"/>
      <c r="I13" s="40"/>
      <c r="J13" s="29"/>
      <c r="K13" s="29"/>
      <c r="L13" s="29"/>
      <c r="M13" s="29"/>
      <c r="N13" s="29"/>
      <c r="O13" s="29"/>
      <c r="P13" s="29"/>
      <c r="Q13" s="33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31"/>
    </row>
    <row r="14" spans="1:28" ht="12.75" customHeight="1" x14ac:dyDescent="0.2">
      <c r="A14" s="37"/>
      <c r="B14" s="38"/>
      <c r="C14" s="38"/>
      <c r="D14" s="38"/>
      <c r="E14" s="38"/>
      <c r="F14" s="40"/>
      <c r="G14" s="40"/>
      <c r="H14" s="41"/>
      <c r="I14" s="40"/>
      <c r="J14" s="29"/>
      <c r="K14" s="29"/>
      <c r="L14" s="29"/>
      <c r="M14" s="29"/>
      <c r="N14" s="29"/>
      <c r="O14" s="29"/>
      <c r="P14" s="29"/>
      <c r="Q14" s="33"/>
      <c r="R14" s="29"/>
      <c r="S14" s="29"/>
      <c r="T14" s="29"/>
      <c r="U14" s="29"/>
      <c r="V14" s="29"/>
      <c r="W14" s="29"/>
      <c r="X14" s="29"/>
      <c r="Y14" s="29"/>
      <c r="Z14" s="29"/>
      <c r="AA14" s="29"/>
      <c r="AB14" s="31"/>
    </row>
    <row r="15" spans="1:28" ht="12.75" customHeight="1" x14ac:dyDescent="0.2">
      <c r="A15" s="37"/>
      <c r="B15" s="38"/>
      <c r="C15" s="38"/>
      <c r="D15" s="38"/>
      <c r="E15" s="38"/>
      <c r="F15" s="40"/>
      <c r="G15" s="40"/>
      <c r="H15" s="41"/>
      <c r="I15" s="40"/>
      <c r="J15" s="29"/>
      <c r="K15" s="29"/>
      <c r="L15" s="29"/>
      <c r="M15" s="29"/>
      <c r="N15" s="29"/>
      <c r="O15" s="29"/>
      <c r="P15" s="29"/>
      <c r="Q15" s="33"/>
      <c r="R15" s="29"/>
      <c r="S15" s="29"/>
      <c r="T15" s="29"/>
      <c r="U15" s="29"/>
      <c r="V15" s="29"/>
      <c r="W15" s="29"/>
      <c r="X15" s="29"/>
      <c r="Y15" s="29"/>
      <c r="Z15" s="29"/>
      <c r="AA15" s="29"/>
      <c r="AB15" s="31"/>
    </row>
    <row r="16" spans="1:28" ht="12.75" customHeight="1" x14ac:dyDescent="0.2">
      <c r="A16" s="37"/>
      <c r="B16" s="38"/>
      <c r="C16" s="38"/>
      <c r="D16" s="38"/>
      <c r="E16" s="38"/>
      <c r="F16" s="40"/>
      <c r="G16" s="40"/>
      <c r="H16" s="41"/>
      <c r="I16" s="40"/>
      <c r="J16" s="29"/>
      <c r="K16" s="29"/>
      <c r="L16" s="29"/>
      <c r="M16" s="29"/>
      <c r="N16" s="29"/>
      <c r="O16" s="29"/>
      <c r="P16" s="29"/>
      <c r="Q16" s="34"/>
      <c r="R16" s="29"/>
      <c r="S16" s="29"/>
      <c r="T16" s="29"/>
      <c r="U16" s="29"/>
      <c r="V16" s="29"/>
      <c r="W16" s="29"/>
      <c r="X16" s="29"/>
      <c r="Y16" s="29"/>
      <c r="Z16" s="29"/>
      <c r="AA16" s="29"/>
      <c r="AB16" s="31"/>
    </row>
    <row r="17" spans="1:28" ht="12.75" customHeight="1" x14ac:dyDescent="0.2">
      <c r="A17" s="37"/>
      <c r="B17" s="38"/>
      <c r="C17" s="38"/>
      <c r="D17" s="38"/>
      <c r="E17" s="38"/>
      <c r="F17" s="40"/>
      <c r="G17" s="40"/>
      <c r="H17" s="41"/>
      <c r="I17" s="40"/>
      <c r="J17" s="29"/>
      <c r="K17" s="29"/>
      <c r="L17" s="29"/>
      <c r="M17" s="29"/>
      <c r="N17" s="29"/>
      <c r="O17" s="4" t="s">
        <v>10</v>
      </c>
      <c r="P17" s="4" t="s">
        <v>9</v>
      </c>
      <c r="Q17" s="4" t="s">
        <v>13</v>
      </c>
      <c r="R17" s="4" t="s">
        <v>15</v>
      </c>
      <c r="S17" s="4" t="s">
        <v>16</v>
      </c>
      <c r="T17" s="4" t="s">
        <v>18</v>
      </c>
      <c r="U17" s="4" t="s">
        <v>20</v>
      </c>
      <c r="V17" s="29"/>
      <c r="W17" s="4" t="s">
        <v>20</v>
      </c>
      <c r="X17" s="4" t="s">
        <v>20</v>
      </c>
      <c r="Y17" s="4" t="s">
        <v>24</v>
      </c>
      <c r="Z17" s="4" t="s">
        <v>26</v>
      </c>
      <c r="AA17" s="29"/>
      <c r="AB17" s="31"/>
    </row>
    <row r="18" spans="1:28" ht="12.75" customHeight="1" x14ac:dyDescent="0.2">
      <c r="A18" s="37"/>
      <c r="B18" s="38"/>
      <c r="C18" s="38"/>
      <c r="D18" s="38"/>
      <c r="E18" s="38"/>
      <c r="F18" s="40"/>
      <c r="G18" s="40"/>
      <c r="H18" s="39"/>
      <c r="I18" s="40"/>
      <c r="J18" s="4" t="s">
        <v>1</v>
      </c>
      <c r="K18" s="4" t="s">
        <v>1</v>
      </c>
      <c r="L18" s="4" t="s">
        <v>1</v>
      </c>
      <c r="M18" s="4" t="s">
        <v>1</v>
      </c>
      <c r="N18" s="4" t="s">
        <v>5</v>
      </c>
      <c r="O18" s="4" t="s">
        <v>7</v>
      </c>
      <c r="P18" s="4" t="s">
        <v>7</v>
      </c>
      <c r="Q18" s="4" t="s">
        <v>14</v>
      </c>
      <c r="R18" s="4" t="s">
        <v>14</v>
      </c>
      <c r="S18" s="4" t="s">
        <v>14</v>
      </c>
      <c r="T18" s="4" t="s">
        <v>14</v>
      </c>
      <c r="U18" s="4" t="s">
        <v>7</v>
      </c>
      <c r="V18" s="4" t="s">
        <v>7</v>
      </c>
      <c r="W18" s="4" t="s">
        <v>7</v>
      </c>
      <c r="X18" s="4" t="s">
        <v>7</v>
      </c>
      <c r="Y18" s="4" t="s">
        <v>7</v>
      </c>
      <c r="Z18" s="4" t="s">
        <v>7</v>
      </c>
      <c r="AA18" s="4" t="s">
        <v>5</v>
      </c>
      <c r="AB18" s="5" t="s">
        <v>5</v>
      </c>
    </row>
    <row r="19" spans="1:28" x14ac:dyDescent="0.2">
      <c r="A19" s="43" t="s">
        <v>57</v>
      </c>
      <c r="B19" s="43"/>
      <c r="C19" s="43"/>
      <c r="D19" s="43"/>
      <c r="E19" s="44"/>
      <c r="F19" s="6"/>
      <c r="G19" s="6"/>
      <c r="H19" s="6"/>
      <c r="I19" s="9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8"/>
    </row>
    <row r="20" spans="1:28" x14ac:dyDescent="0.2">
      <c r="A20" s="43"/>
      <c r="B20" s="43"/>
      <c r="C20" s="43"/>
      <c r="D20" s="43"/>
      <c r="E20" s="44"/>
      <c r="F20" s="6"/>
      <c r="G20" s="6"/>
      <c r="H20" s="6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8"/>
    </row>
    <row r="21" spans="1:28" x14ac:dyDescent="0.2">
      <c r="A21" s="43" t="s">
        <v>93</v>
      </c>
      <c r="B21" s="43"/>
      <c r="C21" s="43"/>
      <c r="D21" s="43"/>
      <c r="E21" s="44"/>
      <c r="F21" s="6"/>
      <c r="G21" s="6"/>
      <c r="H21" s="6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8"/>
    </row>
    <row r="22" spans="1:28" x14ac:dyDescent="0.2">
      <c r="A22" s="43"/>
      <c r="B22" s="43"/>
      <c r="C22" s="43"/>
      <c r="D22" s="43"/>
      <c r="E22" s="44"/>
      <c r="F22" s="6"/>
      <c r="G22" s="6"/>
      <c r="H22" s="6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8"/>
    </row>
    <row r="23" spans="1:28" x14ac:dyDescent="0.2">
      <c r="A23" s="43" t="s">
        <v>58</v>
      </c>
      <c r="B23" s="43"/>
      <c r="C23" s="43"/>
      <c r="D23" s="43"/>
      <c r="E23" s="44"/>
      <c r="F23" s="6"/>
      <c r="G23" s="6"/>
      <c r="H23" s="6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8"/>
    </row>
    <row r="24" spans="1:28" x14ac:dyDescent="0.2">
      <c r="A24" s="46">
        <v>65806.8</v>
      </c>
      <c r="B24" s="42"/>
      <c r="C24" s="4" t="s">
        <v>32</v>
      </c>
      <c r="D24" s="74">
        <v>66175.31</v>
      </c>
      <c r="E24" s="74"/>
      <c r="F24" s="6" t="s">
        <v>35</v>
      </c>
      <c r="G24" s="6">
        <f>D24-A24</f>
        <v>368.50999999999476</v>
      </c>
      <c r="H24" s="16">
        <f>(I24*9)/G24</f>
        <v>18.95688041030121</v>
      </c>
      <c r="I24" s="12">
        <f>ROUNDUP((6985.75/9),1)</f>
        <v>776.2</v>
      </c>
      <c r="J24" s="7">
        <f>I24</f>
        <v>776.2</v>
      </c>
      <c r="K24" s="7">
        <f>I24</f>
        <v>776.2</v>
      </c>
      <c r="L24" s="7"/>
      <c r="M24" s="7"/>
      <c r="N24" s="7">
        <v>19</v>
      </c>
      <c r="O24" s="7">
        <f>ROUNDUP((I24*(5.5/36)),1)</f>
        <v>118.6</v>
      </c>
      <c r="P24" s="7">
        <f>ROUNDUP((I24*(6/36)),1)</f>
        <v>129.4</v>
      </c>
      <c r="Q24" s="7">
        <f>ROUNDUP(((((N24+G24)*(8.75/12))/9)*0.025),1)</f>
        <v>0.79999999999999993</v>
      </c>
      <c r="R24" s="7">
        <f>ROUNDUP((2*0.06*I24),1)</f>
        <v>93.199999999999989</v>
      </c>
      <c r="S24" s="7"/>
      <c r="T24" s="7"/>
      <c r="U24" s="7"/>
      <c r="V24" s="7">
        <f>X24+Y24</f>
        <v>70.2</v>
      </c>
      <c r="W24" s="7"/>
      <c r="X24" s="7">
        <f>ROUNDUP((I24*(1.5/36)),1)</f>
        <v>32.4</v>
      </c>
      <c r="Y24" s="7">
        <f>ROUNDUP((I24*(1.75/36)),1)</f>
        <v>37.800000000000004</v>
      </c>
      <c r="Z24" s="7"/>
      <c r="AA24" s="7"/>
      <c r="AB24" s="8"/>
    </row>
    <row r="25" spans="1:28" x14ac:dyDescent="0.2">
      <c r="A25" s="43"/>
      <c r="B25" s="43"/>
      <c r="C25" s="43"/>
      <c r="D25" s="43"/>
      <c r="E25" s="44"/>
      <c r="F25" s="6"/>
      <c r="G25" s="6"/>
      <c r="H25" s="6"/>
      <c r="I25" s="7"/>
      <c r="J25" s="7"/>
      <c r="K25" s="7"/>
      <c r="L25" s="7"/>
      <c r="M25" s="7"/>
      <c r="N25" s="7"/>
      <c r="O25" s="7"/>
      <c r="P25" s="7"/>
      <c r="Q25" s="7"/>
      <c r="R25" s="7">
        <f t="shared" ref="R25:R27" si="0">ROUNDUP((2*0.06*I25),1)</f>
        <v>0</v>
      </c>
      <c r="S25" s="7"/>
      <c r="T25" s="7"/>
      <c r="U25" s="7"/>
      <c r="V25" s="7">
        <f t="shared" ref="V25:V27" si="1">X25+Y25</f>
        <v>0</v>
      </c>
      <c r="W25" s="7"/>
      <c r="X25" s="7">
        <f t="shared" ref="X25:X28" si="2">ROUNDUP((I25*(1.5/36)),1)</f>
        <v>0</v>
      </c>
      <c r="Y25" s="7">
        <f t="shared" ref="Y25:Y28" si="3">ROUNDUP((I25*(1.75/36)),1)</f>
        <v>0</v>
      </c>
      <c r="Z25" s="7"/>
      <c r="AA25" s="7"/>
      <c r="AB25" s="8"/>
    </row>
    <row r="26" spans="1:28" x14ac:dyDescent="0.2">
      <c r="A26" s="43"/>
      <c r="B26" s="43"/>
      <c r="C26" s="43"/>
      <c r="D26" s="43"/>
      <c r="E26" s="44"/>
      <c r="F26" s="6"/>
      <c r="G26" s="6"/>
      <c r="H26" s="6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8"/>
    </row>
    <row r="27" spans="1:28" x14ac:dyDescent="0.2">
      <c r="A27" s="43" t="s">
        <v>59</v>
      </c>
      <c r="B27" s="43"/>
      <c r="C27" s="43"/>
      <c r="D27" s="43"/>
      <c r="E27" s="44"/>
      <c r="F27" s="6"/>
      <c r="G27" s="6"/>
      <c r="H27" s="6"/>
      <c r="I27" s="7"/>
      <c r="J27" s="7"/>
      <c r="K27" s="7"/>
      <c r="L27" s="7"/>
      <c r="M27" s="7"/>
      <c r="N27" s="7"/>
      <c r="O27" s="7"/>
      <c r="P27" s="7"/>
      <c r="Q27" s="7"/>
      <c r="R27" s="7">
        <f t="shared" si="0"/>
        <v>0</v>
      </c>
      <c r="S27" s="7"/>
      <c r="T27" s="7"/>
      <c r="U27" s="7"/>
      <c r="V27" s="7">
        <f t="shared" si="1"/>
        <v>0</v>
      </c>
      <c r="W27" s="7"/>
      <c r="X27" s="7">
        <f t="shared" si="2"/>
        <v>0</v>
      </c>
      <c r="Y27" s="7">
        <f t="shared" si="3"/>
        <v>0</v>
      </c>
      <c r="Z27" s="7"/>
      <c r="AA27" s="7"/>
      <c r="AB27" s="8"/>
    </row>
    <row r="28" spans="1:28" x14ac:dyDescent="0.2">
      <c r="A28" s="46">
        <v>65806.8</v>
      </c>
      <c r="B28" s="42"/>
      <c r="C28" s="4" t="s">
        <v>32</v>
      </c>
      <c r="D28" s="74">
        <v>66175.31</v>
      </c>
      <c r="E28" s="74"/>
      <c r="F28" s="6" t="s">
        <v>35</v>
      </c>
      <c r="G28" s="6">
        <f>D28-A28</f>
        <v>368.50999999999476</v>
      </c>
      <c r="H28" s="16">
        <v>6.5</v>
      </c>
      <c r="I28" s="7">
        <f>(G28*H28)/9</f>
        <v>266.1461111111073</v>
      </c>
      <c r="J28" s="12">
        <f>ROUNDUP((2421.3/9),1)</f>
        <v>269.10000000000002</v>
      </c>
      <c r="K28" s="7">
        <f>ROUNDUP((((G28*(H28+(18/12)))/9)),1)</f>
        <v>327.60000000000002</v>
      </c>
      <c r="L28" s="7"/>
      <c r="M28" s="7"/>
      <c r="N28" s="7">
        <v>5</v>
      </c>
      <c r="O28" s="7">
        <f>ROUNDUP((((G28*(H28+(4/12)))/9)*(5.5/36)),1)</f>
        <v>42.800000000000004</v>
      </c>
      <c r="P28" s="7">
        <f>ROUNDUP((((G28*(H28+(10/12)))/9)*(6/36)),1)</f>
        <v>50.1</v>
      </c>
      <c r="Q28" s="7">
        <f>ROUNDUP(((((N28)*(8.75/12))/9)*0.025),1)</f>
        <v>0.1</v>
      </c>
      <c r="R28" s="7">
        <f>ROUNDUP(((((G28*(H28+(4/12)))/9)+I28)*0.06),1)</f>
        <v>32.800000000000004</v>
      </c>
      <c r="S28" s="7"/>
      <c r="T28" s="7"/>
      <c r="U28" s="7"/>
      <c r="V28" s="7"/>
      <c r="W28" s="7"/>
      <c r="X28" s="7">
        <f t="shared" si="2"/>
        <v>11.1</v>
      </c>
      <c r="Y28" s="7">
        <f t="shared" si="3"/>
        <v>13</v>
      </c>
      <c r="Z28" s="7"/>
      <c r="AA28" s="7"/>
      <c r="AB28" s="8"/>
    </row>
    <row r="29" spans="1:28" x14ac:dyDescent="0.2">
      <c r="A29" s="43"/>
      <c r="B29" s="43"/>
      <c r="C29" s="43"/>
      <c r="D29" s="43"/>
      <c r="E29" s="44"/>
      <c r="F29" s="6"/>
      <c r="G29" s="6"/>
      <c r="H29" s="6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8"/>
    </row>
    <row r="30" spans="1:28" x14ac:dyDescent="0.2">
      <c r="A30" s="43"/>
      <c r="B30" s="43"/>
      <c r="C30" s="43"/>
      <c r="D30" s="43"/>
      <c r="E30" s="44"/>
      <c r="F30" s="6"/>
      <c r="G30" s="6"/>
      <c r="H30" s="6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8"/>
    </row>
    <row r="31" spans="1:28" x14ac:dyDescent="0.2">
      <c r="A31" s="43" t="s">
        <v>60</v>
      </c>
      <c r="B31" s="43"/>
      <c r="C31" s="43"/>
      <c r="D31" s="43"/>
      <c r="E31" s="44"/>
      <c r="F31" s="6"/>
      <c r="G31" s="6"/>
      <c r="H31" s="6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8"/>
    </row>
    <row r="32" spans="1:28" x14ac:dyDescent="0.2">
      <c r="A32" s="46">
        <v>67675.490000000005</v>
      </c>
      <c r="B32" s="42"/>
      <c r="C32" s="4" t="s">
        <v>32</v>
      </c>
      <c r="D32" s="70">
        <v>67938.53</v>
      </c>
      <c r="E32" s="70"/>
      <c r="F32" s="6" t="s">
        <v>35</v>
      </c>
      <c r="G32" s="6">
        <f t="shared" ref="G32:G52" si="4">D32-A32</f>
        <v>263.0399999999936</v>
      </c>
      <c r="H32" s="16">
        <f>(I32*9)/G32</f>
        <v>23.307481751825385</v>
      </c>
      <c r="I32" s="12">
        <f>ROUNDUP((6130.28/9),1)</f>
        <v>681.2</v>
      </c>
      <c r="J32" s="7">
        <f>I32</f>
        <v>681.2</v>
      </c>
      <c r="K32" s="7">
        <f>I32</f>
        <v>681.2</v>
      </c>
      <c r="L32" s="7"/>
      <c r="M32" s="7"/>
      <c r="N32" s="7">
        <v>18.2</v>
      </c>
      <c r="O32" s="7">
        <f>ROUNDUP((I32*(5.5/36)),1)</f>
        <v>104.1</v>
      </c>
      <c r="P32" s="7">
        <f>ROUNDUP((I32*(6/36)),1)</f>
        <v>113.6</v>
      </c>
      <c r="Q32" s="7">
        <f>ROUNDUP(((((N32+G32)*(8.75/12))/9)*0.025),1)</f>
        <v>0.6</v>
      </c>
      <c r="R32" s="7">
        <f>ROUNDUP((2*0.06*I32),1)</f>
        <v>81.8</v>
      </c>
      <c r="S32" s="7"/>
      <c r="T32" s="7"/>
      <c r="U32" s="7"/>
      <c r="V32" s="7">
        <f>X32+Y32</f>
        <v>61.600000000000009</v>
      </c>
      <c r="W32" s="7"/>
      <c r="X32" s="7">
        <f>ROUNDUP((I32*(1.5/36)),1)</f>
        <v>28.400000000000002</v>
      </c>
      <c r="Y32" s="7">
        <f>ROUNDUP((I32*(1.75/36)),1)</f>
        <v>33.200000000000003</v>
      </c>
      <c r="Z32" s="7"/>
      <c r="AA32" s="7"/>
      <c r="AB32" s="8"/>
    </row>
    <row r="33" spans="1:28" x14ac:dyDescent="0.2">
      <c r="A33" s="43"/>
      <c r="B33" s="43"/>
      <c r="C33" s="43"/>
      <c r="D33" s="43"/>
      <c r="E33" s="44"/>
      <c r="F33" s="6"/>
      <c r="G33" s="6"/>
      <c r="H33" s="6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8"/>
    </row>
    <row r="34" spans="1:28" x14ac:dyDescent="0.2">
      <c r="A34" s="43"/>
      <c r="B34" s="43"/>
      <c r="C34" s="43"/>
      <c r="D34" s="43"/>
      <c r="E34" s="44"/>
      <c r="F34" s="6"/>
      <c r="G34" s="6"/>
      <c r="H34" s="6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8"/>
    </row>
    <row r="35" spans="1:28" x14ac:dyDescent="0.2">
      <c r="A35" s="43" t="s">
        <v>61</v>
      </c>
      <c r="B35" s="43"/>
      <c r="C35" s="43"/>
      <c r="D35" s="43"/>
      <c r="E35" s="44"/>
      <c r="F35" s="6"/>
      <c r="G35" s="6"/>
      <c r="H35" s="6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8"/>
    </row>
    <row r="36" spans="1:28" x14ac:dyDescent="0.2">
      <c r="A36" s="46">
        <v>67675.490000000005</v>
      </c>
      <c r="B36" s="42"/>
      <c r="C36" s="4" t="s">
        <v>32</v>
      </c>
      <c r="D36" s="70">
        <v>67938.53</v>
      </c>
      <c r="E36" s="70"/>
      <c r="F36" s="6" t="s">
        <v>35</v>
      </c>
      <c r="G36" s="6">
        <f t="shared" si="4"/>
        <v>263.0399999999936</v>
      </c>
      <c r="H36" s="6">
        <v>4</v>
      </c>
      <c r="I36" s="7">
        <f>ROUNDUP(((H36*G36)/9),1)</f>
        <v>117</v>
      </c>
      <c r="J36" s="12">
        <f>ROUNDUP((1068.25/9),1)</f>
        <v>118.69999999999999</v>
      </c>
      <c r="K36" s="7">
        <f>ROUNDUP(((G36*(H36+(18/12)))/9),1)</f>
        <v>160.79999999999998</v>
      </c>
      <c r="L36" s="7"/>
      <c r="M36" s="7"/>
      <c r="N36" s="7">
        <v>4</v>
      </c>
      <c r="O36" s="7">
        <f>ROUNDUP((((G36*(H36+(4/12)))/9)*(5.5/36)),1)</f>
        <v>19.400000000000002</v>
      </c>
      <c r="P36" s="7">
        <f>ROUNDUP((((G36*(H36+(10/12)))/9)*(6/36)),1)</f>
        <v>23.6</v>
      </c>
      <c r="Q36" s="7">
        <f>ROUNDUP(((((N36)*(8.75/12))/9)*0.025),1)</f>
        <v>0.1</v>
      </c>
      <c r="R36" s="7">
        <f>ROUNDUP(((((G36*(H36+(4/12)))/9)+I36)*0.06),1)</f>
        <v>14.7</v>
      </c>
      <c r="S36" s="7"/>
      <c r="T36" s="7"/>
      <c r="U36" s="7"/>
      <c r="V36" s="7"/>
      <c r="W36" s="7"/>
      <c r="X36" s="7">
        <f t="shared" ref="X36" si="5">ROUNDUP((I36*(1.5/36)),1)</f>
        <v>4.8999999999999995</v>
      </c>
      <c r="Y36" s="7">
        <f t="shared" ref="Y36" si="6">ROUNDUP((I36*(1.75/36)),1)</f>
        <v>5.6999999999999993</v>
      </c>
      <c r="Z36" s="7"/>
      <c r="AA36" s="7"/>
      <c r="AB36" s="8"/>
    </row>
    <row r="37" spans="1:28" x14ac:dyDescent="0.2">
      <c r="A37" s="43"/>
      <c r="B37" s="43"/>
      <c r="C37" s="43"/>
      <c r="D37" s="43"/>
      <c r="E37" s="44"/>
      <c r="F37" s="6"/>
      <c r="G37" s="6"/>
      <c r="H37" s="6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8"/>
    </row>
    <row r="38" spans="1:28" x14ac:dyDescent="0.2">
      <c r="A38" s="43"/>
      <c r="B38" s="43"/>
      <c r="C38" s="43"/>
      <c r="D38" s="43"/>
      <c r="E38" s="44"/>
      <c r="F38" s="6"/>
      <c r="G38" s="6"/>
      <c r="H38" s="6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8"/>
    </row>
    <row r="39" spans="1:28" x14ac:dyDescent="0.2">
      <c r="A39" s="43" t="s">
        <v>62</v>
      </c>
      <c r="B39" s="43"/>
      <c r="C39" s="43"/>
      <c r="D39" s="43"/>
      <c r="E39" s="44"/>
      <c r="F39" s="6"/>
      <c r="G39" s="6"/>
      <c r="H39" s="6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Z39" s="7"/>
      <c r="AA39" s="7"/>
      <c r="AB39" s="8"/>
    </row>
    <row r="40" spans="1:28" x14ac:dyDescent="0.2">
      <c r="A40" s="46">
        <v>68503.41</v>
      </c>
      <c r="B40" s="42"/>
      <c r="C40" s="4" t="s">
        <v>32</v>
      </c>
      <c r="D40" s="71">
        <v>68798.34</v>
      </c>
      <c r="E40" s="71"/>
      <c r="F40" s="6" t="s">
        <v>35</v>
      </c>
      <c r="G40" s="6">
        <f t="shared" si="4"/>
        <v>294.92999999999302</v>
      </c>
      <c r="H40" s="16">
        <f>(I40*9)/G40</f>
        <v>22.206286237412794</v>
      </c>
      <c r="I40" s="12">
        <f>ROUNDUP((6548.8/9),1)</f>
        <v>727.7</v>
      </c>
      <c r="J40" s="7">
        <f>I40</f>
        <v>727.7</v>
      </c>
      <c r="K40" s="7">
        <f>I40</f>
        <v>727.7</v>
      </c>
      <c r="L40" s="7"/>
      <c r="M40" s="7"/>
      <c r="N40" s="7">
        <v>19</v>
      </c>
      <c r="O40" s="7">
        <f>ROUNDUP((I40*(5.5/36)),1)</f>
        <v>111.19999999999999</v>
      </c>
      <c r="P40" s="7">
        <f>ROUNDUP((I40*(6/36)),1)</f>
        <v>121.3</v>
      </c>
      <c r="Q40" s="7">
        <f>ROUNDUP(((((N40)*(8.75/12))/9)*0.025),1)</f>
        <v>0.1</v>
      </c>
      <c r="R40" s="7">
        <f>ROUNDUP((2*0.06*I40),1)</f>
        <v>87.399999999999991</v>
      </c>
      <c r="S40" s="7"/>
      <c r="T40" s="7"/>
      <c r="U40" s="7"/>
      <c r="V40" s="7">
        <f>X40+Y40</f>
        <v>65.8</v>
      </c>
      <c r="W40" s="7"/>
      <c r="X40" s="7">
        <f>ROUNDUP((I40*(1.5/36)),1)</f>
        <v>30.400000000000002</v>
      </c>
      <c r="Y40" s="7">
        <f>ROUNDUP((I40*(1.75/36)),1)</f>
        <v>35.4</v>
      </c>
      <c r="Z40" s="7"/>
      <c r="AA40" s="7"/>
      <c r="AB40" s="8"/>
    </row>
    <row r="41" spans="1:28" x14ac:dyDescent="0.2">
      <c r="A41" s="43"/>
      <c r="B41" s="43"/>
      <c r="C41" s="43"/>
      <c r="D41" s="43"/>
      <c r="E41" s="44"/>
      <c r="F41" s="6"/>
      <c r="G41" s="6"/>
      <c r="H41" s="6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8"/>
    </row>
    <row r="42" spans="1:28" x14ac:dyDescent="0.2">
      <c r="A42" s="43"/>
      <c r="B42" s="43"/>
      <c r="C42" s="43"/>
      <c r="D42" s="43"/>
      <c r="E42" s="44"/>
      <c r="F42" s="6"/>
      <c r="G42" s="6"/>
      <c r="H42" s="6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8"/>
    </row>
    <row r="43" spans="1:28" x14ac:dyDescent="0.2">
      <c r="A43" s="43" t="s">
        <v>63</v>
      </c>
      <c r="B43" s="43"/>
      <c r="C43" s="43"/>
      <c r="D43" s="43"/>
      <c r="E43" s="44"/>
      <c r="F43" s="6"/>
      <c r="G43" s="6"/>
      <c r="H43" s="6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8"/>
    </row>
    <row r="44" spans="1:28" x14ac:dyDescent="0.2">
      <c r="A44" s="46">
        <v>68503.41</v>
      </c>
      <c r="B44" s="42"/>
      <c r="C44" s="4" t="s">
        <v>32</v>
      </c>
      <c r="D44" s="71">
        <v>68798.34</v>
      </c>
      <c r="E44" s="71"/>
      <c r="F44" s="6" t="s">
        <v>35</v>
      </c>
      <c r="G44" s="6">
        <f t="shared" si="4"/>
        <v>294.92999999999302</v>
      </c>
      <c r="H44" s="16">
        <f>(I44*9)/G44</f>
        <v>2.7311565456210594</v>
      </c>
      <c r="I44" s="12">
        <f>ROUNDUP((805.1/9),1)</f>
        <v>89.5</v>
      </c>
      <c r="J44" s="7">
        <f>I44</f>
        <v>89.5</v>
      </c>
      <c r="K44" s="7">
        <f>ROUNDUP(((G44*(H44))/9),1)</f>
        <v>89.5</v>
      </c>
      <c r="L44" s="7"/>
      <c r="M44" s="7"/>
      <c r="N44" s="7">
        <f>ROUNDUP((2.94+G44),1)</f>
        <v>297.90000000000003</v>
      </c>
      <c r="O44" s="7">
        <f>ROUNDUP((((G44*(H44))/9)*(5.5/36)),1)</f>
        <v>13.7</v>
      </c>
      <c r="P44" s="7">
        <f>ROUNDUP((((G44*(H44))/9)*(6/36)),1)</f>
        <v>15</v>
      </c>
      <c r="Q44" s="7">
        <f>ROUNDUP(((((N44)*(8.75/12))/9)*0.025),1)</f>
        <v>0.7</v>
      </c>
      <c r="R44" s="7">
        <f>ROUNDUP(((((G44*(H44))/9)+I44)*0.06),1)</f>
        <v>10.799999999999999</v>
      </c>
      <c r="S44" s="7"/>
      <c r="T44" s="7"/>
      <c r="U44" s="7"/>
      <c r="V44" s="7"/>
      <c r="W44" s="7"/>
      <c r="X44" s="7">
        <f t="shared" ref="X44" si="7">ROUNDUP((I44*(1.5/36)),1)</f>
        <v>3.8000000000000003</v>
      </c>
      <c r="Y44" s="7">
        <f t="shared" ref="Y44" si="8">ROUNDUP((I44*(1.75/36)),1)</f>
        <v>4.3999999999999995</v>
      </c>
      <c r="Z44" s="7"/>
      <c r="AA44" s="7"/>
      <c r="AB44" s="8"/>
    </row>
    <row r="45" spans="1:28" x14ac:dyDescent="0.2">
      <c r="A45" s="43"/>
      <c r="B45" s="43"/>
      <c r="C45" s="43"/>
      <c r="D45" s="43"/>
      <c r="E45" s="44"/>
      <c r="F45" s="6"/>
      <c r="G45" s="6"/>
      <c r="H45" s="6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8"/>
    </row>
    <row r="46" spans="1:28" x14ac:dyDescent="0.2">
      <c r="A46" s="43"/>
      <c r="B46" s="43"/>
      <c r="C46" s="43"/>
      <c r="D46" s="43"/>
      <c r="E46" s="44"/>
      <c r="F46" s="6"/>
      <c r="G46" s="6"/>
      <c r="H46" s="6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8"/>
    </row>
    <row r="47" spans="1:28" x14ac:dyDescent="0.2">
      <c r="A47" s="43" t="s">
        <v>64</v>
      </c>
      <c r="B47" s="43"/>
      <c r="C47" s="43"/>
      <c r="D47" s="43"/>
      <c r="E47" s="44"/>
      <c r="F47" s="6"/>
      <c r="G47" s="6"/>
      <c r="H47" s="6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  <c r="AA47" s="7"/>
      <c r="AB47" s="8"/>
    </row>
    <row r="48" spans="1:28" x14ac:dyDescent="0.2">
      <c r="A48" s="45">
        <v>70745.960000000006</v>
      </c>
      <c r="B48" s="46"/>
      <c r="C48" s="4" t="s">
        <v>32</v>
      </c>
      <c r="D48" s="72">
        <v>71206.81</v>
      </c>
      <c r="E48" s="73"/>
      <c r="F48" s="6" t="s">
        <v>35</v>
      </c>
      <c r="G48" s="6">
        <f t="shared" si="4"/>
        <v>460.84999999999127</v>
      </c>
      <c r="H48" s="16">
        <f>(I48*9)/G48</f>
        <v>21.189107084735131</v>
      </c>
      <c r="I48" s="12">
        <f>ROUNDUP((9764.55/9),1)</f>
        <v>1085</v>
      </c>
      <c r="J48" s="7">
        <f>I48</f>
        <v>1085</v>
      </c>
      <c r="K48" s="7">
        <f>I48</f>
        <v>1085</v>
      </c>
      <c r="L48" s="7"/>
      <c r="M48" s="7"/>
      <c r="N48" s="7">
        <v>19</v>
      </c>
      <c r="O48" s="7">
        <f>ROUNDUP((I48*(5.5/36)),1)</f>
        <v>165.79999999999998</v>
      </c>
      <c r="P48" s="7">
        <f>ROUNDUP((I48*(6/36)),1)</f>
        <v>180.9</v>
      </c>
      <c r="Q48" s="7">
        <f>ROUNDUP(((((N48+G48)*(8.75/12))/9)*0.025),1)</f>
        <v>1</v>
      </c>
      <c r="R48" s="7">
        <f>ROUNDUP((2*0.06*I48),1)</f>
        <v>130.19999999999999</v>
      </c>
      <c r="S48" s="7"/>
      <c r="T48" s="7"/>
      <c r="U48" s="7"/>
      <c r="V48" s="7">
        <f>X48+Y48</f>
        <v>98.100000000000009</v>
      </c>
      <c r="W48" s="7"/>
      <c r="X48" s="7">
        <f>ROUNDUP((I48*(1.5/36)),1)</f>
        <v>45.300000000000004</v>
      </c>
      <c r="Y48" s="7">
        <f>ROUNDUP((I48*(1.75/36)),1)</f>
        <v>52.800000000000004</v>
      </c>
      <c r="Z48" s="7"/>
      <c r="AA48" s="7"/>
      <c r="AB48" s="8"/>
    </row>
    <row r="49" spans="1:28" x14ac:dyDescent="0.2">
      <c r="A49" s="43"/>
      <c r="B49" s="43"/>
      <c r="C49" s="43"/>
      <c r="D49" s="43"/>
      <c r="E49" s="44"/>
      <c r="F49" s="6"/>
      <c r="G49" s="6"/>
      <c r="H49" s="6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8"/>
    </row>
    <row r="50" spans="1:28" x14ac:dyDescent="0.2">
      <c r="A50" s="43"/>
      <c r="B50" s="43"/>
      <c r="C50" s="43"/>
      <c r="D50" s="43"/>
      <c r="E50" s="44"/>
      <c r="F50" s="6"/>
      <c r="G50" s="6"/>
      <c r="H50" s="6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B50" s="8"/>
    </row>
    <row r="51" spans="1:28" x14ac:dyDescent="0.2">
      <c r="A51" s="43" t="s">
        <v>65</v>
      </c>
      <c r="B51" s="43"/>
      <c r="C51" s="43"/>
      <c r="D51" s="43"/>
      <c r="E51" s="44"/>
      <c r="F51" s="6"/>
      <c r="G51" s="6"/>
      <c r="H51" s="6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8"/>
    </row>
    <row r="52" spans="1:28" x14ac:dyDescent="0.2">
      <c r="A52" s="45">
        <v>70745.960000000006</v>
      </c>
      <c r="B52" s="46"/>
      <c r="C52" s="4" t="s">
        <v>32</v>
      </c>
      <c r="D52" s="72">
        <v>71206.81</v>
      </c>
      <c r="E52" s="73"/>
      <c r="F52" s="6" t="s">
        <v>35</v>
      </c>
      <c r="G52" s="6">
        <f t="shared" si="4"/>
        <v>460.84999999999127</v>
      </c>
      <c r="H52" s="16">
        <f>(I52*9)/G52</f>
        <v>6.0032548551590592</v>
      </c>
      <c r="I52" s="12">
        <v>307.39999999999998</v>
      </c>
      <c r="J52" s="12">
        <f>ROUNDUP((2974.69/9),1)</f>
        <v>330.6</v>
      </c>
      <c r="K52" s="7">
        <f>ROUNDUP((((G52*(H52+(18/12)))/9)),1)</f>
        <v>384.3</v>
      </c>
      <c r="L52" s="7"/>
      <c r="M52" s="7"/>
      <c r="N52" s="7">
        <v>4</v>
      </c>
      <c r="O52" s="7">
        <f>ROUNDUP((((G52*(H52+(4/12)))/9)*(5.5/36)),1)</f>
        <v>49.6</v>
      </c>
      <c r="P52" s="7">
        <f>ROUNDUP((((G52*(H52+(10/12)))/9)*(6/36)),1)</f>
        <v>58.4</v>
      </c>
      <c r="Q52" s="7">
        <f>ROUNDUP(((((N52)*(8.75/12))/9)*0.025),1)</f>
        <v>0.1</v>
      </c>
      <c r="R52" s="7">
        <f>ROUNDUP(((((G52*(H52+(4/12)))/9)+I52)*0.06),1)</f>
        <v>38</v>
      </c>
      <c r="S52" s="7"/>
      <c r="T52" s="7"/>
      <c r="U52" s="7"/>
      <c r="V52" s="7"/>
      <c r="W52" s="7"/>
      <c r="X52" s="7">
        <f t="shared" ref="X52" si="9">ROUNDUP((I52*(1.5/36)),1)</f>
        <v>12.9</v>
      </c>
      <c r="Y52" s="7">
        <f t="shared" ref="Y52" si="10">ROUNDUP((I52*(1.75/36)),1)</f>
        <v>15</v>
      </c>
      <c r="Z52" s="7"/>
      <c r="AA52" s="7"/>
      <c r="AB52" s="8"/>
    </row>
    <row r="53" spans="1:28" x14ac:dyDescent="0.2">
      <c r="A53" s="43"/>
      <c r="B53" s="43"/>
      <c r="C53" s="43"/>
      <c r="D53" s="43"/>
      <c r="E53" s="44"/>
      <c r="F53" s="6"/>
      <c r="G53" s="6"/>
      <c r="H53" s="6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  <c r="AB53" s="8"/>
    </row>
    <row r="54" spans="1:28" x14ac:dyDescent="0.2">
      <c r="A54" s="43"/>
      <c r="B54" s="43"/>
      <c r="C54" s="43"/>
      <c r="D54" s="43"/>
      <c r="E54" s="44"/>
      <c r="F54" s="6"/>
      <c r="G54" s="6"/>
      <c r="H54" s="6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  <c r="AA54" s="7"/>
      <c r="AB54" s="8"/>
    </row>
    <row r="55" spans="1:28" x14ac:dyDescent="0.2">
      <c r="A55" s="45" t="s">
        <v>66</v>
      </c>
      <c r="B55" s="45"/>
      <c r="C55" s="45"/>
      <c r="D55" s="45"/>
      <c r="E55" s="46"/>
      <c r="F55" s="6"/>
      <c r="G55" s="6"/>
      <c r="H55" s="6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  <c r="AA55" s="7"/>
      <c r="AB55" s="8"/>
    </row>
    <row r="56" spans="1:28" x14ac:dyDescent="0.2">
      <c r="A56" s="45">
        <v>72650</v>
      </c>
      <c r="B56" s="46"/>
      <c r="C56" s="4" t="s">
        <v>32</v>
      </c>
      <c r="D56" s="47">
        <v>72739.5</v>
      </c>
      <c r="E56" s="46"/>
      <c r="F56" s="6" t="s">
        <v>35</v>
      </c>
      <c r="G56" s="6">
        <f>D56-A56</f>
        <v>89.5</v>
      </c>
      <c r="H56" s="6">
        <v>3</v>
      </c>
      <c r="I56" s="7">
        <f>ROUNDUP(((H56*G56)/9),1)</f>
        <v>29.900000000000002</v>
      </c>
      <c r="J56" s="7">
        <f>I56</f>
        <v>29.900000000000002</v>
      </c>
      <c r="K56" s="7">
        <f>J56</f>
        <v>29.900000000000002</v>
      </c>
      <c r="L56" s="7"/>
      <c r="M56" s="7"/>
      <c r="N56" s="7">
        <f>G56</f>
        <v>89.5</v>
      </c>
      <c r="O56" s="7">
        <f>ROUNDUP((I56*(5.5/36)),1)</f>
        <v>4.5999999999999996</v>
      </c>
      <c r="P56" s="7">
        <f>ROUNDUP((I56*(6/36)),1)</f>
        <v>5</v>
      </c>
      <c r="Q56" s="7">
        <f>ROUNDUP(((G56*(8.75/12))*0.025),1)</f>
        <v>1.7000000000000002</v>
      </c>
      <c r="R56" s="7">
        <f>ROUNDUP((2*0.06*J56),1)</f>
        <v>3.6</v>
      </c>
      <c r="S56" s="7"/>
      <c r="T56" s="7"/>
      <c r="U56" s="7"/>
      <c r="V56" s="7">
        <f>X56+Y56</f>
        <v>9.6</v>
      </c>
      <c r="W56" s="7"/>
      <c r="X56" s="7">
        <f>ROUNDUP((I56*(5.5/36)),1)</f>
        <v>4.5999999999999996</v>
      </c>
      <c r="Y56" s="7">
        <f>ROUNDUP((I56*(6/36)),1)</f>
        <v>5</v>
      </c>
      <c r="Z56" s="7"/>
      <c r="AA56" s="7"/>
      <c r="AB56" s="8"/>
    </row>
    <row r="57" spans="1:28" x14ac:dyDescent="0.2">
      <c r="A57" s="45"/>
      <c r="B57" s="45"/>
      <c r="C57" s="45"/>
      <c r="D57" s="45"/>
      <c r="E57" s="46"/>
      <c r="F57" s="6"/>
      <c r="G57" s="6"/>
      <c r="H57" s="6"/>
      <c r="I57" s="7"/>
      <c r="J57" s="7"/>
      <c r="K57" s="7"/>
      <c r="L57" s="7"/>
      <c r="M57" s="7"/>
      <c r="N57" s="7"/>
      <c r="O57" s="7"/>
      <c r="P57" s="7"/>
      <c r="Q57" s="7"/>
      <c r="R57" s="7"/>
      <c r="S57" s="7"/>
      <c r="T57" s="7"/>
      <c r="U57" s="7"/>
      <c r="V57" s="7"/>
      <c r="W57" s="7"/>
      <c r="X57" s="7"/>
      <c r="Y57" s="7"/>
      <c r="Z57" s="7"/>
      <c r="AA57" s="7"/>
      <c r="AB57" s="8"/>
    </row>
    <row r="58" spans="1:28" x14ac:dyDescent="0.2">
      <c r="A58" s="45"/>
      <c r="B58" s="45"/>
      <c r="C58" s="45"/>
      <c r="D58" s="45"/>
      <c r="E58" s="46"/>
      <c r="F58" s="6"/>
      <c r="G58" s="6"/>
      <c r="H58" s="6"/>
      <c r="I58" s="7"/>
      <c r="J58" s="7"/>
      <c r="K58" s="7"/>
      <c r="L58" s="7"/>
      <c r="M58" s="7"/>
      <c r="N58" s="7"/>
      <c r="O58" s="7"/>
      <c r="P58" s="7"/>
      <c r="Q58" s="7"/>
      <c r="R58" s="7"/>
      <c r="S58" s="7"/>
      <c r="T58" s="7"/>
      <c r="U58" s="7"/>
      <c r="V58" s="7"/>
      <c r="W58" s="7"/>
      <c r="X58" s="7"/>
      <c r="Y58" s="7"/>
      <c r="Z58" s="7"/>
      <c r="AA58" s="7"/>
      <c r="AB58" s="8"/>
    </row>
    <row r="59" spans="1:28" x14ac:dyDescent="0.2">
      <c r="A59" s="45"/>
      <c r="B59" s="45"/>
      <c r="C59" s="45"/>
      <c r="D59" s="45"/>
      <c r="E59" s="46"/>
      <c r="F59" s="6"/>
      <c r="G59" s="6"/>
      <c r="H59" s="6"/>
      <c r="I59" s="7"/>
      <c r="J59" s="7"/>
      <c r="K59" s="7"/>
      <c r="L59" s="7"/>
      <c r="M59" s="7"/>
      <c r="N59" s="7"/>
      <c r="O59" s="7"/>
      <c r="P59" s="7"/>
      <c r="Q59" s="7"/>
      <c r="R59" s="7"/>
      <c r="S59" s="7"/>
      <c r="T59" s="7"/>
      <c r="U59" s="7"/>
      <c r="V59" s="7"/>
      <c r="W59" s="7"/>
      <c r="X59" s="7"/>
      <c r="Y59" s="7"/>
      <c r="Z59" s="7"/>
      <c r="AA59" s="7"/>
      <c r="AB59" s="8"/>
    </row>
    <row r="60" spans="1:28" x14ac:dyDescent="0.2">
      <c r="A60" s="45"/>
      <c r="B60" s="45"/>
      <c r="C60" s="45"/>
      <c r="D60" s="45"/>
      <c r="E60" s="46"/>
      <c r="F60" s="6"/>
      <c r="G60" s="6"/>
      <c r="H60" s="6"/>
      <c r="I60" s="7"/>
      <c r="J60" s="7"/>
      <c r="K60" s="7"/>
      <c r="L60" s="7"/>
      <c r="M60" s="7"/>
      <c r="N60" s="7"/>
      <c r="O60" s="7"/>
      <c r="P60" s="7"/>
      <c r="Q60" s="7"/>
      <c r="R60" s="7"/>
      <c r="S60" s="7"/>
      <c r="T60" s="7"/>
      <c r="U60" s="7"/>
      <c r="V60" s="7"/>
      <c r="W60" s="7"/>
      <c r="X60" s="7"/>
      <c r="Y60" s="7"/>
      <c r="Z60" s="7"/>
      <c r="AA60" s="7"/>
      <c r="AB60" s="8"/>
    </row>
    <row r="61" spans="1:28" x14ac:dyDescent="0.2">
      <c r="A61" s="45"/>
      <c r="B61" s="45"/>
      <c r="C61" s="45"/>
      <c r="D61" s="45"/>
      <c r="E61" s="46"/>
      <c r="F61" s="6"/>
      <c r="G61" s="6"/>
      <c r="H61" s="6"/>
      <c r="I61" s="7"/>
      <c r="J61" s="7"/>
      <c r="K61" s="7"/>
      <c r="L61" s="7"/>
      <c r="M61" s="7"/>
      <c r="N61" s="7"/>
      <c r="O61" s="7"/>
      <c r="P61" s="7"/>
      <c r="Q61" s="7"/>
      <c r="R61" s="7"/>
      <c r="S61" s="7"/>
      <c r="T61" s="7"/>
      <c r="U61" s="7"/>
      <c r="V61" s="7"/>
      <c r="W61" s="7"/>
      <c r="X61" s="7"/>
      <c r="Y61" s="7"/>
      <c r="Z61" s="7"/>
      <c r="AA61" s="7"/>
      <c r="AB61" s="8"/>
    </row>
    <row r="62" spans="1:28" x14ac:dyDescent="0.2">
      <c r="A62" s="45"/>
      <c r="B62" s="45"/>
      <c r="C62" s="45"/>
      <c r="D62" s="45"/>
      <c r="E62" s="46"/>
      <c r="F62" s="6"/>
      <c r="G62" s="6"/>
      <c r="H62" s="6"/>
      <c r="I62" s="7"/>
      <c r="J62" s="7"/>
      <c r="K62" s="7"/>
      <c r="L62" s="7"/>
      <c r="M62" s="7"/>
      <c r="N62" s="7"/>
      <c r="O62" s="7"/>
      <c r="P62" s="7"/>
      <c r="Q62" s="7"/>
      <c r="R62" s="7"/>
      <c r="S62" s="7"/>
      <c r="T62" s="7"/>
      <c r="U62" s="7"/>
      <c r="V62" s="7"/>
      <c r="W62" s="7"/>
      <c r="X62" s="7"/>
      <c r="Y62" s="7"/>
      <c r="Z62" s="7"/>
      <c r="AA62" s="7"/>
      <c r="AB62" s="8"/>
    </row>
    <row r="63" spans="1:28" x14ac:dyDescent="0.2">
      <c r="A63" s="45"/>
      <c r="B63" s="45"/>
      <c r="C63" s="45"/>
      <c r="D63" s="45"/>
      <c r="E63" s="46"/>
      <c r="F63" s="6"/>
      <c r="G63" s="6"/>
      <c r="H63" s="6"/>
      <c r="I63" s="7"/>
      <c r="J63" s="7"/>
      <c r="K63" s="7"/>
      <c r="L63" s="7"/>
      <c r="M63" s="7"/>
      <c r="N63" s="7"/>
      <c r="O63" s="7"/>
      <c r="P63" s="7"/>
      <c r="Q63" s="7"/>
      <c r="R63" s="7"/>
      <c r="S63" s="7"/>
      <c r="T63" s="7"/>
      <c r="U63" s="7"/>
      <c r="V63" s="7"/>
      <c r="W63" s="7"/>
      <c r="X63" s="7"/>
      <c r="Y63" s="7"/>
      <c r="Z63" s="7"/>
      <c r="AA63" s="7"/>
      <c r="AB63" s="8"/>
    </row>
    <row r="64" spans="1:28" x14ac:dyDescent="0.2">
      <c r="A64" s="43"/>
      <c r="B64" s="43"/>
      <c r="C64" s="43"/>
      <c r="D64" s="43"/>
      <c r="E64" s="44"/>
      <c r="F64" s="6"/>
      <c r="G64" s="6"/>
      <c r="H64" s="6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8"/>
    </row>
    <row r="65" spans="1:28" x14ac:dyDescent="0.2">
      <c r="A65" s="45"/>
      <c r="B65" s="45"/>
      <c r="C65" s="45"/>
      <c r="D65" s="45"/>
      <c r="E65" s="46"/>
      <c r="F65" s="6"/>
      <c r="G65" s="6"/>
      <c r="H65" s="6"/>
      <c r="I65" s="7"/>
      <c r="J65" s="7"/>
      <c r="K65" s="7"/>
      <c r="L65" s="7"/>
      <c r="M65" s="7"/>
      <c r="N65" s="7"/>
      <c r="O65" s="7"/>
      <c r="P65" s="7"/>
      <c r="Q65" s="7"/>
      <c r="R65" s="7"/>
      <c r="S65" s="7"/>
      <c r="T65" s="7"/>
      <c r="U65" s="7"/>
      <c r="V65" s="7"/>
      <c r="W65" s="7"/>
      <c r="X65" s="7"/>
      <c r="Y65" s="7"/>
      <c r="Z65" s="7"/>
      <c r="AA65" s="7"/>
      <c r="AB65" s="8"/>
    </row>
    <row r="66" spans="1:28" x14ac:dyDescent="0.2">
      <c r="A66" s="45"/>
      <c r="B66" s="45"/>
      <c r="C66" s="45"/>
      <c r="D66" s="45"/>
      <c r="E66" s="46"/>
      <c r="F66" s="6"/>
      <c r="G66" s="6"/>
      <c r="H66" s="6"/>
      <c r="I66" s="7"/>
      <c r="J66" s="7"/>
      <c r="K66" s="7"/>
      <c r="L66" s="7"/>
      <c r="M66" s="7"/>
      <c r="N66" s="7"/>
      <c r="O66" s="7"/>
      <c r="P66" s="7"/>
      <c r="Q66" s="7"/>
      <c r="R66" s="7"/>
      <c r="S66" s="7"/>
      <c r="T66" s="7"/>
      <c r="U66" s="7"/>
      <c r="V66" s="7"/>
      <c r="W66" s="7"/>
      <c r="X66" s="7"/>
      <c r="Y66" s="7"/>
      <c r="Z66" s="7"/>
      <c r="AA66" s="7"/>
      <c r="AB66" s="8"/>
    </row>
    <row r="67" spans="1:28" x14ac:dyDescent="0.2">
      <c r="A67" s="43"/>
      <c r="B67" s="43"/>
      <c r="C67" s="43"/>
      <c r="D67" s="43"/>
      <c r="E67" s="44"/>
      <c r="F67" s="6"/>
      <c r="G67" s="6"/>
      <c r="H67" s="6"/>
      <c r="I67" s="7"/>
      <c r="J67" s="7"/>
      <c r="K67" s="7"/>
      <c r="L67" s="7"/>
      <c r="M67" s="7"/>
      <c r="N67" s="7"/>
      <c r="O67" s="7"/>
      <c r="P67" s="7"/>
      <c r="Q67" s="7"/>
      <c r="R67" s="7"/>
      <c r="S67" s="7"/>
      <c r="T67" s="7"/>
      <c r="U67" s="7"/>
      <c r="V67" s="7"/>
      <c r="W67" s="7"/>
      <c r="X67" s="7"/>
      <c r="Y67" s="7"/>
      <c r="Z67" s="7"/>
      <c r="AA67" s="7"/>
      <c r="AB67" s="8"/>
    </row>
    <row r="68" spans="1:28" x14ac:dyDescent="0.2">
      <c r="A68" s="45"/>
      <c r="B68" s="45"/>
      <c r="C68" s="45"/>
      <c r="D68" s="45"/>
      <c r="E68" s="46"/>
      <c r="F68" s="6"/>
      <c r="G68" s="6"/>
      <c r="H68" s="6"/>
      <c r="I68" s="7"/>
      <c r="J68" s="7"/>
      <c r="K68" s="7"/>
      <c r="L68" s="7"/>
      <c r="M68" s="7"/>
      <c r="N68" s="7"/>
      <c r="O68" s="7"/>
      <c r="P68" s="7"/>
      <c r="Q68" s="7"/>
      <c r="R68" s="7"/>
      <c r="S68" s="7"/>
      <c r="T68" s="7"/>
      <c r="U68" s="7"/>
      <c r="V68" s="7"/>
      <c r="W68" s="7"/>
      <c r="X68" s="7"/>
      <c r="Y68" s="7"/>
      <c r="Z68" s="7"/>
      <c r="AA68" s="7"/>
      <c r="AB68" s="8"/>
    </row>
    <row r="69" spans="1:28" x14ac:dyDescent="0.2">
      <c r="A69" s="45"/>
      <c r="B69" s="45"/>
      <c r="C69" s="45"/>
      <c r="D69" s="45"/>
      <c r="E69" s="46"/>
      <c r="F69" s="6"/>
      <c r="G69" s="6"/>
      <c r="H69" s="6"/>
      <c r="I69" s="7"/>
      <c r="J69" s="7"/>
      <c r="K69" s="7"/>
      <c r="L69" s="7"/>
      <c r="M69" s="7"/>
      <c r="N69" s="7"/>
      <c r="O69" s="7"/>
      <c r="P69" s="7"/>
      <c r="Q69" s="7"/>
      <c r="R69" s="7"/>
      <c r="S69" s="7"/>
      <c r="T69" s="7"/>
      <c r="U69" s="7"/>
      <c r="V69" s="7"/>
      <c r="W69" s="7"/>
      <c r="X69" s="7"/>
      <c r="Y69" s="7"/>
      <c r="Z69" s="7"/>
      <c r="AA69" s="7"/>
      <c r="AB69" s="8"/>
    </row>
    <row r="70" spans="1:28" x14ac:dyDescent="0.2">
      <c r="A70" s="45"/>
      <c r="B70" s="45"/>
      <c r="C70" s="45"/>
      <c r="D70" s="45"/>
      <c r="E70" s="46"/>
      <c r="F70" s="6"/>
      <c r="G70" s="6"/>
      <c r="H70" s="6"/>
      <c r="I70" s="7"/>
      <c r="J70" s="7"/>
      <c r="K70" s="7"/>
      <c r="L70" s="7"/>
      <c r="M70" s="7"/>
      <c r="N70" s="7"/>
      <c r="O70" s="7"/>
      <c r="P70" s="7"/>
      <c r="Q70" s="7"/>
      <c r="R70" s="7"/>
      <c r="S70" s="7"/>
      <c r="T70" s="7"/>
      <c r="U70" s="7"/>
      <c r="V70" s="7"/>
      <c r="W70" s="7"/>
      <c r="X70" s="7"/>
      <c r="Y70" s="7"/>
      <c r="Z70" s="7"/>
      <c r="AA70" s="7"/>
      <c r="AB70" s="8"/>
    </row>
    <row r="71" spans="1:28" x14ac:dyDescent="0.2">
      <c r="A71" s="45"/>
      <c r="B71" s="45"/>
      <c r="C71" s="45"/>
      <c r="D71" s="45"/>
      <c r="E71" s="46"/>
      <c r="F71" s="6"/>
      <c r="G71" s="6"/>
      <c r="H71" s="6"/>
      <c r="I71" s="7"/>
      <c r="J71" s="7"/>
      <c r="K71" s="7"/>
      <c r="L71" s="7"/>
      <c r="M71" s="7"/>
      <c r="N71" s="7"/>
      <c r="O71" s="7"/>
      <c r="P71" s="7"/>
      <c r="Q71" s="7"/>
      <c r="R71" s="7"/>
      <c r="S71" s="7"/>
      <c r="T71" s="7"/>
      <c r="U71" s="7"/>
      <c r="V71" s="7"/>
      <c r="W71" s="7"/>
      <c r="X71" s="7"/>
      <c r="Y71" s="7"/>
      <c r="Z71" s="7"/>
      <c r="AA71" s="7"/>
      <c r="AB71" s="8"/>
    </row>
    <row r="72" spans="1:28" x14ac:dyDescent="0.2">
      <c r="A72" s="45"/>
      <c r="B72" s="45"/>
      <c r="C72" s="45"/>
      <c r="D72" s="45"/>
      <c r="E72" s="46"/>
      <c r="F72" s="6"/>
      <c r="G72" s="6"/>
      <c r="H72" s="6"/>
      <c r="I72" s="7"/>
      <c r="J72" s="7"/>
      <c r="K72" s="7"/>
      <c r="L72" s="7"/>
      <c r="M72" s="7"/>
      <c r="N72" s="7"/>
      <c r="O72" s="7"/>
      <c r="P72" s="7"/>
      <c r="Q72" s="7"/>
      <c r="R72" s="7"/>
      <c r="S72" s="7"/>
      <c r="T72" s="7"/>
      <c r="U72" s="7"/>
      <c r="V72" s="7"/>
      <c r="W72" s="7"/>
      <c r="X72" s="7"/>
      <c r="Y72" s="7"/>
      <c r="Z72" s="7"/>
      <c r="AA72" s="7"/>
      <c r="AB72" s="8"/>
    </row>
    <row r="73" spans="1:28" x14ac:dyDescent="0.2">
      <c r="A73" s="45"/>
      <c r="B73" s="45"/>
      <c r="C73" s="45"/>
      <c r="D73" s="45"/>
      <c r="E73" s="46"/>
      <c r="F73" s="6"/>
      <c r="G73" s="6"/>
      <c r="H73" s="6"/>
      <c r="I73" s="7"/>
      <c r="J73" s="7"/>
      <c r="K73" s="7"/>
      <c r="L73" s="7"/>
      <c r="M73" s="7"/>
      <c r="N73" s="7"/>
      <c r="O73" s="7"/>
      <c r="P73" s="7"/>
      <c r="Q73" s="7"/>
      <c r="R73" s="7"/>
      <c r="S73" s="7"/>
      <c r="T73" s="7"/>
      <c r="U73" s="7"/>
      <c r="V73" s="7"/>
      <c r="W73" s="7"/>
      <c r="X73" s="7"/>
      <c r="Y73" s="7"/>
      <c r="Z73" s="7"/>
      <c r="AA73" s="7"/>
      <c r="AB73" s="8"/>
    </row>
    <row r="74" spans="1:28" ht="12.75" customHeight="1" x14ac:dyDescent="0.2">
      <c r="A74" s="37" t="s">
        <v>132</v>
      </c>
      <c r="B74" s="38"/>
      <c r="C74" s="38"/>
      <c r="D74" s="38"/>
      <c r="E74" s="38"/>
      <c r="F74" s="38"/>
      <c r="G74" s="38"/>
      <c r="H74" s="38"/>
      <c r="I74" s="38"/>
      <c r="J74" s="48">
        <f t="shared" ref="J74:P74" si="11">ROUNDUP(SUM(J19:J73),0)</f>
        <v>4108</v>
      </c>
      <c r="K74" s="48">
        <f t="shared" si="11"/>
        <v>4263</v>
      </c>
      <c r="L74" s="48">
        <f t="shared" si="11"/>
        <v>0</v>
      </c>
      <c r="M74" s="48">
        <f t="shared" si="11"/>
        <v>0</v>
      </c>
      <c r="N74" s="48">
        <f t="shared" si="11"/>
        <v>476</v>
      </c>
      <c r="O74" s="48">
        <f t="shared" si="11"/>
        <v>630</v>
      </c>
      <c r="P74" s="48">
        <f t="shared" si="11"/>
        <v>698</v>
      </c>
      <c r="Q74" s="51">
        <f>ROUNDUP(SUM(Q19:S73),0)</f>
        <v>498</v>
      </c>
      <c r="R74" s="62"/>
      <c r="S74" s="63"/>
      <c r="T74" s="48">
        <f t="shared" ref="T74:AB74" si="12">ROUNDUP(SUM(T19:T73),0)</f>
        <v>0</v>
      </c>
      <c r="U74" s="48">
        <f t="shared" si="12"/>
        <v>0</v>
      </c>
      <c r="V74" s="48">
        <f t="shared" si="12"/>
        <v>306</v>
      </c>
      <c r="W74" s="48">
        <f t="shared" si="12"/>
        <v>0</v>
      </c>
      <c r="X74" s="48">
        <f t="shared" si="12"/>
        <v>174</v>
      </c>
      <c r="Y74" s="48">
        <f t="shared" si="12"/>
        <v>203</v>
      </c>
      <c r="Z74" s="48">
        <f t="shared" si="12"/>
        <v>0</v>
      </c>
      <c r="AA74" s="48">
        <f t="shared" si="12"/>
        <v>0</v>
      </c>
      <c r="AB74" s="50">
        <f t="shared" si="12"/>
        <v>0</v>
      </c>
    </row>
    <row r="75" spans="1:28" ht="12.75" customHeight="1" x14ac:dyDescent="0.2">
      <c r="A75" s="58"/>
      <c r="B75" s="59"/>
      <c r="C75" s="59"/>
      <c r="D75" s="59"/>
      <c r="E75" s="59"/>
      <c r="F75" s="59"/>
      <c r="G75" s="59"/>
      <c r="H75" s="59"/>
      <c r="I75" s="59"/>
      <c r="J75" s="49"/>
      <c r="K75" s="49"/>
      <c r="L75" s="49"/>
      <c r="M75" s="49"/>
      <c r="N75" s="49"/>
      <c r="O75" s="49"/>
      <c r="P75" s="49"/>
      <c r="Q75" s="64"/>
      <c r="R75" s="65"/>
      <c r="S75" s="66"/>
      <c r="T75" s="49"/>
      <c r="U75" s="49"/>
      <c r="V75" s="49"/>
      <c r="W75" s="49"/>
      <c r="X75" s="49"/>
      <c r="Y75" s="49"/>
      <c r="Z75" s="49"/>
      <c r="AA75" s="49"/>
      <c r="AB75" s="51"/>
    </row>
  </sheetData>
  <mergeCells count="106">
    <mergeCell ref="A58:E58"/>
    <mergeCell ref="A57:E57"/>
    <mergeCell ref="A70:E70"/>
    <mergeCell ref="A19:E19"/>
    <mergeCell ref="A20:E20"/>
    <mergeCell ref="A21:E21"/>
    <mergeCell ref="A23:E23"/>
    <mergeCell ref="A25:E25"/>
    <mergeCell ref="A27:E27"/>
    <mergeCell ref="D48:E48"/>
    <mergeCell ref="A47:E47"/>
    <mergeCell ref="A49:E49"/>
    <mergeCell ref="A53:E53"/>
    <mergeCell ref="A64:E64"/>
    <mergeCell ref="A67:E67"/>
    <mergeCell ref="A28:B28"/>
    <mergeCell ref="D28:E28"/>
    <mergeCell ref="A65:E65"/>
    <mergeCell ref="A55:E55"/>
    <mergeCell ref="A56:B56"/>
    <mergeCell ref="D56:E56"/>
    <mergeCell ref="A63:E63"/>
    <mergeCell ref="A62:E62"/>
    <mergeCell ref="A61:E61"/>
    <mergeCell ref="AA74:AA75"/>
    <mergeCell ref="AB74:AB75"/>
    <mergeCell ref="O74:O75"/>
    <mergeCell ref="P74:P75"/>
    <mergeCell ref="Q74:S75"/>
    <mergeCell ref="T74:T75"/>
    <mergeCell ref="U74:U75"/>
    <mergeCell ref="V74:V75"/>
    <mergeCell ref="Y74:Y75"/>
    <mergeCell ref="Z74:Z75"/>
    <mergeCell ref="W74:W75"/>
    <mergeCell ref="X74:X75"/>
    <mergeCell ref="A74:I75"/>
    <mergeCell ref="J74:J75"/>
    <mergeCell ref="K74:K75"/>
    <mergeCell ref="L74:L75"/>
    <mergeCell ref="M74:M75"/>
    <mergeCell ref="N74:N75"/>
    <mergeCell ref="A69:E69"/>
    <mergeCell ref="A71:E71"/>
    <mergeCell ref="A72:E72"/>
    <mergeCell ref="A73:E73"/>
    <mergeCell ref="A60:E60"/>
    <mergeCell ref="A24:B24"/>
    <mergeCell ref="D24:E24"/>
    <mergeCell ref="A32:B32"/>
    <mergeCell ref="D32:E32"/>
    <mergeCell ref="A22:E22"/>
    <mergeCell ref="W2:W16"/>
    <mergeCell ref="X2:X16"/>
    <mergeCell ref="K2:K17"/>
    <mergeCell ref="L2:L17"/>
    <mergeCell ref="M2:M17"/>
    <mergeCell ref="N2:N17"/>
    <mergeCell ref="O2:O16"/>
    <mergeCell ref="P2:P16"/>
    <mergeCell ref="A1:E18"/>
    <mergeCell ref="F1:F18"/>
    <mergeCell ref="G1:G18"/>
    <mergeCell ref="H1:H18"/>
    <mergeCell ref="I1:I18"/>
    <mergeCell ref="J2:J17"/>
    <mergeCell ref="A26:E26"/>
    <mergeCell ref="A46:E46"/>
    <mergeCell ref="A50:E50"/>
    <mergeCell ref="A59:E59"/>
    <mergeCell ref="A38:E38"/>
    <mergeCell ref="A42:E42"/>
    <mergeCell ref="Y2:Y16"/>
    <mergeCell ref="Z2:Z16"/>
    <mergeCell ref="AA2:AA17"/>
    <mergeCell ref="AB2:AB17"/>
    <mergeCell ref="Q2:Q16"/>
    <mergeCell ref="R2:R16"/>
    <mergeCell ref="S2:S16"/>
    <mergeCell ref="T2:T16"/>
    <mergeCell ref="U2:U16"/>
    <mergeCell ref="V2:V17"/>
    <mergeCell ref="A54:E54"/>
    <mergeCell ref="A66:E66"/>
    <mergeCell ref="A68:E68"/>
    <mergeCell ref="A29:E29"/>
    <mergeCell ref="A31:E31"/>
    <mergeCell ref="A33:E33"/>
    <mergeCell ref="A35:E35"/>
    <mergeCell ref="A37:E37"/>
    <mergeCell ref="A39:E39"/>
    <mergeCell ref="A41:E41"/>
    <mergeCell ref="A36:B36"/>
    <mergeCell ref="D36:E36"/>
    <mergeCell ref="A44:B44"/>
    <mergeCell ref="D44:E44"/>
    <mergeCell ref="A40:B40"/>
    <mergeCell ref="D40:E40"/>
    <mergeCell ref="A43:E43"/>
    <mergeCell ref="A45:E45"/>
    <mergeCell ref="A48:B48"/>
    <mergeCell ref="A52:B52"/>
    <mergeCell ref="D52:E52"/>
    <mergeCell ref="A51:E51"/>
    <mergeCell ref="A30:E30"/>
    <mergeCell ref="A34:E34"/>
  </mergeCell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EF3B7D-E473-46E1-9A83-9CAB5AD95632}">
  <dimension ref="A1:AB75"/>
  <sheetViews>
    <sheetView showZeros="0" topLeftCell="A31" zoomScale="85" zoomScaleNormal="85" workbookViewId="0">
      <selection activeCell="A74" sqref="A74:I75"/>
    </sheetView>
  </sheetViews>
  <sheetFormatPr defaultRowHeight="12.75" x14ac:dyDescent="0.2"/>
  <cols>
    <col min="1" max="2" width="10.7109375" style="1" customWidth="1"/>
    <col min="3" max="3" width="3.7109375" style="1" customWidth="1"/>
    <col min="4" max="5" width="10.7109375" style="1" customWidth="1"/>
    <col min="6" max="9" width="9.7109375" style="1" customWidth="1"/>
    <col min="10" max="28" width="9.42578125" style="1" customWidth="1"/>
    <col min="29" max="36" width="9.7109375" style="1" customWidth="1"/>
    <col min="37" max="16384" width="9.140625" style="1"/>
  </cols>
  <sheetData>
    <row r="1" spans="1:28" ht="12.75" customHeight="1" x14ac:dyDescent="0.2">
      <c r="A1" s="35" t="s">
        <v>119</v>
      </c>
      <c r="B1" s="36"/>
      <c r="C1" s="36"/>
      <c r="D1" s="36"/>
      <c r="E1" s="36"/>
      <c r="F1" s="39" t="s">
        <v>29</v>
      </c>
      <c r="G1" s="39" t="s">
        <v>30</v>
      </c>
      <c r="H1" s="41" t="s">
        <v>36</v>
      </c>
      <c r="I1" s="39" t="s">
        <v>31</v>
      </c>
      <c r="J1" s="2">
        <v>202</v>
      </c>
      <c r="K1" s="2">
        <v>206</v>
      </c>
      <c r="L1" s="2">
        <v>254</v>
      </c>
      <c r="M1" s="2">
        <v>254</v>
      </c>
      <c r="N1" s="2">
        <v>255</v>
      </c>
      <c r="O1" s="2">
        <v>302</v>
      </c>
      <c r="P1" s="2">
        <v>304</v>
      </c>
      <c r="Q1" s="2">
        <v>407</v>
      </c>
      <c r="R1" s="2">
        <v>407</v>
      </c>
      <c r="S1" s="2">
        <v>407</v>
      </c>
      <c r="T1" s="2">
        <v>408</v>
      </c>
      <c r="U1" s="2">
        <v>441</v>
      </c>
      <c r="V1" s="2">
        <v>442</v>
      </c>
      <c r="W1" s="2">
        <v>442</v>
      </c>
      <c r="X1" s="2">
        <v>442</v>
      </c>
      <c r="Y1" s="2">
        <v>442</v>
      </c>
      <c r="Z1" s="2">
        <v>617</v>
      </c>
      <c r="AA1" s="2">
        <v>874</v>
      </c>
      <c r="AB1" s="3">
        <v>874</v>
      </c>
    </row>
    <row r="2" spans="1:28" ht="12.75" customHeight="1" x14ac:dyDescent="0.2">
      <c r="A2" s="37"/>
      <c r="B2" s="38"/>
      <c r="C2" s="38"/>
      <c r="D2" s="38"/>
      <c r="E2" s="38"/>
      <c r="F2" s="40"/>
      <c r="G2" s="40"/>
      <c r="H2" s="41"/>
      <c r="I2" s="40"/>
      <c r="J2" s="29" t="s">
        <v>0</v>
      </c>
      <c r="K2" s="28" t="s">
        <v>2</v>
      </c>
      <c r="L2" s="28" t="s">
        <v>3</v>
      </c>
      <c r="M2" s="28" t="s">
        <v>6</v>
      </c>
      <c r="N2" s="29" t="s">
        <v>4</v>
      </c>
      <c r="O2" s="28" t="s">
        <v>22</v>
      </c>
      <c r="P2" s="29" t="s">
        <v>8</v>
      </c>
      <c r="Q2" s="32" t="s">
        <v>12</v>
      </c>
      <c r="R2" s="28" t="s">
        <v>11</v>
      </c>
      <c r="S2" s="28" t="s">
        <v>11</v>
      </c>
      <c r="T2" s="29" t="s">
        <v>17</v>
      </c>
      <c r="U2" s="28" t="s">
        <v>19</v>
      </c>
      <c r="V2" s="29" t="s">
        <v>21</v>
      </c>
      <c r="W2" s="28" t="s">
        <v>109</v>
      </c>
      <c r="X2" s="28" t="s">
        <v>23</v>
      </c>
      <c r="Y2" s="28" t="s">
        <v>110</v>
      </c>
      <c r="Z2" s="28" t="s">
        <v>25</v>
      </c>
      <c r="AA2" s="28" t="s">
        <v>27</v>
      </c>
      <c r="AB2" s="30" t="s">
        <v>28</v>
      </c>
    </row>
    <row r="3" spans="1:28" ht="12.75" customHeight="1" x14ac:dyDescent="0.2">
      <c r="A3" s="37"/>
      <c r="B3" s="38"/>
      <c r="C3" s="38"/>
      <c r="D3" s="38"/>
      <c r="E3" s="38"/>
      <c r="F3" s="40"/>
      <c r="G3" s="40"/>
      <c r="H3" s="41"/>
      <c r="I3" s="40"/>
      <c r="J3" s="29"/>
      <c r="K3" s="29"/>
      <c r="L3" s="29"/>
      <c r="M3" s="29"/>
      <c r="N3" s="29"/>
      <c r="O3" s="29"/>
      <c r="P3" s="29"/>
      <c r="Q3" s="33"/>
      <c r="R3" s="29"/>
      <c r="S3" s="29"/>
      <c r="T3" s="29"/>
      <c r="U3" s="29"/>
      <c r="V3" s="29"/>
      <c r="W3" s="29"/>
      <c r="X3" s="29"/>
      <c r="Y3" s="29"/>
      <c r="Z3" s="29"/>
      <c r="AA3" s="29"/>
      <c r="AB3" s="31"/>
    </row>
    <row r="4" spans="1:28" ht="12.75" customHeight="1" x14ac:dyDescent="0.2">
      <c r="A4" s="37"/>
      <c r="B4" s="38"/>
      <c r="C4" s="38"/>
      <c r="D4" s="38"/>
      <c r="E4" s="38"/>
      <c r="F4" s="40"/>
      <c r="G4" s="40"/>
      <c r="H4" s="41"/>
      <c r="I4" s="40"/>
      <c r="J4" s="29"/>
      <c r="K4" s="29"/>
      <c r="L4" s="29"/>
      <c r="M4" s="29"/>
      <c r="N4" s="29"/>
      <c r="O4" s="29"/>
      <c r="P4" s="29"/>
      <c r="Q4" s="33"/>
      <c r="R4" s="29"/>
      <c r="S4" s="29"/>
      <c r="T4" s="29"/>
      <c r="U4" s="29"/>
      <c r="V4" s="29"/>
      <c r="W4" s="29"/>
      <c r="X4" s="29"/>
      <c r="Y4" s="29"/>
      <c r="Z4" s="29"/>
      <c r="AA4" s="29"/>
      <c r="AB4" s="31"/>
    </row>
    <row r="5" spans="1:28" ht="12.75" customHeight="1" x14ac:dyDescent="0.2">
      <c r="A5" s="37"/>
      <c r="B5" s="38"/>
      <c r="C5" s="38"/>
      <c r="D5" s="38"/>
      <c r="E5" s="38"/>
      <c r="F5" s="40"/>
      <c r="G5" s="40"/>
      <c r="H5" s="41"/>
      <c r="I5" s="40"/>
      <c r="J5" s="29"/>
      <c r="K5" s="29"/>
      <c r="L5" s="29"/>
      <c r="M5" s="29"/>
      <c r="N5" s="29"/>
      <c r="O5" s="29"/>
      <c r="P5" s="29"/>
      <c r="Q5" s="33"/>
      <c r="R5" s="29"/>
      <c r="S5" s="29"/>
      <c r="T5" s="29"/>
      <c r="U5" s="29"/>
      <c r="V5" s="29"/>
      <c r="W5" s="29"/>
      <c r="X5" s="29"/>
      <c r="Y5" s="29"/>
      <c r="Z5" s="29"/>
      <c r="AA5" s="29"/>
      <c r="AB5" s="31"/>
    </row>
    <row r="6" spans="1:28" ht="12.75" customHeight="1" x14ac:dyDescent="0.2">
      <c r="A6" s="37"/>
      <c r="B6" s="38"/>
      <c r="C6" s="38"/>
      <c r="D6" s="38"/>
      <c r="E6" s="38"/>
      <c r="F6" s="40"/>
      <c r="G6" s="40"/>
      <c r="H6" s="41"/>
      <c r="I6" s="40"/>
      <c r="J6" s="29"/>
      <c r="K6" s="29"/>
      <c r="L6" s="29"/>
      <c r="M6" s="29"/>
      <c r="N6" s="29"/>
      <c r="O6" s="29"/>
      <c r="P6" s="29"/>
      <c r="Q6" s="33"/>
      <c r="R6" s="29"/>
      <c r="S6" s="29"/>
      <c r="T6" s="29"/>
      <c r="U6" s="29"/>
      <c r="V6" s="29"/>
      <c r="W6" s="29"/>
      <c r="X6" s="29"/>
      <c r="Y6" s="29"/>
      <c r="Z6" s="29"/>
      <c r="AA6" s="29"/>
      <c r="AB6" s="31"/>
    </row>
    <row r="7" spans="1:28" ht="12.75" customHeight="1" x14ac:dyDescent="0.2">
      <c r="A7" s="37"/>
      <c r="B7" s="38"/>
      <c r="C7" s="38"/>
      <c r="D7" s="38"/>
      <c r="E7" s="38"/>
      <c r="F7" s="40"/>
      <c r="G7" s="40"/>
      <c r="H7" s="41"/>
      <c r="I7" s="40"/>
      <c r="J7" s="29"/>
      <c r="K7" s="29"/>
      <c r="L7" s="29"/>
      <c r="M7" s="29"/>
      <c r="N7" s="29"/>
      <c r="O7" s="29"/>
      <c r="P7" s="29"/>
      <c r="Q7" s="33"/>
      <c r="R7" s="29"/>
      <c r="S7" s="29"/>
      <c r="T7" s="29"/>
      <c r="U7" s="29"/>
      <c r="V7" s="29"/>
      <c r="W7" s="29"/>
      <c r="X7" s="29"/>
      <c r="Y7" s="29"/>
      <c r="Z7" s="29"/>
      <c r="AA7" s="29"/>
      <c r="AB7" s="31"/>
    </row>
    <row r="8" spans="1:28" ht="12.75" customHeight="1" x14ac:dyDescent="0.2">
      <c r="A8" s="37"/>
      <c r="B8" s="38"/>
      <c r="C8" s="38"/>
      <c r="D8" s="38"/>
      <c r="E8" s="38"/>
      <c r="F8" s="40"/>
      <c r="G8" s="40"/>
      <c r="H8" s="41"/>
      <c r="I8" s="40"/>
      <c r="J8" s="29"/>
      <c r="K8" s="29"/>
      <c r="L8" s="29"/>
      <c r="M8" s="29"/>
      <c r="N8" s="29"/>
      <c r="O8" s="29"/>
      <c r="P8" s="29"/>
      <c r="Q8" s="33"/>
      <c r="R8" s="29"/>
      <c r="S8" s="29"/>
      <c r="T8" s="29"/>
      <c r="U8" s="29"/>
      <c r="V8" s="29"/>
      <c r="W8" s="29"/>
      <c r="X8" s="29"/>
      <c r="Y8" s="29"/>
      <c r="Z8" s="29"/>
      <c r="AA8" s="29"/>
      <c r="AB8" s="31"/>
    </row>
    <row r="9" spans="1:28" ht="12.75" customHeight="1" x14ac:dyDescent="0.2">
      <c r="A9" s="37"/>
      <c r="B9" s="38"/>
      <c r="C9" s="38"/>
      <c r="D9" s="38"/>
      <c r="E9" s="38"/>
      <c r="F9" s="40"/>
      <c r="G9" s="40"/>
      <c r="H9" s="41"/>
      <c r="I9" s="40"/>
      <c r="J9" s="29"/>
      <c r="K9" s="29"/>
      <c r="L9" s="29"/>
      <c r="M9" s="29"/>
      <c r="N9" s="29"/>
      <c r="O9" s="29"/>
      <c r="P9" s="29"/>
      <c r="Q9" s="33"/>
      <c r="R9" s="29"/>
      <c r="S9" s="29"/>
      <c r="T9" s="29"/>
      <c r="U9" s="29"/>
      <c r="V9" s="29"/>
      <c r="W9" s="29"/>
      <c r="X9" s="29"/>
      <c r="Y9" s="29"/>
      <c r="Z9" s="29"/>
      <c r="AA9" s="29"/>
      <c r="AB9" s="31"/>
    </row>
    <row r="10" spans="1:28" ht="12.75" customHeight="1" x14ac:dyDescent="0.2">
      <c r="A10" s="37"/>
      <c r="B10" s="38"/>
      <c r="C10" s="38"/>
      <c r="D10" s="38"/>
      <c r="E10" s="38"/>
      <c r="F10" s="40"/>
      <c r="G10" s="40"/>
      <c r="H10" s="41"/>
      <c r="I10" s="40"/>
      <c r="J10" s="29"/>
      <c r="K10" s="29"/>
      <c r="L10" s="29"/>
      <c r="M10" s="29"/>
      <c r="N10" s="29"/>
      <c r="O10" s="29"/>
      <c r="P10" s="29"/>
      <c r="Q10" s="33"/>
      <c r="R10" s="29"/>
      <c r="S10" s="29"/>
      <c r="T10" s="29"/>
      <c r="U10" s="29"/>
      <c r="V10" s="29"/>
      <c r="W10" s="29"/>
      <c r="X10" s="29"/>
      <c r="Y10" s="29"/>
      <c r="Z10" s="29"/>
      <c r="AA10" s="29"/>
      <c r="AB10" s="31"/>
    </row>
    <row r="11" spans="1:28" ht="12.75" customHeight="1" x14ac:dyDescent="0.2">
      <c r="A11" s="37"/>
      <c r="B11" s="38"/>
      <c r="C11" s="38"/>
      <c r="D11" s="38"/>
      <c r="E11" s="38"/>
      <c r="F11" s="40"/>
      <c r="G11" s="40"/>
      <c r="H11" s="41"/>
      <c r="I11" s="40"/>
      <c r="J11" s="29"/>
      <c r="K11" s="29"/>
      <c r="L11" s="29"/>
      <c r="M11" s="29"/>
      <c r="N11" s="29"/>
      <c r="O11" s="29"/>
      <c r="P11" s="29"/>
      <c r="Q11" s="33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31"/>
    </row>
    <row r="12" spans="1:28" ht="12.75" customHeight="1" x14ac:dyDescent="0.2">
      <c r="A12" s="37"/>
      <c r="B12" s="38"/>
      <c r="C12" s="38"/>
      <c r="D12" s="38"/>
      <c r="E12" s="38"/>
      <c r="F12" s="40"/>
      <c r="G12" s="40"/>
      <c r="H12" s="41"/>
      <c r="I12" s="40"/>
      <c r="J12" s="29"/>
      <c r="K12" s="29"/>
      <c r="L12" s="29"/>
      <c r="M12" s="29"/>
      <c r="N12" s="29"/>
      <c r="O12" s="29"/>
      <c r="P12" s="29"/>
      <c r="Q12" s="33"/>
      <c r="R12" s="29"/>
      <c r="S12" s="29"/>
      <c r="T12" s="29"/>
      <c r="U12" s="29"/>
      <c r="V12" s="29"/>
      <c r="W12" s="29"/>
      <c r="X12" s="29"/>
      <c r="Y12" s="29"/>
      <c r="Z12" s="29"/>
      <c r="AA12" s="29"/>
      <c r="AB12" s="31"/>
    </row>
    <row r="13" spans="1:28" ht="12.75" customHeight="1" x14ac:dyDescent="0.2">
      <c r="A13" s="37"/>
      <c r="B13" s="38"/>
      <c r="C13" s="38"/>
      <c r="D13" s="38"/>
      <c r="E13" s="38"/>
      <c r="F13" s="40"/>
      <c r="G13" s="40"/>
      <c r="H13" s="41"/>
      <c r="I13" s="40"/>
      <c r="J13" s="29"/>
      <c r="K13" s="29"/>
      <c r="L13" s="29"/>
      <c r="M13" s="29"/>
      <c r="N13" s="29"/>
      <c r="O13" s="29"/>
      <c r="P13" s="29"/>
      <c r="Q13" s="33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31"/>
    </row>
    <row r="14" spans="1:28" ht="12.75" customHeight="1" x14ac:dyDescent="0.2">
      <c r="A14" s="37"/>
      <c r="B14" s="38"/>
      <c r="C14" s="38"/>
      <c r="D14" s="38"/>
      <c r="E14" s="38"/>
      <c r="F14" s="40"/>
      <c r="G14" s="40"/>
      <c r="H14" s="41"/>
      <c r="I14" s="40"/>
      <c r="J14" s="29"/>
      <c r="K14" s="29"/>
      <c r="L14" s="29"/>
      <c r="M14" s="29"/>
      <c r="N14" s="29"/>
      <c r="O14" s="29"/>
      <c r="P14" s="29"/>
      <c r="Q14" s="33"/>
      <c r="R14" s="29"/>
      <c r="S14" s="29"/>
      <c r="T14" s="29"/>
      <c r="U14" s="29"/>
      <c r="V14" s="29"/>
      <c r="W14" s="29"/>
      <c r="X14" s="29"/>
      <c r="Y14" s="29"/>
      <c r="Z14" s="29"/>
      <c r="AA14" s="29"/>
      <c r="AB14" s="31"/>
    </row>
    <row r="15" spans="1:28" ht="12.75" customHeight="1" x14ac:dyDescent="0.2">
      <c r="A15" s="37"/>
      <c r="B15" s="38"/>
      <c r="C15" s="38"/>
      <c r="D15" s="38"/>
      <c r="E15" s="38"/>
      <c r="F15" s="40"/>
      <c r="G15" s="40"/>
      <c r="H15" s="41"/>
      <c r="I15" s="40"/>
      <c r="J15" s="29"/>
      <c r="K15" s="29"/>
      <c r="L15" s="29"/>
      <c r="M15" s="29"/>
      <c r="N15" s="29"/>
      <c r="O15" s="29"/>
      <c r="P15" s="29"/>
      <c r="Q15" s="33"/>
      <c r="R15" s="29"/>
      <c r="S15" s="29"/>
      <c r="T15" s="29"/>
      <c r="U15" s="29"/>
      <c r="V15" s="29"/>
      <c r="W15" s="29"/>
      <c r="X15" s="29"/>
      <c r="Y15" s="29"/>
      <c r="Z15" s="29"/>
      <c r="AA15" s="29"/>
      <c r="AB15" s="31"/>
    </row>
    <row r="16" spans="1:28" ht="12.75" customHeight="1" x14ac:dyDescent="0.2">
      <c r="A16" s="37"/>
      <c r="B16" s="38"/>
      <c r="C16" s="38"/>
      <c r="D16" s="38"/>
      <c r="E16" s="38"/>
      <c r="F16" s="40"/>
      <c r="G16" s="40"/>
      <c r="H16" s="41"/>
      <c r="I16" s="40"/>
      <c r="J16" s="29"/>
      <c r="K16" s="29"/>
      <c r="L16" s="29"/>
      <c r="M16" s="29"/>
      <c r="N16" s="29"/>
      <c r="O16" s="29"/>
      <c r="P16" s="29"/>
      <c r="Q16" s="34"/>
      <c r="R16" s="29"/>
      <c r="S16" s="29"/>
      <c r="T16" s="29"/>
      <c r="U16" s="29"/>
      <c r="V16" s="29"/>
      <c r="W16" s="29"/>
      <c r="X16" s="29"/>
      <c r="Y16" s="29"/>
      <c r="Z16" s="29"/>
      <c r="AA16" s="29"/>
      <c r="AB16" s="31"/>
    </row>
    <row r="17" spans="1:28" ht="12.75" customHeight="1" x14ac:dyDescent="0.2">
      <c r="A17" s="37"/>
      <c r="B17" s="38"/>
      <c r="C17" s="38"/>
      <c r="D17" s="38"/>
      <c r="E17" s="38"/>
      <c r="F17" s="40"/>
      <c r="G17" s="40"/>
      <c r="H17" s="41"/>
      <c r="I17" s="40"/>
      <c r="J17" s="29"/>
      <c r="K17" s="29"/>
      <c r="L17" s="29"/>
      <c r="M17" s="29"/>
      <c r="N17" s="29"/>
      <c r="O17" s="4" t="s">
        <v>10</v>
      </c>
      <c r="P17" s="4" t="s">
        <v>9</v>
      </c>
      <c r="Q17" s="4" t="s">
        <v>13</v>
      </c>
      <c r="R17" s="4" t="s">
        <v>15</v>
      </c>
      <c r="S17" s="4" t="s">
        <v>16</v>
      </c>
      <c r="T17" s="4" t="s">
        <v>18</v>
      </c>
      <c r="U17" s="4" t="s">
        <v>20</v>
      </c>
      <c r="V17" s="29"/>
      <c r="W17" s="4" t="s">
        <v>20</v>
      </c>
      <c r="X17" s="4" t="s">
        <v>20</v>
      </c>
      <c r="Y17" s="4" t="s">
        <v>24</v>
      </c>
      <c r="Z17" s="4" t="s">
        <v>26</v>
      </c>
      <c r="AA17" s="29"/>
      <c r="AB17" s="31"/>
    </row>
    <row r="18" spans="1:28" ht="12.75" customHeight="1" x14ac:dyDescent="0.2">
      <c r="A18" s="37"/>
      <c r="B18" s="38"/>
      <c r="C18" s="38"/>
      <c r="D18" s="38"/>
      <c r="E18" s="38"/>
      <c r="F18" s="40"/>
      <c r="G18" s="40"/>
      <c r="H18" s="39"/>
      <c r="I18" s="40"/>
      <c r="J18" s="4" t="s">
        <v>1</v>
      </c>
      <c r="K18" s="4" t="s">
        <v>1</v>
      </c>
      <c r="L18" s="4" t="s">
        <v>1</v>
      </c>
      <c r="M18" s="4" t="s">
        <v>1</v>
      </c>
      <c r="N18" s="4" t="s">
        <v>5</v>
      </c>
      <c r="O18" s="4" t="s">
        <v>7</v>
      </c>
      <c r="P18" s="4" t="s">
        <v>7</v>
      </c>
      <c r="Q18" s="4" t="s">
        <v>14</v>
      </c>
      <c r="R18" s="4" t="s">
        <v>14</v>
      </c>
      <c r="S18" s="4" t="s">
        <v>14</v>
      </c>
      <c r="T18" s="4" t="s">
        <v>14</v>
      </c>
      <c r="U18" s="4" t="s">
        <v>7</v>
      </c>
      <c r="V18" s="4" t="s">
        <v>7</v>
      </c>
      <c r="W18" s="4" t="s">
        <v>7</v>
      </c>
      <c r="X18" s="4" t="s">
        <v>7</v>
      </c>
      <c r="Y18" s="4" t="s">
        <v>7</v>
      </c>
      <c r="Z18" s="4" t="s">
        <v>7</v>
      </c>
      <c r="AA18" s="4" t="s">
        <v>5</v>
      </c>
      <c r="AB18" s="5" t="s">
        <v>5</v>
      </c>
    </row>
    <row r="19" spans="1:28" x14ac:dyDescent="0.2">
      <c r="A19" s="43" t="s">
        <v>57</v>
      </c>
      <c r="B19" s="43"/>
      <c r="C19" s="43"/>
      <c r="D19" s="43"/>
      <c r="E19" s="44"/>
      <c r="F19" s="6"/>
      <c r="G19" s="6"/>
      <c r="H19" s="6"/>
      <c r="I19" s="9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8"/>
    </row>
    <row r="20" spans="1:28" x14ac:dyDescent="0.2">
      <c r="A20" s="43"/>
      <c r="B20" s="43"/>
      <c r="C20" s="43"/>
      <c r="D20" s="43"/>
      <c r="E20" s="44"/>
      <c r="F20" s="6"/>
      <c r="G20" s="6"/>
      <c r="H20" s="6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8"/>
    </row>
    <row r="21" spans="1:28" x14ac:dyDescent="0.2">
      <c r="A21" s="43" t="s">
        <v>94</v>
      </c>
      <c r="B21" s="43"/>
      <c r="C21" s="43"/>
      <c r="D21" s="43"/>
      <c r="E21" s="44"/>
      <c r="F21" s="6"/>
      <c r="G21" s="6"/>
      <c r="H21" s="6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8"/>
    </row>
    <row r="22" spans="1:28" x14ac:dyDescent="0.2">
      <c r="A22" s="43"/>
      <c r="B22" s="43"/>
      <c r="C22" s="43"/>
      <c r="D22" s="43"/>
      <c r="E22" s="44"/>
      <c r="F22" s="6"/>
      <c r="G22" s="6"/>
      <c r="H22" s="6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8"/>
    </row>
    <row r="23" spans="1:28" x14ac:dyDescent="0.2">
      <c r="A23" s="43" t="s">
        <v>67</v>
      </c>
      <c r="B23" s="43"/>
      <c r="C23" s="43"/>
      <c r="D23" s="43"/>
      <c r="E23" s="44"/>
      <c r="F23" s="6"/>
      <c r="G23" s="6"/>
      <c r="H23" s="6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8"/>
    </row>
    <row r="24" spans="1:28" x14ac:dyDescent="0.2">
      <c r="A24" s="46">
        <v>63965</v>
      </c>
      <c r="B24" s="42"/>
      <c r="C24" s="4" t="s">
        <v>32</v>
      </c>
      <c r="D24" s="42">
        <v>65375</v>
      </c>
      <c r="E24" s="42"/>
      <c r="F24" s="6" t="s">
        <v>40</v>
      </c>
      <c r="G24" s="6">
        <f t="shared" ref="G24:G37" si="0">D24-A24</f>
        <v>1410</v>
      </c>
      <c r="H24" s="6">
        <v>24</v>
      </c>
      <c r="I24" s="7">
        <f>ROUNDUP(((H24*G24)/9),1)</f>
        <v>3760</v>
      </c>
      <c r="J24" s="7"/>
      <c r="K24" s="7"/>
      <c r="L24" s="7"/>
      <c r="M24" s="7">
        <f>I24</f>
        <v>3760</v>
      </c>
      <c r="N24" s="7"/>
      <c r="O24" s="7"/>
      <c r="P24" s="7"/>
      <c r="Q24" s="7"/>
      <c r="R24" s="7">
        <f>ROUNDUP((0.06*I24),1)</f>
        <v>225.6</v>
      </c>
      <c r="S24" s="7">
        <f>ROUNDUP((0.09*I24),1)</f>
        <v>338.4</v>
      </c>
      <c r="T24" s="7"/>
      <c r="U24" s="7"/>
      <c r="V24" s="7">
        <f>X24+Y24</f>
        <v>341.5</v>
      </c>
      <c r="W24" s="7"/>
      <c r="X24" s="7">
        <f t="shared" ref="X24:X37" si="1">ROUNDUP((I24*(1.5/36)),1)</f>
        <v>156.69999999999999</v>
      </c>
      <c r="Y24" s="13">
        <f>ROUNDUP(((I24*(1.75/36)))+2,1)</f>
        <v>184.79999999999998</v>
      </c>
      <c r="Z24" s="7"/>
      <c r="AA24" s="7"/>
      <c r="AB24" s="8"/>
    </row>
    <row r="25" spans="1:28" x14ac:dyDescent="0.2">
      <c r="A25" s="46">
        <v>65375</v>
      </c>
      <c r="B25" s="42"/>
      <c r="C25" s="4" t="s">
        <v>32</v>
      </c>
      <c r="D25" s="42">
        <v>65650</v>
      </c>
      <c r="E25" s="42"/>
      <c r="F25" s="6" t="s">
        <v>40</v>
      </c>
      <c r="G25" s="6">
        <f t="shared" si="0"/>
        <v>275</v>
      </c>
      <c r="H25" s="16">
        <f>(I25*9)/G25</f>
        <v>33</v>
      </c>
      <c r="I25" s="7">
        <f>((G25*((40+26)/2))/9)</f>
        <v>1008.3333333333334</v>
      </c>
      <c r="J25" s="7">
        <f t="shared" ref="J25:J37" si="2">I25</f>
        <v>1008.3333333333334</v>
      </c>
      <c r="K25" s="7">
        <f t="shared" ref="K25:K37" si="3">I25</f>
        <v>1008.3333333333334</v>
      </c>
      <c r="L25" s="7"/>
      <c r="M25" s="7"/>
      <c r="N25" s="7">
        <v>24</v>
      </c>
      <c r="O25" s="7">
        <f t="shared" ref="O25:O37" si="4">ROUNDUP((I25*(5.5/36)),1)</f>
        <v>154.1</v>
      </c>
      <c r="P25" s="7">
        <f t="shared" ref="P25:P37" si="5">ROUNDUP((I25*(6/36)),1)</f>
        <v>168.1</v>
      </c>
      <c r="Q25" s="7">
        <f t="shared" ref="Q25:Q37" si="6">ROUNDUP(((((G25+N25)*(8.75/12))/9)*0.025),1)</f>
        <v>0.7</v>
      </c>
      <c r="R25" s="7">
        <f t="shared" ref="R25:R37" si="7">ROUNDUP((2*0.06*I25),1)</f>
        <v>121</v>
      </c>
      <c r="S25" s="7"/>
      <c r="T25" s="7"/>
      <c r="U25" s="7"/>
      <c r="V25" s="7">
        <f t="shared" ref="V25:V26" si="8">X25+Y25</f>
        <v>91.2</v>
      </c>
      <c r="W25" s="7"/>
      <c r="X25" s="7">
        <f t="shared" si="1"/>
        <v>42.1</v>
      </c>
      <c r="Y25" s="7">
        <f t="shared" ref="Y25:Y37" si="9">ROUNDUP((I25*(1.75/36)),1)</f>
        <v>49.1</v>
      </c>
      <c r="Z25" s="7"/>
      <c r="AA25" s="7"/>
      <c r="AB25" s="8"/>
    </row>
    <row r="26" spans="1:28" x14ac:dyDescent="0.2">
      <c r="A26" s="46">
        <v>65650</v>
      </c>
      <c r="B26" s="42"/>
      <c r="C26" s="4" t="s">
        <v>32</v>
      </c>
      <c r="D26" s="42">
        <v>65948.37</v>
      </c>
      <c r="E26" s="42"/>
      <c r="F26" s="6" t="s">
        <v>40</v>
      </c>
      <c r="G26" s="6">
        <f t="shared" si="0"/>
        <v>298.36999999999534</v>
      </c>
      <c r="H26" s="6">
        <v>40</v>
      </c>
      <c r="I26" s="7">
        <f t="shared" ref="I26:I37" si="10">ROUNDUP(((H26*G26)/9),1)</f>
        <v>1326.1</v>
      </c>
      <c r="J26" s="7">
        <f t="shared" si="2"/>
        <v>1326.1</v>
      </c>
      <c r="K26" s="7">
        <f t="shared" si="3"/>
        <v>1326.1</v>
      </c>
      <c r="L26" s="7"/>
      <c r="M26" s="7"/>
      <c r="N26" s="7"/>
      <c r="O26" s="7">
        <f t="shared" si="4"/>
        <v>202.6</v>
      </c>
      <c r="P26" s="7">
        <f t="shared" si="5"/>
        <v>221.1</v>
      </c>
      <c r="Q26" s="7">
        <f t="shared" si="6"/>
        <v>0.7</v>
      </c>
      <c r="R26" s="7">
        <f t="shared" si="7"/>
        <v>159.19999999999999</v>
      </c>
      <c r="S26" s="7"/>
      <c r="T26" s="7"/>
      <c r="U26" s="7"/>
      <c r="V26" s="7">
        <f t="shared" si="8"/>
        <v>119.80000000000001</v>
      </c>
      <c r="W26" s="7"/>
      <c r="X26" s="7">
        <f t="shared" si="1"/>
        <v>55.300000000000004</v>
      </c>
      <c r="Y26" s="7">
        <f t="shared" si="9"/>
        <v>64.5</v>
      </c>
      <c r="Z26" s="7"/>
      <c r="AA26" s="7"/>
      <c r="AB26" s="8"/>
    </row>
    <row r="27" spans="1:28" x14ac:dyDescent="0.2">
      <c r="A27" s="46">
        <v>65948.37</v>
      </c>
      <c r="B27" s="42"/>
      <c r="C27" s="4" t="s">
        <v>32</v>
      </c>
      <c r="D27" s="42">
        <v>67133.429999999993</v>
      </c>
      <c r="E27" s="42"/>
      <c r="F27" s="6" t="s">
        <v>40</v>
      </c>
      <c r="G27" s="6">
        <f t="shared" si="0"/>
        <v>1185.0599999999977</v>
      </c>
      <c r="H27" s="6">
        <v>24</v>
      </c>
      <c r="I27" s="7">
        <f t="shared" si="10"/>
        <v>3160.2</v>
      </c>
      <c r="J27" s="7">
        <f t="shared" si="2"/>
        <v>3160.2</v>
      </c>
      <c r="K27" s="7">
        <f t="shared" si="3"/>
        <v>3160.2</v>
      </c>
      <c r="L27" s="7"/>
      <c r="M27" s="7"/>
      <c r="N27" s="7"/>
      <c r="O27" s="7">
        <f t="shared" si="4"/>
        <v>482.90000000000003</v>
      </c>
      <c r="P27" s="7">
        <f t="shared" si="5"/>
        <v>526.70000000000005</v>
      </c>
      <c r="Q27" s="7">
        <f t="shared" si="6"/>
        <v>2.5</v>
      </c>
      <c r="R27" s="7">
        <f t="shared" si="7"/>
        <v>379.3</v>
      </c>
      <c r="S27" s="7"/>
      <c r="T27" s="7"/>
      <c r="U27" s="7"/>
      <c r="V27" s="7">
        <f t="shared" ref="V27" si="11">X27+Y27</f>
        <v>285.39999999999998</v>
      </c>
      <c r="W27" s="7"/>
      <c r="X27" s="7">
        <f t="shared" si="1"/>
        <v>131.69999999999999</v>
      </c>
      <c r="Y27" s="7">
        <f t="shared" si="9"/>
        <v>153.69999999999999</v>
      </c>
      <c r="Z27" s="7"/>
      <c r="AA27" s="7"/>
      <c r="AB27" s="8"/>
    </row>
    <row r="28" spans="1:28" x14ac:dyDescent="0.2">
      <c r="A28" s="46">
        <v>67133.429999999993</v>
      </c>
      <c r="B28" s="42"/>
      <c r="C28" s="4" t="s">
        <v>32</v>
      </c>
      <c r="D28" s="42">
        <v>67400</v>
      </c>
      <c r="E28" s="42"/>
      <c r="F28" s="6" t="s">
        <v>40</v>
      </c>
      <c r="G28" s="6">
        <f t="shared" si="0"/>
        <v>266.57000000000698</v>
      </c>
      <c r="H28" s="6">
        <v>36</v>
      </c>
      <c r="I28" s="7">
        <f t="shared" si="10"/>
        <v>1066.3</v>
      </c>
      <c r="J28" s="7">
        <f t="shared" si="2"/>
        <v>1066.3</v>
      </c>
      <c r="K28" s="7">
        <f t="shared" si="3"/>
        <v>1066.3</v>
      </c>
      <c r="L28" s="7"/>
      <c r="M28" s="7"/>
      <c r="N28" s="7"/>
      <c r="O28" s="7">
        <f t="shared" si="4"/>
        <v>163</v>
      </c>
      <c r="P28" s="7">
        <f t="shared" si="5"/>
        <v>177.79999999999998</v>
      </c>
      <c r="Q28" s="7">
        <f t="shared" si="6"/>
        <v>0.6</v>
      </c>
      <c r="R28" s="7">
        <f t="shared" si="7"/>
        <v>128</v>
      </c>
      <c r="S28" s="7"/>
      <c r="T28" s="7"/>
      <c r="U28" s="7"/>
      <c r="V28" s="7">
        <f t="shared" ref="V28:V37" si="12">X28+Y28</f>
        <v>96.4</v>
      </c>
      <c r="W28" s="7"/>
      <c r="X28" s="7">
        <f t="shared" si="1"/>
        <v>44.5</v>
      </c>
      <c r="Y28" s="7">
        <f t="shared" si="9"/>
        <v>51.9</v>
      </c>
      <c r="Z28" s="7"/>
      <c r="AA28" s="7"/>
      <c r="AB28" s="8"/>
    </row>
    <row r="29" spans="1:28" x14ac:dyDescent="0.2">
      <c r="A29" s="46">
        <v>67400</v>
      </c>
      <c r="B29" s="42"/>
      <c r="C29" s="4" t="s">
        <v>32</v>
      </c>
      <c r="D29" s="42">
        <v>67500</v>
      </c>
      <c r="E29" s="42"/>
      <c r="F29" s="6" t="s">
        <v>40</v>
      </c>
      <c r="G29" s="6">
        <f t="shared" si="0"/>
        <v>100</v>
      </c>
      <c r="H29" s="16">
        <v>30</v>
      </c>
      <c r="I29" s="7">
        <f t="shared" si="10"/>
        <v>333.40000000000003</v>
      </c>
      <c r="J29" s="7">
        <f t="shared" si="2"/>
        <v>333.40000000000003</v>
      </c>
      <c r="K29" s="7">
        <f t="shared" si="3"/>
        <v>333.40000000000003</v>
      </c>
      <c r="L29" s="7"/>
      <c r="M29" s="7"/>
      <c r="N29" s="7"/>
      <c r="O29" s="7">
        <f t="shared" si="4"/>
        <v>51</v>
      </c>
      <c r="P29" s="7">
        <f t="shared" si="5"/>
        <v>55.6</v>
      </c>
      <c r="Q29" s="7">
        <f t="shared" si="6"/>
        <v>0.30000000000000004</v>
      </c>
      <c r="R29" s="7">
        <f t="shared" si="7"/>
        <v>40.1</v>
      </c>
      <c r="S29" s="7"/>
      <c r="T29" s="7"/>
      <c r="U29" s="7"/>
      <c r="V29" s="7">
        <f t="shared" si="12"/>
        <v>30.200000000000003</v>
      </c>
      <c r="W29" s="7"/>
      <c r="X29" s="7">
        <f t="shared" si="1"/>
        <v>13.9</v>
      </c>
      <c r="Y29" s="7">
        <f t="shared" si="9"/>
        <v>16.3</v>
      </c>
      <c r="Z29" s="7"/>
      <c r="AA29" s="7"/>
      <c r="AB29" s="8"/>
    </row>
    <row r="30" spans="1:28" x14ac:dyDescent="0.2">
      <c r="A30" s="46">
        <v>67500</v>
      </c>
      <c r="B30" s="42"/>
      <c r="C30" s="4" t="s">
        <v>32</v>
      </c>
      <c r="D30" s="42">
        <v>68200</v>
      </c>
      <c r="E30" s="42"/>
      <c r="F30" s="6" t="s">
        <v>40</v>
      </c>
      <c r="G30" s="6">
        <f t="shared" si="0"/>
        <v>700</v>
      </c>
      <c r="H30" s="6">
        <v>24</v>
      </c>
      <c r="I30" s="7">
        <f t="shared" si="10"/>
        <v>1866.6999999999998</v>
      </c>
      <c r="J30" s="7">
        <f t="shared" si="2"/>
        <v>1866.6999999999998</v>
      </c>
      <c r="K30" s="7">
        <f t="shared" si="3"/>
        <v>1866.6999999999998</v>
      </c>
      <c r="L30" s="7"/>
      <c r="M30" s="7"/>
      <c r="N30" s="7"/>
      <c r="O30" s="7">
        <f t="shared" si="4"/>
        <v>285.20000000000005</v>
      </c>
      <c r="P30" s="7">
        <f t="shared" si="5"/>
        <v>311.20000000000005</v>
      </c>
      <c r="Q30" s="7">
        <f t="shared" si="6"/>
        <v>1.5</v>
      </c>
      <c r="R30" s="7">
        <f t="shared" si="7"/>
        <v>224.1</v>
      </c>
      <c r="S30" s="7"/>
      <c r="T30" s="7"/>
      <c r="U30" s="7"/>
      <c r="V30" s="7">
        <f t="shared" si="12"/>
        <v>168.6</v>
      </c>
      <c r="W30" s="7"/>
      <c r="X30" s="7">
        <f t="shared" si="1"/>
        <v>77.8</v>
      </c>
      <c r="Y30" s="7">
        <f t="shared" si="9"/>
        <v>90.8</v>
      </c>
      <c r="Z30" s="7"/>
      <c r="AA30" s="7"/>
      <c r="AB30" s="8"/>
    </row>
    <row r="31" spans="1:28" x14ac:dyDescent="0.2">
      <c r="A31" s="46">
        <v>68200</v>
      </c>
      <c r="B31" s="42"/>
      <c r="C31" s="4" t="s">
        <v>32</v>
      </c>
      <c r="D31" s="42">
        <v>68500</v>
      </c>
      <c r="E31" s="42"/>
      <c r="F31" s="6" t="s">
        <v>40</v>
      </c>
      <c r="G31" s="6">
        <f t="shared" si="0"/>
        <v>300</v>
      </c>
      <c r="H31" s="16">
        <v>32</v>
      </c>
      <c r="I31" s="7">
        <f t="shared" si="10"/>
        <v>1066.6999999999998</v>
      </c>
      <c r="J31" s="7">
        <f t="shared" si="2"/>
        <v>1066.6999999999998</v>
      </c>
      <c r="K31" s="7">
        <f t="shared" si="3"/>
        <v>1066.6999999999998</v>
      </c>
      <c r="L31" s="7"/>
      <c r="M31" s="7"/>
      <c r="N31" s="7"/>
      <c r="O31" s="7">
        <f t="shared" si="4"/>
        <v>163</v>
      </c>
      <c r="P31" s="7">
        <f t="shared" si="5"/>
        <v>177.79999999999998</v>
      </c>
      <c r="Q31" s="7">
        <f t="shared" si="6"/>
        <v>0.7</v>
      </c>
      <c r="R31" s="7">
        <f t="shared" si="7"/>
        <v>128.1</v>
      </c>
      <c r="S31" s="7"/>
      <c r="T31" s="7"/>
      <c r="U31" s="7"/>
      <c r="V31" s="7">
        <f t="shared" si="12"/>
        <v>96.4</v>
      </c>
      <c r="W31" s="7"/>
      <c r="X31" s="7">
        <f t="shared" si="1"/>
        <v>44.5</v>
      </c>
      <c r="Y31" s="7">
        <f t="shared" si="9"/>
        <v>51.9</v>
      </c>
      <c r="Z31" s="7"/>
      <c r="AA31" s="7"/>
      <c r="AB31" s="8"/>
    </row>
    <row r="32" spans="1:28" x14ac:dyDescent="0.2">
      <c r="A32" s="46">
        <v>68500</v>
      </c>
      <c r="B32" s="42"/>
      <c r="C32" s="4" t="s">
        <v>32</v>
      </c>
      <c r="D32" s="42">
        <v>68873.429999999993</v>
      </c>
      <c r="E32" s="42"/>
      <c r="F32" s="6" t="s">
        <v>40</v>
      </c>
      <c r="G32" s="6">
        <f t="shared" si="0"/>
        <v>373.42999999999302</v>
      </c>
      <c r="H32" s="6">
        <v>40</v>
      </c>
      <c r="I32" s="7">
        <f t="shared" si="10"/>
        <v>1659.6999999999998</v>
      </c>
      <c r="J32" s="7">
        <f t="shared" si="2"/>
        <v>1659.6999999999998</v>
      </c>
      <c r="K32" s="7">
        <f t="shared" si="3"/>
        <v>1659.6999999999998</v>
      </c>
      <c r="L32" s="7"/>
      <c r="M32" s="7"/>
      <c r="N32" s="7"/>
      <c r="O32" s="7">
        <f t="shared" si="4"/>
        <v>253.6</v>
      </c>
      <c r="P32" s="7">
        <f t="shared" si="5"/>
        <v>276.70000000000005</v>
      </c>
      <c r="Q32" s="7">
        <f t="shared" si="6"/>
        <v>0.79999999999999993</v>
      </c>
      <c r="R32" s="7">
        <f t="shared" si="7"/>
        <v>199.2</v>
      </c>
      <c r="S32" s="7"/>
      <c r="T32" s="7"/>
      <c r="U32" s="7"/>
      <c r="V32" s="7">
        <f t="shared" si="12"/>
        <v>149.89999999999998</v>
      </c>
      <c r="W32" s="7"/>
      <c r="X32" s="7">
        <f t="shared" si="1"/>
        <v>69.199999999999989</v>
      </c>
      <c r="Y32" s="7">
        <f t="shared" si="9"/>
        <v>80.699999999999989</v>
      </c>
      <c r="Z32" s="7"/>
      <c r="AA32" s="7"/>
      <c r="AB32" s="8"/>
    </row>
    <row r="33" spans="1:28" x14ac:dyDescent="0.2">
      <c r="A33" s="46">
        <v>68873.429999999993</v>
      </c>
      <c r="B33" s="42"/>
      <c r="C33" s="4" t="s">
        <v>32</v>
      </c>
      <c r="D33" s="42">
        <v>70533.429999999993</v>
      </c>
      <c r="E33" s="42"/>
      <c r="F33" s="6" t="s">
        <v>40</v>
      </c>
      <c r="G33" s="6">
        <f t="shared" si="0"/>
        <v>1660</v>
      </c>
      <c r="H33" s="6">
        <v>24</v>
      </c>
      <c r="I33" s="7">
        <f t="shared" si="10"/>
        <v>4426.7000000000007</v>
      </c>
      <c r="J33" s="7">
        <f t="shared" si="2"/>
        <v>4426.7000000000007</v>
      </c>
      <c r="K33" s="7">
        <f t="shared" si="3"/>
        <v>4426.7000000000007</v>
      </c>
      <c r="L33" s="7"/>
      <c r="M33" s="7"/>
      <c r="N33" s="7"/>
      <c r="O33" s="7">
        <f t="shared" si="4"/>
        <v>676.4</v>
      </c>
      <c r="P33" s="7">
        <f t="shared" si="5"/>
        <v>737.80000000000007</v>
      </c>
      <c r="Q33" s="7">
        <f t="shared" si="6"/>
        <v>3.4</v>
      </c>
      <c r="R33" s="7">
        <f t="shared" si="7"/>
        <v>531.30000000000007</v>
      </c>
      <c r="S33" s="7"/>
      <c r="T33" s="7"/>
      <c r="U33" s="7"/>
      <c r="V33" s="7">
        <f t="shared" si="12"/>
        <v>399.7</v>
      </c>
      <c r="W33" s="7"/>
      <c r="X33" s="7">
        <f t="shared" si="1"/>
        <v>184.5</v>
      </c>
      <c r="Y33" s="7">
        <f t="shared" si="9"/>
        <v>215.2</v>
      </c>
      <c r="Z33" s="7"/>
      <c r="AA33" s="7"/>
      <c r="AB33" s="8"/>
    </row>
    <row r="34" spans="1:28" x14ac:dyDescent="0.2">
      <c r="A34" s="46">
        <v>70533.429999999993</v>
      </c>
      <c r="B34" s="42"/>
      <c r="C34" s="4" t="s">
        <v>32</v>
      </c>
      <c r="D34" s="42">
        <v>70800</v>
      </c>
      <c r="E34" s="42"/>
      <c r="F34" s="6" t="s">
        <v>40</v>
      </c>
      <c r="G34" s="6">
        <f t="shared" si="0"/>
        <v>266.57000000000698</v>
      </c>
      <c r="H34" s="6">
        <v>36</v>
      </c>
      <c r="I34" s="7">
        <f t="shared" si="10"/>
        <v>1066.3</v>
      </c>
      <c r="J34" s="7">
        <f t="shared" si="2"/>
        <v>1066.3</v>
      </c>
      <c r="K34" s="7">
        <f t="shared" si="3"/>
        <v>1066.3</v>
      </c>
      <c r="L34" s="7"/>
      <c r="M34" s="7"/>
      <c r="N34" s="7"/>
      <c r="O34" s="7">
        <f t="shared" si="4"/>
        <v>163</v>
      </c>
      <c r="P34" s="7">
        <f t="shared" si="5"/>
        <v>177.79999999999998</v>
      </c>
      <c r="Q34" s="7">
        <f t="shared" si="6"/>
        <v>0.6</v>
      </c>
      <c r="R34" s="7">
        <f t="shared" si="7"/>
        <v>128</v>
      </c>
      <c r="S34" s="7"/>
      <c r="T34" s="7"/>
      <c r="U34" s="7"/>
      <c r="V34" s="7">
        <f t="shared" si="12"/>
        <v>96.4</v>
      </c>
      <c r="W34" s="7"/>
      <c r="X34" s="7">
        <f t="shared" si="1"/>
        <v>44.5</v>
      </c>
      <c r="Y34" s="7">
        <f t="shared" si="9"/>
        <v>51.9</v>
      </c>
      <c r="Z34" s="7"/>
      <c r="AA34" s="7"/>
      <c r="AB34" s="8"/>
    </row>
    <row r="35" spans="1:28" x14ac:dyDescent="0.2">
      <c r="A35" s="46">
        <v>70800</v>
      </c>
      <c r="B35" s="42"/>
      <c r="C35" s="4" t="s">
        <v>32</v>
      </c>
      <c r="D35" s="42">
        <v>70900</v>
      </c>
      <c r="E35" s="42"/>
      <c r="F35" s="6" t="s">
        <v>40</v>
      </c>
      <c r="G35" s="6">
        <f t="shared" si="0"/>
        <v>100</v>
      </c>
      <c r="H35" s="16">
        <v>30</v>
      </c>
      <c r="I35" s="7">
        <f t="shared" si="10"/>
        <v>333.40000000000003</v>
      </c>
      <c r="J35" s="7">
        <f t="shared" si="2"/>
        <v>333.40000000000003</v>
      </c>
      <c r="K35" s="7">
        <f t="shared" si="3"/>
        <v>333.40000000000003</v>
      </c>
      <c r="L35" s="7"/>
      <c r="M35" s="7"/>
      <c r="N35" s="7"/>
      <c r="O35" s="7">
        <f t="shared" si="4"/>
        <v>51</v>
      </c>
      <c r="P35" s="7">
        <f t="shared" si="5"/>
        <v>55.6</v>
      </c>
      <c r="Q35" s="7">
        <f t="shared" si="6"/>
        <v>0.30000000000000004</v>
      </c>
      <c r="R35" s="7">
        <f t="shared" si="7"/>
        <v>40.1</v>
      </c>
      <c r="S35" s="7"/>
      <c r="T35" s="7"/>
      <c r="U35" s="7"/>
      <c r="V35" s="7">
        <f t="shared" si="12"/>
        <v>30.200000000000003</v>
      </c>
      <c r="W35" s="7"/>
      <c r="X35" s="7">
        <f t="shared" si="1"/>
        <v>13.9</v>
      </c>
      <c r="Y35" s="7">
        <f t="shared" si="9"/>
        <v>16.3</v>
      </c>
      <c r="Z35" s="7"/>
      <c r="AA35" s="7"/>
      <c r="AB35" s="8"/>
    </row>
    <row r="36" spans="1:28" x14ac:dyDescent="0.2">
      <c r="A36" s="46">
        <v>70900</v>
      </c>
      <c r="B36" s="42"/>
      <c r="C36" s="4" t="s">
        <v>32</v>
      </c>
      <c r="D36" s="42">
        <v>74796.78</v>
      </c>
      <c r="E36" s="42"/>
      <c r="F36" s="6" t="s">
        <v>40</v>
      </c>
      <c r="G36" s="6">
        <f t="shared" si="0"/>
        <v>3896.7799999999988</v>
      </c>
      <c r="H36" s="7">
        <v>24</v>
      </c>
      <c r="I36" s="7">
        <f t="shared" si="10"/>
        <v>10391.5</v>
      </c>
      <c r="J36" s="7">
        <f t="shared" si="2"/>
        <v>10391.5</v>
      </c>
      <c r="K36" s="7">
        <f t="shared" si="3"/>
        <v>10391.5</v>
      </c>
      <c r="L36" s="7"/>
      <c r="M36" s="7"/>
      <c r="N36" s="7">
        <v>24</v>
      </c>
      <c r="O36" s="7">
        <f t="shared" si="4"/>
        <v>1587.6</v>
      </c>
      <c r="P36" s="7">
        <f t="shared" si="5"/>
        <v>1732</v>
      </c>
      <c r="Q36" s="7">
        <f t="shared" si="6"/>
        <v>8</v>
      </c>
      <c r="R36" s="7">
        <f t="shared" si="7"/>
        <v>1247</v>
      </c>
      <c r="S36" s="7"/>
      <c r="T36" s="7"/>
      <c r="U36" s="7"/>
      <c r="V36" s="7">
        <f t="shared" si="12"/>
        <v>938.2</v>
      </c>
      <c r="W36" s="7"/>
      <c r="X36" s="7">
        <f t="shared" si="1"/>
        <v>433</v>
      </c>
      <c r="Y36" s="7">
        <f t="shared" si="9"/>
        <v>505.20000000000005</v>
      </c>
      <c r="Z36" s="7"/>
      <c r="AA36" s="7"/>
      <c r="AB36" s="8"/>
    </row>
    <row r="37" spans="1:28" x14ac:dyDescent="0.2">
      <c r="A37" s="46">
        <v>75081.789999999994</v>
      </c>
      <c r="B37" s="42"/>
      <c r="C37" s="4" t="s">
        <v>32</v>
      </c>
      <c r="D37" s="42">
        <v>80336</v>
      </c>
      <c r="E37" s="42"/>
      <c r="F37" s="6" t="s">
        <v>40</v>
      </c>
      <c r="G37" s="6">
        <f t="shared" si="0"/>
        <v>5254.2100000000064</v>
      </c>
      <c r="H37" s="6">
        <v>24</v>
      </c>
      <c r="I37" s="7">
        <f t="shared" si="10"/>
        <v>14011.300000000001</v>
      </c>
      <c r="J37" s="7">
        <f t="shared" si="2"/>
        <v>14011.300000000001</v>
      </c>
      <c r="K37" s="7">
        <f t="shared" si="3"/>
        <v>14011.300000000001</v>
      </c>
      <c r="L37" s="7"/>
      <c r="M37" s="7"/>
      <c r="N37" s="7">
        <v>48</v>
      </c>
      <c r="O37" s="7">
        <f t="shared" si="4"/>
        <v>2140.6999999999998</v>
      </c>
      <c r="P37" s="7">
        <f t="shared" si="5"/>
        <v>2335.2999999999997</v>
      </c>
      <c r="Q37" s="7">
        <f t="shared" si="6"/>
        <v>10.799999999999999</v>
      </c>
      <c r="R37" s="7">
        <f t="shared" si="7"/>
        <v>1681.3999999999999</v>
      </c>
      <c r="S37" s="7"/>
      <c r="T37" s="7"/>
      <c r="U37" s="7"/>
      <c r="V37" s="7">
        <f t="shared" si="12"/>
        <v>1265.0999999999999</v>
      </c>
      <c r="W37" s="7"/>
      <c r="X37" s="7">
        <f t="shared" si="1"/>
        <v>583.9</v>
      </c>
      <c r="Y37" s="7">
        <f t="shared" si="9"/>
        <v>681.2</v>
      </c>
      <c r="Z37" s="7"/>
      <c r="AA37" s="7"/>
      <c r="AB37" s="8"/>
    </row>
    <row r="38" spans="1:28" x14ac:dyDescent="0.2">
      <c r="A38" s="43"/>
      <c r="B38" s="43"/>
      <c r="C38" s="43"/>
      <c r="D38" s="43"/>
      <c r="E38" s="44"/>
      <c r="F38" s="6"/>
      <c r="G38" s="6"/>
      <c r="H38" s="6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8"/>
    </row>
    <row r="39" spans="1:28" x14ac:dyDescent="0.2">
      <c r="A39" s="43"/>
      <c r="B39" s="43"/>
      <c r="C39" s="43"/>
      <c r="D39" s="43"/>
      <c r="E39" s="44"/>
      <c r="F39" s="6"/>
      <c r="G39" s="6"/>
      <c r="H39" s="6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Z39" s="7"/>
      <c r="AA39" s="7"/>
      <c r="AB39" s="8"/>
    </row>
    <row r="40" spans="1:28" x14ac:dyDescent="0.2">
      <c r="A40" s="43" t="s">
        <v>68</v>
      </c>
      <c r="B40" s="43"/>
      <c r="C40" s="43"/>
      <c r="D40" s="43"/>
      <c r="E40" s="44"/>
      <c r="F40" s="6"/>
      <c r="G40" s="6"/>
      <c r="H40" s="6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  <c r="AA40" s="7"/>
      <c r="AB40" s="8"/>
    </row>
    <row r="41" spans="1:28" x14ac:dyDescent="0.2">
      <c r="A41" s="46">
        <v>65375</v>
      </c>
      <c r="B41" s="42"/>
      <c r="C41" s="4" t="s">
        <v>32</v>
      </c>
      <c r="D41" s="42">
        <v>74796.78</v>
      </c>
      <c r="E41" s="42"/>
      <c r="F41" s="6" t="s">
        <v>40</v>
      </c>
      <c r="G41" s="6">
        <f>D41-A41</f>
        <v>9421.7799999999988</v>
      </c>
      <c r="H41" s="6">
        <v>0.5</v>
      </c>
      <c r="I41" s="7">
        <f>ROUNDUP(((H41*G41)/9),1)</f>
        <v>523.5</v>
      </c>
      <c r="J41" s="7"/>
      <c r="K41" s="7"/>
      <c r="L41" s="7"/>
      <c r="M41" s="7"/>
      <c r="N41" s="7"/>
      <c r="O41" s="7">
        <f>ROUNDUP((I41*(5.5/36)),1)</f>
        <v>80</v>
      </c>
      <c r="P41" s="7"/>
      <c r="Q41" s="7"/>
      <c r="R41" s="7">
        <f>ROUNDUP((2*0.06*I41),1)</f>
        <v>62.9</v>
      </c>
      <c r="S41" s="7"/>
      <c r="T41" s="7"/>
      <c r="U41" s="7"/>
      <c r="V41" s="7">
        <f>X41+Y41</f>
        <v>47.400000000000006</v>
      </c>
      <c r="W41" s="7"/>
      <c r="X41" s="7">
        <f>ROUNDUP((I41*(1.5/36)),1)</f>
        <v>21.900000000000002</v>
      </c>
      <c r="Y41" s="7">
        <f>ROUNDUP((I41*(1.75/36)),1)</f>
        <v>25.5</v>
      </c>
      <c r="Z41" s="7"/>
      <c r="AA41" s="7">
        <f>ROUNDUP((G41),1)</f>
        <v>9421.8000000000011</v>
      </c>
      <c r="AB41" s="8"/>
    </row>
    <row r="42" spans="1:28" x14ac:dyDescent="0.2">
      <c r="A42" s="46">
        <v>75081.789999999994</v>
      </c>
      <c r="B42" s="42"/>
      <c r="C42" s="4" t="s">
        <v>32</v>
      </c>
      <c r="D42" s="42">
        <v>80336</v>
      </c>
      <c r="E42" s="42"/>
      <c r="F42" s="6" t="s">
        <v>40</v>
      </c>
      <c r="G42" s="6">
        <f>D42-A42</f>
        <v>5254.2100000000064</v>
      </c>
      <c r="H42" s="6">
        <v>0.5</v>
      </c>
      <c r="I42" s="7">
        <f>ROUNDUP(((H42*G42)/9),1)</f>
        <v>292</v>
      </c>
      <c r="J42" s="7"/>
      <c r="K42" s="7"/>
      <c r="L42" s="7"/>
      <c r="M42" s="7"/>
      <c r="N42" s="7"/>
      <c r="O42" s="7">
        <f>ROUNDUP((I42*(5.5/36)),1)</f>
        <v>44.7</v>
      </c>
      <c r="P42" s="7"/>
      <c r="Q42" s="7"/>
      <c r="R42" s="7">
        <f>ROUNDUP((2*0.06*I42),1)</f>
        <v>35.1</v>
      </c>
      <c r="S42" s="7"/>
      <c r="T42" s="7"/>
      <c r="U42" s="7"/>
      <c r="V42" s="7">
        <f>X42+Y42</f>
        <v>26.4</v>
      </c>
      <c r="W42" s="7"/>
      <c r="X42" s="7">
        <f>ROUNDUP((I42*(1.5/36)),1)</f>
        <v>12.2</v>
      </c>
      <c r="Y42" s="7">
        <f>ROUNDUP((I42*(1.75/36)),1)</f>
        <v>14.2</v>
      </c>
      <c r="Z42" s="7"/>
      <c r="AA42" s="7">
        <f>ROUNDUP((G42),1)</f>
        <v>5254.3</v>
      </c>
      <c r="AB42" s="8"/>
    </row>
    <row r="43" spans="1:28" x14ac:dyDescent="0.2">
      <c r="A43" s="43"/>
      <c r="B43" s="43"/>
      <c r="C43" s="43"/>
      <c r="D43" s="43"/>
      <c r="E43" s="44"/>
      <c r="F43" s="6"/>
      <c r="G43" s="6"/>
      <c r="H43" s="6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8"/>
    </row>
    <row r="44" spans="1:28" x14ac:dyDescent="0.2">
      <c r="A44" s="43"/>
      <c r="B44" s="43"/>
      <c r="C44" s="43"/>
      <c r="D44" s="43"/>
      <c r="E44" s="44"/>
      <c r="F44" s="6"/>
      <c r="G44" s="6"/>
      <c r="H44" s="6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8"/>
    </row>
    <row r="45" spans="1:28" x14ac:dyDescent="0.2">
      <c r="A45" s="43" t="s">
        <v>69</v>
      </c>
      <c r="B45" s="43"/>
      <c r="C45" s="43"/>
      <c r="D45" s="43"/>
      <c r="E45" s="44"/>
      <c r="F45" s="6"/>
      <c r="G45" s="6"/>
      <c r="H45" s="6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8"/>
    </row>
    <row r="46" spans="1:28" x14ac:dyDescent="0.2">
      <c r="A46" s="46">
        <v>65375</v>
      </c>
      <c r="B46" s="42"/>
      <c r="C46" s="4" t="s">
        <v>32</v>
      </c>
      <c r="D46" s="42">
        <v>74796.78</v>
      </c>
      <c r="E46" s="42"/>
      <c r="F46" s="6" t="s">
        <v>40</v>
      </c>
      <c r="G46" s="6">
        <f>D46-A46</f>
        <v>9421.7799999999988</v>
      </c>
      <c r="H46" s="6">
        <v>0.5</v>
      </c>
      <c r="I46" s="7">
        <f>ROUNDUP(((H46*G46)/9),1)</f>
        <v>523.5</v>
      </c>
      <c r="J46" s="7"/>
      <c r="K46" s="7"/>
      <c r="L46" s="7"/>
      <c r="M46" s="7"/>
      <c r="N46" s="7"/>
      <c r="O46" s="7"/>
      <c r="P46" s="7"/>
      <c r="Q46" s="7"/>
      <c r="R46" s="7">
        <f>ROUNDUP((0.06*I46),1)</f>
        <v>31.5</v>
      </c>
      <c r="S46" s="7">
        <f>ROUNDUP((0.09*I46),1)</f>
        <v>47.2</v>
      </c>
      <c r="T46" s="7"/>
      <c r="U46" s="7"/>
      <c r="V46" s="7">
        <f>X46+Y46</f>
        <v>47.400000000000006</v>
      </c>
      <c r="W46" s="7"/>
      <c r="X46" s="7">
        <f>ROUNDUP((I46*(1.5/36)),1)</f>
        <v>21.900000000000002</v>
      </c>
      <c r="Y46" s="7">
        <f>ROUNDUP((I46*(1.75/36)),1)</f>
        <v>25.5</v>
      </c>
      <c r="Z46" s="7"/>
      <c r="AA46" s="7"/>
      <c r="AB46" s="8">
        <f>ROUNDUP((G46),1)</f>
        <v>9421.8000000000011</v>
      </c>
    </row>
    <row r="47" spans="1:28" x14ac:dyDescent="0.2">
      <c r="A47" s="46">
        <v>75081.789999999994</v>
      </c>
      <c r="B47" s="42"/>
      <c r="C47" s="4" t="s">
        <v>32</v>
      </c>
      <c r="D47" s="42">
        <v>80336</v>
      </c>
      <c r="E47" s="42"/>
      <c r="F47" s="6" t="s">
        <v>40</v>
      </c>
      <c r="G47" s="6">
        <f>D47-A47</f>
        <v>5254.2100000000064</v>
      </c>
      <c r="H47" s="6">
        <v>0.5</v>
      </c>
      <c r="I47" s="7">
        <f>ROUNDUP(((H47*G47)/9),1)</f>
        <v>292</v>
      </c>
      <c r="J47" s="7"/>
      <c r="K47" s="7"/>
      <c r="L47" s="7"/>
      <c r="M47" s="7"/>
      <c r="N47" s="7"/>
      <c r="O47" s="7"/>
      <c r="P47" s="7"/>
      <c r="Q47" s="7"/>
      <c r="R47" s="7">
        <f>ROUNDUP((0.06*I47),1)</f>
        <v>17.600000000000001</v>
      </c>
      <c r="S47" s="7">
        <f>ROUNDUP((0.09*I47),1)</f>
        <v>26.3</v>
      </c>
      <c r="T47" s="7"/>
      <c r="U47" s="7"/>
      <c r="V47" s="7">
        <f>X47+Y47</f>
        <v>26.4</v>
      </c>
      <c r="W47" s="7"/>
      <c r="X47" s="7">
        <f>ROUNDUP((I47*(1.5/36)),1)</f>
        <v>12.2</v>
      </c>
      <c r="Y47" s="7">
        <f>ROUNDUP((I47*(1.75/36)),1)</f>
        <v>14.2</v>
      </c>
      <c r="Z47" s="7"/>
      <c r="AA47" s="7"/>
      <c r="AB47" s="8">
        <f>ROUNDUP((G47),1)</f>
        <v>5254.3</v>
      </c>
    </row>
    <row r="48" spans="1:28" x14ac:dyDescent="0.2">
      <c r="A48" s="43"/>
      <c r="B48" s="43"/>
      <c r="C48" s="43"/>
      <c r="D48" s="43"/>
      <c r="E48" s="44"/>
      <c r="F48" s="6"/>
      <c r="G48" s="6"/>
      <c r="H48" s="6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  <c r="AA48" s="7"/>
      <c r="AB48" s="8"/>
    </row>
    <row r="49" spans="1:28" x14ac:dyDescent="0.2">
      <c r="A49" s="43"/>
      <c r="B49" s="43"/>
      <c r="C49" s="43"/>
      <c r="D49" s="43"/>
      <c r="E49" s="44"/>
      <c r="F49" s="6"/>
      <c r="G49" s="6"/>
      <c r="H49" s="6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8"/>
    </row>
    <row r="50" spans="1:28" x14ac:dyDescent="0.2">
      <c r="A50" s="43" t="s">
        <v>70</v>
      </c>
      <c r="B50" s="43"/>
      <c r="C50" s="43"/>
      <c r="D50" s="43"/>
      <c r="E50" s="44"/>
      <c r="F50" s="6"/>
      <c r="G50" s="6"/>
      <c r="H50" s="6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B50" s="8"/>
    </row>
    <row r="51" spans="1:28" x14ac:dyDescent="0.2">
      <c r="A51" s="46">
        <v>63965</v>
      </c>
      <c r="B51" s="42"/>
      <c r="C51" s="4" t="s">
        <v>32</v>
      </c>
      <c r="D51" s="42">
        <v>65375</v>
      </c>
      <c r="E51" s="42"/>
      <c r="F51" s="6" t="s">
        <v>40</v>
      </c>
      <c r="G51" s="6">
        <f t="shared" ref="G51:G66" si="13">D51-A51</f>
        <v>1410</v>
      </c>
      <c r="H51" s="6">
        <v>10</v>
      </c>
      <c r="I51" s="7">
        <f t="shared" ref="I51:I66" si="14">ROUNDUP(((H51*G51)/9),1)</f>
        <v>1566.6999999999998</v>
      </c>
      <c r="J51" s="7"/>
      <c r="K51" s="7"/>
      <c r="L51" s="7"/>
      <c r="M51" s="7">
        <f>I51</f>
        <v>1566.6999999999998</v>
      </c>
      <c r="N51" s="7"/>
      <c r="O51" s="7"/>
      <c r="P51" s="7"/>
      <c r="Q51" s="7"/>
      <c r="R51" s="7">
        <f>ROUNDUP((0.06*I51),1)</f>
        <v>94.1</v>
      </c>
      <c r="S51" s="7">
        <f>ROUNDUP((I51*0.09),1)</f>
        <v>141.1</v>
      </c>
      <c r="T51" s="7"/>
      <c r="U51" s="7"/>
      <c r="V51" s="7">
        <f>X51+Y51</f>
        <v>141.5</v>
      </c>
      <c r="W51" s="7"/>
      <c r="X51" s="7">
        <f>ROUNDUP((I51*(1.5/36)),1)</f>
        <v>65.3</v>
      </c>
      <c r="Y51" s="7">
        <f>ROUNDUP((I51*(1.75/36)),1)</f>
        <v>76.199999999999989</v>
      </c>
      <c r="Z51" s="7"/>
      <c r="AA51" s="7"/>
      <c r="AB51" s="8"/>
    </row>
    <row r="52" spans="1:28" x14ac:dyDescent="0.2">
      <c r="A52" s="46">
        <v>65375</v>
      </c>
      <c r="B52" s="42"/>
      <c r="C52" s="4" t="s">
        <v>32</v>
      </c>
      <c r="D52" s="42">
        <v>65650</v>
      </c>
      <c r="E52" s="42"/>
      <c r="F52" s="6" t="s">
        <v>40</v>
      </c>
      <c r="G52" s="6">
        <f t="shared" si="13"/>
        <v>275</v>
      </c>
      <c r="H52" s="16">
        <v>8</v>
      </c>
      <c r="I52" s="7">
        <f t="shared" si="14"/>
        <v>244.5</v>
      </c>
      <c r="J52" s="17">
        <f>ROUNDUP((2165.8/9),1)</f>
        <v>240.7</v>
      </c>
      <c r="K52" s="7">
        <f>ROUNDUP(((G52*(H52+(18/12)))/9),1)</f>
        <v>290.3</v>
      </c>
      <c r="L52" s="7"/>
      <c r="M52" s="7"/>
      <c r="N52" s="7">
        <v>10</v>
      </c>
      <c r="O52" s="7">
        <f>ROUNDUP(((G52*(H52+(4/12))/9)*(5.5/36)),1)</f>
        <v>39</v>
      </c>
      <c r="P52" s="7">
        <f>ROUNDUP((G52*(H52+(10/12))/9)*(6/36),1)</f>
        <v>45</v>
      </c>
      <c r="Q52" s="7">
        <f>ROUNDUP((N52*(8.75/12))*0.025,1)</f>
        <v>0.2</v>
      </c>
      <c r="R52" s="7">
        <f>ROUNDUP(((((G52*(H52+4/12))/9)+I52)*0.06),1)</f>
        <v>30</v>
      </c>
      <c r="S52" s="7"/>
      <c r="T52" s="7"/>
      <c r="U52" s="7"/>
      <c r="V52" s="7">
        <f>X52+Y52</f>
        <v>22.1</v>
      </c>
      <c r="W52" s="7"/>
      <c r="X52" s="7">
        <f>ROUNDUP((I52*(1.5/36)),1)</f>
        <v>10.199999999999999</v>
      </c>
      <c r="Y52" s="7">
        <f>ROUNDUP((I52*(1.75/36)),1)</f>
        <v>11.9</v>
      </c>
      <c r="Z52" s="7"/>
      <c r="AA52" s="7"/>
      <c r="AB52" s="8"/>
    </row>
    <row r="53" spans="1:28" x14ac:dyDescent="0.2">
      <c r="A53" s="46">
        <v>65650</v>
      </c>
      <c r="B53" s="42"/>
      <c r="C53" s="4" t="s">
        <v>32</v>
      </c>
      <c r="D53" s="42">
        <v>65948.37</v>
      </c>
      <c r="E53" s="42"/>
      <c r="F53" s="6" t="s">
        <v>40</v>
      </c>
      <c r="G53" s="6">
        <f t="shared" si="13"/>
        <v>298.36999999999534</v>
      </c>
      <c r="H53" s="6">
        <v>6</v>
      </c>
      <c r="I53" s="7">
        <f t="shared" si="14"/>
        <v>199</v>
      </c>
      <c r="J53" s="17">
        <f>ROUNDUP((1756.57/9),1)</f>
        <v>195.2</v>
      </c>
      <c r="K53" s="7">
        <f>ROUNDUP(((G53*(H53+(18/12)))/9),1)</f>
        <v>248.7</v>
      </c>
      <c r="L53" s="7"/>
      <c r="M53" s="7"/>
      <c r="N53" s="7"/>
      <c r="O53" s="7">
        <f>ROUNDUP(((G53*(H53+(4/12))/9)*(5.5/36)),1)</f>
        <v>32.1</v>
      </c>
      <c r="P53" s="7">
        <f>ROUNDUP((G53*(H53+(10/12))/9)*(6/36),1)</f>
        <v>37.800000000000004</v>
      </c>
      <c r="Q53" s="7"/>
      <c r="R53" s="7">
        <f>ROUNDUP(((((G53*(H53+4/12))/9)+I53)*0.06),1)</f>
        <v>24.6</v>
      </c>
      <c r="S53" s="7"/>
      <c r="T53" s="7"/>
      <c r="U53" s="7"/>
      <c r="V53" s="7">
        <f>X53+Y53</f>
        <v>18</v>
      </c>
      <c r="W53" s="7"/>
      <c r="X53" s="7">
        <f>ROUNDUP((I53*(1.5/36)),1)</f>
        <v>8.2999999999999989</v>
      </c>
      <c r="Y53" s="7">
        <f>ROUNDUP((I53*(1.75/36)),1)</f>
        <v>9.6999999999999993</v>
      </c>
      <c r="Z53" s="7"/>
      <c r="AA53" s="7"/>
      <c r="AB53" s="8"/>
    </row>
    <row r="54" spans="1:28" x14ac:dyDescent="0.2">
      <c r="A54" s="46">
        <v>66252</v>
      </c>
      <c r="B54" s="42"/>
      <c r="C54" s="4" t="s">
        <v>32</v>
      </c>
      <c r="D54" s="42">
        <v>66872.5</v>
      </c>
      <c r="E54" s="42"/>
      <c r="F54" s="6" t="s">
        <v>40</v>
      </c>
      <c r="G54" s="6">
        <f t="shared" si="13"/>
        <v>620.5</v>
      </c>
      <c r="H54" s="6">
        <v>10</v>
      </c>
      <c r="I54" s="7">
        <f t="shared" si="14"/>
        <v>689.5</v>
      </c>
      <c r="J54" s="17">
        <f>ROUNDUP((6111.63/9),1)</f>
        <v>679.1</v>
      </c>
      <c r="K54" s="7">
        <f>ROUNDUP(((G54*(H54+(18/12)))/9),1)</f>
        <v>792.9</v>
      </c>
      <c r="L54" s="7"/>
      <c r="M54" s="7"/>
      <c r="N54" s="7"/>
      <c r="O54" s="7">
        <f>ROUNDUP(((G54*(H54+(4/12))/9)*(5.5/36)),1)</f>
        <v>108.89999999999999</v>
      </c>
      <c r="P54" s="7">
        <f>ROUNDUP((G54*(H54+(10/12))/9)*(6/36),1)</f>
        <v>124.5</v>
      </c>
      <c r="Q54" s="7"/>
      <c r="R54" s="7">
        <f>ROUNDUP(((((G54*(H54+4/12))/9)+I54)*0.06),1)</f>
        <v>84.199999999999989</v>
      </c>
      <c r="S54" s="7"/>
      <c r="T54" s="7"/>
      <c r="U54" s="7"/>
      <c r="V54" s="7">
        <f>X54+Y54</f>
        <v>62.400000000000006</v>
      </c>
      <c r="W54" s="7"/>
      <c r="X54" s="7">
        <f>ROUNDUP((I54*(1.5/36)),1)</f>
        <v>28.8</v>
      </c>
      <c r="Y54" s="7">
        <f>ROUNDUP((I54*(1.75/36)),1)</f>
        <v>33.6</v>
      </c>
      <c r="Z54" s="7"/>
      <c r="AA54" s="7"/>
      <c r="AB54" s="8"/>
    </row>
    <row r="55" spans="1:28" x14ac:dyDescent="0.2">
      <c r="A55" s="46">
        <v>67133.429999999993</v>
      </c>
      <c r="B55" s="42"/>
      <c r="C55" s="4" t="s">
        <v>32</v>
      </c>
      <c r="D55" s="42">
        <v>67161</v>
      </c>
      <c r="E55" s="42"/>
      <c r="F55" s="6" t="s">
        <v>40</v>
      </c>
      <c r="G55" s="6">
        <f t="shared" si="13"/>
        <v>27.570000000006985</v>
      </c>
      <c r="H55" s="6">
        <v>8</v>
      </c>
      <c r="I55" s="7">
        <f t="shared" si="14"/>
        <v>24.6</v>
      </c>
      <c r="J55" s="17">
        <f>ROUNDUP((228.3/9),1)</f>
        <v>25.400000000000002</v>
      </c>
      <c r="K55" s="7">
        <f>ROUNDUP(((G55*(H55+(18/12)))/9),1)</f>
        <v>29.200000000000003</v>
      </c>
      <c r="L55" s="7"/>
      <c r="M55" s="7"/>
      <c r="N55" s="7"/>
      <c r="O55" s="7">
        <f>ROUNDUP(((G55*(H55+(4/12))/9)*(5.5/36)),1)</f>
        <v>4</v>
      </c>
      <c r="P55" s="7">
        <f>ROUNDUP((G55*(H55+(10/12))/9)*(6/36),1)</f>
        <v>4.5999999999999996</v>
      </c>
      <c r="Q55" s="7"/>
      <c r="R55" s="7">
        <f>ROUNDUP(((((G55*(H55+4/12))/9)+I55)*0.06),1)</f>
        <v>3.1</v>
      </c>
      <c r="S55" s="7"/>
      <c r="T55" s="7"/>
      <c r="U55" s="7"/>
      <c r="V55" s="7">
        <f>X55+Y55</f>
        <v>2.3000000000000003</v>
      </c>
      <c r="W55" s="7"/>
      <c r="X55" s="7">
        <f>ROUNDUP((I55*(1.5/36)),1)</f>
        <v>1.1000000000000001</v>
      </c>
      <c r="Y55" s="7">
        <f>ROUNDUP((I55*(1.75/36)),1)</f>
        <v>1.2000000000000002</v>
      </c>
      <c r="Z55" s="7"/>
      <c r="AA55" s="7"/>
      <c r="AB55" s="8"/>
    </row>
    <row r="56" spans="1:28" x14ac:dyDescent="0.2">
      <c r="A56" s="46">
        <v>67161</v>
      </c>
      <c r="B56" s="42"/>
      <c r="C56" s="4" t="s">
        <v>32</v>
      </c>
      <c r="D56" s="42">
        <v>67219</v>
      </c>
      <c r="E56" s="42"/>
      <c r="F56" s="6" t="s">
        <v>40</v>
      </c>
      <c r="G56" s="6">
        <f t="shared" si="13"/>
        <v>58</v>
      </c>
      <c r="H56" s="6">
        <f>10+(23/12)</f>
        <v>11.916666666666666</v>
      </c>
      <c r="I56" s="7">
        <f t="shared" si="14"/>
        <v>76.8</v>
      </c>
      <c r="J56" s="17">
        <f>ROUNDUP((486.9/9),1)</f>
        <v>54.1</v>
      </c>
      <c r="K56" s="7">
        <f t="shared" ref="K56:K57" si="15">ROUNDUP(((G56*(H56+(18/12)))/9),1)</f>
        <v>86.5</v>
      </c>
      <c r="L56" s="7"/>
      <c r="M56" s="7"/>
      <c r="N56" s="7"/>
      <c r="O56" s="7">
        <f t="shared" ref="O56:O57" si="16">ROUNDUP(((G56*(H56+(4/12))/9)*(5.5/36)),1)</f>
        <v>12.1</v>
      </c>
      <c r="P56" s="7">
        <f t="shared" ref="P56:P57" si="17">ROUNDUP((G56*(H56+(10/12))/9)*(6/36),1)</f>
        <v>13.7</v>
      </c>
      <c r="Q56" s="7"/>
      <c r="R56" s="7">
        <f t="shared" ref="R56:R57" si="18">ROUNDUP(((((G56*(H56+4/12))/9)+I56)*0.06),1)</f>
        <v>9.4</v>
      </c>
      <c r="S56" s="7"/>
      <c r="T56" s="7"/>
      <c r="U56" s="7"/>
      <c r="V56" s="7">
        <f t="shared" ref="V56:V57" si="19">X56+Y56</f>
        <v>7</v>
      </c>
      <c r="W56" s="7"/>
      <c r="X56" s="7">
        <f t="shared" ref="X56:X57" si="20">ROUNDUP((I56*(1.5/36)),1)</f>
        <v>3.2</v>
      </c>
      <c r="Y56" s="7">
        <f t="shared" ref="Y56:Y57" si="21">ROUNDUP((I56*(1.75/36)),1)</f>
        <v>3.8000000000000003</v>
      </c>
      <c r="Z56" s="7"/>
      <c r="AA56" s="7"/>
      <c r="AB56" s="8"/>
    </row>
    <row r="57" spans="1:28" x14ac:dyDescent="0.2">
      <c r="A57" s="46">
        <v>67219</v>
      </c>
      <c r="B57" s="42"/>
      <c r="C57" s="4" t="s">
        <v>32</v>
      </c>
      <c r="D57" s="42">
        <v>67400</v>
      </c>
      <c r="E57" s="42"/>
      <c r="F57" s="6" t="s">
        <v>40</v>
      </c>
      <c r="G57" s="6">
        <f t="shared" si="13"/>
        <v>181</v>
      </c>
      <c r="H57" s="6">
        <v>8</v>
      </c>
      <c r="I57" s="7">
        <f t="shared" si="14"/>
        <v>160.9</v>
      </c>
      <c r="J57" s="17">
        <f>ROUNDUP((1637.9/9),1)</f>
        <v>182</v>
      </c>
      <c r="K57" s="7">
        <f t="shared" si="15"/>
        <v>191.1</v>
      </c>
      <c r="L57" s="7"/>
      <c r="M57" s="7"/>
      <c r="N57" s="7"/>
      <c r="O57" s="7">
        <f t="shared" si="16"/>
        <v>25.700000000000003</v>
      </c>
      <c r="P57" s="7">
        <f t="shared" si="17"/>
        <v>29.700000000000003</v>
      </c>
      <c r="Q57" s="7"/>
      <c r="R57" s="7">
        <f t="shared" si="18"/>
        <v>19.8</v>
      </c>
      <c r="S57" s="7"/>
      <c r="T57" s="7"/>
      <c r="U57" s="7"/>
      <c r="V57" s="7">
        <f t="shared" si="19"/>
        <v>14.7</v>
      </c>
      <c r="W57" s="7"/>
      <c r="X57" s="7">
        <f t="shared" si="20"/>
        <v>6.8</v>
      </c>
      <c r="Y57" s="7">
        <f t="shared" si="21"/>
        <v>7.8999999999999995</v>
      </c>
      <c r="Z57" s="7"/>
      <c r="AA57" s="7"/>
      <c r="AB57" s="8"/>
    </row>
    <row r="58" spans="1:28" x14ac:dyDescent="0.2">
      <c r="A58" s="46">
        <v>67400</v>
      </c>
      <c r="B58" s="42"/>
      <c r="C58" s="4" t="s">
        <v>32</v>
      </c>
      <c r="D58" s="42">
        <v>67500</v>
      </c>
      <c r="E58" s="42"/>
      <c r="F58" s="6" t="s">
        <v>40</v>
      </c>
      <c r="G58" s="6">
        <f t="shared" si="13"/>
        <v>100</v>
      </c>
      <c r="H58" s="16">
        <v>9</v>
      </c>
      <c r="I58" s="7">
        <f t="shared" si="14"/>
        <v>100</v>
      </c>
      <c r="J58" s="17">
        <f>ROUNDUP((696.28/9),1)</f>
        <v>77.399999999999991</v>
      </c>
      <c r="K58" s="7">
        <f t="shared" ref="K58:K66" si="22">ROUNDUP(((G58*(H58+(18/12)))/9),1)</f>
        <v>116.69999999999999</v>
      </c>
      <c r="L58" s="7"/>
      <c r="M58" s="7"/>
      <c r="N58" s="7"/>
      <c r="O58" s="7">
        <f t="shared" ref="O58:O66" si="23">ROUNDUP(((G58*(H58+(4/12))/9)*(5.5/36)),1)</f>
        <v>15.9</v>
      </c>
      <c r="P58" s="7">
        <f t="shared" ref="P58:P66" si="24">ROUNDUP((G58*(H58+(10/12))/9)*(6/36),1)</f>
        <v>18.3</v>
      </c>
      <c r="Q58" s="7"/>
      <c r="R58" s="7">
        <f t="shared" ref="R58:R66" si="25">ROUNDUP(((((G58*(H58+4/12))/9)+I58)*0.06),1)</f>
        <v>12.299999999999999</v>
      </c>
      <c r="S58" s="7"/>
      <c r="T58" s="7"/>
      <c r="U58" s="7"/>
      <c r="V58" s="7">
        <f t="shared" ref="V58:V66" si="26">X58+Y58</f>
        <v>9.0999999999999979</v>
      </c>
      <c r="W58" s="7"/>
      <c r="X58" s="7">
        <f t="shared" ref="X58:X66" si="27">ROUNDUP((I58*(1.5/36)),1)</f>
        <v>4.1999999999999993</v>
      </c>
      <c r="Y58" s="7">
        <f t="shared" ref="Y58:Y66" si="28">ROUNDUP((I58*(1.75/36)),1)</f>
        <v>4.8999999999999995</v>
      </c>
      <c r="Z58" s="7"/>
      <c r="AA58" s="7"/>
      <c r="AB58" s="8"/>
    </row>
    <row r="59" spans="1:28" x14ac:dyDescent="0.2">
      <c r="A59" s="46">
        <v>67500</v>
      </c>
      <c r="B59" s="42"/>
      <c r="C59" s="4" t="s">
        <v>32</v>
      </c>
      <c r="D59" s="42">
        <v>68200</v>
      </c>
      <c r="E59" s="42"/>
      <c r="F59" s="6" t="s">
        <v>40</v>
      </c>
      <c r="G59" s="6">
        <f t="shared" si="13"/>
        <v>700</v>
      </c>
      <c r="H59" s="6">
        <v>10</v>
      </c>
      <c r="I59" s="7">
        <f t="shared" si="14"/>
        <v>777.80000000000007</v>
      </c>
      <c r="J59" s="17">
        <f>ROUNDUP((6234.8/9),1)</f>
        <v>692.80000000000007</v>
      </c>
      <c r="K59" s="7">
        <f t="shared" si="22"/>
        <v>894.5</v>
      </c>
      <c r="L59" s="7"/>
      <c r="M59" s="7"/>
      <c r="N59" s="7"/>
      <c r="O59" s="7">
        <f t="shared" si="23"/>
        <v>122.8</v>
      </c>
      <c r="P59" s="7">
        <f t="shared" si="24"/>
        <v>140.5</v>
      </c>
      <c r="Q59" s="7"/>
      <c r="R59" s="7">
        <f t="shared" si="25"/>
        <v>94.899999999999991</v>
      </c>
      <c r="S59" s="7"/>
      <c r="T59" s="7"/>
      <c r="U59" s="7"/>
      <c r="V59" s="7">
        <f t="shared" si="26"/>
        <v>70.400000000000006</v>
      </c>
      <c r="W59" s="7"/>
      <c r="X59" s="7">
        <f t="shared" si="27"/>
        <v>32.5</v>
      </c>
      <c r="Y59" s="7">
        <f t="shared" si="28"/>
        <v>37.9</v>
      </c>
      <c r="Z59" s="7"/>
      <c r="AA59" s="7"/>
      <c r="AB59" s="8"/>
    </row>
    <row r="60" spans="1:28" x14ac:dyDescent="0.2">
      <c r="A60" s="46">
        <v>68200</v>
      </c>
      <c r="B60" s="42"/>
      <c r="C60" s="4" t="s">
        <v>32</v>
      </c>
      <c r="D60" s="42">
        <v>68500</v>
      </c>
      <c r="E60" s="42"/>
      <c r="F60" s="6" t="s">
        <v>40</v>
      </c>
      <c r="G60" s="6">
        <f t="shared" si="13"/>
        <v>300</v>
      </c>
      <c r="H60" s="16">
        <v>7</v>
      </c>
      <c r="I60" s="7">
        <f t="shared" si="14"/>
        <v>233.4</v>
      </c>
      <c r="J60" s="17">
        <f>ROUNDUP((1868.86/9),1)</f>
        <v>207.7</v>
      </c>
      <c r="K60" s="7">
        <f t="shared" si="22"/>
        <v>283.40000000000003</v>
      </c>
      <c r="L60" s="7"/>
      <c r="M60" s="7"/>
      <c r="N60" s="7"/>
      <c r="O60" s="7">
        <f t="shared" si="23"/>
        <v>37.4</v>
      </c>
      <c r="P60" s="7">
        <f t="shared" si="24"/>
        <v>43.6</v>
      </c>
      <c r="Q60" s="7"/>
      <c r="R60" s="7">
        <f t="shared" si="25"/>
        <v>28.700000000000003</v>
      </c>
      <c r="S60" s="7"/>
      <c r="T60" s="7"/>
      <c r="U60" s="7"/>
      <c r="V60" s="7">
        <f t="shared" si="26"/>
        <v>21.2</v>
      </c>
      <c r="W60" s="7"/>
      <c r="X60" s="7">
        <f t="shared" si="27"/>
        <v>9.7999999999999989</v>
      </c>
      <c r="Y60" s="7">
        <f t="shared" si="28"/>
        <v>11.4</v>
      </c>
      <c r="Z60" s="7"/>
      <c r="AA60" s="7"/>
      <c r="AB60" s="8"/>
    </row>
    <row r="61" spans="1:28" x14ac:dyDescent="0.2">
      <c r="A61" s="46">
        <v>68500</v>
      </c>
      <c r="B61" s="42"/>
      <c r="C61" s="4" t="s">
        <v>32</v>
      </c>
      <c r="D61" s="42">
        <v>68873.429999999993</v>
      </c>
      <c r="E61" s="42"/>
      <c r="F61" s="6" t="s">
        <v>40</v>
      </c>
      <c r="G61" s="6">
        <f t="shared" si="13"/>
        <v>373.42999999999302</v>
      </c>
      <c r="H61" s="6">
        <v>4</v>
      </c>
      <c r="I61" s="7">
        <f t="shared" si="14"/>
        <v>166</v>
      </c>
      <c r="J61" s="17">
        <f>ROUNDUP((1431.96/9),1)</f>
        <v>159.19999999999999</v>
      </c>
      <c r="K61" s="7">
        <f t="shared" si="22"/>
        <v>228.29999999999998</v>
      </c>
      <c r="L61" s="7"/>
      <c r="M61" s="7"/>
      <c r="N61" s="7"/>
      <c r="O61" s="7">
        <f t="shared" si="23"/>
        <v>27.5</v>
      </c>
      <c r="P61" s="7">
        <f t="shared" si="24"/>
        <v>33.5</v>
      </c>
      <c r="Q61" s="7"/>
      <c r="R61" s="7">
        <f t="shared" si="25"/>
        <v>20.8</v>
      </c>
      <c r="S61" s="7"/>
      <c r="T61" s="7"/>
      <c r="U61" s="7"/>
      <c r="V61" s="7">
        <f t="shared" si="26"/>
        <v>15.1</v>
      </c>
      <c r="W61" s="7"/>
      <c r="X61" s="7">
        <f t="shared" si="27"/>
        <v>7</v>
      </c>
      <c r="Y61" s="7">
        <f t="shared" si="28"/>
        <v>8.1</v>
      </c>
      <c r="Z61" s="7"/>
      <c r="AA61" s="7"/>
      <c r="AB61" s="8"/>
    </row>
    <row r="62" spans="1:28" x14ac:dyDescent="0.2">
      <c r="A62" s="46">
        <v>69143</v>
      </c>
      <c r="B62" s="42"/>
      <c r="C62" s="4" t="s">
        <v>32</v>
      </c>
      <c r="D62" s="42">
        <v>70275</v>
      </c>
      <c r="E62" s="42"/>
      <c r="F62" s="6" t="s">
        <v>40</v>
      </c>
      <c r="G62" s="6">
        <f t="shared" si="13"/>
        <v>1132</v>
      </c>
      <c r="H62" s="6">
        <v>10</v>
      </c>
      <c r="I62" s="7">
        <f t="shared" si="14"/>
        <v>1257.8</v>
      </c>
      <c r="J62" s="17">
        <f>ROUNDUP((9299.6/9),1)</f>
        <v>1033.3</v>
      </c>
      <c r="K62" s="7">
        <f t="shared" si="22"/>
        <v>1446.5</v>
      </c>
      <c r="L62" s="7"/>
      <c r="M62" s="7"/>
      <c r="N62" s="7"/>
      <c r="O62" s="7">
        <f t="shared" si="23"/>
        <v>198.6</v>
      </c>
      <c r="P62" s="7">
        <f t="shared" si="24"/>
        <v>227.1</v>
      </c>
      <c r="Q62" s="7"/>
      <c r="R62" s="7">
        <f t="shared" si="25"/>
        <v>153.5</v>
      </c>
      <c r="S62" s="7"/>
      <c r="T62" s="7"/>
      <c r="U62" s="7"/>
      <c r="V62" s="7">
        <f t="shared" si="26"/>
        <v>113.7</v>
      </c>
      <c r="W62" s="7"/>
      <c r="X62" s="7">
        <f t="shared" si="27"/>
        <v>52.5</v>
      </c>
      <c r="Y62" s="7">
        <f t="shared" si="28"/>
        <v>61.2</v>
      </c>
      <c r="Z62" s="7"/>
      <c r="AA62" s="7"/>
      <c r="AB62" s="8"/>
    </row>
    <row r="63" spans="1:28" x14ac:dyDescent="0.2">
      <c r="A63" s="46">
        <v>70533.429999999993</v>
      </c>
      <c r="B63" s="42"/>
      <c r="C63" s="4" t="s">
        <v>32</v>
      </c>
      <c r="D63" s="42">
        <v>70800</v>
      </c>
      <c r="E63" s="42"/>
      <c r="F63" s="6" t="s">
        <v>40</v>
      </c>
      <c r="G63" s="6">
        <f t="shared" si="13"/>
        <v>266.57000000000698</v>
      </c>
      <c r="H63" s="6">
        <v>8</v>
      </c>
      <c r="I63" s="7">
        <f t="shared" si="14"/>
        <v>237</v>
      </c>
      <c r="J63" s="17">
        <f>ROUNDUP((2249.64/9),1)</f>
        <v>250</v>
      </c>
      <c r="K63" s="7">
        <f t="shared" si="22"/>
        <v>281.40000000000003</v>
      </c>
      <c r="L63" s="7"/>
      <c r="M63" s="7"/>
      <c r="N63" s="7"/>
      <c r="O63" s="7">
        <f t="shared" si="23"/>
        <v>37.800000000000004</v>
      </c>
      <c r="P63" s="7">
        <f t="shared" si="24"/>
        <v>43.7</v>
      </c>
      <c r="Q63" s="7"/>
      <c r="R63" s="7">
        <f t="shared" si="25"/>
        <v>29.1</v>
      </c>
      <c r="S63" s="7"/>
      <c r="T63" s="7"/>
      <c r="U63" s="7"/>
      <c r="V63" s="7">
        <f t="shared" si="26"/>
        <v>21.5</v>
      </c>
      <c r="W63" s="7"/>
      <c r="X63" s="7">
        <f t="shared" si="27"/>
        <v>9.9</v>
      </c>
      <c r="Y63" s="7">
        <f t="shared" si="28"/>
        <v>11.6</v>
      </c>
      <c r="Z63" s="7"/>
      <c r="AA63" s="7"/>
      <c r="AB63" s="8"/>
    </row>
    <row r="64" spans="1:28" x14ac:dyDescent="0.2">
      <c r="A64" s="46">
        <v>70800</v>
      </c>
      <c r="B64" s="42"/>
      <c r="C64" s="4" t="s">
        <v>32</v>
      </c>
      <c r="D64" s="42">
        <v>70900</v>
      </c>
      <c r="E64" s="42"/>
      <c r="F64" s="6" t="s">
        <v>40</v>
      </c>
      <c r="G64" s="6">
        <f t="shared" si="13"/>
        <v>100</v>
      </c>
      <c r="H64" s="16">
        <v>9</v>
      </c>
      <c r="I64" s="7">
        <f t="shared" si="14"/>
        <v>100</v>
      </c>
      <c r="J64" s="17">
        <f>ROUNDUP((693.85/9),1)</f>
        <v>77.099999999999994</v>
      </c>
      <c r="K64" s="7">
        <f t="shared" si="22"/>
        <v>116.69999999999999</v>
      </c>
      <c r="L64" s="7"/>
      <c r="M64" s="7"/>
      <c r="N64" s="7"/>
      <c r="O64" s="7">
        <f t="shared" si="23"/>
        <v>15.9</v>
      </c>
      <c r="P64" s="7">
        <f t="shared" si="24"/>
        <v>18.3</v>
      </c>
      <c r="Q64" s="7"/>
      <c r="R64" s="7">
        <f t="shared" si="25"/>
        <v>12.299999999999999</v>
      </c>
      <c r="S64" s="7"/>
      <c r="T64" s="7"/>
      <c r="U64" s="7"/>
      <c r="V64" s="7">
        <f t="shared" si="26"/>
        <v>9.0999999999999979</v>
      </c>
      <c r="W64" s="7"/>
      <c r="X64" s="7">
        <f t="shared" si="27"/>
        <v>4.1999999999999993</v>
      </c>
      <c r="Y64" s="7">
        <f t="shared" si="28"/>
        <v>4.8999999999999995</v>
      </c>
      <c r="Z64" s="7"/>
      <c r="AA64" s="7"/>
      <c r="AB64" s="8"/>
    </row>
    <row r="65" spans="1:28" x14ac:dyDescent="0.2">
      <c r="A65" s="46">
        <v>70900</v>
      </c>
      <c r="B65" s="42"/>
      <c r="C65" s="4" t="s">
        <v>32</v>
      </c>
      <c r="D65" s="42">
        <v>74796.78</v>
      </c>
      <c r="E65" s="42"/>
      <c r="F65" s="6" t="s">
        <v>40</v>
      </c>
      <c r="G65" s="6">
        <f t="shared" si="13"/>
        <v>3896.7799999999988</v>
      </c>
      <c r="H65" s="6">
        <v>10</v>
      </c>
      <c r="I65" s="7">
        <f t="shared" si="14"/>
        <v>4329.8</v>
      </c>
      <c r="J65" s="17">
        <f>ROUNDUP((35430.28/9),1)</f>
        <v>3936.7</v>
      </c>
      <c r="K65" s="7">
        <f t="shared" si="22"/>
        <v>4979.3</v>
      </c>
      <c r="L65" s="7"/>
      <c r="M65" s="7"/>
      <c r="N65" s="7">
        <v>10</v>
      </c>
      <c r="O65" s="7">
        <f t="shared" si="23"/>
        <v>683.6</v>
      </c>
      <c r="P65" s="7">
        <f t="shared" si="24"/>
        <v>781.80000000000007</v>
      </c>
      <c r="Q65" s="7">
        <f>ROUNDUP((N65*(8.75/12))*0.025,1)</f>
        <v>0.2</v>
      </c>
      <c r="R65" s="7">
        <f t="shared" si="25"/>
        <v>528.30000000000007</v>
      </c>
      <c r="S65" s="7"/>
      <c r="T65" s="7"/>
      <c r="U65" s="7"/>
      <c r="V65" s="7">
        <f t="shared" si="26"/>
        <v>391</v>
      </c>
      <c r="W65" s="7"/>
      <c r="X65" s="7">
        <f t="shared" si="27"/>
        <v>180.5</v>
      </c>
      <c r="Y65" s="7">
        <f t="shared" si="28"/>
        <v>210.5</v>
      </c>
      <c r="Z65" s="7"/>
      <c r="AA65" s="7"/>
      <c r="AB65" s="8"/>
    </row>
    <row r="66" spans="1:28" x14ac:dyDescent="0.2">
      <c r="A66" s="46">
        <v>75081.789999999994</v>
      </c>
      <c r="B66" s="42"/>
      <c r="C66" s="4" t="s">
        <v>32</v>
      </c>
      <c r="D66" s="42">
        <v>80336</v>
      </c>
      <c r="E66" s="42"/>
      <c r="F66" s="6" t="s">
        <v>40</v>
      </c>
      <c r="G66" s="6">
        <f t="shared" si="13"/>
        <v>5254.2100000000064</v>
      </c>
      <c r="H66" s="6">
        <v>10</v>
      </c>
      <c r="I66" s="7">
        <f t="shared" si="14"/>
        <v>5838.1</v>
      </c>
      <c r="J66" s="17">
        <f>ROUNDUP((46716.51/9),1)</f>
        <v>5190.8</v>
      </c>
      <c r="K66" s="7">
        <f t="shared" si="22"/>
        <v>6713.8</v>
      </c>
      <c r="L66" s="7"/>
      <c r="M66" s="7"/>
      <c r="N66" s="7">
        <v>20</v>
      </c>
      <c r="O66" s="7">
        <f t="shared" si="23"/>
        <v>921.7</v>
      </c>
      <c r="P66" s="7">
        <f t="shared" si="24"/>
        <v>1054.0999999999999</v>
      </c>
      <c r="Q66" s="7">
        <f>ROUNDUP((N66*(8.75/12))*0.025,1)</f>
        <v>0.4</v>
      </c>
      <c r="R66" s="7">
        <f t="shared" si="25"/>
        <v>712.30000000000007</v>
      </c>
      <c r="S66" s="7"/>
      <c r="T66" s="7"/>
      <c r="U66" s="7"/>
      <c r="V66" s="7">
        <f t="shared" si="26"/>
        <v>527.1</v>
      </c>
      <c r="W66" s="7"/>
      <c r="X66" s="7">
        <f t="shared" si="27"/>
        <v>243.29999999999998</v>
      </c>
      <c r="Y66" s="7">
        <f t="shared" si="28"/>
        <v>283.8</v>
      </c>
      <c r="Z66" s="7"/>
      <c r="AA66" s="7"/>
      <c r="AB66" s="8"/>
    </row>
    <row r="67" spans="1:28" x14ac:dyDescent="0.2">
      <c r="A67" s="43"/>
      <c r="B67" s="43"/>
      <c r="C67" s="43"/>
      <c r="D67" s="43"/>
      <c r="E67" s="44"/>
      <c r="F67" s="6"/>
      <c r="G67" s="6"/>
      <c r="H67" s="6"/>
      <c r="I67" s="7"/>
      <c r="J67" s="7"/>
      <c r="K67" s="7"/>
      <c r="L67" s="7"/>
      <c r="M67" s="7"/>
      <c r="N67" s="7"/>
      <c r="O67" s="7"/>
      <c r="P67" s="7"/>
      <c r="Q67" s="7"/>
      <c r="R67" s="7"/>
      <c r="S67" s="7"/>
      <c r="T67" s="7"/>
      <c r="U67" s="7"/>
      <c r="V67" s="7"/>
      <c r="W67" s="7"/>
      <c r="X67" s="7"/>
      <c r="Y67" s="7"/>
      <c r="Z67" s="7"/>
      <c r="AA67" s="7"/>
      <c r="AB67" s="8"/>
    </row>
    <row r="68" spans="1:28" x14ac:dyDescent="0.2">
      <c r="A68" s="43"/>
      <c r="B68" s="43"/>
      <c r="C68" s="43"/>
      <c r="D68" s="43"/>
      <c r="E68" s="44"/>
      <c r="F68" s="6"/>
      <c r="G68" s="6"/>
      <c r="H68" s="6"/>
      <c r="I68" s="7"/>
      <c r="J68" s="7"/>
      <c r="K68" s="7"/>
      <c r="L68" s="7"/>
      <c r="M68" s="7"/>
      <c r="N68" s="7"/>
      <c r="O68" s="7"/>
      <c r="P68" s="7"/>
      <c r="Q68" s="7"/>
      <c r="R68" s="7"/>
      <c r="S68" s="7"/>
      <c r="T68" s="7"/>
      <c r="U68" s="7"/>
      <c r="V68" s="7"/>
      <c r="W68" s="7"/>
      <c r="X68" s="7"/>
      <c r="Y68" s="7"/>
      <c r="Z68" s="7"/>
      <c r="AA68" s="7"/>
      <c r="AB68" s="8"/>
    </row>
    <row r="69" spans="1:28" x14ac:dyDescent="0.2">
      <c r="A69" s="45"/>
      <c r="B69" s="45"/>
      <c r="C69" s="45"/>
      <c r="D69" s="45"/>
      <c r="E69" s="46"/>
      <c r="F69" s="6"/>
      <c r="G69" s="6"/>
      <c r="H69" s="6"/>
      <c r="I69" s="7"/>
      <c r="J69" s="7"/>
      <c r="K69" s="7"/>
      <c r="L69" s="7"/>
      <c r="M69" s="7"/>
      <c r="N69" s="7"/>
      <c r="O69" s="7"/>
      <c r="P69" s="7"/>
      <c r="Q69" s="7"/>
      <c r="R69" s="7"/>
      <c r="S69" s="7"/>
      <c r="T69" s="7"/>
      <c r="U69" s="7"/>
      <c r="V69" s="7"/>
      <c r="W69" s="7"/>
      <c r="X69" s="7"/>
      <c r="Y69" s="7"/>
      <c r="Z69" s="7"/>
      <c r="AA69" s="7"/>
      <c r="AB69" s="8"/>
    </row>
    <row r="70" spans="1:28" x14ac:dyDescent="0.2">
      <c r="A70" s="45"/>
      <c r="B70" s="45"/>
      <c r="C70" s="45"/>
      <c r="D70" s="45"/>
      <c r="E70" s="46"/>
      <c r="F70" s="6"/>
      <c r="G70" s="6"/>
      <c r="H70" s="6"/>
      <c r="I70" s="7"/>
      <c r="J70" s="7"/>
      <c r="K70" s="7"/>
      <c r="L70" s="7"/>
      <c r="M70" s="7"/>
      <c r="N70" s="7"/>
      <c r="O70" s="7"/>
      <c r="P70" s="7"/>
      <c r="Q70" s="7"/>
      <c r="R70" s="7"/>
      <c r="S70" s="7"/>
      <c r="T70" s="7"/>
      <c r="U70" s="7"/>
      <c r="V70" s="7"/>
      <c r="W70" s="7"/>
      <c r="X70" s="7"/>
      <c r="Y70" s="7"/>
      <c r="Z70" s="7"/>
      <c r="AA70" s="7"/>
      <c r="AB70" s="8"/>
    </row>
    <row r="71" spans="1:28" x14ac:dyDescent="0.2">
      <c r="A71" s="45"/>
      <c r="B71" s="45"/>
      <c r="C71" s="45"/>
      <c r="D71" s="45"/>
      <c r="E71" s="46"/>
      <c r="F71" s="6"/>
      <c r="G71" s="6"/>
      <c r="H71" s="6"/>
      <c r="I71" s="7"/>
      <c r="J71" s="7"/>
      <c r="K71" s="7"/>
      <c r="L71" s="7"/>
      <c r="M71" s="7"/>
      <c r="N71" s="7"/>
      <c r="O71" s="7"/>
      <c r="P71" s="7"/>
      <c r="Q71" s="7"/>
      <c r="R71" s="7"/>
      <c r="S71" s="7"/>
      <c r="T71" s="7"/>
      <c r="U71" s="7"/>
      <c r="V71" s="7"/>
      <c r="W71" s="7"/>
      <c r="X71" s="7"/>
      <c r="Y71" s="7"/>
      <c r="Z71" s="7"/>
      <c r="AA71" s="7"/>
      <c r="AB71" s="8"/>
    </row>
    <row r="72" spans="1:28" x14ac:dyDescent="0.2">
      <c r="A72" s="43"/>
      <c r="B72" s="43"/>
      <c r="C72" s="43"/>
      <c r="D72" s="43"/>
      <c r="E72" s="44"/>
      <c r="F72" s="6"/>
      <c r="G72" s="6"/>
      <c r="H72" s="6"/>
      <c r="I72" s="7"/>
      <c r="J72" s="7"/>
      <c r="K72" s="7"/>
      <c r="L72" s="7"/>
      <c r="M72" s="7"/>
      <c r="N72" s="7"/>
      <c r="O72" s="7"/>
      <c r="P72" s="7"/>
      <c r="Q72" s="7"/>
      <c r="R72" s="7"/>
      <c r="S72" s="7"/>
      <c r="T72" s="7"/>
      <c r="U72" s="7"/>
      <c r="V72" s="7"/>
      <c r="W72" s="7"/>
      <c r="X72" s="7"/>
      <c r="Y72" s="7"/>
      <c r="Z72" s="7"/>
      <c r="AA72" s="7"/>
      <c r="AB72" s="8"/>
    </row>
    <row r="73" spans="1:28" x14ac:dyDescent="0.2">
      <c r="A73" s="43"/>
      <c r="B73" s="43"/>
      <c r="C73" s="43"/>
      <c r="D73" s="43"/>
      <c r="E73" s="44"/>
      <c r="F73" s="6"/>
      <c r="G73" s="6"/>
      <c r="H73" s="6"/>
      <c r="I73" s="7"/>
      <c r="J73" s="7"/>
      <c r="K73" s="7"/>
      <c r="L73" s="7"/>
      <c r="M73" s="7"/>
      <c r="N73" s="7"/>
      <c r="O73" s="7"/>
      <c r="P73" s="7"/>
      <c r="Q73" s="7"/>
      <c r="R73" s="7"/>
      <c r="S73" s="7"/>
      <c r="T73" s="7"/>
      <c r="U73" s="7"/>
      <c r="V73" s="7"/>
      <c r="W73" s="7"/>
      <c r="X73" s="7"/>
      <c r="Y73" s="7"/>
      <c r="Z73" s="7"/>
      <c r="AA73" s="7"/>
      <c r="AB73" s="8"/>
    </row>
    <row r="74" spans="1:28" ht="12.75" customHeight="1" x14ac:dyDescent="0.2">
      <c r="A74" s="37" t="s">
        <v>132</v>
      </c>
      <c r="B74" s="38"/>
      <c r="C74" s="38"/>
      <c r="D74" s="38"/>
      <c r="E74" s="38"/>
      <c r="F74" s="38"/>
      <c r="G74" s="38"/>
      <c r="H74" s="38"/>
      <c r="I74" s="38"/>
      <c r="J74" s="60">
        <f t="shared" ref="J74:P74" si="29">ROUNDUP(SUM(J19:J73),0)</f>
        <v>54719</v>
      </c>
      <c r="K74" s="60">
        <f t="shared" si="29"/>
        <v>58416</v>
      </c>
      <c r="L74" s="48">
        <f t="shared" si="29"/>
        <v>0</v>
      </c>
      <c r="M74" s="48">
        <f t="shared" si="29"/>
        <v>5327</v>
      </c>
      <c r="N74" s="48">
        <f t="shared" si="29"/>
        <v>136</v>
      </c>
      <c r="O74" s="48">
        <f t="shared" si="29"/>
        <v>8782</v>
      </c>
      <c r="P74" s="48">
        <f t="shared" si="29"/>
        <v>9570</v>
      </c>
      <c r="Q74" s="51">
        <f>ROUNDUP(SUM(Q19:S73),0)</f>
        <v>7822</v>
      </c>
      <c r="R74" s="62"/>
      <c r="S74" s="63"/>
      <c r="T74" s="48">
        <f>ROUNDUP(SUM(T19:T73),0)</f>
        <v>0</v>
      </c>
      <c r="U74" s="49">
        <f t="shared" ref="U74:AB74" si="30">ROUNDUP(SUM(U19:U73),0)</f>
        <v>0</v>
      </c>
      <c r="V74" s="49">
        <f t="shared" si="30"/>
        <v>5703</v>
      </c>
      <c r="W74" s="49">
        <f t="shared" si="30"/>
        <v>0</v>
      </c>
      <c r="X74" s="49">
        <f t="shared" si="30"/>
        <v>2632</v>
      </c>
      <c r="Y74" s="49">
        <f t="shared" si="30"/>
        <v>3072</v>
      </c>
      <c r="Z74" s="49">
        <f t="shared" si="30"/>
        <v>0</v>
      </c>
      <c r="AA74" s="61">
        <f t="shared" si="30"/>
        <v>14677</v>
      </c>
      <c r="AB74" s="52">
        <f t="shared" si="30"/>
        <v>14677</v>
      </c>
    </row>
    <row r="75" spans="1:28" ht="12.75" customHeight="1" x14ac:dyDescent="0.2">
      <c r="A75" s="58"/>
      <c r="B75" s="59"/>
      <c r="C75" s="59"/>
      <c r="D75" s="59"/>
      <c r="E75" s="59"/>
      <c r="F75" s="59"/>
      <c r="G75" s="59"/>
      <c r="H75" s="59"/>
      <c r="I75" s="59"/>
      <c r="J75" s="61"/>
      <c r="K75" s="61"/>
      <c r="L75" s="49"/>
      <c r="M75" s="49"/>
      <c r="N75" s="49"/>
      <c r="O75" s="49"/>
      <c r="P75" s="49"/>
      <c r="Q75" s="64"/>
      <c r="R75" s="65"/>
      <c r="S75" s="66"/>
      <c r="T75" s="49"/>
      <c r="U75" s="76"/>
      <c r="V75" s="76"/>
      <c r="W75" s="76"/>
      <c r="X75" s="76"/>
      <c r="Y75" s="76"/>
      <c r="Z75" s="76"/>
      <c r="AA75" s="75"/>
      <c r="AB75" s="55"/>
    </row>
  </sheetData>
  <mergeCells count="131">
    <mergeCell ref="A40:E40"/>
    <mergeCell ref="A43:E43"/>
    <mergeCell ref="A68:E68"/>
    <mergeCell ref="A56:B56"/>
    <mergeCell ref="D56:E56"/>
    <mergeCell ref="A57:B57"/>
    <mergeCell ref="D57:E57"/>
    <mergeCell ref="Y2:Y16"/>
    <mergeCell ref="Z2:Z16"/>
    <mergeCell ref="A20:E20"/>
    <mergeCell ref="A21:E21"/>
    <mergeCell ref="A24:B24"/>
    <mergeCell ref="D24:E24"/>
    <mergeCell ref="A23:E23"/>
    <mergeCell ref="A28:B28"/>
    <mergeCell ref="D28:E28"/>
    <mergeCell ref="A29:B29"/>
    <mergeCell ref="D29:E29"/>
    <mergeCell ref="A30:B30"/>
    <mergeCell ref="D30:E30"/>
    <mergeCell ref="A25:B25"/>
    <mergeCell ref="D25:E25"/>
    <mergeCell ref="A26:B26"/>
    <mergeCell ref="D26:E26"/>
    <mergeCell ref="AA2:AA17"/>
    <mergeCell ref="AB2:AB17"/>
    <mergeCell ref="Q2:Q16"/>
    <mergeCell ref="R2:R16"/>
    <mergeCell ref="S2:S16"/>
    <mergeCell ref="T2:T16"/>
    <mergeCell ref="U2:U16"/>
    <mergeCell ref="V2:V17"/>
    <mergeCell ref="A19:E19"/>
    <mergeCell ref="W2:W16"/>
    <mergeCell ref="X2:X16"/>
    <mergeCell ref="K2:K17"/>
    <mergeCell ref="L2:L17"/>
    <mergeCell ref="M2:M17"/>
    <mergeCell ref="N2:N17"/>
    <mergeCell ref="O2:O16"/>
    <mergeCell ref="P2:P16"/>
    <mergeCell ref="A1:E18"/>
    <mergeCell ref="F1:F18"/>
    <mergeCell ref="G1:G18"/>
    <mergeCell ref="H1:H18"/>
    <mergeCell ref="I1:I18"/>
    <mergeCell ref="J2:J17"/>
    <mergeCell ref="A27:B27"/>
    <mergeCell ref="D27:E27"/>
    <mergeCell ref="A36:B36"/>
    <mergeCell ref="D36:E36"/>
    <mergeCell ref="A38:E38"/>
    <mergeCell ref="A33:B33"/>
    <mergeCell ref="D33:E33"/>
    <mergeCell ref="A31:B31"/>
    <mergeCell ref="D31:E31"/>
    <mergeCell ref="A32:B32"/>
    <mergeCell ref="D32:E32"/>
    <mergeCell ref="A34:B34"/>
    <mergeCell ref="D34:E34"/>
    <mergeCell ref="A35:B35"/>
    <mergeCell ref="D35:E35"/>
    <mergeCell ref="A37:B37"/>
    <mergeCell ref="D37:E37"/>
    <mergeCell ref="A45:E45"/>
    <mergeCell ref="A41:B41"/>
    <mergeCell ref="D41:E41"/>
    <mergeCell ref="A42:B42"/>
    <mergeCell ref="D42:E42"/>
    <mergeCell ref="A46:B46"/>
    <mergeCell ref="D46:E46"/>
    <mergeCell ref="A49:E49"/>
    <mergeCell ref="A44:E44"/>
    <mergeCell ref="D65:E65"/>
    <mergeCell ref="A67:E67"/>
    <mergeCell ref="A63:B63"/>
    <mergeCell ref="D63:E63"/>
    <mergeCell ref="A47:B47"/>
    <mergeCell ref="D47:E47"/>
    <mergeCell ref="A48:E48"/>
    <mergeCell ref="A50:E50"/>
    <mergeCell ref="A51:B51"/>
    <mergeCell ref="D51:E51"/>
    <mergeCell ref="A22:E22"/>
    <mergeCell ref="AA74:AA75"/>
    <mergeCell ref="AB74:AB75"/>
    <mergeCell ref="O74:O75"/>
    <mergeCell ref="P74:P75"/>
    <mergeCell ref="Q74:S75"/>
    <mergeCell ref="T74:T75"/>
    <mergeCell ref="U74:U75"/>
    <mergeCell ref="V74:V75"/>
    <mergeCell ref="J74:J75"/>
    <mergeCell ref="K74:K75"/>
    <mergeCell ref="L74:L75"/>
    <mergeCell ref="M74:M75"/>
    <mergeCell ref="N74:N75"/>
    <mergeCell ref="W74:W75"/>
    <mergeCell ref="X74:X75"/>
    <mergeCell ref="Y74:Y75"/>
    <mergeCell ref="Z74:Z75"/>
    <mergeCell ref="A74:I75"/>
    <mergeCell ref="A69:E69"/>
    <mergeCell ref="A59:B59"/>
    <mergeCell ref="D59:E59"/>
    <mergeCell ref="A62:B62"/>
    <mergeCell ref="D62:E62"/>
    <mergeCell ref="A72:E72"/>
    <mergeCell ref="A73:E73"/>
    <mergeCell ref="A70:E70"/>
    <mergeCell ref="A71:E71"/>
    <mergeCell ref="A64:B64"/>
    <mergeCell ref="D64:E64"/>
    <mergeCell ref="A66:B66"/>
    <mergeCell ref="D66:E66"/>
    <mergeCell ref="A39:E39"/>
    <mergeCell ref="A54:B54"/>
    <mergeCell ref="D54:E54"/>
    <mergeCell ref="A52:B52"/>
    <mergeCell ref="D52:E52"/>
    <mergeCell ref="A53:B53"/>
    <mergeCell ref="D53:E53"/>
    <mergeCell ref="A55:B55"/>
    <mergeCell ref="D55:E55"/>
    <mergeCell ref="A58:B58"/>
    <mergeCell ref="D58:E58"/>
    <mergeCell ref="A60:B60"/>
    <mergeCell ref="D60:E60"/>
    <mergeCell ref="A61:B61"/>
    <mergeCell ref="D61:E61"/>
    <mergeCell ref="A65:B65"/>
  </mergeCells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8ED54A-3F13-4480-933D-415A3D2FF7C6}">
  <dimension ref="A1:AB75"/>
  <sheetViews>
    <sheetView showZeros="0" topLeftCell="A25" zoomScale="85" zoomScaleNormal="85" workbookViewId="0">
      <selection activeCell="A74" sqref="A74:I75"/>
    </sheetView>
  </sheetViews>
  <sheetFormatPr defaultRowHeight="12.75" x14ac:dyDescent="0.2"/>
  <cols>
    <col min="1" max="2" width="10.7109375" style="1" customWidth="1"/>
    <col min="3" max="3" width="3.7109375" style="1" customWidth="1"/>
    <col min="4" max="5" width="10.7109375" style="1" customWidth="1"/>
    <col min="6" max="9" width="9.7109375" style="1" customWidth="1"/>
    <col min="10" max="28" width="9.42578125" style="1" customWidth="1"/>
    <col min="29" max="36" width="9.7109375" style="1" customWidth="1"/>
    <col min="37" max="16384" width="9.140625" style="1"/>
  </cols>
  <sheetData>
    <row r="1" spans="1:28" ht="12.75" customHeight="1" x14ac:dyDescent="0.2">
      <c r="A1" s="35" t="s">
        <v>33</v>
      </c>
      <c r="B1" s="36"/>
      <c r="C1" s="36"/>
      <c r="D1" s="36"/>
      <c r="E1" s="36"/>
      <c r="F1" s="39" t="s">
        <v>29</v>
      </c>
      <c r="G1" s="39" t="s">
        <v>30</v>
      </c>
      <c r="H1" s="41" t="s">
        <v>36</v>
      </c>
      <c r="I1" s="39" t="s">
        <v>31</v>
      </c>
      <c r="J1" s="2">
        <v>202</v>
      </c>
      <c r="K1" s="2">
        <v>206</v>
      </c>
      <c r="L1" s="2">
        <v>254</v>
      </c>
      <c r="M1" s="2">
        <v>254</v>
      </c>
      <c r="N1" s="2">
        <v>255</v>
      </c>
      <c r="O1" s="2">
        <v>302</v>
      </c>
      <c r="P1" s="2">
        <v>304</v>
      </c>
      <c r="Q1" s="2">
        <v>407</v>
      </c>
      <c r="R1" s="2">
        <v>407</v>
      </c>
      <c r="S1" s="2">
        <v>407</v>
      </c>
      <c r="T1" s="2">
        <v>408</v>
      </c>
      <c r="U1" s="2">
        <v>441</v>
      </c>
      <c r="V1" s="2">
        <v>442</v>
      </c>
      <c r="W1" s="2">
        <v>442</v>
      </c>
      <c r="X1" s="2">
        <v>442</v>
      </c>
      <c r="Y1" s="2">
        <v>442</v>
      </c>
      <c r="Z1" s="2">
        <v>617</v>
      </c>
      <c r="AA1" s="2">
        <v>874</v>
      </c>
      <c r="AB1" s="3">
        <v>874</v>
      </c>
    </row>
    <row r="2" spans="1:28" ht="12.75" customHeight="1" x14ac:dyDescent="0.2">
      <c r="A2" s="37"/>
      <c r="B2" s="38"/>
      <c r="C2" s="38"/>
      <c r="D2" s="38"/>
      <c r="E2" s="38"/>
      <c r="F2" s="40"/>
      <c r="G2" s="40"/>
      <c r="H2" s="41"/>
      <c r="I2" s="40"/>
      <c r="J2" s="29" t="s">
        <v>0</v>
      </c>
      <c r="K2" s="28" t="s">
        <v>2</v>
      </c>
      <c r="L2" s="28" t="s">
        <v>3</v>
      </c>
      <c r="M2" s="28" t="s">
        <v>6</v>
      </c>
      <c r="N2" s="29" t="s">
        <v>4</v>
      </c>
      <c r="O2" s="28" t="s">
        <v>22</v>
      </c>
      <c r="P2" s="29" t="s">
        <v>8</v>
      </c>
      <c r="Q2" s="32" t="s">
        <v>12</v>
      </c>
      <c r="R2" s="28" t="s">
        <v>11</v>
      </c>
      <c r="S2" s="28" t="s">
        <v>11</v>
      </c>
      <c r="T2" s="29" t="s">
        <v>17</v>
      </c>
      <c r="U2" s="28" t="s">
        <v>19</v>
      </c>
      <c r="V2" s="29" t="s">
        <v>21</v>
      </c>
      <c r="W2" s="28" t="s">
        <v>109</v>
      </c>
      <c r="X2" s="28" t="s">
        <v>23</v>
      </c>
      <c r="Y2" s="28" t="s">
        <v>110</v>
      </c>
      <c r="Z2" s="28" t="s">
        <v>25</v>
      </c>
      <c r="AA2" s="28" t="s">
        <v>27</v>
      </c>
      <c r="AB2" s="30" t="s">
        <v>28</v>
      </c>
    </row>
    <row r="3" spans="1:28" ht="12.75" customHeight="1" x14ac:dyDescent="0.2">
      <c r="A3" s="37"/>
      <c r="B3" s="38"/>
      <c r="C3" s="38"/>
      <c r="D3" s="38"/>
      <c r="E3" s="38"/>
      <c r="F3" s="40"/>
      <c r="G3" s="40"/>
      <c r="H3" s="41"/>
      <c r="I3" s="40"/>
      <c r="J3" s="29"/>
      <c r="K3" s="29"/>
      <c r="L3" s="29"/>
      <c r="M3" s="29"/>
      <c r="N3" s="29"/>
      <c r="O3" s="29"/>
      <c r="P3" s="29"/>
      <c r="Q3" s="33"/>
      <c r="R3" s="29"/>
      <c r="S3" s="29"/>
      <c r="T3" s="29"/>
      <c r="U3" s="29"/>
      <c r="V3" s="29"/>
      <c r="W3" s="29"/>
      <c r="X3" s="29"/>
      <c r="Y3" s="29"/>
      <c r="Z3" s="29"/>
      <c r="AA3" s="29"/>
      <c r="AB3" s="31"/>
    </row>
    <row r="4" spans="1:28" ht="12.75" customHeight="1" x14ac:dyDescent="0.2">
      <c r="A4" s="37"/>
      <c r="B4" s="38"/>
      <c r="C4" s="38"/>
      <c r="D4" s="38"/>
      <c r="E4" s="38"/>
      <c r="F4" s="40"/>
      <c r="G4" s="40"/>
      <c r="H4" s="41"/>
      <c r="I4" s="40"/>
      <c r="J4" s="29"/>
      <c r="K4" s="29"/>
      <c r="L4" s="29"/>
      <c r="M4" s="29"/>
      <c r="N4" s="29"/>
      <c r="O4" s="29"/>
      <c r="P4" s="29"/>
      <c r="Q4" s="33"/>
      <c r="R4" s="29"/>
      <c r="S4" s="29"/>
      <c r="T4" s="29"/>
      <c r="U4" s="29"/>
      <c r="V4" s="29"/>
      <c r="W4" s="29"/>
      <c r="X4" s="29"/>
      <c r="Y4" s="29"/>
      <c r="Z4" s="29"/>
      <c r="AA4" s="29"/>
      <c r="AB4" s="31"/>
    </row>
    <row r="5" spans="1:28" ht="12.75" customHeight="1" x14ac:dyDescent="0.2">
      <c r="A5" s="37"/>
      <c r="B5" s="38"/>
      <c r="C5" s="38"/>
      <c r="D5" s="38"/>
      <c r="E5" s="38"/>
      <c r="F5" s="40"/>
      <c r="G5" s="40"/>
      <c r="H5" s="41"/>
      <c r="I5" s="40"/>
      <c r="J5" s="29"/>
      <c r="K5" s="29"/>
      <c r="L5" s="29"/>
      <c r="M5" s="29"/>
      <c r="N5" s="29"/>
      <c r="O5" s="29"/>
      <c r="P5" s="29"/>
      <c r="Q5" s="33"/>
      <c r="R5" s="29"/>
      <c r="S5" s="29"/>
      <c r="T5" s="29"/>
      <c r="U5" s="29"/>
      <c r="V5" s="29"/>
      <c r="W5" s="29"/>
      <c r="X5" s="29"/>
      <c r="Y5" s="29"/>
      <c r="Z5" s="29"/>
      <c r="AA5" s="29"/>
      <c r="AB5" s="31"/>
    </row>
    <row r="6" spans="1:28" ht="12.75" customHeight="1" x14ac:dyDescent="0.2">
      <c r="A6" s="37"/>
      <c r="B6" s="38"/>
      <c r="C6" s="38"/>
      <c r="D6" s="38"/>
      <c r="E6" s="38"/>
      <c r="F6" s="40"/>
      <c r="G6" s="40"/>
      <c r="H6" s="41"/>
      <c r="I6" s="40"/>
      <c r="J6" s="29"/>
      <c r="K6" s="29"/>
      <c r="L6" s="29"/>
      <c r="M6" s="29"/>
      <c r="N6" s="29"/>
      <c r="O6" s="29"/>
      <c r="P6" s="29"/>
      <c r="Q6" s="33"/>
      <c r="R6" s="29"/>
      <c r="S6" s="29"/>
      <c r="T6" s="29"/>
      <c r="U6" s="29"/>
      <c r="V6" s="29"/>
      <c r="W6" s="29"/>
      <c r="X6" s="29"/>
      <c r="Y6" s="29"/>
      <c r="Z6" s="29"/>
      <c r="AA6" s="29"/>
      <c r="AB6" s="31"/>
    </row>
    <row r="7" spans="1:28" ht="12.75" customHeight="1" x14ac:dyDescent="0.2">
      <c r="A7" s="37"/>
      <c r="B7" s="38"/>
      <c r="C7" s="38"/>
      <c r="D7" s="38"/>
      <c r="E7" s="38"/>
      <c r="F7" s="40"/>
      <c r="G7" s="40"/>
      <c r="H7" s="41"/>
      <c r="I7" s="40"/>
      <c r="J7" s="29"/>
      <c r="K7" s="29"/>
      <c r="L7" s="29"/>
      <c r="M7" s="29"/>
      <c r="N7" s="29"/>
      <c r="O7" s="29"/>
      <c r="P7" s="29"/>
      <c r="Q7" s="33"/>
      <c r="R7" s="29"/>
      <c r="S7" s="29"/>
      <c r="T7" s="29"/>
      <c r="U7" s="29"/>
      <c r="V7" s="29"/>
      <c r="W7" s="29"/>
      <c r="X7" s="29"/>
      <c r="Y7" s="29"/>
      <c r="Z7" s="29"/>
      <c r="AA7" s="29"/>
      <c r="AB7" s="31"/>
    </row>
    <row r="8" spans="1:28" ht="12.75" customHeight="1" x14ac:dyDescent="0.2">
      <c r="A8" s="37"/>
      <c r="B8" s="38"/>
      <c r="C8" s="38"/>
      <c r="D8" s="38"/>
      <c r="E8" s="38"/>
      <c r="F8" s="40"/>
      <c r="G8" s="40"/>
      <c r="H8" s="41"/>
      <c r="I8" s="40"/>
      <c r="J8" s="29"/>
      <c r="K8" s="29"/>
      <c r="L8" s="29"/>
      <c r="M8" s="29"/>
      <c r="N8" s="29"/>
      <c r="O8" s="29"/>
      <c r="P8" s="29"/>
      <c r="Q8" s="33"/>
      <c r="R8" s="29"/>
      <c r="S8" s="29"/>
      <c r="T8" s="29"/>
      <c r="U8" s="29"/>
      <c r="V8" s="29"/>
      <c r="W8" s="29"/>
      <c r="X8" s="29"/>
      <c r="Y8" s="29"/>
      <c r="Z8" s="29"/>
      <c r="AA8" s="29"/>
      <c r="AB8" s="31"/>
    </row>
    <row r="9" spans="1:28" ht="12.75" customHeight="1" x14ac:dyDescent="0.2">
      <c r="A9" s="37"/>
      <c r="B9" s="38"/>
      <c r="C9" s="38"/>
      <c r="D9" s="38"/>
      <c r="E9" s="38"/>
      <c r="F9" s="40"/>
      <c r="G9" s="40"/>
      <c r="H9" s="41"/>
      <c r="I9" s="40"/>
      <c r="J9" s="29"/>
      <c r="K9" s="29"/>
      <c r="L9" s="29"/>
      <c r="M9" s="29"/>
      <c r="N9" s="29"/>
      <c r="O9" s="29"/>
      <c r="P9" s="29"/>
      <c r="Q9" s="33"/>
      <c r="R9" s="29"/>
      <c r="S9" s="29"/>
      <c r="T9" s="29"/>
      <c r="U9" s="29"/>
      <c r="V9" s="29"/>
      <c r="W9" s="29"/>
      <c r="X9" s="29"/>
      <c r="Y9" s="29"/>
      <c r="Z9" s="29"/>
      <c r="AA9" s="29"/>
      <c r="AB9" s="31"/>
    </row>
    <row r="10" spans="1:28" ht="12.75" customHeight="1" x14ac:dyDescent="0.2">
      <c r="A10" s="37"/>
      <c r="B10" s="38"/>
      <c r="C10" s="38"/>
      <c r="D10" s="38"/>
      <c r="E10" s="38"/>
      <c r="F10" s="40"/>
      <c r="G10" s="40"/>
      <c r="H10" s="41"/>
      <c r="I10" s="40"/>
      <c r="J10" s="29"/>
      <c r="K10" s="29"/>
      <c r="L10" s="29"/>
      <c r="M10" s="29"/>
      <c r="N10" s="29"/>
      <c r="O10" s="29"/>
      <c r="P10" s="29"/>
      <c r="Q10" s="33"/>
      <c r="R10" s="29"/>
      <c r="S10" s="29"/>
      <c r="T10" s="29"/>
      <c r="U10" s="29"/>
      <c r="V10" s="29"/>
      <c r="W10" s="29"/>
      <c r="X10" s="29"/>
      <c r="Y10" s="29"/>
      <c r="Z10" s="29"/>
      <c r="AA10" s="29"/>
      <c r="AB10" s="31"/>
    </row>
    <row r="11" spans="1:28" ht="12.75" customHeight="1" x14ac:dyDescent="0.2">
      <c r="A11" s="37"/>
      <c r="B11" s="38"/>
      <c r="C11" s="38"/>
      <c r="D11" s="38"/>
      <c r="E11" s="38"/>
      <c r="F11" s="40"/>
      <c r="G11" s="40"/>
      <c r="H11" s="41"/>
      <c r="I11" s="40"/>
      <c r="J11" s="29"/>
      <c r="K11" s="29"/>
      <c r="L11" s="29"/>
      <c r="M11" s="29"/>
      <c r="N11" s="29"/>
      <c r="O11" s="29"/>
      <c r="P11" s="29"/>
      <c r="Q11" s="33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31"/>
    </row>
    <row r="12" spans="1:28" ht="12.75" customHeight="1" x14ac:dyDescent="0.2">
      <c r="A12" s="37"/>
      <c r="B12" s="38"/>
      <c r="C12" s="38"/>
      <c r="D12" s="38"/>
      <c r="E12" s="38"/>
      <c r="F12" s="40"/>
      <c r="G12" s="40"/>
      <c r="H12" s="41"/>
      <c r="I12" s="40"/>
      <c r="J12" s="29"/>
      <c r="K12" s="29"/>
      <c r="L12" s="29"/>
      <c r="M12" s="29"/>
      <c r="N12" s="29"/>
      <c r="O12" s="29"/>
      <c r="P12" s="29"/>
      <c r="Q12" s="33"/>
      <c r="R12" s="29"/>
      <c r="S12" s="29"/>
      <c r="T12" s="29"/>
      <c r="U12" s="29"/>
      <c r="V12" s="29"/>
      <c r="W12" s="29"/>
      <c r="X12" s="29"/>
      <c r="Y12" s="29"/>
      <c r="Z12" s="29"/>
      <c r="AA12" s="29"/>
      <c r="AB12" s="31"/>
    </row>
    <row r="13" spans="1:28" ht="12.75" customHeight="1" x14ac:dyDescent="0.2">
      <c r="A13" s="37"/>
      <c r="B13" s="38"/>
      <c r="C13" s="38"/>
      <c r="D13" s="38"/>
      <c r="E13" s="38"/>
      <c r="F13" s="40"/>
      <c r="G13" s="40"/>
      <c r="H13" s="41"/>
      <c r="I13" s="40"/>
      <c r="J13" s="29"/>
      <c r="K13" s="29"/>
      <c r="L13" s="29"/>
      <c r="M13" s="29"/>
      <c r="N13" s="29"/>
      <c r="O13" s="29"/>
      <c r="P13" s="29"/>
      <c r="Q13" s="33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31"/>
    </row>
    <row r="14" spans="1:28" ht="12.75" customHeight="1" x14ac:dyDescent="0.2">
      <c r="A14" s="37"/>
      <c r="B14" s="38"/>
      <c r="C14" s="38"/>
      <c r="D14" s="38"/>
      <c r="E14" s="38"/>
      <c r="F14" s="40"/>
      <c r="G14" s="40"/>
      <c r="H14" s="41"/>
      <c r="I14" s="40"/>
      <c r="J14" s="29"/>
      <c r="K14" s="29"/>
      <c r="L14" s="29"/>
      <c r="M14" s="29"/>
      <c r="N14" s="29"/>
      <c r="O14" s="29"/>
      <c r="P14" s="29"/>
      <c r="Q14" s="33"/>
      <c r="R14" s="29"/>
      <c r="S14" s="29"/>
      <c r="T14" s="29"/>
      <c r="U14" s="29"/>
      <c r="V14" s="29"/>
      <c r="W14" s="29"/>
      <c r="X14" s="29"/>
      <c r="Y14" s="29"/>
      <c r="Z14" s="29"/>
      <c r="AA14" s="29"/>
      <c r="AB14" s="31"/>
    </row>
    <row r="15" spans="1:28" ht="12.75" customHeight="1" x14ac:dyDescent="0.2">
      <c r="A15" s="37"/>
      <c r="B15" s="38"/>
      <c r="C15" s="38"/>
      <c r="D15" s="38"/>
      <c r="E15" s="38"/>
      <c r="F15" s="40"/>
      <c r="G15" s="40"/>
      <c r="H15" s="41"/>
      <c r="I15" s="40"/>
      <c r="J15" s="29"/>
      <c r="K15" s="29"/>
      <c r="L15" s="29"/>
      <c r="M15" s="29"/>
      <c r="N15" s="29"/>
      <c r="O15" s="29"/>
      <c r="P15" s="29"/>
      <c r="Q15" s="33"/>
      <c r="R15" s="29"/>
      <c r="S15" s="29"/>
      <c r="T15" s="29"/>
      <c r="U15" s="29"/>
      <c r="V15" s="29"/>
      <c r="W15" s="29"/>
      <c r="X15" s="29"/>
      <c r="Y15" s="29"/>
      <c r="Z15" s="29"/>
      <c r="AA15" s="29"/>
      <c r="AB15" s="31"/>
    </row>
    <row r="16" spans="1:28" ht="12.75" customHeight="1" x14ac:dyDescent="0.2">
      <c r="A16" s="37"/>
      <c r="B16" s="38"/>
      <c r="C16" s="38"/>
      <c r="D16" s="38"/>
      <c r="E16" s="38"/>
      <c r="F16" s="40"/>
      <c r="G16" s="40"/>
      <c r="H16" s="41"/>
      <c r="I16" s="40"/>
      <c r="J16" s="29"/>
      <c r="K16" s="29"/>
      <c r="L16" s="29"/>
      <c r="M16" s="29"/>
      <c r="N16" s="29"/>
      <c r="O16" s="29"/>
      <c r="P16" s="29"/>
      <c r="Q16" s="34"/>
      <c r="R16" s="29"/>
      <c r="S16" s="29"/>
      <c r="T16" s="29"/>
      <c r="U16" s="29"/>
      <c r="V16" s="29"/>
      <c r="W16" s="29"/>
      <c r="X16" s="29"/>
      <c r="Y16" s="29"/>
      <c r="Z16" s="29"/>
      <c r="AA16" s="29"/>
      <c r="AB16" s="31"/>
    </row>
    <row r="17" spans="1:28" ht="12.75" customHeight="1" x14ac:dyDescent="0.2">
      <c r="A17" s="37"/>
      <c r="B17" s="38"/>
      <c r="C17" s="38"/>
      <c r="D17" s="38"/>
      <c r="E17" s="38"/>
      <c r="F17" s="40"/>
      <c r="G17" s="40"/>
      <c r="H17" s="41"/>
      <c r="I17" s="40"/>
      <c r="J17" s="29"/>
      <c r="K17" s="29"/>
      <c r="L17" s="29"/>
      <c r="M17" s="29"/>
      <c r="N17" s="29"/>
      <c r="O17" s="4" t="s">
        <v>10</v>
      </c>
      <c r="P17" s="4" t="s">
        <v>9</v>
      </c>
      <c r="Q17" s="4" t="s">
        <v>13</v>
      </c>
      <c r="R17" s="4" t="s">
        <v>15</v>
      </c>
      <c r="S17" s="4" t="s">
        <v>16</v>
      </c>
      <c r="T17" s="4" t="s">
        <v>18</v>
      </c>
      <c r="U17" s="4" t="s">
        <v>20</v>
      </c>
      <c r="V17" s="29"/>
      <c r="W17" s="4" t="s">
        <v>20</v>
      </c>
      <c r="X17" s="4" t="s">
        <v>20</v>
      </c>
      <c r="Y17" s="4" t="s">
        <v>24</v>
      </c>
      <c r="Z17" s="4" t="s">
        <v>26</v>
      </c>
      <c r="AA17" s="29"/>
      <c r="AB17" s="31"/>
    </row>
    <row r="18" spans="1:28" ht="12.75" customHeight="1" x14ac:dyDescent="0.2">
      <c r="A18" s="37"/>
      <c r="B18" s="38"/>
      <c r="C18" s="38"/>
      <c r="D18" s="38"/>
      <c r="E18" s="38"/>
      <c r="F18" s="40"/>
      <c r="G18" s="40"/>
      <c r="H18" s="39"/>
      <c r="I18" s="40"/>
      <c r="J18" s="4" t="s">
        <v>1</v>
      </c>
      <c r="K18" s="4" t="s">
        <v>1</v>
      </c>
      <c r="L18" s="4" t="s">
        <v>1</v>
      </c>
      <c r="M18" s="4" t="s">
        <v>1</v>
      </c>
      <c r="N18" s="4" t="s">
        <v>5</v>
      </c>
      <c r="O18" s="4" t="s">
        <v>7</v>
      </c>
      <c r="P18" s="4" t="s">
        <v>7</v>
      </c>
      <c r="Q18" s="4" t="s">
        <v>14</v>
      </c>
      <c r="R18" s="4" t="s">
        <v>14</v>
      </c>
      <c r="S18" s="4" t="s">
        <v>14</v>
      </c>
      <c r="T18" s="4" t="s">
        <v>14</v>
      </c>
      <c r="U18" s="4" t="s">
        <v>7</v>
      </c>
      <c r="V18" s="4" t="s">
        <v>7</v>
      </c>
      <c r="W18" s="4" t="s">
        <v>7</v>
      </c>
      <c r="X18" s="4" t="s">
        <v>7</v>
      </c>
      <c r="Y18" s="4" t="s">
        <v>7</v>
      </c>
      <c r="Z18" s="4" t="s">
        <v>7</v>
      </c>
      <c r="AA18" s="4" t="s">
        <v>5</v>
      </c>
      <c r="AB18" s="5" t="s">
        <v>5</v>
      </c>
    </row>
    <row r="19" spans="1:28" x14ac:dyDescent="0.2">
      <c r="A19" s="43" t="s">
        <v>57</v>
      </c>
      <c r="B19" s="43"/>
      <c r="C19" s="43"/>
      <c r="D19" s="43"/>
      <c r="E19" s="44"/>
      <c r="F19" s="6"/>
      <c r="G19" s="6"/>
      <c r="H19" s="6"/>
      <c r="I19" s="9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8"/>
    </row>
    <row r="20" spans="1:28" x14ac:dyDescent="0.2">
      <c r="A20" s="43"/>
      <c r="B20" s="43"/>
      <c r="C20" s="43"/>
      <c r="D20" s="43"/>
      <c r="E20" s="44"/>
      <c r="F20" s="6"/>
      <c r="G20" s="6"/>
      <c r="H20" s="6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8"/>
    </row>
    <row r="21" spans="1:28" x14ac:dyDescent="0.2">
      <c r="A21" s="43" t="s">
        <v>95</v>
      </c>
      <c r="B21" s="43"/>
      <c r="C21" s="43"/>
      <c r="D21" s="43"/>
      <c r="E21" s="44"/>
      <c r="F21" s="6"/>
      <c r="G21" s="6"/>
      <c r="H21" s="6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8"/>
    </row>
    <row r="22" spans="1:28" x14ac:dyDescent="0.2">
      <c r="A22" s="43"/>
      <c r="B22" s="43"/>
      <c r="C22" s="43"/>
      <c r="D22" s="43"/>
      <c r="E22" s="44"/>
      <c r="F22" s="6"/>
      <c r="G22" s="6"/>
      <c r="H22" s="6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8"/>
    </row>
    <row r="23" spans="1:28" x14ac:dyDescent="0.2">
      <c r="A23" s="43" t="s">
        <v>71</v>
      </c>
      <c r="B23" s="43"/>
      <c r="C23" s="43"/>
      <c r="D23" s="43"/>
      <c r="E23" s="44"/>
      <c r="F23" s="6"/>
      <c r="G23" s="6"/>
      <c r="H23" s="6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8"/>
    </row>
    <row r="24" spans="1:28" x14ac:dyDescent="0.2">
      <c r="A24" s="46">
        <v>65948.37</v>
      </c>
      <c r="B24" s="42"/>
      <c r="C24" s="4" t="s">
        <v>32</v>
      </c>
      <c r="D24" s="77">
        <v>66249.820000000007</v>
      </c>
      <c r="E24" s="77"/>
      <c r="F24" s="6" t="s">
        <v>40</v>
      </c>
      <c r="G24" s="6">
        <f>D24-A24</f>
        <v>301.45000000001164</v>
      </c>
      <c r="H24" s="16">
        <f>(I24*9)/G24</f>
        <v>23.538231879249381</v>
      </c>
      <c r="I24" s="12">
        <f>ROUNDUP((7095.1/9),1)</f>
        <v>788.4</v>
      </c>
      <c r="J24" s="7">
        <f>I24</f>
        <v>788.4</v>
      </c>
      <c r="K24" s="7">
        <f>I24</f>
        <v>788.4</v>
      </c>
      <c r="L24" s="7"/>
      <c r="M24" s="7"/>
      <c r="N24" s="7">
        <v>19</v>
      </c>
      <c r="O24" s="7">
        <f>ROUNDUP((I24*(5.5/36)),1)</f>
        <v>120.5</v>
      </c>
      <c r="P24" s="7">
        <f>ROUNDUP((I24*(6/36)),1)</f>
        <v>131.4</v>
      </c>
      <c r="Q24" s="7">
        <f>ROUNDUP(((((G24+N24)*(8.5/12))/9)*0.025),1)</f>
        <v>0.7</v>
      </c>
      <c r="R24" s="7">
        <f>ROUNDUP((2*I24*0.06),1)</f>
        <v>94.699999999999989</v>
      </c>
      <c r="S24" s="7"/>
      <c r="T24" s="7"/>
      <c r="U24" s="7"/>
      <c r="V24" s="7">
        <f>X24+Y24</f>
        <v>71.3</v>
      </c>
      <c r="W24" s="7"/>
      <c r="X24" s="7">
        <f>ROUNDUP((I24*(1.5/36)),1)</f>
        <v>32.9</v>
      </c>
      <c r="Y24" s="7">
        <f>ROUNDUP((I24*(1.75/36)),1)</f>
        <v>38.4</v>
      </c>
      <c r="Z24" s="7"/>
      <c r="AA24" s="7"/>
      <c r="AB24" s="8"/>
    </row>
    <row r="25" spans="1:28" x14ac:dyDescent="0.2">
      <c r="A25" s="45"/>
      <c r="B25" s="45"/>
      <c r="C25" s="45"/>
      <c r="D25" s="45"/>
      <c r="E25" s="46"/>
      <c r="F25" s="6"/>
      <c r="G25" s="6"/>
      <c r="H25" s="16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8"/>
    </row>
    <row r="26" spans="1:28" x14ac:dyDescent="0.2">
      <c r="A26" s="45" t="s">
        <v>72</v>
      </c>
      <c r="B26" s="45"/>
      <c r="C26" s="45"/>
      <c r="D26" s="45"/>
      <c r="E26" s="46"/>
      <c r="F26" s="6"/>
      <c r="G26" s="6"/>
      <c r="H26" s="6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8"/>
    </row>
    <row r="27" spans="1:28" x14ac:dyDescent="0.2">
      <c r="A27" s="46">
        <v>65948.37</v>
      </c>
      <c r="B27" s="42"/>
      <c r="C27" s="4" t="s">
        <v>32</v>
      </c>
      <c r="D27" s="77">
        <v>66249.820000000007</v>
      </c>
      <c r="E27" s="77"/>
      <c r="F27" s="6" t="s">
        <v>40</v>
      </c>
      <c r="G27" s="6">
        <f>D27-A27</f>
        <v>301.45000000001164</v>
      </c>
      <c r="H27" s="16">
        <v>5</v>
      </c>
      <c r="I27" s="7">
        <f>ROUNDUP(((H27*G27)/9),1)</f>
        <v>167.5</v>
      </c>
      <c r="J27" s="12">
        <f>ROUNDUP((1337.32/9),1)</f>
        <v>148.6</v>
      </c>
      <c r="K27" s="7">
        <f>ROUNDUP(((G27*(H27+(18/12)))/9),1)</f>
        <v>217.79999999999998</v>
      </c>
      <c r="L27" s="7"/>
      <c r="M27" s="7"/>
      <c r="N27" s="7">
        <v>4</v>
      </c>
      <c r="O27" s="7">
        <f>ROUNDUP((((G27*(H27+(4/12)))/9)*(5.5/36)),1)</f>
        <v>27.3</v>
      </c>
      <c r="P27" s="7">
        <f>ROUNDUP((((G27*(H27+(10/12)))/9)*(6/36)),1)</f>
        <v>32.6</v>
      </c>
      <c r="Q27" s="7">
        <f>ROUNDUP((((N27*(8.75/12))/9)*0.025),1)</f>
        <v>0.1</v>
      </c>
      <c r="R27" s="7">
        <f>ROUNDUP(((((G27*(H27+4/12))/9)+I27)*0.06),1)</f>
        <v>20.8</v>
      </c>
      <c r="S27" s="7"/>
      <c r="T27" s="7"/>
      <c r="U27" s="7"/>
      <c r="V27" s="7"/>
      <c r="W27" s="7"/>
      <c r="X27" s="7">
        <f>ROUNDUP((I27*(1.5/36)),1)</f>
        <v>7</v>
      </c>
      <c r="Y27" s="7">
        <f>ROUNDUP((I27*(1.75/36)),1)</f>
        <v>8.1999999999999993</v>
      </c>
      <c r="Z27" s="7"/>
      <c r="AA27" s="7"/>
      <c r="AB27" s="8"/>
    </row>
    <row r="28" spans="1:28" x14ac:dyDescent="0.2">
      <c r="A28" s="45"/>
      <c r="B28" s="45"/>
      <c r="C28" s="45"/>
      <c r="D28" s="45"/>
      <c r="E28" s="46"/>
      <c r="F28" s="6"/>
      <c r="G28" s="6"/>
      <c r="H28" s="6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8"/>
    </row>
    <row r="29" spans="1:28" x14ac:dyDescent="0.2">
      <c r="A29" s="45" t="s">
        <v>74</v>
      </c>
      <c r="B29" s="45"/>
      <c r="C29" s="45"/>
      <c r="D29" s="45"/>
      <c r="E29" s="46"/>
      <c r="F29" s="6"/>
      <c r="G29" s="6"/>
      <c r="H29" s="16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8"/>
    </row>
    <row r="30" spans="1:28" x14ac:dyDescent="0.2">
      <c r="A30" s="46">
        <v>65948.37</v>
      </c>
      <c r="B30" s="42"/>
      <c r="C30" s="4" t="s">
        <v>32</v>
      </c>
      <c r="D30" s="77">
        <v>66249.820000000007</v>
      </c>
      <c r="E30" s="77"/>
      <c r="F30" s="6" t="s">
        <v>40</v>
      </c>
      <c r="G30" s="6">
        <f>D30-A30</f>
        <v>301.45000000001164</v>
      </c>
      <c r="H30" s="6">
        <v>2</v>
      </c>
      <c r="I30" s="7">
        <f>ROUNDUP(((H30*G30)/9),1)</f>
        <v>67</v>
      </c>
      <c r="J30" s="7"/>
      <c r="K30" s="7"/>
      <c r="L30" s="7"/>
      <c r="M30" s="7"/>
      <c r="N30" s="7"/>
      <c r="O30" s="7"/>
      <c r="P30" s="7"/>
      <c r="Q30" s="7"/>
      <c r="R30" s="7"/>
      <c r="S30" s="7"/>
      <c r="T30" s="7">
        <f>ROUNDUP((I30*0.4),1)</f>
        <v>26.8</v>
      </c>
      <c r="U30" s="7"/>
      <c r="V30" s="7"/>
      <c r="W30" s="7"/>
      <c r="X30" s="7"/>
      <c r="Y30" s="7"/>
      <c r="Z30" s="7">
        <f>ROUNDUP((I30*(2/36)),1)</f>
        <v>3.8000000000000003</v>
      </c>
      <c r="AA30" s="7"/>
      <c r="AB30" s="8"/>
    </row>
    <row r="31" spans="1:28" x14ac:dyDescent="0.2">
      <c r="A31" s="45"/>
      <c r="B31" s="45"/>
      <c r="C31" s="45"/>
      <c r="D31" s="45"/>
      <c r="E31" s="46"/>
      <c r="F31" s="6"/>
      <c r="G31" s="6"/>
      <c r="H31" s="16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8"/>
    </row>
    <row r="32" spans="1:28" x14ac:dyDescent="0.2">
      <c r="A32" s="45"/>
      <c r="B32" s="45"/>
      <c r="C32" s="45"/>
      <c r="D32" s="45"/>
      <c r="E32" s="46"/>
      <c r="F32" s="6"/>
      <c r="G32" s="6"/>
      <c r="H32" s="16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8"/>
    </row>
    <row r="33" spans="1:28" x14ac:dyDescent="0.2">
      <c r="A33" s="43" t="s">
        <v>73</v>
      </c>
      <c r="B33" s="43"/>
      <c r="C33" s="43"/>
      <c r="D33" s="43"/>
      <c r="E33" s="44"/>
      <c r="F33" s="6"/>
      <c r="G33" s="6"/>
      <c r="H33" s="6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8"/>
    </row>
    <row r="34" spans="1:28" x14ac:dyDescent="0.2">
      <c r="A34" s="46">
        <v>66874.63</v>
      </c>
      <c r="B34" s="42"/>
      <c r="C34" s="4" t="s">
        <v>32</v>
      </c>
      <c r="D34" s="78">
        <v>67133.429999999993</v>
      </c>
      <c r="E34" s="78"/>
      <c r="F34" s="6" t="s">
        <v>40</v>
      </c>
      <c r="G34" s="6">
        <f>D34-A34</f>
        <v>258.79999999998836</v>
      </c>
      <c r="H34" s="16">
        <f>(I34*9)/G34</f>
        <v>19.648377125194084</v>
      </c>
      <c r="I34" s="12">
        <f>ROUNDUP((5084.66/9),1)</f>
        <v>565</v>
      </c>
      <c r="J34" s="7">
        <f>I34</f>
        <v>565</v>
      </c>
      <c r="K34" s="7">
        <f>I34</f>
        <v>565</v>
      </c>
      <c r="L34" s="7"/>
      <c r="M34" s="7"/>
      <c r="N34" s="7">
        <v>19</v>
      </c>
      <c r="O34" s="7">
        <f>ROUNDUP((I34*(5.5/36)),1)</f>
        <v>86.399999999999991</v>
      </c>
      <c r="P34" s="7">
        <f>ROUNDUP((I34*(6/36)),1)</f>
        <v>94.199999999999989</v>
      </c>
      <c r="Q34" s="7">
        <f>ROUNDUP(((((G34+N34)*(8.5/12))/9)*0.025),1)</f>
        <v>0.6</v>
      </c>
      <c r="R34" s="7">
        <f>ROUNDUP((2*I34*0.06),1)</f>
        <v>67.8</v>
      </c>
      <c r="S34" s="7"/>
      <c r="T34" s="7"/>
      <c r="U34" s="7"/>
      <c r="V34" s="7">
        <f>X34+Y34</f>
        <v>51.1</v>
      </c>
      <c r="W34" s="7"/>
      <c r="X34" s="7">
        <f>ROUNDUP((I34*(1.5/36)),1)</f>
        <v>23.6</v>
      </c>
      <c r="Y34" s="7">
        <f>ROUNDUP((I34*(1.75/36)),1)</f>
        <v>27.5</v>
      </c>
      <c r="Z34" s="7"/>
      <c r="AA34" s="7"/>
      <c r="AB34" s="8"/>
    </row>
    <row r="35" spans="1:28" x14ac:dyDescent="0.2">
      <c r="A35" s="45"/>
      <c r="B35" s="45"/>
      <c r="C35" s="45"/>
      <c r="D35" s="45"/>
      <c r="E35" s="46"/>
      <c r="F35" s="6"/>
      <c r="G35" s="6"/>
      <c r="H35" s="6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8"/>
    </row>
    <row r="36" spans="1:28" x14ac:dyDescent="0.2">
      <c r="A36" s="45" t="s">
        <v>81</v>
      </c>
      <c r="B36" s="45"/>
      <c r="C36" s="45"/>
      <c r="D36" s="45"/>
      <c r="E36" s="46"/>
      <c r="F36" s="6"/>
      <c r="G36" s="6"/>
      <c r="H36" s="6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8"/>
    </row>
    <row r="37" spans="1:28" x14ac:dyDescent="0.2">
      <c r="A37" s="46">
        <v>66874.63</v>
      </c>
      <c r="B37" s="42"/>
      <c r="C37" s="4" t="s">
        <v>32</v>
      </c>
      <c r="D37" s="78">
        <v>67133.429999999993</v>
      </c>
      <c r="E37" s="78"/>
      <c r="F37" s="6" t="s">
        <v>40</v>
      </c>
      <c r="G37" s="6">
        <f>D37-A37</f>
        <v>258.79999999998836</v>
      </c>
      <c r="H37" s="16">
        <v>6.75</v>
      </c>
      <c r="I37" s="7">
        <f>ROUNDUP(((H37*G37)/9),1)</f>
        <v>194.1</v>
      </c>
      <c r="J37" s="12">
        <f>ROUNDUP((1927.21/9),1)</f>
        <v>214.2</v>
      </c>
      <c r="K37" s="7">
        <f>ROUNDUP(((G37*(H37+(18/12)))/9),1)</f>
        <v>237.29999999999998</v>
      </c>
      <c r="L37" s="7"/>
      <c r="M37" s="7"/>
      <c r="N37" s="7">
        <v>5.5</v>
      </c>
      <c r="O37" s="7">
        <f>ROUNDUP((((G37*(H37+(4/12)))/9)*(5.5/36)),1)</f>
        <v>31.200000000000003</v>
      </c>
      <c r="P37" s="7">
        <f>ROUNDUP((((G37*(H37+(10/12)))/9)*(6/36)),1)</f>
        <v>36.4</v>
      </c>
      <c r="Q37" s="7">
        <f>ROUNDUP((((N37*(8.75/12))/9)*0.025),1)</f>
        <v>0.1</v>
      </c>
      <c r="R37" s="7">
        <f>ROUNDUP(((((G37*(H37+4/12))/9)+I37)*0.06),1)</f>
        <v>23.900000000000002</v>
      </c>
      <c r="S37" s="7"/>
      <c r="T37" s="7"/>
      <c r="U37" s="7"/>
      <c r="V37" s="7"/>
      <c r="W37" s="7"/>
      <c r="X37" s="7">
        <f>ROUNDUP((I37*(1.5/36)),1)</f>
        <v>8.1</v>
      </c>
      <c r="Y37" s="7">
        <f>ROUNDUP((I37*(1.75/36)),1)</f>
        <v>9.5</v>
      </c>
      <c r="Z37" s="7"/>
      <c r="AA37" s="7"/>
      <c r="AB37" s="8"/>
    </row>
    <row r="38" spans="1:28" x14ac:dyDescent="0.2">
      <c r="A38" s="45"/>
      <c r="B38" s="45"/>
      <c r="C38" s="45"/>
      <c r="D38" s="45"/>
      <c r="E38" s="46"/>
      <c r="F38" s="6"/>
      <c r="G38" s="6"/>
      <c r="H38" s="6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8"/>
    </row>
    <row r="39" spans="1:28" x14ac:dyDescent="0.2">
      <c r="A39" s="45" t="s">
        <v>82</v>
      </c>
      <c r="B39" s="45"/>
      <c r="C39" s="45"/>
      <c r="D39" s="45"/>
      <c r="E39" s="46"/>
      <c r="F39" s="6"/>
      <c r="G39" s="6"/>
      <c r="H39" s="6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Z39" s="7"/>
      <c r="AA39" s="7"/>
      <c r="AB39" s="8"/>
    </row>
    <row r="40" spans="1:28" x14ac:dyDescent="0.2">
      <c r="A40" s="46">
        <v>66874.63</v>
      </c>
      <c r="B40" s="42"/>
      <c r="C40" s="4" t="s">
        <v>32</v>
      </c>
      <c r="D40" s="78">
        <v>67133.429999999993</v>
      </c>
      <c r="E40" s="78"/>
      <c r="F40" s="6" t="s">
        <v>40</v>
      </c>
      <c r="G40" s="6">
        <f>D40-A40</f>
        <v>258.79999999998836</v>
      </c>
      <c r="H40" s="6">
        <v>2</v>
      </c>
      <c r="I40" s="7">
        <f>ROUNDUP(((H40*G40)/9),1)</f>
        <v>57.6</v>
      </c>
      <c r="J40" s="7"/>
      <c r="K40" s="7"/>
      <c r="L40" s="7"/>
      <c r="M40" s="7"/>
      <c r="N40" s="7"/>
      <c r="O40" s="7"/>
      <c r="P40" s="7"/>
      <c r="Q40" s="7"/>
      <c r="R40" s="7"/>
      <c r="S40" s="7"/>
      <c r="T40" s="7">
        <f>ROUNDUP((I40*0.4),1)</f>
        <v>23.1</v>
      </c>
      <c r="U40" s="7"/>
      <c r="V40" s="7"/>
      <c r="W40" s="7"/>
      <c r="X40" s="7"/>
      <c r="Y40" s="7"/>
      <c r="Z40" s="7">
        <f>ROUNDUP((I40*(2/36)),1)</f>
        <v>3.2</v>
      </c>
      <c r="AA40" s="7"/>
      <c r="AB40" s="8"/>
    </row>
    <row r="41" spans="1:28" x14ac:dyDescent="0.2">
      <c r="A41" s="45"/>
      <c r="B41" s="45"/>
      <c r="C41" s="45"/>
      <c r="D41" s="45"/>
      <c r="E41" s="46"/>
      <c r="F41" s="6"/>
      <c r="G41" s="6"/>
      <c r="H41" s="6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8"/>
    </row>
    <row r="42" spans="1:28" x14ac:dyDescent="0.2">
      <c r="A42" s="45"/>
      <c r="B42" s="45"/>
      <c r="C42" s="45"/>
      <c r="D42" s="45"/>
      <c r="E42" s="46"/>
      <c r="F42" s="6"/>
      <c r="G42" s="6"/>
      <c r="H42" s="6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8"/>
    </row>
    <row r="43" spans="1:28" x14ac:dyDescent="0.2">
      <c r="A43" s="43" t="s">
        <v>75</v>
      </c>
      <c r="B43" s="43"/>
      <c r="C43" s="43"/>
      <c r="D43" s="43"/>
      <c r="E43" s="44"/>
      <c r="F43" s="6"/>
      <c r="G43" s="6"/>
      <c r="H43" s="6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8"/>
    </row>
    <row r="44" spans="1:28" x14ac:dyDescent="0.2">
      <c r="A44" s="46">
        <v>68873.429999999993</v>
      </c>
      <c r="B44" s="42"/>
      <c r="C44" s="4" t="s">
        <v>32</v>
      </c>
      <c r="D44" s="79">
        <v>69141.11</v>
      </c>
      <c r="E44" s="79"/>
      <c r="F44" s="6" t="s">
        <v>40</v>
      </c>
      <c r="G44" s="6">
        <f>D44-A44</f>
        <v>267.68000000000757</v>
      </c>
      <c r="H44" s="16">
        <f>(I44*9)/G44</f>
        <v>22.745442319186445</v>
      </c>
      <c r="I44" s="7">
        <f>ROUNDUP((6088.22/9),1)</f>
        <v>676.5</v>
      </c>
      <c r="J44" s="7">
        <f>I44</f>
        <v>676.5</v>
      </c>
      <c r="K44" s="7">
        <f>I44</f>
        <v>676.5</v>
      </c>
      <c r="L44" s="7"/>
      <c r="M44" s="7"/>
      <c r="N44" s="7">
        <v>19</v>
      </c>
      <c r="O44" s="7">
        <f>ROUNDUP((I44*(5.5/36)),1)</f>
        <v>103.39999999999999</v>
      </c>
      <c r="P44" s="7">
        <f>ROUNDUP((I44*(6/36)),1)</f>
        <v>112.8</v>
      </c>
      <c r="Q44" s="7">
        <f>ROUNDUP(((((G44+N44)*(8.5/12))/9)*0.025),1)</f>
        <v>0.6</v>
      </c>
      <c r="R44" s="7">
        <f>ROUNDUP((2*I44*0.06),1)</f>
        <v>81.199999999999989</v>
      </c>
      <c r="S44" s="7"/>
      <c r="T44" s="7"/>
      <c r="U44" s="7"/>
      <c r="V44" s="7">
        <f>X44+Y44</f>
        <v>61.1</v>
      </c>
      <c r="W44" s="7"/>
      <c r="X44" s="7">
        <f>ROUNDUP((I44*(1.5/36)),1)</f>
        <v>28.200000000000003</v>
      </c>
      <c r="Y44" s="7">
        <f>ROUNDUP((I44*(1.75/36)),1)</f>
        <v>32.9</v>
      </c>
      <c r="Z44" s="7"/>
      <c r="AA44" s="7"/>
      <c r="AB44" s="8"/>
    </row>
    <row r="45" spans="1:28" x14ac:dyDescent="0.2">
      <c r="A45" s="45"/>
      <c r="B45" s="45"/>
      <c r="C45" s="45"/>
      <c r="D45" s="45"/>
      <c r="E45" s="46"/>
      <c r="F45" s="6"/>
      <c r="G45" s="6"/>
      <c r="H45" s="6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8"/>
    </row>
    <row r="46" spans="1:28" x14ac:dyDescent="0.2">
      <c r="A46" s="45" t="s">
        <v>76</v>
      </c>
      <c r="B46" s="45"/>
      <c r="C46" s="45"/>
      <c r="D46" s="45"/>
      <c r="E46" s="46"/>
      <c r="F46" s="6"/>
      <c r="G46" s="6"/>
      <c r="H46" s="6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8"/>
    </row>
    <row r="47" spans="1:28" x14ac:dyDescent="0.2">
      <c r="A47" s="46">
        <v>68873.429999999993</v>
      </c>
      <c r="B47" s="42"/>
      <c r="C47" s="4" t="s">
        <v>32</v>
      </c>
      <c r="D47" s="79">
        <v>69141.11</v>
      </c>
      <c r="E47" s="79"/>
      <c r="F47" s="6" t="s">
        <v>40</v>
      </c>
      <c r="G47" s="6">
        <f>D47-A47</f>
        <v>267.68000000000757</v>
      </c>
      <c r="H47" s="6">
        <v>4</v>
      </c>
      <c r="I47" s="7">
        <f>ROUNDUP(((H47*G47)/9),1)</f>
        <v>119</v>
      </c>
      <c r="J47" s="12">
        <f>ROUNDUP((957.804/9),1)</f>
        <v>106.5</v>
      </c>
      <c r="K47" s="7">
        <f>ROUNDUP(((G47*(H47+(18/12)))/9),1)</f>
        <v>163.6</v>
      </c>
      <c r="L47" s="7"/>
      <c r="M47" s="7"/>
      <c r="N47" s="7">
        <v>4</v>
      </c>
      <c r="O47" s="7">
        <f>ROUNDUP((((G47*(H47+(4/12)))/9)*(5.5/36)),1)</f>
        <v>19.700000000000003</v>
      </c>
      <c r="P47" s="7">
        <f>ROUNDUP((((G47*(H47+(10/12)))/9)*(6/36)),1)</f>
        <v>24</v>
      </c>
      <c r="Q47" s="7">
        <f>ROUNDUP((((N47*(8.75/12))/9)*0.025),1)</f>
        <v>0.1</v>
      </c>
      <c r="R47" s="7">
        <f>ROUNDUP(((((G47*(H47+4/12))/9)+I47)*0.06),1)</f>
        <v>14.9</v>
      </c>
      <c r="S47" s="7"/>
      <c r="T47" s="7"/>
      <c r="U47" s="7"/>
      <c r="V47" s="7"/>
      <c r="W47" s="7"/>
      <c r="X47" s="7">
        <f>ROUNDUP((I47*(1.5/36)),1)</f>
        <v>5</v>
      </c>
      <c r="Y47" s="7">
        <f>ROUNDUP((I47*(1.75/36)),1)</f>
        <v>5.8</v>
      </c>
      <c r="Z47" s="7"/>
      <c r="AA47" s="7"/>
      <c r="AB47" s="8"/>
    </row>
    <row r="48" spans="1:28" x14ac:dyDescent="0.2">
      <c r="A48" s="45"/>
      <c r="B48" s="45"/>
      <c r="C48" s="45"/>
      <c r="D48" s="45"/>
      <c r="E48" s="46"/>
      <c r="F48" s="6"/>
      <c r="G48" s="6"/>
      <c r="H48" s="6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  <c r="AA48" s="7"/>
      <c r="AB48" s="8"/>
    </row>
    <row r="49" spans="1:28" x14ac:dyDescent="0.2">
      <c r="A49" s="45" t="s">
        <v>77</v>
      </c>
      <c r="B49" s="45"/>
      <c r="C49" s="45"/>
      <c r="D49" s="45"/>
      <c r="E49" s="46"/>
      <c r="F49" s="6"/>
      <c r="G49" s="6"/>
      <c r="H49" s="6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8"/>
    </row>
    <row r="50" spans="1:28" x14ac:dyDescent="0.2">
      <c r="A50" s="46">
        <v>68873.429999999993</v>
      </c>
      <c r="B50" s="42"/>
      <c r="C50" s="4" t="s">
        <v>32</v>
      </c>
      <c r="D50" s="79">
        <v>69141.11</v>
      </c>
      <c r="E50" s="79"/>
      <c r="F50" s="6" t="s">
        <v>40</v>
      </c>
      <c r="G50" s="6">
        <f>D50-A50</f>
        <v>267.68000000000757</v>
      </c>
      <c r="H50" s="6">
        <v>2</v>
      </c>
      <c r="I50" s="7">
        <f>ROUNDUP(((H50*G50)/9),1)</f>
        <v>59.5</v>
      </c>
      <c r="J50" s="7"/>
      <c r="K50" s="7"/>
      <c r="L50" s="7"/>
      <c r="M50" s="7"/>
      <c r="N50" s="7"/>
      <c r="O50" s="7"/>
      <c r="P50" s="7"/>
      <c r="Q50" s="7"/>
      <c r="R50" s="7"/>
      <c r="S50" s="7"/>
      <c r="T50" s="7">
        <f>ROUNDUP((I50*0.4),1)</f>
        <v>23.8</v>
      </c>
      <c r="U50" s="7"/>
      <c r="V50" s="7"/>
      <c r="W50" s="7"/>
      <c r="X50" s="7"/>
      <c r="Y50" s="7"/>
      <c r="Z50" s="7">
        <f>ROUNDUP((I50*(2/36)),1)</f>
        <v>3.4</v>
      </c>
      <c r="AA50" s="7"/>
      <c r="AB50" s="8"/>
    </row>
    <row r="51" spans="1:28" x14ac:dyDescent="0.2">
      <c r="A51" s="45"/>
      <c r="B51" s="45"/>
      <c r="C51" s="45"/>
      <c r="D51" s="45"/>
      <c r="E51" s="46"/>
      <c r="F51" s="6"/>
      <c r="G51" s="6"/>
      <c r="H51" s="6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8"/>
    </row>
    <row r="52" spans="1:28" x14ac:dyDescent="0.2">
      <c r="A52" s="45"/>
      <c r="B52" s="45"/>
      <c r="C52" s="45"/>
      <c r="D52" s="45"/>
      <c r="E52" s="46"/>
      <c r="F52" s="6"/>
      <c r="G52" s="6"/>
      <c r="H52" s="16"/>
      <c r="I52" s="7"/>
      <c r="J52" s="1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8"/>
    </row>
    <row r="53" spans="1:28" x14ac:dyDescent="0.2">
      <c r="A53" s="43" t="s">
        <v>78</v>
      </c>
      <c r="B53" s="43"/>
      <c r="C53" s="43"/>
      <c r="D53" s="43"/>
      <c r="E53" s="44"/>
      <c r="F53" s="6"/>
      <c r="G53" s="6"/>
      <c r="H53" s="6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  <c r="AB53" s="8"/>
    </row>
    <row r="54" spans="1:28" x14ac:dyDescent="0.2">
      <c r="A54" s="46">
        <v>70277.11</v>
      </c>
      <c r="B54" s="42"/>
      <c r="C54" s="4" t="s">
        <v>32</v>
      </c>
      <c r="D54" s="80">
        <v>70533.429999999993</v>
      </c>
      <c r="E54" s="80"/>
      <c r="F54" s="6" t="s">
        <v>40</v>
      </c>
      <c r="G54" s="6">
        <f>D54-A54</f>
        <v>256.31999999999243</v>
      </c>
      <c r="H54" s="16">
        <f>(I54*9)/G54</f>
        <v>19.582162921348893</v>
      </c>
      <c r="I54" s="7">
        <f>ROUNDUP((5018.92/9),1)</f>
        <v>557.70000000000005</v>
      </c>
      <c r="J54" s="7">
        <f>I54</f>
        <v>557.70000000000005</v>
      </c>
      <c r="K54" s="7">
        <f>I54</f>
        <v>557.70000000000005</v>
      </c>
      <c r="L54" s="7"/>
      <c r="M54" s="7"/>
      <c r="N54" s="7">
        <v>19</v>
      </c>
      <c r="O54" s="7">
        <f>ROUNDUP((I54*(5.5/36)),1)</f>
        <v>85.3</v>
      </c>
      <c r="P54" s="7">
        <f>ROUNDUP((I54*(6/36)),1)</f>
        <v>93</v>
      </c>
      <c r="Q54" s="7">
        <f>ROUNDUP(((((G54+N54)*(8.5/12))/9)*0.025),1)</f>
        <v>0.6</v>
      </c>
      <c r="R54" s="7">
        <f>ROUNDUP((2*I54*0.06),1)</f>
        <v>67</v>
      </c>
      <c r="S54" s="7"/>
      <c r="T54" s="7"/>
      <c r="U54" s="7"/>
      <c r="V54" s="7">
        <f>X54+Y54</f>
        <v>50.5</v>
      </c>
      <c r="W54" s="7"/>
      <c r="X54" s="7">
        <f>ROUNDUP((I54*(1.5/36)),1)</f>
        <v>23.3</v>
      </c>
      <c r="Y54" s="7">
        <f>ROUNDUP((I54*(1.75/36)),1)</f>
        <v>27.200000000000003</v>
      </c>
      <c r="Z54" s="7"/>
      <c r="AA54" s="7"/>
      <c r="AB54" s="8"/>
    </row>
    <row r="55" spans="1:28" x14ac:dyDescent="0.2">
      <c r="A55" s="45"/>
      <c r="B55" s="45"/>
      <c r="C55" s="45"/>
      <c r="D55" s="45"/>
      <c r="E55" s="46"/>
      <c r="F55" s="6"/>
      <c r="G55" s="6"/>
      <c r="H55" s="6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  <c r="AA55" s="7"/>
      <c r="AB55" s="8"/>
    </row>
    <row r="56" spans="1:28" x14ac:dyDescent="0.2">
      <c r="A56" s="45" t="s">
        <v>79</v>
      </c>
      <c r="B56" s="45"/>
      <c r="C56" s="45"/>
      <c r="D56" s="45"/>
      <c r="E56" s="46"/>
      <c r="F56" s="6"/>
      <c r="G56" s="6"/>
      <c r="H56" s="6"/>
      <c r="I56" s="7"/>
      <c r="J56" s="7"/>
      <c r="K56" s="7"/>
      <c r="L56" s="7"/>
      <c r="M56" s="7"/>
      <c r="N56" s="7"/>
      <c r="O56" s="7"/>
      <c r="P56" s="7"/>
      <c r="Q56" s="7"/>
      <c r="R56" s="7"/>
      <c r="S56" s="7"/>
      <c r="T56" s="7"/>
      <c r="U56" s="7"/>
      <c r="V56" s="7"/>
      <c r="W56" s="7"/>
      <c r="X56" s="7"/>
      <c r="Y56" s="7"/>
      <c r="Z56" s="7"/>
      <c r="AA56" s="7"/>
      <c r="AB56" s="8"/>
    </row>
    <row r="57" spans="1:28" x14ac:dyDescent="0.2">
      <c r="A57" s="46">
        <v>70277.11</v>
      </c>
      <c r="B57" s="42"/>
      <c r="C57" s="4" t="s">
        <v>32</v>
      </c>
      <c r="D57" s="80">
        <v>70533.429999999993</v>
      </c>
      <c r="E57" s="80"/>
      <c r="F57" s="6" t="s">
        <v>40</v>
      </c>
      <c r="G57" s="6">
        <f>D57-A57</f>
        <v>256.31999999999243</v>
      </c>
      <c r="H57" s="16">
        <v>6.25</v>
      </c>
      <c r="I57" s="7">
        <f>ROUNDUP(((H57*G57)/9),1)</f>
        <v>178</v>
      </c>
      <c r="J57" s="12">
        <f>ROUNDUP((1753.39/9),1)</f>
        <v>194.9</v>
      </c>
      <c r="K57" s="7">
        <f>ROUNDUP(((G57*(H57+(18/12)))/9),1)</f>
        <v>220.79999999999998</v>
      </c>
      <c r="L57" s="7"/>
      <c r="M57" s="7"/>
      <c r="N57" s="7">
        <v>4.5</v>
      </c>
      <c r="O57" s="7">
        <f>ROUNDUP((((G57*(H57+(4/12)))/9)*(5.5/36)),1)</f>
        <v>28.700000000000003</v>
      </c>
      <c r="P57" s="7">
        <f>ROUNDUP((((G57*(H57+(10/12)))/9)*(6/36)),1)</f>
        <v>33.700000000000003</v>
      </c>
      <c r="Q57" s="7">
        <f>ROUNDUP((((N57*(8.75/12))/9)*0.025),1)</f>
        <v>0.1</v>
      </c>
      <c r="R57" s="7">
        <f>ROUNDUP(((((G57*(H57+4/12))/9)+I57)*0.06),1)</f>
        <v>22</v>
      </c>
      <c r="S57" s="7"/>
      <c r="T57" s="7"/>
      <c r="U57" s="7"/>
      <c r="V57" s="7"/>
      <c r="W57" s="7"/>
      <c r="X57" s="7">
        <f>ROUNDUP((I57*(1.5/36)),1)</f>
        <v>7.5</v>
      </c>
      <c r="Y57" s="7">
        <f>ROUNDUP((I57*(1.75/36)),1)</f>
        <v>8.6999999999999993</v>
      </c>
      <c r="Z57" s="7"/>
      <c r="AA57" s="7"/>
      <c r="AB57" s="8"/>
    </row>
    <row r="58" spans="1:28" x14ac:dyDescent="0.2">
      <c r="A58" s="45"/>
      <c r="B58" s="45"/>
      <c r="C58" s="45"/>
      <c r="D58" s="45"/>
      <c r="E58" s="46"/>
      <c r="F58" s="6"/>
      <c r="G58" s="6"/>
      <c r="H58" s="6"/>
      <c r="I58" s="7"/>
      <c r="J58" s="7"/>
      <c r="K58" s="7"/>
      <c r="L58" s="7"/>
      <c r="M58" s="7"/>
      <c r="N58" s="7"/>
      <c r="O58" s="7"/>
      <c r="P58" s="7"/>
      <c r="Q58" s="7"/>
      <c r="R58" s="7"/>
      <c r="S58" s="7"/>
      <c r="T58" s="7"/>
      <c r="U58" s="7"/>
      <c r="V58" s="7"/>
      <c r="W58" s="7"/>
      <c r="X58" s="7"/>
      <c r="Y58" s="7"/>
      <c r="Z58" s="7"/>
      <c r="AA58" s="7"/>
      <c r="AB58" s="8"/>
    </row>
    <row r="59" spans="1:28" x14ac:dyDescent="0.2">
      <c r="A59" s="45" t="s">
        <v>80</v>
      </c>
      <c r="B59" s="45"/>
      <c r="C59" s="45"/>
      <c r="D59" s="45"/>
      <c r="E59" s="46"/>
      <c r="F59" s="6"/>
      <c r="G59" s="6"/>
      <c r="H59" s="6"/>
      <c r="I59" s="7"/>
      <c r="J59" s="7"/>
      <c r="K59" s="7"/>
      <c r="L59" s="7"/>
      <c r="M59" s="7"/>
      <c r="N59" s="7"/>
      <c r="O59" s="7"/>
      <c r="P59" s="7"/>
      <c r="Q59" s="7"/>
      <c r="R59" s="7"/>
      <c r="S59" s="7"/>
      <c r="T59" s="7"/>
      <c r="U59" s="7"/>
      <c r="V59" s="7"/>
      <c r="W59" s="7"/>
      <c r="X59" s="7"/>
      <c r="Y59" s="7"/>
      <c r="Z59" s="7"/>
      <c r="AA59" s="7"/>
      <c r="AB59" s="8"/>
    </row>
    <row r="60" spans="1:28" x14ac:dyDescent="0.2">
      <c r="A60" s="46">
        <v>70277.11</v>
      </c>
      <c r="B60" s="42"/>
      <c r="C60" s="4" t="s">
        <v>32</v>
      </c>
      <c r="D60" s="80">
        <v>70533.429999999993</v>
      </c>
      <c r="E60" s="80"/>
      <c r="F60" s="6" t="s">
        <v>40</v>
      </c>
      <c r="G60" s="6">
        <f>D60-A60</f>
        <v>256.31999999999243</v>
      </c>
      <c r="H60" s="6">
        <v>2</v>
      </c>
      <c r="I60" s="7">
        <f>ROUNDUP(((H60*G60)/9),1)</f>
        <v>57</v>
      </c>
      <c r="J60" s="7"/>
      <c r="K60" s="7"/>
      <c r="L60" s="7"/>
      <c r="M60" s="7"/>
      <c r="N60" s="7"/>
      <c r="O60" s="7"/>
      <c r="P60" s="7"/>
      <c r="Q60" s="7"/>
      <c r="R60" s="7"/>
      <c r="S60" s="7"/>
      <c r="T60" s="7">
        <f>ROUNDUP((I60*0.4),1)</f>
        <v>22.8</v>
      </c>
      <c r="U60" s="7"/>
      <c r="V60" s="7"/>
      <c r="W60" s="7"/>
      <c r="X60" s="7"/>
      <c r="Y60" s="7"/>
      <c r="Z60" s="7">
        <f>ROUNDUP((I60*(2/36)),1)</f>
        <v>3.2</v>
      </c>
      <c r="AA60" s="7"/>
      <c r="AB60" s="8"/>
    </row>
    <row r="61" spans="1:28" x14ac:dyDescent="0.2">
      <c r="A61" s="45"/>
      <c r="B61" s="45"/>
      <c r="C61" s="45"/>
      <c r="D61" s="45"/>
      <c r="E61" s="46"/>
      <c r="F61" s="6"/>
      <c r="G61" s="6"/>
      <c r="H61" s="6"/>
      <c r="I61" s="7"/>
      <c r="J61" s="17"/>
      <c r="K61" s="7"/>
      <c r="L61" s="7"/>
      <c r="M61" s="7"/>
      <c r="N61" s="7"/>
      <c r="O61" s="7"/>
      <c r="P61" s="7"/>
      <c r="Q61" s="7"/>
      <c r="R61" s="7"/>
      <c r="S61" s="7"/>
      <c r="T61" s="7"/>
      <c r="U61" s="7"/>
      <c r="V61" s="7"/>
      <c r="W61" s="7"/>
      <c r="X61" s="7"/>
      <c r="Y61" s="7"/>
      <c r="Z61" s="7"/>
      <c r="AA61" s="7"/>
      <c r="AB61" s="8"/>
    </row>
    <row r="62" spans="1:28" x14ac:dyDescent="0.2">
      <c r="A62" s="45"/>
      <c r="B62" s="45"/>
      <c r="C62" s="45"/>
      <c r="D62" s="45"/>
      <c r="E62" s="46"/>
      <c r="F62" s="6"/>
      <c r="G62" s="6"/>
      <c r="H62" s="6"/>
      <c r="I62" s="7"/>
      <c r="J62" s="17"/>
      <c r="K62" s="7"/>
      <c r="L62" s="7"/>
      <c r="M62" s="7"/>
      <c r="N62" s="7"/>
      <c r="O62" s="7"/>
      <c r="P62" s="7"/>
      <c r="Q62" s="7"/>
      <c r="R62" s="7"/>
      <c r="S62" s="7"/>
      <c r="T62" s="7"/>
      <c r="U62" s="7"/>
      <c r="V62" s="7"/>
      <c r="W62" s="7"/>
      <c r="X62" s="7"/>
      <c r="Y62" s="7"/>
      <c r="Z62" s="7"/>
      <c r="AA62" s="7"/>
      <c r="AB62" s="8"/>
    </row>
    <row r="63" spans="1:28" x14ac:dyDescent="0.2">
      <c r="A63" s="45"/>
      <c r="B63" s="45"/>
      <c r="C63" s="45"/>
      <c r="D63" s="45"/>
      <c r="E63" s="46"/>
      <c r="F63" s="6"/>
      <c r="G63" s="6"/>
      <c r="H63" s="6"/>
      <c r="I63" s="7"/>
      <c r="J63" s="17"/>
      <c r="K63" s="7"/>
      <c r="L63" s="7"/>
      <c r="M63" s="7"/>
      <c r="N63" s="7"/>
      <c r="O63" s="7"/>
      <c r="P63" s="7"/>
      <c r="Q63" s="7"/>
      <c r="R63" s="7"/>
      <c r="S63" s="7"/>
      <c r="T63" s="7"/>
      <c r="U63" s="7"/>
      <c r="V63" s="7"/>
      <c r="W63" s="7"/>
      <c r="X63" s="7"/>
      <c r="Y63" s="7"/>
      <c r="Z63" s="7"/>
      <c r="AA63" s="7"/>
      <c r="AB63" s="8"/>
    </row>
    <row r="64" spans="1:28" x14ac:dyDescent="0.2">
      <c r="A64" s="45"/>
      <c r="B64" s="45"/>
      <c r="C64" s="45"/>
      <c r="D64" s="45"/>
      <c r="E64" s="46"/>
      <c r="F64" s="6"/>
      <c r="G64" s="6"/>
      <c r="H64" s="6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8"/>
    </row>
    <row r="65" spans="1:28" x14ac:dyDescent="0.2">
      <c r="A65" s="45"/>
      <c r="B65" s="45"/>
      <c r="C65" s="45"/>
      <c r="D65" s="45"/>
      <c r="E65" s="46"/>
      <c r="F65" s="6"/>
      <c r="G65" s="6"/>
      <c r="H65" s="6"/>
      <c r="I65" s="7"/>
      <c r="J65" s="7"/>
      <c r="K65" s="7"/>
      <c r="L65" s="7"/>
      <c r="M65" s="7"/>
      <c r="N65" s="7"/>
      <c r="O65" s="7"/>
      <c r="P65" s="7"/>
      <c r="Q65" s="7"/>
      <c r="R65" s="7"/>
      <c r="S65" s="7"/>
      <c r="T65" s="7"/>
      <c r="U65" s="7"/>
      <c r="V65" s="7"/>
      <c r="W65" s="7"/>
      <c r="X65" s="7"/>
      <c r="Y65" s="7"/>
      <c r="Z65" s="7"/>
      <c r="AA65" s="7"/>
      <c r="AB65" s="8"/>
    </row>
    <row r="66" spans="1:28" x14ac:dyDescent="0.2">
      <c r="A66" s="45"/>
      <c r="B66" s="45"/>
      <c r="C66" s="45"/>
      <c r="D66" s="45"/>
      <c r="E66" s="46"/>
      <c r="F66" s="6"/>
      <c r="G66" s="6"/>
      <c r="H66" s="6"/>
      <c r="I66" s="7"/>
      <c r="J66" s="7"/>
      <c r="K66" s="7"/>
      <c r="L66" s="7"/>
      <c r="M66" s="7"/>
      <c r="N66" s="7"/>
      <c r="O66" s="7"/>
      <c r="P66" s="7"/>
      <c r="Q66" s="7"/>
      <c r="R66" s="7"/>
      <c r="S66" s="7"/>
      <c r="T66" s="7"/>
      <c r="U66" s="7"/>
      <c r="V66" s="7"/>
      <c r="W66" s="7"/>
      <c r="X66" s="7"/>
      <c r="Y66" s="7"/>
      <c r="Z66" s="7"/>
      <c r="AA66" s="7"/>
      <c r="AB66" s="8"/>
    </row>
    <row r="67" spans="1:28" x14ac:dyDescent="0.2">
      <c r="A67" s="45"/>
      <c r="B67" s="45"/>
      <c r="C67" s="45"/>
      <c r="D67" s="45"/>
      <c r="E67" s="46"/>
      <c r="F67" s="6"/>
      <c r="G67" s="6"/>
      <c r="H67" s="6"/>
      <c r="I67" s="7"/>
      <c r="J67" s="7"/>
      <c r="K67" s="7"/>
      <c r="L67" s="7"/>
      <c r="M67" s="7"/>
      <c r="N67" s="7"/>
      <c r="O67" s="7"/>
      <c r="P67" s="7"/>
      <c r="Q67" s="7"/>
      <c r="R67" s="7"/>
      <c r="S67" s="7"/>
      <c r="T67" s="7"/>
      <c r="U67" s="7"/>
      <c r="V67" s="7"/>
      <c r="W67" s="7"/>
      <c r="X67" s="7"/>
      <c r="Y67" s="7"/>
      <c r="Z67" s="7"/>
      <c r="AA67" s="7"/>
      <c r="AB67" s="8"/>
    </row>
    <row r="68" spans="1:28" x14ac:dyDescent="0.2">
      <c r="A68" s="45"/>
      <c r="B68" s="45"/>
      <c r="C68" s="45"/>
      <c r="D68" s="45"/>
      <c r="E68" s="46"/>
      <c r="F68" s="6"/>
      <c r="G68" s="6"/>
      <c r="H68" s="6"/>
      <c r="I68" s="7"/>
      <c r="J68" s="7"/>
      <c r="K68" s="7"/>
      <c r="L68" s="7"/>
      <c r="M68" s="7"/>
      <c r="N68" s="7"/>
      <c r="O68" s="7"/>
      <c r="P68" s="7"/>
      <c r="Q68" s="7"/>
      <c r="R68" s="7"/>
      <c r="S68" s="7"/>
      <c r="T68" s="7"/>
      <c r="U68" s="7"/>
      <c r="V68" s="7"/>
      <c r="W68" s="7"/>
      <c r="X68" s="7"/>
      <c r="Y68" s="7"/>
      <c r="Z68" s="7"/>
      <c r="AA68" s="7"/>
      <c r="AB68" s="8"/>
    </row>
    <row r="69" spans="1:28" x14ac:dyDescent="0.2">
      <c r="A69" s="45"/>
      <c r="B69" s="45"/>
      <c r="C69" s="45"/>
      <c r="D69" s="45"/>
      <c r="E69" s="46"/>
      <c r="F69" s="6"/>
      <c r="G69" s="6"/>
      <c r="H69" s="6"/>
      <c r="I69" s="7"/>
      <c r="J69" s="7"/>
      <c r="K69" s="7"/>
      <c r="L69" s="7"/>
      <c r="M69" s="7"/>
      <c r="N69" s="7"/>
      <c r="O69" s="7"/>
      <c r="P69" s="7"/>
      <c r="Q69" s="7"/>
      <c r="R69" s="7"/>
      <c r="S69" s="7"/>
      <c r="T69" s="7"/>
      <c r="U69" s="7"/>
      <c r="V69" s="7"/>
      <c r="W69" s="7"/>
      <c r="X69" s="7"/>
      <c r="Y69" s="7"/>
      <c r="Z69" s="7"/>
      <c r="AA69" s="7"/>
      <c r="AB69" s="8"/>
    </row>
    <row r="70" spans="1:28" x14ac:dyDescent="0.2">
      <c r="A70" s="45"/>
      <c r="B70" s="45"/>
      <c r="C70" s="45"/>
      <c r="D70" s="45"/>
      <c r="E70" s="46"/>
      <c r="F70" s="6"/>
      <c r="G70" s="6"/>
      <c r="H70" s="6"/>
      <c r="I70" s="7"/>
      <c r="J70" s="7"/>
      <c r="K70" s="7"/>
      <c r="L70" s="7"/>
      <c r="M70" s="7"/>
      <c r="N70" s="7"/>
      <c r="O70" s="7"/>
      <c r="P70" s="7"/>
      <c r="Q70" s="7"/>
      <c r="R70" s="7"/>
      <c r="S70" s="7"/>
      <c r="T70" s="7"/>
      <c r="U70" s="7"/>
      <c r="V70" s="7"/>
      <c r="W70" s="7"/>
      <c r="X70" s="7"/>
      <c r="Y70" s="7"/>
      <c r="Z70" s="7"/>
      <c r="AA70" s="7"/>
      <c r="AB70" s="8"/>
    </row>
    <row r="71" spans="1:28" x14ac:dyDescent="0.2">
      <c r="A71" s="45"/>
      <c r="B71" s="45"/>
      <c r="C71" s="45"/>
      <c r="D71" s="45"/>
      <c r="E71" s="46"/>
      <c r="F71" s="6"/>
      <c r="G71" s="6"/>
      <c r="H71" s="6"/>
      <c r="I71" s="7"/>
      <c r="J71" s="7"/>
      <c r="K71" s="7"/>
      <c r="L71" s="7"/>
      <c r="M71" s="7"/>
      <c r="N71" s="7"/>
      <c r="O71" s="7"/>
      <c r="P71" s="7"/>
      <c r="Q71" s="7"/>
      <c r="R71" s="7"/>
      <c r="S71" s="7"/>
      <c r="T71" s="7"/>
      <c r="U71" s="7"/>
      <c r="V71" s="7"/>
      <c r="W71" s="7"/>
      <c r="X71" s="7"/>
      <c r="Y71" s="7"/>
      <c r="Z71" s="7"/>
      <c r="AA71" s="7"/>
      <c r="AB71" s="8"/>
    </row>
    <row r="72" spans="1:28" x14ac:dyDescent="0.2">
      <c r="A72" s="45"/>
      <c r="B72" s="45"/>
      <c r="C72" s="45"/>
      <c r="D72" s="45"/>
      <c r="E72" s="46"/>
      <c r="F72" s="6"/>
      <c r="G72" s="6"/>
      <c r="H72" s="6"/>
      <c r="I72" s="7"/>
      <c r="J72" s="7"/>
      <c r="K72" s="7"/>
      <c r="L72" s="7"/>
      <c r="M72" s="7"/>
      <c r="N72" s="7"/>
      <c r="O72" s="7"/>
      <c r="P72" s="7"/>
      <c r="Q72" s="7"/>
      <c r="R72" s="7"/>
      <c r="S72" s="7"/>
      <c r="T72" s="7"/>
      <c r="U72" s="7"/>
      <c r="V72" s="7"/>
      <c r="W72" s="7"/>
      <c r="X72" s="7"/>
      <c r="Y72" s="7"/>
      <c r="Z72" s="7"/>
      <c r="AA72" s="7"/>
      <c r="AB72" s="8"/>
    </row>
    <row r="73" spans="1:28" x14ac:dyDescent="0.2">
      <c r="A73" s="45"/>
      <c r="B73" s="45"/>
      <c r="C73" s="45"/>
      <c r="D73" s="45"/>
      <c r="E73" s="46"/>
      <c r="F73" s="6"/>
      <c r="G73" s="6"/>
      <c r="H73" s="6"/>
      <c r="I73" s="7"/>
      <c r="J73" s="7"/>
      <c r="K73" s="7"/>
      <c r="L73" s="7"/>
      <c r="M73" s="7"/>
      <c r="N73" s="7"/>
      <c r="O73" s="7"/>
      <c r="P73" s="7"/>
      <c r="Q73" s="7"/>
      <c r="R73" s="7"/>
      <c r="S73" s="7"/>
      <c r="T73" s="7"/>
      <c r="U73" s="7"/>
      <c r="V73" s="7"/>
      <c r="W73" s="7"/>
      <c r="X73" s="7"/>
      <c r="Y73" s="7"/>
      <c r="Z73" s="7"/>
      <c r="AA73" s="7"/>
      <c r="AB73" s="8"/>
    </row>
    <row r="74" spans="1:28" ht="12.75" customHeight="1" x14ac:dyDescent="0.2">
      <c r="A74" s="37" t="s">
        <v>132</v>
      </c>
      <c r="B74" s="38"/>
      <c r="C74" s="38"/>
      <c r="D74" s="38"/>
      <c r="E74" s="38"/>
      <c r="F74" s="38"/>
      <c r="G74" s="38"/>
      <c r="H74" s="38"/>
      <c r="I74" s="38"/>
      <c r="J74" s="48">
        <f t="shared" ref="J74:P74" si="0">ROUNDUP(SUM(J19:J73),0)</f>
        <v>3252</v>
      </c>
      <c r="K74" s="48">
        <f t="shared" si="0"/>
        <v>3428</v>
      </c>
      <c r="L74" s="48">
        <f t="shared" si="0"/>
        <v>0</v>
      </c>
      <c r="M74" s="48">
        <f t="shared" si="0"/>
        <v>0</v>
      </c>
      <c r="N74" s="48">
        <f t="shared" si="0"/>
        <v>94</v>
      </c>
      <c r="O74" s="48">
        <f t="shared" si="0"/>
        <v>503</v>
      </c>
      <c r="P74" s="48">
        <f t="shared" si="0"/>
        <v>559</v>
      </c>
      <c r="Q74" s="51">
        <f>ROUNDUP(SUM(Q19:S73),0)</f>
        <v>396</v>
      </c>
      <c r="R74" s="62"/>
      <c r="S74" s="63"/>
      <c r="T74" s="48">
        <f>ROUNDUP(SUM(T19:T73),0)</f>
        <v>97</v>
      </c>
      <c r="U74" s="48">
        <f t="shared" ref="U74:AB74" si="1">ROUNDUP(SUM(U19:U73),0)</f>
        <v>0</v>
      </c>
      <c r="V74" s="48">
        <f t="shared" si="1"/>
        <v>234</v>
      </c>
      <c r="W74" s="48">
        <f t="shared" si="1"/>
        <v>0</v>
      </c>
      <c r="X74" s="48">
        <f t="shared" si="1"/>
        <v>136</v>
      </c>
      <c r="Y74" s="48">
        <f t="shared" si="1"/>
        <v>159</v>
      </c>
      <c r="Z74" s="48">
        <f t="shared" si="1"/>
        <v>14</v>
      </c>
      <c r="AA74" s="48">
        <f t="shared" si="1"/>
        <v>0</v>
      </c>
      <c r="AB74" s="50">
        <f t="shared" si="1"/>
        <v>0</v>
      </c>
    </row>
    <row r="75" spans="1:28" ht="12.75" customHeight="1" x14ac:dyDescent="0.2">
      <c r="A75" s="58"/>
      <c r="B75" s="59"/>
      <c r="C75" s="59"/>
      <c r="D75" s="59"/>
      <c r="E75" s="59"/>
      <c r="F75" s="59"/>
      <c r="G75" s="59"/>
      <c r="H75" s="59"/>
      <c r="I75" s="59"/>
      <c r="J75" s="49"/>
      <c r="K75" s="49"/>
      <c r="L75" s="49"/>
      <c r="M75" s="49"/>
      <c r="N75" s="49"/>
      <c r="O75" s="49"/>
      <c r="P75" s="49"/>
      <c r="Q75" s="64"/>
      <c r="R75" s="65"/>
      <c r="S75" s="66"/>
      <c r="T75" s="49"/>
      <c r="U75" s="49"/>
      <c r="V75" s="49"/>
      <c r="W75" s="49"/>
      <c r="X75" s="49"/>
      <c r="Y75" s="49"/>
      <c r="Z75" s="49"/>
      <c r="AA75" s="49"/>
      <c r="AB75" s="51"/>
    </row>
  </sheetData>
  <mergeCells count="109">
    <mergeCell ref="A74:I75"/>
    <mergeCell ref="J74:J75"/>
    <mergeCell ref="K74:K75"/>
    <mergeCell ref="L74:L75"/>
    <mergeCell ref="A70:E70"/>
    <mergeCell ref="AA74:AA75"/>
    <mergeCell ref="AB74:AB75"/>
    <mergeCell ref="U74:U75"/>
    <mergeCell ref="V74:V75"/>
    <mergeCell ref="W74:W75"/>
    <mergeCell ref="X74:X75"/>
    <mergeCell ref="Y74:Y75"/>
    <mergeCell ref="Z74:Z75"/>
    <mergeCell ref="M74:M75"/>
    <mergeCell ref="N74:N75"/>
    <mergeCell ref="O74:O75"/>
    <mergeCell ref="P74:P75"/>
    <mergeCell ref="Q74:S75"/>
    <mergeCell ref="T74:T75"/>
    <mergeCell ref="A71:E71"/>
    <mergeCell ref="A72:E72"/>
    <mergeCell ref="A73:E73"/>
    <mergeCell ref="A68:E68"/>
    <mergeCell ref="A69:E69"/>
    <mergeCell ref="A57:B57"/>
    <mergeCell ref="D57:E57"/>
    <mergeCell ref="A55:E55"/>
    <mergeCell ref="A56:E56"/>
    <mergeCell ref="A58:E58"/>
    <mergeCell ref="A59:E59"/>
    <mergeCell ref="A54:B54"/>
    <mergeCell ref="D54:E54"/>
    <mergeCell ref="A67:E67"/>
    <mergeCell ref="A61:E61"/>
    <mergeCell ref="A62:E62"/>
    <mergeCell ref="A63:E63"/>
    <mergeCell ref="A60:B60"/>
    <mergeCell ref="D60:E60"/>
    <mergeCell ref="A64:E64"/>
    <mergeCell ref="A65:E65"/>
    <mergeCell ref="A66:E66"/>
    <mergeCell ref="A47:B47"/>
    <mergeCell ref="D47:E47"/>
    <mergeCell ref="A48:E48"/>
    <mergeCell ref="A49:E49"/>
    <mergeCell ref="A50:B50"/>
    <mergeCell ref="D50:E50"/>
    <mergeCell ref="A52:E52"/>
    <mergeCell ref="A53:E53"/>
    <mergeCell ref="A51:E51"/>
    <mergeCell ref="A46:E46"/>
    <mergeCell ref="A41:E41"/>
    <mergeCell ref="A37:B37"/>
    <mergeCell ref="D37:E37"/>
    <mergeCell ref="A34:B34"/>
    <mergeCell ref="D34:E34"/>
    <mergeCell ref="A33:E33"/>
    <mergeCell ref="A36:E36"/>
    <mergeCell ref="A31:E31"/>
    <mergeCell ref="A35:E35"/>
    <mergeCell ref="A32:E32"/>
    <mergeCell ref="A45:E45"/>
    <mergeCell ref="A39:E39"/>
    <mergeCell ref="A38:E38"/>
    <mergeCell ref="A40:B40"/>
    <mergeCell ref="D40:E40"/>
    <mergeCell ref="A42:E42"/>
    <mergeCell ref="A43:E43"/>
    <mergeCell ref="A44:B44"/>
    <mergeCell ref="D44:E44"/>
    <mergeCell ref="A1:E18"/>
    <mergeCell ref="F1:F18"/>
    <mergeCell ref="G1:G18"/>
    <mergeCell ref="H1:H18"/>
    <mergeCell ref="I1:I18"/>
    <mergeCell ref="J2:J17"/>
    <mergeCell ref="A30:B30"/>
    <mergeCell ref="D30:E30"/>
    <mergeCell ref="A27:B27"/>
    <mergeCell ref="D27:E27"/>
    <mergeCell ref="A26:E26"/>
    <mergeCell ref="A25:E25"/>
    <mergeCell ref="A28:E28"/>
    <mergeCell ref="A29:E29"/>
    <mergeCell ref="A19:E19"/>
    <mergeCell ref="A20:E20"/>
    <mergeCell ref="A23:E23"/>
    <mergeCell ref="A24:B24"/>
    <mergeCell ref="D24:E24"/>
    <mergeCell ref="A22:E22"/>
    <mergeCell ref="A21:E21"/>
    <mergeCell ref="AA2:AA17"/>
    <mergeCell ref="AB2:AB17"/>
    <mergeCell ref="Q2:Q16"/>
    <mergeCell ref="R2:R16"/>
    <mergeCell ref="S2:S16"/>
    <mergeCell ref="T2:T16"/>
    <mergeCell ref="U2:U16"/>
    <mergeCell ref="V2:V17"/>
    <mergeCell ref="K2:K17"/>
    <mergeCell ref="L2:L17"/>
    <mergeCell ref="M2:M17"/>
    <mergeCell ref="N2:N17"/>
    <mergeCell ref="O2:O16"/>
    <mergeCell ref="P2:P16"/>
    <mergeCell ref="W2:W16"/>
    <mergeCell ref="X2:X16"/>
    <mergeCell ref="Y2:Y16"/>
    <mergeCell ref="Z2:Z16"/>
  </mergeCells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DEFDD3-5B3E-452D-A695-E0E9F89F763B}">
  <dimension ref="A1:AB75"/>
  <sheetViews>
    <sheetView showZeros="0" topLeftCell="A31" zoomScale="85" zoomScaleNormal="85" workbookViewId="0">
      <selection activeCell="A74" sqref="A74:I75"/>
    </sheetView>
  </sheetViews>
  <sheetFormatPr defaultRowHeight="12.75" x14ac:dyDescent="0.2"/>
  <cols>
    <col min="1" max="2" width="10.7109375" style="1" customWidth="1"/>
    <col min="3" max="3" width="3.7109375" style="1" customWidth="1"/>
    <col min="4" max="5" width="10.7109375" style="1" customWidth="1"/>
    <col min="6" max="7" width="9.7109375" style="1" customWidth="1"/>
    <col min="8" max="8" width="9.7109375" style="18" customWidth="1"/>
    <col min="9" max="9" width="9.7109375" style="15" customWidth="1"/>
    <col min="10" max="28" width="9.42578125" style="1" customWidth="1"/>
    <col min="29" max="36" width="9.7109375" style="1" customWidth="1"/>
    <col min="37" max="16384" width="9.140625" style="1"/>
  </cols>
  <sheetData>
    <row r="1" spans="1:28" ht="12.75" customHeight="1" x14ac:dyDescent="0.2">
      <c r="A1" s="35" t="s">
        <v>33</v>
      </c>
      <c r="B1" s="36"/>
      <c r="C1" s="36"/>
      <c r="D1" s="36"/>
      <c r="E1" s="36"/>
      <c r="F1" s="39" t="s">
        <v>29</v>
      </c>
      <c r="G1" s="39" t="s">
        <v>30</v>
      </c>
      <c r="H1" s="81" t="s">
        <v>36</v>
      </c>
      <c r="I1" s="67" t="s">
        <v>31</v>
      </c>
      <c r="J1" s="2">
        <v>202</v>
      </c>
      <c r="K1" s="2">
        <v>206</v>
      </c>
      <c r="L1" s="2">
        <v>254</v>
      </c>
      <c r="M1" s="2">
        <v>254</v>
      </c>
      <c r="N1" s="2">
        <v>255</v>
      </c>
      <c r="O1" s="2">
        <v>302</v>
      </c>
      <c r="P1" s="2">
        <v>304</v>
      </c>
      <c r="Q1" s="2">
        <v>407</v>
      </c>
      <c r="R1" s="2">
        <v>407</v>
      </c>
      <c r="S1" s="2">
        <v>407</v>
      </c>
      <c r="T1" s="2">
        <v>408</v>
      </c>
      <c r="U1" s="2">
        <v>441</v>
      </c>
      <c r="V1" s="2">
        <v>442</v>
      </c>
      <c r="W1" s="2">
        <v>442</v>
      </c>
      <c r="X1" s="2">
        <v>442</v>
      </c>
      <c r="Y1" s="2">
        <v>442</v>
      </c>
      <c r="Z1" s="2">
        <v>617</v>
      </c>
      <c r="AA1" s="2">
        <v>874</v>
      </c>
      <c r="AB1" s="3">
        <v>874</v>
      </c>
    </row>
    <row r="2" spans="1:28" ht="12.75" customHeight="1" x14ac:dyDescent="0.2">
      <c r="A2" s="37"/>
      <c r="B2" s="38"/>
      <c r="C2" s="38"/>
      <c r="D2" s="38"/>
      <c r="E2" s="38"/>
      <c r="F2" s="40"/>
      <c r="G2" s="40"/>
      <c r="H2" s="81"/>
      <c r="I2" s="68"/>
      <c r="J2" s="29" t="s">
        <v>0</v>
      </c>
      <c r="K2" s="28" t="s">
        <v>2</v>
      </c>
      <c r="L2" s="28" t="s">
        <v>3</v>
      </c>
      <c r="M2" s="28" t="s">
        <v>6</v>
      </c>
      <c r="N2" s="29" t="s">
        <v>4</v>
      </c>
      <c r="O2" s="28" t="s">
        <v>22</v>
      </c>
      <c r="P2" s="29" t="s">
        <v>8</v>
      </c>
      <c r="Q2" s="32" t="s">
        <v>12</v>
      </c>
      <c r="R2" s="28" t="s">
        <v>11</v>
      </c>
      <c r="S2" s="28" t="s">
        <v>11</v>
      </c>
      <c r="T2" s="29" t="s">
        <v>17</v>
      </c>
      <c r="U2" s="28" t="s">
        <v>19</v>
      </c>
      <c r="V2" s="29" t="s">
        <v>21</v>
      </c>
      <c r="W2" s="28" t="s">
        <v>109</v>
      </c>
      <c r="X2" s="28" t="s">
        <v>23</v>
      </c>
      <c r="Y2" s="28" t="s">
        <v>110</v>
      </c>
      <c r="Z2" s="28" t="s">
        <v>25</v>
      </c>
      <c r="AA2" s="28" t="s">
        <v>27</v>
      </c>
      <c r="AB2" s="30" t="s">
        <v>28</v>
      </c>
    </row>
    <row r="3" spans="1:28" ht="12.75" customHeight="1" x14ac:dyDescent="0.2">
      <c r="A3" s="37"/>
      <c r="B3" s="38"/>
      <c r="C3" s="38"/>
      <c r="D3" s="38"/>
      <c r="E3" s="38"/>
      <c r="F3" s="40"/>
      <c r="G3" s="40"/>
      <c r="H3" s="81"/>
      <c r="I3" s="68"/>
      <c r="J3" s="29"/>
      <c r="K3" s="29"/>
      <c r="L3" s="29"/>
      <c r="M3" s="29"/>
      <c r="N3" s="29"/>
      <c r="O3" s="29"/>
      <c r="P3" s="29"/>
      <c r="Q3" s="33"/>
      <c r="R3" s="29"/>
      <c r="S3" s="29"/>
      <c r="T3" s="29"/>
      <c r="U3" s="29"/>
      <c r="V3" s="29"/>
      <c r="W3" s="29"/>
      <c r="X3" s="29"/>
      <c r="Y3" s="29"/>
      <c r="Z3" s="29"/>
      <c r="AA3" s="29"/>
      <c r="AB3" s="31"/>
    </row>
    <row r="4" spans="1:28" ht="12.75" customHeight="1" x14ac:dyDescent="0.2">
      <c r="A4" s="37"/>
      <c r="B4" s="38"/>
      <c r="C4" s="38"/>
      <c r="D4" s="38"/>
      <c r="E4" s="38"/>
      <c r="F4" s="40"/>
      <c r="G4" s="40"/>
      <c r="H4" s="81"/>
      <c r="I4" s="68"/>
      <c r="J4" s="29"/>
      <c r="K4" s="29"/>
      <c r="L4" s="29"/>
      <c r="M4" s="29"/>
      <c r="N4" s="29"/>
      <c r="O4" s="29"/>
      <c r="P4" s="29"/>
      <c r="Q4" s="33"/>
      <c r="R4" s="29"/>
      <c r="S4" s="29"/>
      <c r="T4" s="29"/>
      <c r="U4" s="29"/>
      <c r="V4" s="29"/>
      <c r="W4" s="29"/>
      <c r="X4" s="29"/>
      <c r="Y4" s="29"/>
      <c r="Z4" s="29"/>
      <c r="AA4" s="29"/>
      <c r="AB4" s="31"/>
    </row>
    <row r="5" spans="1:28" ht="12.75" customHeight="1" x14ac:dyDescent="0.2">
      <c r="A5" s="37"/>
      <c r="B5" s="38"/>
      <c r="C5" s="38"/>
      <c r="D5" s="38"/>
      <c r="E5" s="38"/>
      <c r="F5" s="40"/>
      <c r="G5" s="40"/>
      <c r="H5" s="81"/>
      <c r="I5" s="68"/>
      <c r="J5" s="29"/>
      <c r="K5" s="29"/>
      <c r="L5" s="29"/>
      <c r="M5" s="29"/>
      <c r="N5" s="29"/>
      <c r="O5" s="29"/>
      <c r="P5" s="29"/>
      <c r="Q5" s="33"/>
      <c r="R5" s="29"/>
      <c r="S5" s="29"/>
      <c r="T5" s="29"/>
      <c r="U5" s="29"/>
      <c r="V5" s="29"/>
      <c r="W5" s="29"/>
      <c r="X5" s="29"/>
      <c r="Y5" s="29"/>
      <c r="Z5" s="29"/>
      <c r="AA5" s="29"/>
      <c r="AB5" s="31"/>
    </row>
    <row r="6" spans="1:28" ht="12.75" customHeight="1" x14ac:dyDescent="0.2">
      <c r="A6" s="37"/>
      <c r="B6" s="38"/>
      <c r="C6" s="38"/>
      <c r="D6" s="38"/>
      <c r="E6" s="38"/>
      <c r="F6" s="40"/>
      <c r="G6" s="40"/>
      <c r="H6" s="81"/>
      <c r="I6" s="68"/>
      <c r="J6" s="29"/>
      <c r="K6" s="29"/>
      <c r="L6" s="29"/>
      <c r="M6" s="29"/>
      <c r="N6" s="29"/>
      <c r="O6" s="29"/>
      <c r="P6" s="29"/>
      <c r="Q6" s="33"/>
      <c r="R6" s="29"/>
      <c r="S6" s="29"/>
      <c r="T6" s="29"/>
      <c r="U6" s="29"/>
      <c r="V6" s="29"/>
      <c r="W6" s="29"/>
      <c r="X6" s="29"/>
      <c r="Y6" s="29"/>
      <c r="Z6" s="29"/>
      <c r="AA6" s="29"/>
      <c r="AB6" s="31"/>
    </row>
    <row r="7" spans="1:28" ht="12.75" customHeight="1" x14ac:dyDescent="0.2">
      <c r="A7" s="37"/>
      <c r="B7" s="38"/>
      <c r="C7" s="38"/>
      <c r="D7" s="38"/>
      <c r="E7" s="38"/>
      <c r="F7" s="40"/>
      <c r="G7" s="40"/>
      <c r="H7" s="81"/>
      <c r="I7" s="68"/>
      <c r="J7" s="29"/>
      <c r="K7" s="29"/>
      <c r="L7" s="29"/>
      <c r="M7" s="29"/>
      <c r="N7" s="29"/>
      <c r="O7" s="29"/>
      <c r="P7" s="29"/>
      <c r="Q7" s="33"/>
      <c r="R7" s="29"/>
      <c r="S7" s="29"/>
      <c r="T7" s="29"/>
      <c r="U7" s="29"/>
      <c r="V7" s="29"/>
      <c r="W7" s="29"/>
      <c r="X7" s="29"/>
      <c r="Y7" s="29"/>
      <c r="Z7" s="29"/>
      <c r="AA7" s="29"/>
      <c r="AB7" s="31"/>
    </row>
    <row r="8" spans="1:28" ht="12.75" customHeight="1" x14ac:dyDescent="0.2">
      <c r="A8" s="37"/>
      <c r="B8" s="38"/>
      <c r="C8" s="38"/>
      <c r="D8" s="38"/>
      <c r="E8" s="38"/>
      <c r="F8" s="40"/>
      <c r="G8" s="40"/>
      <c r="H8" s="81"/>
      <c r="I8" s="68"/>
      <c r="J8" s="29"/>
      <c r="K8" s="29"/>
      <c r="L8" s="29"/>
      <c r="M8" s="29"/>
      <c r="N8" s="29"/>
      <c r="O8" s="29"/>
      <c r="P8" s="29"/>
      <c r="Q8" s="33"/>
      <c r="R8" s="29"/>
      <c r="S8" s="29"/>
      <c r="T8" s="29"/>
      <c r="U8" s="29"/>
      <c r="V8" s="29"/>
      <c r="W8" s="29"/>
      <c r="X8" s="29"/>
      <c r="Y8" s="29"/>
      <c r="Z8" s="29"/>
      <c r="AA8" s="29"/>
      <c r="AB8" s="31"/>
    </row>
    <row r="9" spans="1:28" ht="12.75" customHeight="1" x14ac:dyDescent="0.2">
      <c r="A9" s="37"/>
      <c r="B9" s="38"/>
      <c r="C9" s="38"/>
      <c r="D9" s="38"/>
      <c r="E9" s="38"/>
      <c r="F9" s="40"/>
      <c r="G9" s="40"/>
      <c r="H9" s="81"/>
      <c r="I9" s="68"/>
      <c r="J9" s="29"/>
      <c r="K9" s="29"/>
      <c r="L9" s="29"/>
      <c r="M9" s="29"/>
      <c r="N9" s="29"/>
      <c r="O9" s="29"/>
      <c r="P9" s="29"/>
      <c r="Q9" s="33"/>
      <c r="R9" s="29"/>
      <c r="S9" s="29"/>
      <c r="T9" s="29"/>
      <c r="U9" s="29"/>
      <c r="V9" s="29"/>
      <c r="W9" s="29"/>
      <c r="X9" s="29"/>
      <c r="Y9" s="29"/>
      <c r="Z9" s="29"/>
      <c r="AA9" s="29"/>
      <c r="AB9" s="31"/>
    </row>
    <row r="10" spans="1:28" ht="12.75" customHeight="1" x14ac:dyDescent="0.2">
      <c r="A10" s="37"/>
      <c r="B10" s="38"/>
      <c r="C10" s="38"/>
      <c r="D10" s="38"/>
      <c r="E10" s="38"/>
      <c r="F10" s="40"/>
      <c r="G10" s="40"/>
      <c r="H10" s="81"/>
      <c r="I10" s="68"/>
      <c r="J10" s="29"/>
      <c r="K10" s="29"/>
      <c r="L10" s="29"/>
      <c r="M10" s="29"/>
      <c r="N10" s="29"/>
      <c r="O10" s="29"/>
      <c r="P10" s="29"/>
      <c r="Q10" s="33"/>
      <c r="R10" s="29"/>
      <c r="S10" s="29"/>
      <c r="T10" s="29"/>
      <c r="U10" s="29"/>
      <c r="V10" s="29"/>
      <c r="W10" s="29"/>
      <c r="X10" s="29"/>
      <c r="Y10" s="29"/>
      <c r="Z10" s="29"/>
      <c r="AA10" s="29"/>
      <c r="AB10" s="31"/>
    </row>
    <row r="11" spans="1:28" ht="12.75" customHeight="1" x14ac:dyDescent="0.2">
      <c r="A11" s="37"/>
      <c r="B11" s="38"/>
      <c r="C11" s="38"/>
      <c r="D11" s="38"/>
      <c r="E11" s="38"/>
      <c r="F11" s="40"/>
      <c r="G11" s="40"/>
      <c r="H11" s="81"/>
      <c r="I11" s="68"/>
      <c r="J11" s="29"/>
      <c r="K11" s="29"/>
      <c r="L11" s="29"/>
      <c r="M11" s="29"/>
      <c r="N11" s="29"/>
      <c r="O11" s="29"/>
      <c r="P11" s="29"/>
      <c r="Q11" s="33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31"/>
    </row>
    <row r="12" spans="1:28" ht="12.75" customHeight="1" x14ac:dyDescent="0.2">
      <c r="A12" s="37"/>
      <c r="B12" s="38"/>
      <c r="C12" s="38"/>
      <c r="D12" s="38"/>
      <c r="E12" s="38"/>
      <c r="F12" s="40"/>
      <c r="G12" s="40"/>
      <c r="H12" s="81"/>
      <c r="I12" s="68"/>
      <c r="J12" s="29"/>
      <c r="K12" s="29"/>
      <c r="L12" s="29"/>
      <c r="M12" s="29"/>
      <c r="N12" s="29"/>
      <c r="O12" s="29"/>
      <c r="P12" s="29"/>
      <c r="Q12" s="33"/>
      <c r="R12" s="29"/>
      <c r="S12" s="29"/>
      <c r="T12" s="29"/>
      <c r="U12" s="29"/>
      <c r="V12" s="29"/>
      <c r="W12" s="29"/>
      <c r="X12" s="29"/>
      <c r="Y12" s="29"/>
      <c r="Z12" s="29"/>
      <c r="AA12" s="29"/>
      <c r="AB12" s="31"/>
    </row>
    <row r="13" spans="1:28" ht="12.75" customHeight="1" x14ac:dyDescent="0.2">
      <c r="A13" s="37"/>
      <c r="B13" s="38"/>
      <c r="C13" s="38"/>
      <c r="D13" s="38"/>
      <c r="E13" s="38"/>
      <c r="F13" s="40"/>
      <c r="G13" s="40"/>
      <c r="H13" s="81"/>
      <c r="I13" s="68"/>
      <c r="J13" s="29"/>
      <c r="K13" s="29"/>
      <c r="L13" s="29"/>
      <c r="M13" s="29"/>
      <c r="N13" s="29"/>
      <c r="O13" s="29"/>
      <c r="P13" s="29"/>
      <c r="Q13" s="33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31"/>
    </row>
    <row r="14" spans="1:28" ht="12.75" customHeight="1" x14ac:dyDescent="0.2">
      <c r="A14" s="37"/>
      <c r="B14" s="38"/>
      <c r="C14" s="38"/>
      <c r="D14" s="38"/>
      <c r="E14" s="38"/>
      <c r="F14" s="40"/>
      <c r="G14" s="40"/>
      <c r="H14" s="81"/>
      <c r="I14" s="68"/>
      <c r="J14" s="29"/>
      <c r="K14" s="29"/>
      <c r="L14" s="29"/>
      <c r="M14" s="29"/>
      <c r="N14" s="29"/>
      <c r="O14" s="29"/>
      <c r="P14" s="29"/>
      <c r="Q14" s="33"/>
      <c r="R14" s="29"/>
      <c r="S14" s="29"/>
      <c r="T14" s="29"/>
      <c r="U14" s="29"/>
      <c r="V14" s="29"/>
      <c r="W14" s="29"/>
      <c r="X14" s="29"/>
      <c r="Y14" s="29"/>
      <c r="Z14" s="29"/>
      <c r="AA14" s="29"/>
      <c r="AB14" s="31"/>
    </row>
    <row r="15" spans="1:28" ht="12.75" customHeight="1" x14ac:dyDescent="0.2">
      <c r="A15" s="37"/>
      <c r="B15" s="38"/>
      <c r="C15" s="38"/>
      <c r="D15" s="38"/>
      <c r="E15" s="38"/>
      <c r="F15" s="40"/>
      <c r="G15" s="40"/>
      <c r="H15" s="81"/>
      <c r="I15" s="68"/>
      <c r="J15" s="29"/>
      <c r="K15" s="29"/>
      <c r="L15" s="29"/>
      <c r="M15" s="29"/>
      <c r="N15" s="29"/>
      <c r="O15" s="29"/>
      <c r="P15" s="29"/>
      <c r="Q15" s="33"/>
      <c r="R15" s="29"/>
      <c r="S15" s="29"/>
      <c r="T15" s="29"/>
      <c r="U15" s="29"/>
      <c r="V15" s="29"/>
      <c r="W15" s="29"/>
      <c r="X15" s="29"/>
      <c r="Y15" s="29"/>
      <c r="Z15" s="29"/>
      <c r="AA15" s="29"/>
      <c r="AB15" s="31"/>
    </row>
    <row r="16" spans="1:28" ht="12.75" customHeight="1" x14ac:dyDescent="0.2">
      <c r="A16" s="37"/>
      <c r="B16" s="38"/>
      <c r="C16" s="38"/>
      <c r="D16" s="38"/>
      <c r="E16" s="38"/>
      <c r="F16" s="40"/>
      <c r="G16" s="40"/>
      <c r="H16" s="81"/>
      <c r="I16" s="68"/>
      <c r="J16" s="29"/>
      <c r="K16" s="29"/>
      <c r="L16" s="29"/>
      <c r="M16" s="29"/>
      <c r="N16" s="29"/>
      <c r="O16" s="29"/>
      <c r="P16" s="29"/>
      <c r="Q16" s="34"/>
      <c r="R16" s="29"/>
      <c r="S16" s="29"/>
      <c r="T16" s="29"/>
      <c r="U16" s="29"/>
      <c r="V16" s="29"/>
      <c r="W16" s="29"/>
      <c r="X16" s="29"/>
      <c r="Y16" s="29"/>
      <c r="Z16" s="29"/>
      <c r="AA16" s="29"/>
      <c r="AB16" s="31"/>
    </row>
    <row r="17" spans="1:28" ht="12.75" customHeight="1" x14ac:dyDescent="0.2">
      <c r="A17" s="37"/>
      <c r="B17" s="38"/>
      <c r="C17" s="38"/>
      <c r="D17" s="38"/>
      <c r="E17" s="38"/>
      <c r="F17" s="40"/>
      <c r="G17" s="40"/>
      <c r="H17" s="81"/>
      <c r="I17" s="68"/>
      <c r="J17" s="29"/>
      <c r="K17" s="29"/>
      <c r="L17" s="29"/>
      <c r="M17" s="29"/>
      <c r="N17" s="29"/>
      <c r="O17" s="4" t="s">
        <v>10</v>
      </c>
      <c r="P17" s="4" t="s">
        <v>9</v>
      </c>
      <c r="Q17" s="4" t="s">
        <v>13</v>
      </c>
      <c r="R17" s="4" t="s">
        <v>15</v>
      </c>
      <c r="S17" s="4" t="s">
        <v>16</v>
      </c>
      <c r="T17" s="4" t="s">
        <v>18</v>
      </c>
      <c r="U17" s="4" t="s">
        <v>20</v>
      </c>
      <c r="V17" s="29"/>
      <c r="W17" s="4" t="s">
        <v>20</v>
      </c>
      <c r="X17" s="4" t="s">
        <v>20</v>
      </c>
      <c r="Y17" s="4" t="s">
        <v>24</v>
      </c>
      <c r="Z17" s="4" t="s">
        <v>26</v>
      </c>
      <c r="AA17" s="29"/>
      <c r="AB17" s="31"/>
    </row>
    <row r="18" spans="1:28" ht="12.75" customHeight="1" x14ac:dyDescent="0.2">
      <c r="A18" s="37"/>
      <c r="B18" s="38"/>
      <c r="C18" s="38"/>
      <c r="D18" s="38"/>
      <c r="E18" s="38"/>
      <c r="F18" s="40"/>
      <c r="G18" s="40"/>
      <c r="H18" s="82"/>
      <c r="I18" s="68"/>
      <c r="J18" s="4" t="s">
        <v>1</v>
      </c>
      <c r="K18" s="4" t="s">
        <v>1</v>
      </c>
      <c r="L18" s="4" t="s">
        <v>1</v>
      </c>
      <c r="M18" s="4" t="s">
        <v>1</v>
      </c>
      <c r="N18" s="4" t="s">
        <v>5</v>
      </c>
      <c r="O18" s="4" t="s">
        <v>7</v>
      </c>
      <c r="P18" s="4" t="s">
        <v>7</v>
      </c>
      <c r="Q18" s="4" t="s">
        <v>14</v>
      </c>
      <c r="R18" s="4" t="s">
        <v>14</v>
      </c>
      <c r="S18" s="4" t="s">
        <v>14</v>
      </c>
      <c r="T18" s="4" t="s">
        <v>14</v>
      </c>
      <c r="U18" s="4" t="s">
        <v>7</v>
      </c>
      <c r="V18" s="4" t="s">
        <v>7</v>
      </c>
      <c r="W18" s="4" t="s">
        <v>7</v>
      </c>
      <c r="X18" s="4" t="s">
        <v>7</v>
      </c>
      <c r="Y18" s="4" t="s">
        <v>7</v>
      </c>
      <c r="Z18" s="4" t="s">
        <v>7</v>
      </c>
      <c r="AA18" s="4" t="s">
        <v>5</v>
      </c>
      <c r="AB18" s="5" t="s">
        <v>5</v>
      </c>
    </row>
    <row r="19" spans="1:28" x14ac:dyDescent="0.2">
      <c r="A19" s="43" t="s">
        <v>57</v>
      </c>
      <c r="B19" s="43"/>
      <c r="C19" s="43"/>
      <c r="D19" s="43"/>
      <c r="E19" s="44"/>
      <c r="F19" s="6"/>
      <c r="G19" s="6"/>
      <c r="H19" s="6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8"/>
    </row>
    <row r="20" spans="1:28" x14ac:dyDescent="0.2">
      <c r="A20" s="43"/>
      <c r="B20" s="43"/>
      <c r="C20" s="43"/>
      <c r="D20" s="43"/>
      <c r="E20" s="44"/>
      <c r="F20" s="6"/>
      <c r="G20" s="6"/>
      <c r="H20" s="6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8"/>
    </row>
    <row r="21" spans="1:28" x14ac:dyDescent="0.2">
      <c r="A21" s="43" t="s">
        <v>85</v>
      </c>
      <c r="B21" s="43"/>
      <c r="C21" s="43"/>
      <c r="D21" s="43"/>
      <c r="E21" s="44"/>
      <c r="F21" s="6"/>
      <c r="G21" s="6"/>
      <c r="H21" s="6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8"/>
    </row>
    <row r="22" spans="1:28" x14ac:dyDescent="0.2">
      <c r="A22" s="43"/>
      <c r="B22" s="43"/>
      <c r="C22" s="43"/>
      <c r="D22" s="43"/>
      <c r="E22" s="44"/>
      <c r="F22" s="6"/>
      <c r="G22" s="6"/>
      <c r="H22" s="6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8"/>
    </row>
    <row r="23" spans="1:28" x14ac:dyDescent="0.2">
      <c r="A23" s="43" t="s">
        <v>53</v>
      </c>
      <c r="B23" s="43"/>
      <c r="C23" s="43"/>
      <c r="D23" s="43"/>
      <c r="E23" s="44"/>
      <c r="F23" s="6"/>
      <c r="G23" s="6"/>
      <c r="H23" s="6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8"/>
    </row>
    <row r="24" spans="1:28" x14ac:dyDescent="0.2">
      <c r="A24" s="46" t="s">
        <v>83</v>
      </c>
      <c r="B24" s="42"/>
      <c r="C24" s="4" t="s">
        <v>32</v>
      </c>
      <c r="D24" s="42">
        <v>62300</v>
      </c>
      <c r="E24" s="42"/>
      <c r="F24" s="6" t="s">
        <v>35</v>
      </c>
      <c r="G24" s="6">
        <v>100</v>
      </c>
      <c r="H24" s="6">
        <v>24</v>
      </c>
      <c r="I24" s="7">
        <f>ROUNDUP(((H24*G24)/9),1)</f>
        <v>266.70000000000005</v>
      </c>
      <c r="J24" s="7"/>
      <c r="K24" s="7"/>
      <c r="L24" s="7">
        <f>I24</f>
        <v>266.70000000000005</v>
      </c>
      <c r="M24" s="7"/>
      <c r="N24" s="7"/>
      <c r="O24" s="7"/>
      <c r="P24" s="7"/>
      <c r="Q24" s="7"/>
      <c r="R24" s="7"/>
      <c r="S24" s="7">
        <f>ROUNDUP((I24*0.09),1)</f>
        <v>24.1</v>
      </c>
      <c r="T24" s="7"/>
      <c r="U24" s="7"/>
      <c r="V24" s="7">
        <f>W24</f>
        <v>11.2</v>
      </c>
      <c r="W24" s="7">
        <f>ROUNDUP((I24*(1.5/36)),1)</f>
        <v>11.2</v>
      </c>
      <c r="X24" s="7"/>
      <c r="Y24" s="7"/>
      <c r="Z24" s="7"/>
      <c r="AA24" s="7"/>
      <c r="AB24" s="8"/>
    </row>
    <row r="25" spans="1:28" x14ac:dyDescent="0.2">
      <c r="A25" s="46">
        <v>62300</v>
      </c>
      <c r="B25" s="42"/>
      <c r="C25" s="4" t="s">
        <v>32</v>
      </c>
      <c r="D25" s="42">
        <v>63965</v>
      </c>
      <c r="E25" s="42"/>
      <c r="F25" s="6" t="s">
        <v>35</v>
      </c>
      <c r="G25" s="6">
        <f>D25-A25</f>
        <v>1665</v>
      </c>
      <c r="H25" s="6">
        <v>24</v>
      </c>
      <c r="I25" s="7">
        <f t="shared" ref="I25:I42" si="0">ROUNDUP(((H25*G25)/9),1)</f>
        <v>4440</v>
      </c>
      <c r="J25" s="7"/>
      <c r="K25" s="7"/>
      <c r="L25" s="7">
        <f t="shared" ref="L25:L42" si="1">I25</f>
        <v>4440</v>
      </c>
      <c r="M25" s="7"/>
      <c r="N25" s="7"/>
      <c r="O25" s="7"/>
      <c r="P25" s="7"/>
      <c r="Q25" s="7"/>
      <c r="R25" s="7"/>
      <c r="S25" s="7">
        <f t="shared" ref="S25:S42" si="2">ROUNDUP((I25*0.09),1)</f>
        <v>399.6</v>
      </c>
      <c r="T25" s="7"/>
      <c r="U25" s="7"/>
      <c r="V25" s="7">
        <f t="shared" ref="V25:V42" si="3">W25</f>
        <v>185</v>
      </c>
      <c r="W25" s="7">
        <f t="shared" ref="W25:W42" si="4">ROUNDUP((I25*(1.5/36)),1)</f>
        <v>185</v>
      </c>
      <c r="X25" s="7"/>
      <c r="Y25" s="7"/>
      <c r="Z25" s="7"/>
      <c r="AA25" s="7"/>
      <c r="AB25" s="8"/>
    </row>
    <row r="26" spans="1:28" x14ac:dyDescent="0.2">
      <c r="A26" s="46">
        <v>63965</v>
      </c>
      <c r="B26" s="42"/>
      <c r="C26" s="4" t="s">
        <v>32</v>
      </c>
      <c r="D26" s="42">
        <v>65575</v>
      </c>
      <c r="E26" s="42"/>
      <c r="F26" s="6" t="s">
        <v>35</v>
      </c>
      <c r="G26" s="6">
        <f t="shared" ref="G26:G42" si="5">D26-A26</f>
        <v>1610</v>
      </c>
      <c r="H26" s="6">
        <v>36</v>
      </c>
      <c r="I26" s="7">
        <f t="shared" si="0"/>
        <v>6440</v>
      </c>
      <c r="J26" s="7"/>
      <c r="K26" s="7"/>
      <c r="L26" s="7">
        <f t="shared" si="1"/>
        <v>6440</v>
      </c>
      <c r="M26" s="7"/>
      <c r="N26" s="7"/>
      <c r="O26" s="7"/>
      <c r="P26" s="7"/>
      <c r="Q26" s="7"/>
      <c r="R26" s="7"/>
      <c r="S26" s="7">
        <f t="shared" si="2"/>
        <v>579.6</v>
      </c>
      <c r="T26" s="7"/>
      <c r="U26" s="7"/>
      <c r="V26" s="7">
        <f t="shared" si="3"/>
        <v>268.40000000000003</v>
      </c>
      <c r="W26" s="7">
        <f t="shared" si="4"/>
        <v>268.40000000000003</v>
      </c>
      <c r="X26" s="7"/>
      <c r="Y26" s="7"/>
      <c r="Z26" s="7"/>
      <c r="AA26" s="7"/>
      <c r="AB26" s="8"/>
    </row>
    <row r="27" spans="1:28" x14ac:dyDescent="0.2">
      <c r="A27" s="46">
        <v>65575</v>
      </c>
      <c r="B27" s="42"/>
      <c r="C27" s="4" t="s">
        <v>32</v>
      </c>
      <c r="D27" s="42">
        <v>65675</v>
      </c>
      <c r="E27" s="42"/>
      <c r="F27" s="6" t="s">
        <v>35</v>
      </c>
      <c r="G27" s="6">
        <f t="shared" si="5"/>
        <v>100</v>
      </c>
      <c r="H27" s="16">
        <v>42</v>
      </c>
      <c r="I27" s="7">
        <f t="shared" si="0"/>
        <v>466.70000000000005</v>
      </c>
      <c r="J27" s="12"/>
      <c r="K27" s="7"/>
      <c r="L27" s="7">
        <f t="shared" si="1"/>
        <v>466.70000000000005</v>
      </c>
      <c r="M27" s="7"/>
      <c r="N27" s="7"/>
      <c r="O27" s="7"/>
      <c r="P27" s="7"/>
      <c r="Q27" s="7"/>
      <c r="R27" s="7"/>
      <c r="S27" s="7">
        <f t="shared" si="2"/>
        <v>42.1</v>
      </c>
      <c r="T27" s="7"/>
      <c r="U27" s="7"/>
      <c r="V27" s="7">
        <f t="shared" si="3"/>
        <v>19.5</v>
      </c>
      <c r="W27" s="7">
        <f t="shared" si="4"/>
        <v>19.5</v>
      </c>
      <c r="X27" s="7"/>
      <c r="Y27" s="7"/>
      <c r="Z27" s="7"/>
      <c r="AA27" s="7"/>
      <c r="AB27" s="8"/>
    </row>
    <row r="28" spans="1:28" x14ac:dyDescent="0.2">
      <c r="A28" s="46">
        <v>65675</v>
      </c>
      <c r="B28" s="42"/>
      <c r="C28" s="4" t="s">
        <v>32</v>
      </c>
      <c r="D28" s="42">
        <v>65806.8</v>
      </c>
      <c r="E28" s="42"/>
      <c r="F28" s="6" t="s">
        <v>35</v>
      </c>
      <c r="G28" s="6">
        <f t="shared" si="5"/>
        <v>131.80000000000291</v>
      </c>
      <c r="H28" s="6">
        <v>48</v>
      </c>
      <c r="I28" s="7">
        <f t="shared" si="0"/>
        <v>703</v>
      </c>
      <c r="J28" s="7"/>
      <c r="K28" s="7"/>
      <c r="L28" s="7">
        <f t="shared" si="1"/>
        <v>703</v>
      </c>
      <c r="M28" s="7"/>
      <c r="N28" s="7"/>
      <c r="O28" s="7"/>
      <c r="P28" s="7"/>
      <c r="Q28" s="7"/>
      <c r="R28" s="7"/>
      <c r="S28" s="7">
        <f t="shared" si="2"/>
        <v>63.300000000000004</v>
      </c>
      <c r="T28" s="7"/>
      <c r="U28" s="7"/>
      <c r="V28" s="7">
        <f t="shared" si="3"/>
        <v>29.3</v>
      </c>
      <c r="W28" s="7">
        <f t="shared" si="4"/>
        <v>29.3</v>
      </c>
      <c r="X28" s="7"/>
      <c r="Y28" s="7"/>
      <c r="Z28" s="7"/>
      <c r="AA28" s="7"/>
      <c r="AB28" s="8"/>
    </row>
    <row r="29" spans="1:28" x14ac:dyDescent="0.2">
      <c r="A29" s="46">
        <v>65806.8</v>
      </c>
      <c r="B29" s="42"/>
      <c r="C29" s="4" t="s">
        <v>32</v>
      </c>
      <c r="D29" s="42">
        <v>67938.53</v>
      </c>
      <c r="E29" s="42"/>
      <c r="F29" s="6" t="s">
        <v>35</v>
      </c>
      <c r="G29" s="6">
        <f t="shared" si="5"/>
        <v>2131.7299999999959</v>
      </c>
      <c r="H29" s="6">
        <v>36</v>
      </c>
      <c r="I29" s="7">
        <f t="shared" si="0"/>
        <v>8527</v>
      </c>
      <c r="J29" s="7"/>
      <c r="K29" s="7"/>
      <c r="L29" s="7">
        <f t="shared" si="1"/>
        <v>8527</v>
      </c>
      <c r="M29" s="7"/>
      <c r="N29" s="7"/>
      <c r="O29" s="7"/>
      <c r="P29" s="7"/>
      <c r="Q29" s="7"/>
      <c r="R29" s="7"/>
      <c r="S29" s="7">
        <f t="shared" si="2"/>
        <v>767.5</v>
      </c>
      <c r="T29" s="7"/>
      <c r="U29" s="7"/>
      <c r="V29" s="7">
        <f t="shared" si="3"/>
        <v>355.3</v>
      </c>
      <c r="W29" s="7">
        <f t="shared" si="4"/>
        <v>355.3</v>
      </c>
      <c r="X29" s="7"/>
      <c r="Y29" s="7"/>
      <c r="Z29" s="7"/>
      <c r="AA29" s="7"/>
      <c r="AB29" s="8"/>
    </row>
    <row r="30" spans="1:28" x14ac:dyDescent="0.2">
      <c r="A30" s="46">
        <v>67938.53</v>
      </c>
      <c r="B30" s="42"/>
      <c r="C30" s="4" t="s">
        <v>32</v>
      </c>
      <c r="D30" s="42">
        <v>68503.41</v>
      </c>
      <c r="E30" s="42"/>
      <c r="F30" s="6" t="s">
        <v>35</v>
      </c>
      <c r="G30" s="6">
        <f t="shared" si="5"/>
        <v>564.88000000000466</v>
      </c>
      <c r="H30" s="6">
        <v>52</v>
      </c>
      <c r="I30" s="7">
        <f t="shared" si="0"/>
        <v>3263.7999999999997</v>
      </c>
      <c r="J30" s="7"/>
      <c r="K30" s="7"/>
      <c r="L30" s="7">
        <f t="shared" si="1"/>
        <v>3263.7999999999997</v>
      </c>
      <c r="M30" s="7"/>
      <c r="N30" s="7"/>
      <c r="O30" s="7"/>
      <c r="P30" s="7"/>
      <c r="Q30" s="7"/>
      <c r="R30" s="7"/>
      <c r="S30" s="7">
        <f t="shared" si="2"/>
        <v>293.8</v>
      </c>
      <c r="T30" s="7"/>
      <c r="U30" s="7"/>
      <c r="V30" s="7">
        <f t="shared" si="3"/>
        <v>136</v>
      </c>
      <c r="W30" s="7">
        <f t="shared" si="4"/>
        <v>136</v>
      </c>
      <c r="X30" s="7"/>
      <c r="Y30" s="7"/>
      <c r="Z30" s="7"/>
      <c r="AA30" s="7"/>
      <c r="AB30" s="8"/>
    </row>
    <row r="31" spans="1:28" x14ac:dyDescent="0.2">
      <c r="A31" s="46">
        <v>68503.41</v>
      </c>
      <c r="B31" s="42"/>
      <c r="C31" s="4" t="s">
        <v>32</v>
      </c>
      <c r="D31" s="42">
        <v>71208.61</v>
      </c>
      <c r="E31" s="42"/>
      <c r="F31" s="6" t="s">
        <v>35</v>
      </c>
      <c r="G31" s="6">
        <f t="shared" si="5"/>
        <v>2705.1999999999971</v>
      </c>
      <c r="H31" s="6">
        <v>36</v>
      </c>
      <c r="I31" s="11">
        <f t="shared" si="0"/>
        <v>10820.8</v>
      </c>
      <c r="J31" s="7"/>
      <c r="K31" s="7"/>
      <c r="L31" s="11">
        <f t="shared" si="1"/>
        <v>10820.8</v>
      </c>
      <c r="M31" s="7"/>
      <c r="N31" s="7"/>
      <c r="O31" s="7"/>
      <c r="P31" s="7"/>
      <c r="Q31" s="7"/>
      <c r="R31" s="7"/>
      <c r="S31" s="7">
        <f t="shared" si="2"/>
        <v>973.9</v>
      </c>
      <c r="T31" s="7"/>
      <c r="U31" s="7"/>
      <c r="V31" s="7">
        <f t="shared" si="3"/>
        <v>450.90000000000003</v>
      </c>
      <c r="W31" s="7">
        <f t="shared" si="4"/>
        <v>450.90000000000003</v>
      </c>
      <c r="X31" s="7"/>
      <c r="Y31" s="7"/>
      <c r="Z31" s="7"/>
      <c r="AA31" s="7"/>
      <c r="AB31" s="8"/>
    </row>
    <row r="32" spans="1:28" x14ac:dyDescent="0.2">
      <c r="A32" s="46">
        <v>71208.61</v>
      </c>
      <c r="B32" s="42"/>
      <c r="C32" s="4" t="s">
        <v>32</v>
      </c>
      <c r="D32" s="42">
        <v>71400</v>
      </c>
      <c r="E32" s="42"/>
      <c r="F32" s="6" t="s">
        <v>35</v>
      </c>
      <c r="G32" s="6">
        <f t="shared" si="5"/>
        <v>191.38999999999942</v>
      </c>
      <c r="H32" s="6">
        <v>48</v>
      </c>
      <c r="I32" s="7">
        <f t="shared" si="0"/>
        <v>1020.8000000000001</v>
      </c>
      <c r="J32" s="7"/>
      <c r="K32" s="7"/>
      <c r="L32" s="7">
        <f t="shared" si="1"/>
        <v>1020.8000000000001</v>
      </c>
      <c r="M32" s="7"/>
      <c r="N32" s="7"/>
      <c r="O32" s="7"/>
      <c r="P32" s="7"/>
      <c r="Q32" s="7"/>
      <c r="R32" s="7"/>
      <c r="S32" s="7">
        <f t="shared" si="2"/>
        <v>91.899999999999991</v>
      </c>
      <c r="T32" s="7"/>
      <c r="U32" s="7"/>
      <c r="V32" s="7">
        <f t="shared" si="3"/>
        <v>42.6</v>
      </c>
      <c r="W32" s="7">
        <f t="shared" si="4"/>
        <v>42.6</v>
      </c>
      <c r="X32" s="7"/>
      <c r="Y32" s="7"/>
      <c r="Z32" s="7"/>
      <c r="AA32" s="7"/>
      <c r="AB32" s="8"/>
    </row>
    <row r="33" spans="1:28" x14ac:dyDescent="0.2">
      <c r="A33" s="46">
        <v>71400</v>
      </c>
      <c r="B33" s="42"/>
      <c r="C33" s="4" t="s">
        <v>32</v>
      </c>
      <c r="D33" s="42">
        <v>71800</v>
      </c>
      <c r="E33" s="42"/>
      <c r="F33" s="6" t="s">
        <v>35</v>
      </c>
      <c r="G33" s="6">
        <f t="shared" si="5"/>
        <v>400</v>
      </c>
      <c r="H33" s="16">
        <v>42</v>
      </c>
      <c r="I33" s="7">
        <f t="shared" si="0"/>
        <v>1866.6999999999998</v>
      </c>
      <c r="J33" s="7"/>
      <c r="K33" s="7"/>
      <c r="L33" s="7">
        <f t="shared" si="1"/>
        <v>1866.6999999999998</v>
      </c>
      <c r="M33" s="7"/>
      <c r="N33" s="7"/>
      <c r="O33" s="7"/>
      <c r="P33" s="7"/>
      <c r="Q33" s="7"/>
      <c r="R33" s="7"/>
      <c r="S33" s="7">
        <f t="shared" si="2"/>
        <v>168.1</v>
      </c>
      <c r="T33" s="7"/>
      <c r="U33" s="7"/>
      <c r="V33" s="7">
        <f t="shared" si="3"/>
        <v>77.8</v>
      </c>
      <c r="W33" s="7">
        <f t="shared" si="4"/>
        <v>77.8</v>
      </c>
      <c r="X33" s="7"/>
      <c r="Y33" s="7"/>
      <c r="Z33" s="7"/>
      <c r="AA33" s="7"/>
      <c r="AB33" s="8"/>
    </row>
    <row r="34" spans="1:28" x14ac:dyDescent="0.2">
      <c r="A34" s="46">
        <v>71800</v>
      </c>
      <c r="B34" s="42"/>
      <c r="C34" s="4" t="s">
        <v>32</v>
      </c>
      <c r="D34" s="42">
        <v>72300</v>
      </c>
      <c r="E34" s="42"/>
      <c r="F34" s="6" t="s">
        <v>35</v>
      </c>
      <c r="G34" s="6">
        <f t="shared" si="5"/>
        <v>500</v>
      </c>
      <c r="H34" s="6">
        <v>36</v>
      </c>
      <c r="I34" s="7">
        <f t="shared" si="0"/>
        <v>2000</v>
      </c>
      <c r="J34" s="7"/>
      <c r="K34" s="7"/>
      <c r="L34" s="7">
        <f t="shared" si="1"/>
        <v>2000</v>
      </c>
      <c r="M34" s="7"/>
      <c r="N34" s="7"/>
      <c r="O34" s="7"/>
      <c r="P34" s="7"/>
      <c r="Q34" s="7"/>
      <c r="R34" s="7"/>
      <c r="S34" s="7">
        <f t="shared" si="2"/>
        <v>180</v>
      </c>
      <c r="T34" s="7"/>
      <c r="U34" s="7"/>
      <c r="V34" s="7">
        <f t="shared" si="3"/>
        <v>83.399999999999991</v>
      </c>
      <c r="W34" s="7">
        <f t="shared" si="4"/>
        <v>83.399999999999991</v>
      </c>
      <c r="X34" s="7"/>
      <c r="Y34" s="7"/>
      <c r="Z34" s="7"/>
      <c r="AA34" s="7"/>
      <c r="AB34" s="8"/>
    </row>
    <row r="35" spans="1:28" x14ac:dyDescent="0.2">
      <c r="A35" s="46">
        <v>72300</v>
      </c>
      <c r="B35" s="42"/>
      <c r="C35" s="4" t="s">
        <v>32</v>
      </c>
      <c r="D35" s="42">
        <v>72400</v>
      </c>
      <c r="E35" s="42"/>
      <c r="F35" s="6" t="s">
        <v>35</v>
      </c>
      <c r="G35" s="6">
        <f t="shared" si="5"/>
        <v>100</v>
      </c>
      <c r="H35" s="16">
        <v>42</v>
      </c>
      <c r="I35" s="7">
        <f t="shared" si="0"/>
        <v>466.70000000000005</v>
      </c>
      <c r="J35" s="7"/>
      <c r="K35" s="7"/>
      <c r="L35" s="7">
        <f t="shared" si="1"/>
        <v>466.70000000000005</v>
      </c>
      <c r="M35" s="7"/>
      <c r="N35" s="7"/>
      <c r="O35" s="7"/>
      <c r="P35" s="7"/>
      <c r="Q35" s="7"/>
      <c r="R35" s="7"/>
      <c r="S35" s="7">
        <f t="shared" si="2"/>
        <v>42.1</v>
      </c>
      <c r="T35" s="7"/>
      <c r="U35" s="7"/>
      <c r="V35" s="7">
        <f t="shared" si="3"/>
        <v>19.5</v>
      </c>
      <c r="W35" s="7">
        <f t="shared" si="4"/>
        <v>19.5</v>
      </c>
      <c r="X35" s="7"/>
      <c r="Y35" s="7"/>
      <c r="Z35" s="7"/>
      <c r="AA35" s="7"/>
      <c r="AB35" s="8"/>
    </row>
    <row r="36" spans="1:28" x14ac:dyDescent="0.2">
      <c r="A36" s="46">
        <v>72400</v>
      </c>
      <c r="B36" s="42"/>
      <c r="C36" s="4" t="s">
        <v>32</v>
      </c>
      <c r="D36" s="42">
        <v>72739.5</v>
      </c>
      <c r="E36" s="42"/>
      <c r="F36" s="6" t="s">
        <v>35</v>
      </c>
      <c r="G36" s="6">
        <f t="shared" si="5"/>
        <v>339.5</v>
      </c>
      <c r="H36" s="6">
        <v>48</v>
      </c>
      <c r="I36" s="7">
        <f t="shared" si="0"/>
        <v>1810.6999999999998</v>
      </c>
      <c r="J36" s="7"/>
      <c r="K36" s="7"/>
      <c r="L36" s="7">
        <f t="shared" si="1"/>
        <v>1810.6999999999998</v>
      </c>
      <c r="M36" s="7"/>
      <c r="N36" s="7"/>
      <c r="O36" s="7"/>
      <c r="P36" s="7"/>
      <c r="Q36" s="7"/>
      <c r="R36" s="7"/>
      <c r="S36" s="7">
        <f t="shared" si="2"/>
        <v>163</v>
      </c>
      <c r="T36" s="7"/>
      <c r="U36" s="7"/>
      <c r="V36" s="7">
        <f t="shared" si="3"/>
        <v>75.5</v>
      </c>
      <c r="W36" s="7">
        <f t="shared" si="4"/>
        <v>75.5</v>
      </c>
      <c r="X36" s="7"/>
      <c r="Y36" s="7"/>
      <c r="Z36" s="7"/>
      <c r="AA36" s="7"/>
      <c r="AB36" s="8"/>
    </row>
    <row r="37" spans="1:28" x14ac:dyDescent="0.2">
      <c r="A37" s="46">
        <v>72739.5</v>
      </c>
      <c r="B37" s="42"/>
      <c r="C37" s="4" t="s">
        <v>32</v>
      </c>
      <c r="D37" s="42">
        <v>72748</v>
      </c>
      <c r="E37" s="42"/>
      <c r="F37" s="6" t="s">
        <v>35</v>
      </c>
      <c r="G37" s="6">
        <f t="shared" si="5"/>
        <v>8.5</v>
      </c>
      <c r="H37" s="16">
        <v>42</v>
      </c>
      <c r="I37" s="7">
        <f t="shared" si="0"/>
        <v>39.700000000000003</v>
      </c>
      <c r="J37" s="12"/>
      <c r="K37" s="7"/>
      <c r="L37" s="7">
        <f t="shared" si="1"/>
        <v>39.700000000000003</v>
      </c>
      <c r="M37" s="7"/>
      <c r="N37" s="7"/>
      <c r="O37" s="7"/>
      <c r="P37" s="7"/>
      <c r="Q37" s="7"/>
      <c r="R37" s="7"/>
      <c r="S37" s="7">
        <f t="shared" si="2"/>
        <v>3.6</v>
      </c>
      <c r="T37" s="7"/>
      <c r="U37" s="7"/>
      <c r="V37" s="7">
        <f t="shared" si="3"/>
        <v>1.7000000000000002</v>
      </c>
      <c r="W37" s="7">
        <f t="shared" si="4"/>
        <v>1.7000000000000002</v>
      </c>
      <c r="X37" s="7"/>
      <c r="Y37" s="7"/>
      <c r="Z37" s="7"/>
      <c r="AA37" s="7"/>
      <c r="AB37" s="8"/>
    </row>
    <row r="38" spans="1:28" x14ac:dyDescent="0.2">
      <c r="A38" s="46">
        <v>72748</v>
      </c>
      <c r="B38" s="42"/>
      <c r="C38" s="4" t="s">
        <v>32</v>
      </c>
      <c r="D38" s="42">
        <v>74761.78</v>
      </c>
      <c r="E38" s="42"/>
      <c r="F38" s="6" t="s">
        <v>35</v>
      </c>
      <c r="G38" s="6">
        <f t="shared" si="5"/>
        <v>2013.7799999999988</v>
      </c>
      <c r="H38" s="6">
        <v>36</v>
      </c>
      <c r="I38" s="7">
        <f t="shared" si="0"/>
        <v>8055.2000000000007</v>
      </c>
      <c r="J38" s="7"/>
      <c r="K38" s="7"/>
      <c r="L38" s="7">
        <f t="shared" si="1"/>
        <v>8055.2000000000007</v>
      </c>
      <c r="M38" s="7"/>
      <c r="N38" s="7"/>
      <c r="O38" s="7"/>
      <c r="P38" s="7"/>
      <c r="Q38" s="7"/>
      <c r="R38" s="7"/>
      <c r="S38" s="7">
        <f t="shared" si="2"/>
        <v>725</v>
      </c>
      <c r="T38" s="7"/>
      <c r="U38" s="7"/>
      <c r="V38" s="7">
        <f t="shared" si="3"/>
        <v>335.70000000000005</v>
      </c>
      <c r="W38" s="7">
        <f t="shared" si="4"/>
        <v>335.70000000000005</v>
      </c>
      <c r="X38" s="7"/>
      <c r="Y38" s="7"/>
      <c r="Z38" s="7"/>
      <c r="AA38" s="7"/>
      <c r="AB38" s="8"/>
    </row>
    <row r="39" spans="1:28" x14ac:dyDescent="0.2">
      <c r="A39" s="46">
        <v>75051.789999999994</v>
      </c>
      <c r="B39" s="42"/>
      <c r="C39" s="4" t="s">
        <v>32</v>
      </c>
      <c r="D39" s="42">
        <v>80336</v>
      </c>
      <c r="E39" s="42"/>
      <c r="F39" s="6" t="s">
        <v>35</v>
      </c>
      <c r="G39" s="6">
        <f t="shared" si="5"/>
        <v>5284.2100000000064</v>
      </c>
      <c r="H39" s="6">
        <v>36</v>
      </c>
      <c r="I39" s="11">
        <f t="shared" si="0"/>
        <v>21136.899999999998</v>
      </c>
      <c r="J39" s="7"/>
      <c r="K39" s="7"/>
      <c r="L39" s="11">
        <f t="shared" si="1"/>
        <v>21136.899999999998</v>
      </c>
      <c r="M39" s="7"/>
      <c r="N39" s="7"/>
      <c r="O39" s="7"/>
      <c r="P39" s="7"/>
      <c r="Q39" s="7"/>
      <c r="R39" s="7"/>
      <c r="S39" s="7">
        <f t="shared" si="2"/>
        <v>1902.3999999999999</v>
      </c>
      <c r="T39" s="7"/>
      <c r="U39" s="7"/>
      <c r="V39" s="7">
        <f t="shared" si="3"/>
        <v>880.80000000000007</v>
      </c>
      <c r="W39" s="7">
        <f t="shared" si="4"/>
        <v>880.80000000000007</v>
      </c>
      <c r="X39" s="7"/>
      <c r="Y39" s="7"/>
      <c r="Z39" s="7"/>
      <c r="AA39" s="7"/>
      <c r="AB39" s="8"/>
    </row>
    <row r="40" spans="1:28" x14ac:dyDescent="0.2">
      <c r="A40" s="46">
        <v>80336</v>
      </c>
      <c r="B40" s="42"/>
      <c r="C40" s="4" t="s">
        <v>32</v>
      </c>
      <c r="D40" s="42">
        <v>83170</v>
      </c>
      <c r="E40" s="42"/>
      <c r="F40" s="6" t="s">
        <v>35</v>
      </c>
      <c r="G40" s="6">
        <f t="shared" si="5"/>
        <v>2834</v>
      </c>
      <c r="H40" s="6">
        <v>36</v>
      </c>
      <c r="I40" s="11">
        <f t="shared" si="0"/>
        <v>11336</v>
      </c>
      <c r="J40" s="7"/>
      <c r="K40" s="7"/>
      <c r="L40" s="11">
        <f t="shared" si="1"/>
        <v>11336</v>
      </c>
      <c r="M40" s="7"/>
      <c r="N40" s="7"/>
      <c r="O40" s="7"/>
      <c r="P40" s="7"/>
      <c r="Q40" s="7"/>
      <c r="R40" s="7"/>
      <c r="S40" s="7">
        <f t="shared" si="2"/>
        <v>1020.3000000000001</v>
      </c>
      <c r="T40" s="7"/>
      <c r="U40" s="7"/>
      <c r="V40" s="7">
        <f t="shared" si="3"/>
        <v>472.40000000000003</v>
      </c>
      <c r="W40" s="7">
        <f t="shared" si="4"/>
        <v>472.40000000000003</v>
      </c>
      <c r="X40" s="7"/>
      <c r="Y40" s="7"/>
      <c r="Z40" s="7"/>
      <c r="AA40" s="7"/>
      <c r="AB40" s="8"/>
    </row>
    <row r="41" spans="1:28" x14ac:dyDescent="0.2">
      <c r="A41" s="46">
        <v>83170</v>
      </c>
      <c r="B41" s="42"/>
      <c r="C41" s="4" t="s">
        <v>32</v>
      </c>
      <c r="D41" s="42">
        <v>83378</v>
      </c>
      <c r="E41" s="42"/>
      <c r="F41" s="6" t="s">
        <v>35</v>
      </c>
      <c r="G41" s="6">
        <f t="shared" si="5"/>
        <v>208</v>
      </c>
      <c r="H41" s="6">
        <v>36</v>
      </c>
      <c r="I41" s="7">
        <f t="shared" si="0"/>
        <v>832</v>
      </c>
      <c r="J41" s="7"/>
      <c r="K41" s="7"/>
      <c r="L41" s="7">
        <f t="shared" si="1"/>
        <v>832</v>
      </c>
      <c r="M41" s="7"/>
      <c r="N41" s="7"/>
      <c r="O41" s="7"/>
      <c r="P41" s="7"/>
      <c r="Q41" s="7"/>
      <c r="R41" s="7"/>
      <c r="S41" s="7">
        <f t="shared" si="2"/>
        <v>74.899999999999991</v>
      </c>
      <c r="T41" s="7"/>
      <c r="U41" s="7"/>
      <c r="V41" s="7">
        <f t="shared" si="3"/>
        <v>34.700000000000003</v>
      </c>
      <c r="W41" s="7">
        <f t="shared" si="4"/>
        <v>34.700000000000003</v>
      </c>
      <c r="X41" s="7"/>
      <c r="Y41" s="7"/>
      <c r="Z41" s="7"/>
      <c r="AA41" s="7"/>
      <c r="AB41" s="8"/>
    </row>
    <row r="42" spans="1:28" x14ac:dyDescent="0.2">
      <c r="A42" s="46">
        <v>83378</v>
      </c>
      <c r="B42" s="42"/>
      <c r="C42" s="4" t="s">
        <v>32</v>
      </c>
      <c r="D42" s="42">
        <v>85500</v>
      </c>
      <c r="E42" s="42"/>
      <c r="F42" s="6" t="s">
        <v>35</v>
      </c>
      <c r="G42" s="6">
        <f t="shared" si="5"/>
        <v>2122</v>
      </c>
      <c r="H42" s="6">
        <v>24</v>
      </c>
      <c r="I42" s="7">
        <f t="shared" si="0"/>
        <v>5658.7000000000007</v>
      </c>
      <c r="J42" s="7"/>
      <c r="K42" s="7"/>
      <c r="L42" s="7">
        <f t="shared" si="1"/>
        <v>5658.7000000000007</v>
      </c>
      <c r="M42" s="7"/>
      <c r="N42" s="7"/>
      <c r="O42" s="7"/>
      <c r="P42" s="7"/>
      <c r="Q42" s="7"/>
      <c r="R42" s="7"/>
      <c r="S42" s="7">
        <f t="shared" si="2"/>
        <v>509.3</v>
      </c>
      <c r="T42" s="7"/>
      <c r="U42" s="7"/>
      <c r="V42" s="7">
        <f t="shared" si="3"/>
        <v>235.79999999999998</v>
      </c>
      <c r="W42" s="7">
        <f t="shared" si="4"/>
        <v>235.79999999999998</v>
      </c>
      <c r="X42" s="7"/>
      <c r="Y42" s="7"/>
      <c r="Z42" s="7"/>
      <c r="AA42" s="7"/>
      <c r="AB42" s="8"/>
    </row>
    <row r="43" spans="1:28" x14ac:dyDescent="0.2">
      <c r="A43" s="43"/>
      <c r="B43" s="43"/>
      <c r="C43" s="43"/>
      <c r="D43" s="43"/>
      <c r="E43" s="44"/>
      <c r="F43" s="6"/>
      <c r="G43" s="6"/>
      <c r="H43" s="6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8"/>
    </row>
    <row r="44" spans="1:28" x14ac:dyDescent="0.2">
      <c r="A44" s="45"/>
      <c r="B44" s="45"/>
      <c r="C44" s="45"/>
      <c r="D44" s="45"/>
      <c r="E44" s="46"/>
      <c r="F44" s="6"/>
      <c r="G44" s="6"/>
      <c r="H44" s="6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8"/>
    </row>
    <row r="45" spans="1:28" x14ac:dyDescent="0.2">
      <c r="A45" s="45" t="s">
        <v>86</v>
      </c>
      <c r="B45" s="45"/>
      <c r="C45" s="45"/>
      <c r="D45" s="45"/>
      <c r="E45" s="46"/>
      <c r="F45" s="6"/>
      <c r="G45" s="6"/>
      <c r="H45" s="6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8"/>
    </row>
    <row r="46" spans="1:28" x14ac:dyDescent="0.2">
      <c r="A46" s="46" t="s">
        <v>83</v>
      </c>
      <c r="B46" s="42"/>
      <c r="C46" s="4" t="s">
        <v>32</v>
      </c>
      <c r="D46" s="42">
        <v>62300</v>
      </c>
      <c r="E46" s="42"/>
      <c r="F46" s="6" t="s">
        <v>35</v>
      </c>
      <c r="G46" s="6">
        <v>100</v>
      </c>
      <c r="H46" s="16">
        <f>ROUNDUP(((I46*9)/G46),1)</f>
        <v>6.3</v>
      </c>
      <c r="I46" s="12">
        <f>ROUNDUP(((622.01)/9),1)</f>
        <v>69.199999999999989</v>
      </c>
      <c r="J46" s="7"/>
      <c r="K46" s="7"/>
      <c r="L46" s="7">
        <f t="shared" ref="L46" si="6">I46</f>
        <v>69.199999999999989</v>
      </c>
      <c r="M46" s="7"/>
      <c r="N46" s="7"/>
      <c r="O46" s="7"/>
      <c r="P46" s="7"/>
      <c r="Q46" s="7"/>
      <c r="R46" s="7"/>
      <c r="S46" s="7">
        <f t="shared" ref="S46" si="7">ROUNDUP((I46*0.09),1)</f>
        <v>6.3</v>
      </c>
      <c r="T46" s="7"/>
      <c r="U46" s="7"/>
      <c r="V46" s="7"/>
      <c r="W46" s="7">
        <f t="shared" ref="W46" si="8">ROUNDUP((I46*(1.5/36)),1)</f>
        <v>2.9</v>
      </c>
      <c r="X46" s="7"/>
      <c r="Y46" s="7"/>
      <c r="Z46" s="7"/>
      <c r="AA46" s="7"/>
      <c r="AB46" s="8"/>
    </row>
    <row r="47" spans="1:28" x14ac:dyDescent="0.2">
      <c r="A47" s="46">
        <v>62300</v>
      </c>
      <c r="B47" s="42"/>
      <c r="C47" s="4" t="s">
        <v>32</v>
      </c>
      <c r="D47" s="42">
        <v>63965</v>
      </c>
      <c r="E47" s="42"/>
      <c r="F47" s="6" t="s">
        <v>35</v>
      </c>
      <c r="G47" s="6">
        <f>D47-A47</f>
        <v>1665</v>
      </c>
      <c r="H47" s="16">
        <f>ROUNDUP(((I47*9)/G47),1)</f>
        <v>6.1</v>
      </c>
      <c r="I47" s="12">
        <f>ROUNDUP(((10073.4)/9),1)</f>
        <v>1119.3</v>
      </c>
      <c r="J47" s="12"/>
      <c r="K47" s="7"/>
      <c r="L47" s="7">
        <f t="shared" ref="L47:L68" si="9">I47</f>
        <v>1119.3</v>
      </c>
      <c r="M47" s="7"/>
      <c r="N47" s="7"/>
      <c r="O47" s="7"/>
      <c r="P47" s="7"/>
      <c r="Q47" s="7"/>
      <c r="R47" s="7"/>
      <c r="S47" s="7">
        <f t="shared" ref="S47:S68" si="10">ROUNDUP((I47*0.09),1)</f>
        <v>100.8</v>
      </c>
      <c r="T47" s="7"/>
      <c r="U47" s="7"/>
      <c r="V47" s="7"/>
      <c r="W47" s="7">
        <f t="shared" ref="W47:W68" si="11">ROUNDUP((I47*(1.5/36)),1)</f>
        <v>46.7</v>
      </c>
      <c r="X47" s="7"/>
      <c r="Y47" s="7"/>
      <c r="Z47" s="7"/>
      <c r="AA47" s="7"/>
      <c r="AB47" s="8"/>
    </row>
    <row r="48" spans="1:28" x14ac:dyDescent="0.2">
      <c r="A48" s="46">
        <v>63965</v>
      </c>
      <c r="B48" s="42"/>
      <c r="C48" s="4" t="s">
        <v>32</v>
      </c>
      <c r="D48" s="42">
        <v>65953</v>
      </c>
      <c r="E48" s="42"/>
      <c r="F48" s="6" t="s">
        <v>35</v>
      </c>
      <c r="G48" s="6">
        <f t="shared" ref="G48:G64" si="12">D48-A48</f>
        <v>1988</v>
      </c>
      <c r="H48" s="6">
        <v>11.6</v>
      </c>
      <c r="I48" s="7">
        <f t="shared" ref="I48:I64" si="13">ROUNDUP(((H48*G48)/9),1)</f>
        <v>2562.4</v>
      </c>
      <c r="J48" s="7"/>
      <c r="K48" s="7"/>
      <c r="L48" s="7">
        <f t="shared" si="9"/>
        <v>2562.4</v>
      </c>
      <c r="M48" s="7"/>
      <c r="N48" s="7"/>
      <c r="O48" s="7"/>
      <c r="P48" s="7"/>
      <c r="Q48" s="7"/>
      <c r="R48" s="7"/>
      <c r="S48" s="7">
        <f t="shared" si="10"/>
        <v>230.7</v>
      </c>
      <c r="T48" s="7"/>
      <c r="U48" s="7"/>
      <c r="V48" s="7"/>
      <c r="W48" s="7">
        <f t="shared" si="11"/>
        <v>106.8</v>
      </c>
      <c r="X48" s="7"/>
      <c r="Y48" s="7"/>
      <c r="Z48" s="7"/>
      <c r="AA48" s="7"/>
      <c r="AB48" s="8"/>
    </row>
    <row r="49" spans="1:28" x14ac:dyDescent="0.2">
      <c r="A49" s="46">
        <v>65953</v>
      </c>
      <c r="B49" s="42"/>
      <c r="C49" s="4" t="s">
        <v>32</v>
      </c>
      <c r="D49" s="42">
        <v>65993</v>
      </c>
      <c r="E49" s="42"/>
      <c r="F49" s="6" t="s">
        <v>35</v>
      </c>
      <c r="G49" s="6">
        <f t="shared" si="12"/>
        <v>40</v>
      </c>
      <c r="H49" s="16">
        <v>11.1</v>
      </c>
      <c r="I49" s="7">
        <f t="shared" si="13"/>
        <v>49.4</v>
      </c>
      <c r="J49" s="7"/>
      <c r="K49" s="7"/>
      <c r="L49" s="7">
        <f t="shared" si="9"/>
        <v>49.4</v>
      </c>
      <c r="M49" s="7"/>
      <c r="N49" s="7"/>
      <c r="O49" s="7"/>
      <c r="P49" s="7"/>
      <c r="Q49" s="7"/>
      <c r="R49" s="7"/>
      <c r="S49" s="7">
        <f t="shared" si="10"/>
        <v>4.5</v>
      </c>
      <c r="T49" s="7"/>
      <c r="U49" s="7"/>
      <c r="V49" s="7"/>
      <c r="W49" s="7">
        <f t="shared" si="11"/>
        <v>2.1</v>
      </c>
      <c r="X49" s="7"/>
      <c r="Y49" s="7"/>
      <c r="Z49" s="7"/>
      <c r="AA49" s="7"/>
      <c r="AB49" s="8"/>
    </row>
    <row r="50" spans="1:28" x14ac:dyDescent="0.2">
      <c r="A50" s="46">
        <v>65993</v>
      </c>
      <c r="B50" s="42"/>
      <c r="C50" s="4" t="s">
        <v>32</v>
      </c>
      <c r="D50" s="42">
        <v>66003</v>
      </c>
      <c r="E50" s="42"/>
      <c r="F50" s="6" t="s">
        <v>35</v>
      </c>
      <c r="G50" s="6">
        <f t="shared" si="12"/>
        <v>10</v>
      </c>
      <c r="H50" s="6">
        <v>10.6</v>
      </c>
      <c r="I50" s="7">
        <f t="shared" si="13"/>
        <v>11.799999999999999</v>
      </c>
      <c r="J50" s="7"/>
      <c r="K50" s="7"/>
      <c r="L50" s="7">
        <f t="shared" si="9"/>
        <v>11.799999999999999</v>
      </c>
      <c r="M50" s="7"/>
      <c r="N50" s="7"/>
      <c r="O50" s="7"/>
      <c r="P50" s="7"/>
      <c r="Q50" s="7"/>
      <c r="R50" s="7"/>
      <c r="S50" s="7">
        <f t="shared" si="10"/>
        <v>1.1000000000000001</v>
      </c>
      <c r="T50" s="7"/>
      <c r="U50" s="7"/>
      <c r="V50" s="7"/>
      <c r="W50" s="7">
        <f t="shared" si="11"/>
        <v>0.5</v>
      </c>
      <c r="X50" s="7"/>
      <c r="Y50" s="7"/>
      <c r="Z50" s="7"/>
      <c r="AA50" s="7"/>
      <c r="AB50" s="8"/>
    </row>
    <row r="51" spans="1:28" x14ac:dyDescent="0.2">
      <c r="A51" s="46">
        <v>66003</v>
      </c>
      <c r="B51" s="42"/>
      <c r="C51" s="4" t="s">
        <v>32</v>
      </c>
      <c r="D51" s="42">
        <v>66043</v>
      </c>
      <c r="E51" s="42"/>
      <c r="F51" s="6" t="s">
        <v>35</v>
      </c>
      <c r="G51" s="6">
        <f t="shared" si="12"/>
        <v>40</v>
      </c>
      <c r="H51" s="16">
        <v>11.1</v>
      </c>
      <c r="I51" s="7">
        <f t="shared" si="13"/>
        <v>49.4</v>
      </c>
      <c r="J51" s="7"/>
      <c r="K51" s="7"/>
      <c r="L51" s="7">
        <f t="shared" si="9"/>
        <v>49.4</v>
      </c>
      <c r="M51" s="7"/>
      <c r="N51" s="7"/>
      <c r="O51" s="7"/>
      <c r="P51" s="7"/>
      <c r="Q51" s="7"/>
      <c r="R51" s="7"/>
      <c r="S51" s="7">
        <f t="shared" si="10"/>
        <v>4.5</v>
      </c>
      <c r="T51" s="7"/>
      <c r="U51" s="7"/>
      <c r="V51" s="7"/>
      <c r="W51" s="7">
        <f t="shared" si="11"/>
        <v>2.1</v>
      </c>
      <c r="X51" s="7"/>
      <c r="Y51" s="7"/>
      <c r="Z51" s="7"/>
      <c r="AA51" s="7"/>
      <c r="AB51" s="8"/>
    </row>
    <row r="52" spans="1:28" x14ac:dyDescent="0.2">
      <c r="A52" s="46">
        <v>66043</v>
      </c>
      <c r="B52" s="42"/>
      <c r="C52" s="4" t="s">
        <v>32</v>
      </c>
      <c r="D52" s="42">
        <v>67098</v>
      </c>
      <c r="E52" s="42"/>
      <c r="F52" s="6" t="s">
        <v>35</v>
      </c>
      <c r="G52" s="6">
        <f t="shared" si="12"/>
        <v>1055</v>
      </c>
      <c r="H52" s="6">
        <v>11.6</v>
      </c>
      <c r="I52" s="7">
        <f t="shared" si="13"/>
        <v>1359.8</v>
      </c>
      <c r="J52" s="17"/>
      <c r="K52" s="7"/>
      <c r="L52" s="7">
        <f t="shared" si="9"/>
        <v>1359.8</v>
      </c>
      <c r="M52" s="7"/>
      <c r="N52" s="7"/>
      <c r="O52" s="7"/>
      <c r="P52" s="7"/>
      <c r="Q52" s="7"/>
      <c r="R52" s="7"/>
      <c r="S52" s="7">
        <f t="shared" si="10"/>
        <v>122.39999999999999</v>
      </c>
      <c r="T52" s="7"/>
      <c r="U52" s="7"/>
      <c r="V52" s="7"/>
      <c r="W52" s="7">
        <f t="shared" si="11"/>
        <v>56.7</v>
      </c>
      <c r="X52" s="7"/>
      <c r="Y52" s="7"/>
      <c r="Z52" s="7"/>
      <c r="AA52" s="7"/>
      <c r="AB52" s="8"/>
    </row>
    <row r="53" spans="1:28" x14ac:dyDescent="0.2">
      <c r="A53" s="46">
        <v>67098</v>
      </c>
      <c r="B53" s="42"/>
      <c r="C53" s="4" t="s">
        <v>32</v>
      </c>
      <c r="D53" s="42">
        <v>67138</v>
      </c>
      <c r="E53" s="42"/>
      <c r="F53" s="6" t="s">
        <v>35</v>
      </c>
      <c r="G53" s="6">
        <f t="shared" si="12"/>
        <v>40</v>
      </c>
      <c r="H53" s="16">
        <v>10.86</v>
      </c>
      <c r="I53" s="11">
        <f t="shared" si="13"/>
        <v>48.300000000000004</v>
      </c>
      <c r="J53" s="7"/>
      <c r="K53" s="7"/>
      <c r="L53" s="7">
        <f t="shared" si="9"/>
        <v>48.300000000000004</v>
      </c>
      <c r="M53" s="7"/>
      <c r="N53" s="7"/>
      <c r="O53" s="7"/>
      <c r="P53" s="7"/>
      <c r="Q53" s="7"/>
      <c r="R53" s="7"/>
      <c r="S53" s="7">
        <f t="shared" si="10"/>
        <v>4.3999999999999995</v>
      </c>
      <c r="T53" s="7"/>
      <c r="U53" s="7"/>
      <c r="V53" s="7"/>
      <c r="W53" s="7">
        <f t="shared" si="11"/>
        <v>2.1</v>
      </c>
      <c r="X53" s="7"/>
      <c r="Y53" s="7"/>
      <c r="Z53" s="7"/>
      <c r="AA53" s="7"/>
      <c r="AB53" s="8"/>
    </row>
    <row r="54" spans="1:28" x14ac:dyDescent="0.2">
      <c r="A54" s="46">
        <v>67138</v>
      </c>
      <c r="B54" s="42"/>
      <c r="C54" s="4" t="s">
        <v>32</v>
      </c>
      <c r="D54" s="42">
        <v>67183</v>
      </c>
      <c r="E54" s="42"/>
      <c r="F54" s="6" t="s">
        <v>35</v>
      </c>
      <c r="G54" s="6">
        <f t="shared" si="12"/>
        <v>45</v>
      </c>
      <c r="H54" s="6">
        <v>10.119999999999999</v>
      </c>
      <c r="I54" s="7">
        <f t="shared" si="13"/>
        <v>50.6</v>
      </c>
      <c r="J54" s="7"/>
      <c r="K54" s="7"/>
      <c r="L54" s="7">
        <f t="shared" si="9"/>
        <v>50.6</v>
      </c>
      <c r="M54" s="7"/>
      <c r="N54" s="7"/>
      <c r="O54" s="7"/>
      <c r="P54" s="7"/>
      <c r="Q54" s="7"/>
      <c r="R54" s="7"/>
      <c r="S54" s="7">
        <f t="shared" si="10"/>
        <v>4.5999999999999996</v>
      </c>
      <c r="T54" s="7"/>
      <c r="U54" s="7"/>
      <c r="V54" s="7"/>
      <c r="W54" s="7">
        <f t="shared" si="11"/>
        <v>2.2000000000000002</v>
      </c>
      <c r="X54" s="7"/>
      <c r="Y54" s="7"/>
      <c r="Z54" s="7"/>
      <c r="AA54" s="7"/>
      <c r="AB54" s="8"/>
    </row>
    <row r="55" spans="1:28" x14ac:dyDescent="0.2">
      <c r="A55" s="46">
        <v>67183</v>
      </c>
      <c r="B55" s="42"/>
      <c r="C55" s="4" t="s">
        <v>32</v>
      </c>
      <c r="D55" s="42">
        <v>67223</v>
      </c>
      <c r="E55" s="42"/>
      <c r="F55" s="6" t="s">
        <v>35</v>
      </c>
      <c r="G55" s="6">
        <f t="shared" si="12"/>
        <v>40</v>
      </c>
      <c r="H55" s="16">
        <v>10.86</v>
      </c>
      <c r="I55" s="7">
        <f t="shared" si="13"/>
        <v>48.300000000000004</v>
      </c>
      <c r="J55" s="7"/>
      <c r="K55" s="7"/>
      <c r="L55" s="7">
        <f t="shared" si="9"/>
        <v>48.300000000000004</v>
      </c>
      <c r="M55" s="7"/>
      <c r="N55" s="7"/>
      <c r="O55" s="7"/>
      <c r="P55" s="7"/>
      <c r="Q55" s="7"/>
      <c r="R55" s="7"/>
      <c r="S55" s="7">
        <f t="shared" si="10"/>
        <v>4.3999999999999995</v>
      </c>
      <c r="T55" s="7"/>
      <c r="U55" s="7"/>
      <c r="V55" s="7"/>
      <c r="W55" s="7">
        <f t="shared" si="11"/>
        <v>2.1</v>
      </c>
      <c r="X55" s="7"/>
      <c r="Y55" s="7"/>
      <c r="Z55" s="7"/>
      <c r="AA55" s="7"/>
      <c r="AB55" s="8"/>
    </row>
    <row r="56" spans="1:28" x14ac:dyDescent="0.2">
      <c r="A56" s="46">
        <v>67223</v>
      </c>
      <c r="B56" s="42"/>
      <c r="C56" s="4" t="s">
        <v>32</v>
      </c>
      <c r="D56" s="42">
        <v>68553</v>
      </c>
      <c r="E56" s="42"/>
      <c r="F56" s="6" t="s">
        <v>35</v>
      </c>
      <c r="G56" s="6">
        <f t="shared" si="12"/>
        <v>1330</v>
      </c>
      <c r="H56" s="6">
        <v>11.6</v>
      </c>
      <c r="I56" s="7">
        <f t="shared" si="13"/>
        <v>1714.3</v>
      </c>
      <c r="J56" s="7"/>
      <c r="K56" s="7"/>
      <c r="L56" s="7">
        <f t="shared" si="9"/>
        <v>1714.3</v>
      </c>
      <c r="M56" s="7"/>
      <c r="N56" s="7"/>
      <c r="O56" s="7"/>
      <c r="P56" s="7"/>
      <c r="Q56" s="7"/>
      <c r="R56" s="7"/>
      <c r="S56" s="7">
        <f t="shared" si="10"/>
        <v>154.29999999999998</v>
      </c>
      <c r="T56" s="7"/>
      <c r="U56" s="7"/>
      <c r="V56" s="7"/>
      <c r="W56" s="7">
        <f t="shared" si="11"/>
        <v>71.5</v>
      </c>
      <c r="X56" s="7"/>
      <c r="Y56" s="7"/>
      <c r="Z56" s="7"/>
      <c r="AA56" s="7"/>
      <c r="AB56" s="8"/>
    </row>
    <row r="57" spans="1:28" x14ac:dyDescent="0.2">
      <c r="A57" s="46">
        <v>68553</v>
      </c>
      <c r="B57" s="42"/>
      <c r="C57" s="4" t="s">
        <v>32</v>
      </c>
      <c r="D57" s="42">
        <v>68593</v>
      </c>
      <c r="E57" s="42"/>
      <c r="F57" s="6" t="s">
        <v>35</v>
      </c>
      <c r="G57" s="6">
        <f t="shared" si="12"/>
        <v>40</v>
      </c>
      <c r="H57" s="16">
        <v>11.1</v>
      </c>
      <c r="I57" s="7">
        <f t="shared" si="13"/>
        <v>49.4</v>
      </c>
      <c r="J57" s="12"/>
      <c r="K57" s="7"/>
      <c r="L57" s="7">
        <f t="shared" si="9"/>
        <v>49.4</v>
      </c>
      <c r="M57" s="7"/>
      <c r="N57" s="7"/>
      <c r="O57" s="7"/>
      <c r="P57" s="7"/>
      <c r="Q57" s="7"/>
      <c r="R57" s="7"/>
      <c r="S57" s="7">
        <f t="shared" si="10"/>
        <v>4.5</v>
      </c>
      <c r="T57" s="7"/>
      <c r="U57" s="7"/>
      <c r="V57" s="7"/>
      <c r="W57" s="7">
        <f t="shared" si="11"/>
        <v>2.1</v>
      </c>
      <c r="X57" s="7"/>
      <c r="Y57" s="7"/>
      <c r="Z57" s="7"/>
      <c r="AA57" s="7"/>
      <c r="AB57" s="8"/>
    </row>
    <row r="58" spans="1:28" x14ac:dyDescent="0.2">
      <c r="A58" s="46">
        <v>68593</v>
      </c>
      <c r="B58" s="42"/>
      <c r="C58" s="4" t="s">
        <v>32</v>
      </c>
      <c r="D58" s="42">
        <v>68603</v>
      </c>
      <c r="E58" s="42"/>
      <c r="F58" s="6" t="s">
        <v>35</v>
      </c>
      <c r="G58" s="6">
        <f t="shared" si="12"/>
        <v>10</v>
      </c>
      <c r="H58" s="6">
        <v>10.6</v>
      </c>
      <c r="I58" s="7">
        <f t="shared" si="13"/>
        <v>11.799999999999999</v>
      </c>
      <c r="J58" s="7"/>
      <c r="K58" s="7"/>
      <c r="L58" s="7">
        <f t="shared" si="9"/>
        <v>11.799999999999999</v>
      </c>
      <c r="M58" s="7"/>
      <c r="N58" s="7"/>
      <c r="O58" s="7"/>
      <c r="P58" s="7"/>
      <c r="Q58" s="7"/>
      <c r="R58" s="7"/>
      <c r="S58" s="7">
        <f t="shared" si="10"/>
        <v>1.1000000000000001</v>
      </c>
      <c r="T58" s="7"/>
      <c r="U58" s="7"/>
      <c r="V58" s="7"/>
      <c r="W58" s="7">
        <f t="shared" si="11"/>
        <v>0.5</v>
      </c>
      <c r="X58" s="7"/>
      <c r="Y58" s="7"/>
      <c r="Z58" s="7"/>
      <c r="AA58" s="7"/>
      <c r="AB58" s="8"/>
    </row>
    <row r="59" spans="1:28" x14ac:dyDescent="0.2">
      <c r="A59" s="46">
        <v>68603</v>
      </c>
      <c r="B59" s="42"/>
      <c r="C59" s="4" t="s">
        <v>32</v>
      </c>
      <c r="D59" s="42">
        <v>68643</v>
      </c>
      <c r="E59" s="42"/>
      <c r="F59" s="6" t="s">
        <v>35</v>
      </c>
      <c r="G59" s="6">
        <f t="shared" si="12"/>
        <v>40</v>
      </c>
      <c r="H59" s="16">
        <v>11.1</v>
      </c>
      <c r="I59" s="7">
        <f t="shared" si="13"/>
        <v>49.4</v>
      </c>
      <c r="J59" s="7"/>
      <c r="K59" s="7"/>
      <c r="L59" s="7">
        <f t="shared" si="9"/>
        <v>49.4</v>
      </c>
      <c r="M59" s="7"/>
      <c r="N59" s="7"/>
      <c r="O59" s="7"/>
      <c r="P59" s="7"/>
      <c r="Q59" s="7"/>
      <c r="R59" s="7"/>
      <c r="S59" s="7">
        <f t="shared" si="10"/>
        <v>4.5</v>
      </c>
      <c r="T59" s="7"/>
      <c r="U59" s="7"/>
      <c r="V59" s="7"/>
      <c r="W59" s="7">
        <f t="shared" si="11"/>
        <v>2.1</v>
      </c>
      <c r="X59" s="7"/>
      <c r="Y59" s="7"/>
      <c r="Z59" s="7"/>
      <c r="AA59" s="7"/>
      <c r="AB59" s="8"/>
    </row>
    <row r="60" spans="1:28" x14ac:dyDescent="0.2">
      <c r="A60" s="46">
        <v>68643</v>
      </c>
      <c r="B60" s="42"/>
      <c r="C60" s="4" t="s">
        <v>32</v>
      </c>
      <c r="D60" s="42">
        <v>69524</v>
      </c>
      <c r="E60" s="42"/>
      <c r="F60" s="6" t="s">
        <v>35</v>
      </c>
      <c r="G60" s="6">
        <f t="shared" si="12"/>
        <v>881</v>
      </c>
      <c r="H60" s="6">
        <v>11.6</v>
      </c>
      <c r="I60" s="7">
        <f t="shared" si="13"/>
        <v>1135.5999999999999</v>
      </c>
      <c r="J60" s="7"/>
      <c r="K60" s="7"/>
      <c r="L60" s="7">
        <f t="shared" si="9"/>
        <v>1135.5999999999999</v>
      </c>
      <c r="M60" s="7"/>
      <c r="N60" s="7"/>
      <c r="O60" s="7"/>
      <c r="P60" s="7"/>
      <c r="Q60" s="7"/>
      <c r="R60" s="7"/>
      <c r="S60" s="7">
        <f t="shared" si="10"/>
        <v>102.3</v>
      </c>
      <c r="T60" s="7"/>
      <c r="U60" s="7"/>
      <c r="V60" s="7"/>
      <c r="W60" s="7">
        <f t="shared" si="11"/>
        <v>47.4</v>
      </c>
      <c r="X60" s="7"/>
      <c r="Y60" s="7"/>
      <c r="Z60" s="7"/>
      <c r="AA60" s="7"/>
      <c r="AB60" s="8"/>
    </row>
    <row r="61" spans="1:28" x14ac:dyDescent="0.2">
      <c r="A61" s="46">
        <v>69524</v>
      </c>
      <c r="B61" s="42"/>
      <c r="C61" s="4" t="s">
        <v>32</v>
      </c>
      <c r="D61" s="42">
        <v>69564</v>
      </c>
      <c r="E61" s="42"/>
      <c r="F61" s="6" t="s">
        <v>35</v>
      </c>
      <c r="G61" s="6">
        <f t="shared" si="12"/>
        <v>40</v>
      </c>
      <c r="H61" s="16">
        <v>10.86</v>
      </c>
      <c r="I61" s="11">
        <f t="shared" si="13"/>
        <v>48.300000000000004</v>
      </c>
      <c r="J61" s="17"/>
      <c r="K61" s="7"/>
      <c r="L61" s="7">
        <f t="shared" si="9"/>
        <v>48.300000000000004</v>
      </c>
      <c r="M61" s="7"/>
      <c r="N61" s="7"/>
      <c r="O61" s="7"/>
      <c r="P61" s="7"/>
      <c r="Q61" s="7"/>
      <c r="R61" s="7"/>
      <c r="S61" s="7">
        <f t="shared" si="10"/>
        <v>4.3999999999999995</v>
      </c>
      <c r="T61" s="7"/>
      <c r="U61" s="7"/>
      <c r="V61" s="7"/>
      <c r="W61" s="7">
        <f t="shared" si="11"/>
        <v>2.1</v>
      </c>
      <c r="X61" s="7"/>
      <c r="Y61" s="7"/>
      <c r="Z61" s="7"/>
      <c r="AA61" s="7"/>
      <c r="AB61" s="8"/>
    </row>
    <row r="62" spans="1:28" x14ac:dyDescent="0.2">
      <c r="A62" s="46">
        <v>69564</v>
      </c>
      <c r="B62" s="42"/>
      <c r="C62" s="4" t="s">
        <v>32</v>
      </c>
      <c r="D62" s="42">
        <v>69631</v>
      </c>
      <c r="E62" s="42"/>
      <c r="F62" s="6" t="s">
        <v>35</v>
      </c>
      <c r="G62" s="6">
        <f t="shared" si="12"/>
        <v>67</v>
      </c>
      <c r="H62" s="6">
        <v>10.119999999999999</v>
      </c>
      <c r="I62" s="11">
        <f t="shared" si="13"/>
        <v>75.399999999999991</v>
      </c>
      <c r="J62" s="17"/>
      <c r="K62" s="7"/>
      <c r="L62" s="7">
        <f t="shared" si="9"/>
        <v>75.399999999999991</v>
      </c>
      <c r="M62" s="7"/>
      <c r="N62" s="7"/>
      <c r="O62" s="7"/>
      <c r="P62" s="7"/>
      <c r="Q62" s="7"/>
      <c r="R62" s="7"/>
      <c r="S62" s="7">
        <f t="shared" si="10"/>
        <v>6.8</v>
      </c>
      <c r="T62" s="7"/>
      <c r="U62" s="7"/>
      <c r="V62" s="7"/>
      <c r="W62" s="7">
        <f t="shared" si="11"/>
        <v>3.2</v>
      </c>
      <c r="X62" s="7"/>
      <c r="Y62" s="7"/>
      <c r="Z62" s="7"/>
      <c r="AA62" s="7"/>
      <c r="AB62" s="8"/>
    </row>
    <row r="63" spans="1:28" x14ac:dyDescent="0.2">
      <c r="A63" s="46">
        <v>69631</v>
      </c>
      <c r="B63" s="42"/>
      <c r="C63" s="4" t="s">
        <v>32</v>
      </c>
      <c r="D63" s="42">
        <v>69671</v>
      </c>
      <c r="E63" s="42"/>
      <c r="F63" s="6" t="s">
        <v>35</v>
      </c>
      <c r="G63" s="6">
        <f t="shared" si="12"/>
        <v>40</v>
      </c>
      <c r="H63" s="16">
        <v>10.86</v>
      </c>
      <c r="I63" s="7">
        <f t="shared" si="13"/>
        <v>48.300000000000004</v>
      </c>
      <c r="J63" s="17"/>
      <c r="K63" s="7"/>
      <c r="L63" s="7">
        <f t="shared" si="9"/>
        <v>48.300000000000004</v>
      </c>
      <c r="M63" s="7"/>
      <c r="N63" s="7"/>
      <c r="O63" s="7"/>
      <c r="P63" s="7"/>
      <c r="Q63" s="7"/>
      <c r="R63" s="7"/>
      <c r="S63" s="7">
        <f t="shared" si="10"/>
        <v>4.3999999999999995</v>
      </c>
      <c r="T63" s="7"/>
      <c r="U63" s="7"/>
      <c r="V63" s="7"/>
      <c r="W63" s="7">
        <f t="shared" si="11"/>
        <v>2.1</v>
      </c>
      <c r="X63" s="7"/>
      <c r="Y63" s="7"/>
      <c r="Z63" s="7"/>
      <c r="AA63" s="7"/>
      <c r="AB63" s="8"/>
    </row>
    <row r="64" spans="1:28" x14ac:dyDescent="0.2">
      <c r="A64" s="46">
        <v>69671</v>
      </c>
      <c r="B64" s="42"/>
      <c r="C64" s="4" t="s">
        <v>32</v>
      </c>
      <c r="D64" s="42">
        <v>70687</v>
      </c>
      <c r="E64" s="42"/>
      <c r="F64" s="6" t="s">
        <v>35</v>
      </c>
      <c r="G64" s="6">
        <f t="shared" si="12"/>
        <v>1016</v>
      </c>
      <c r="H64" s="6">
        <v>11.6</v>
      </c>
      <c r="I64" s="7">
        <f t="shared" si="13"/>
        <v>1309.5999999999999</v>
      </c>
      <c r="J64" s="17"/>
      <c r="K64" s="7"/>
      <c r="L64" s="7">
        <f t="shared" si="9"/>
        <v>1309.5999999999999</v>
      </c>
      <c r="M64" s="7"/>
      <c r="N64" s="7"/>
      <c r="O64" s="7"/>
      <c r="P64" s="7"/>
      <c r="Q64" s="7"/>
      <c r="R64" s="7"/>
      <c r="S64" s="7">
        <f t="shared" si="10"/>
        <v>117.89999999999999</v>
      </c>
      <c r="T64" s="7"/>
      <c r="U64" s="7"/>
      <c r="V64" s="7"/>
      <c r="W64" s="7">
        <f t="shared" si="11"/>
        <v>54.6</v>
      </c>
      <c r="X64" s="7"/>
      <c r="Y64" s="7"/>
      <c r="Z64" s="7"/>
      <c r="AA64" s="7"/>
      <c r="AB64" s="8"/>
    </row>
    <row r="65" spans="1:28" x14ac:dyDescent="0.2">
      <c r="A65" s="46">
        <v>70687</v>
      </c>
      <c r="B65" s="42"/>
      <c r="C65" s="4" t="s">
        <v>32</v>
      </c>
      <c r="D65" s="42">
        <v>70727</v>
      </c>
      <c r="E65" s="42"/>
      <c r="F65" s="6" t="s">
        <v>35</v>
      </c>
      <c r="G65" s="6">
        <f t="shared" ref="G65:G68" si="14">D65-A65</f>
        <v>40</v>
      </c>
      <c r="H65" s="16">
        <v>10.89</v>
      </c>
      <c r="I65" s="11">
        <f t="shared" ref="I65:I68" si="15">ROUNDUP(((H65*G65)/9),1)</f>
        <v>48.4</v>
      </c>
      <c r="J65" s="7"/>
      <c r="K65" s="7"/>
      <c r="L65" s="7">
        <f t="shared" si="9"/>
        <v>48.4</v>
      </c>
      <c r="M65" s="7"/>
      <c r="N65" s="7"/>
      <c r="O65" s="7"/>
      <c r="P65" s="7"/>
      <c r="Q65" s="7"/>
      <c r="R65" s="7"/>
      <c r="S65" s="7">
        <f t="shared" si="10"/>
        <v>4.3999999999999995</v>
      </c>
      <c r="T65" s="7"/>
      <c r="U65" s="7"/>
      <c r="V65" s="7"/>
      <c r="W65" s="7">
        <f t="shared" si="11"/>
        <v>2.1</v>
      </c>
      <c r="X65" s="7"/>
      <c r="Y65" s="7"/>
      <c r="Z65" s="7"/>
      <c r="AA65" s="7"/>
      <c r="AB65" s="8"/>
    </row>
    <row r="66" spans="1:28" x14ac:dyDescent="0.2">
      <c r="A66" s="46">
        <v>70727</v>
      </c>
      <c r="B66" s="42"/>
      <c r="C66" s="4" t="s">
        <v>32</v>
      </c>
      <c r="D66" s="42">
        <v>70737</v>
      </c>
      <c r="E66" s="42"/>
      <c r="F66" s="6" t="s">
        <v>35</v>
      </c>
      <c r="G66" s="6">
        <f t="shared" si="14"/>
        <v>10</v>
      </c>
      <c r="H66" s="6">
        <v>10.38</v>
      </c>
      <c r="I66" s="11">
        <f t="shared" si="15"/>
        <v>11.6</v>
      </c>
      <c r="J66" s="7"/>
      <c r="K66" s="7"/>
      <c r="L66" s="7">
        <f t="shared" si="9"/>
        <v>11.6</v>
      </c>
      <c r="M66" s="7"/>
      <c r="N66" s="7"/>
      <c r="O66" s="7"/>
      <c r="P66" s="7"/>
      <c r="Q66" s="7"/>
      <c r="R66" s="7"/>
      <c r="S66" s="7">
        <f t="shared" si="10"/>
        <v>1.1000000000000001</v>
      </c>
      <c r="T66" s="7"/>
      <c r="U66" s="7"/>
      <c r="V66" s="7"/>
      <c r="W66" s="7">
        <f t="shared" si="11"/>
        <v>0.5</v>
      </c>
      <c r="X66" s="7"/>
      <c r="Y66" s="7"/>
      <c r="Z66" s="7"/>
      <c r="AA66" s="7"/>
      <c r="AB66" s="8"/>
    </row>
    <row r="67" spans="1:28" x14ac:dyDescent="0.2">
      <c r="A67" s="46">
        <v>70737</v>
      </c>
      <c r="B67" s="42"/>
      <c r="C67" s="4" t="s">
        <v>32</v>
      </c>
      <c r="D67" s="42">
        <v>70777</v>
      </c>
      <c r="E67" s="42"/>
      <c r="F67" s="6" t="s">
        <v>35</v>
      </c>
      <c r="G67" s="6">
        <f t="shared" si="14"/>
        <v>40</v>
      </c>
      <c r="H67" s="16">
        <v>10.89</v>
      </c>
      <c r="I67" s="7">
        <f t="shared" si="15"/>
        <v>48.4</v>
      </c>
      <c r="J67" s="7"/>
      <c r="K67" s="7"/>
      <c r="L67" s="7">
        <f t="shared" si="9"/>
        <v>48.4</v>
      </c>
      <c r="M67" s="7"/>
      <c r="N67" s="7"/>
      <c r="O67" s="7"/>
      <c r="P67" s="7"/>
      <c r="Q67" s="7"/>
      <c r="R67" s="7"/>
      <c r="S67" s="7">
        <f t="shared" si="10"/>
        <v>4.3999999999999995</v>
      </c>
      <c r="T67" s="7"/>
      <c r="U67" s="7"/>
      <c r="V67" s="7"/>
      <c r="W67" s="7">
        <f t="shared" si="11"/>
        <v>2.1</v>
      </c>
      <c r="X67" s="7"/>
      <c r="Y67" s="7"/>
      <c r="Z67" s="7"/>
      <c r="AA67" s="7"/>
      <c r="AB67" s="8"/>
    </row>
    <row r="68" spans="1:28" x14ac:dyDescent="0.2">
      <c r="A68" s="46">
        <v>70777</v>
      </c>
      <c r="B68" s="42"/>
      <c r="C68" s="4" t="s">
        <v>32</v>
      </c>
      <c r="D68" s="42">
        <v>74761.78</v>
      </c>
      <c r="E68" s="42"/>
      <c r="F68" s="6" t="s">
        <v>35</v>
      </c>
      <c r="G68" s="6">
        <f t="shared" si="14"/>
        <v>3984.7799999999988</v>
      </c>
      <c r="H68" s="6">
        <v>11.6</v>
      </c>
      <c r="I68" s="7">
        <f t="shared" si="15"/>
        <v>5136</v>
      </c>
      <c r="J68" s="7"/>
      <c r="K68" s="7"/>
      <c r="L68" s="7">
        <f t="shared" si="9"/>
        <v>5136</v>
      </c>
      <c r="M68" s="7"/>
      <c r="N68" s="7"/>
      <c r="O68" s="7"/>
      <c r="P68" s="7"/>
      <c r="Q68" s="7"/>
      <c r="R68" s="7"/>
      <c r="S68" s="7">
        <f t="shared" si="10"/>
        <v>462.3</v>
      </c>
      <c r="T68" s="7"/>
      <c r="U68" s="7"/>
      <c r="V68" s="7"/>
      <c r="W68" s="7">
        <f t="shared" si="11"/>
        <v>214</v>
      </c>
      <c r="X68" s="7"/>
      <c r="Y68" s="7"/>
      <c r="Z68" s="7"/>
      <c r="AA68" s="7"/>
      <c r="AB68" s="8"/>
    </row>
    <row r="69" spans="1:28" x14ac:dyDescent="0.2">
      <c r="A69" s="45" t="s">
        <v>87</v>
      </c>
      <c r="B69" s="45"/>
      <c r="C69" s="45"/>
      <c r="D69" s="45"/>
      <c r="E69" s="46"/>
      <c r="F69" s="6"/>
      <c r="G69" s="6"/>
      <c r="H69" s="6"/>
      <c r="I69" s="7"/>
      <c r="J69" s="7"/>
      <c r="K69" s="7"/>
      <c r="L69" s="7"/>
      <c r="M69" s="7"/>
      <c r="N69" s="7"/>
      <c r="O69" s="7"/>
      <c r="P69" s="7"/>
      <c r="Q69" s="7"/>
      <c r="R69" s="7"/>
      <c r="S69" s="7"/>
      <c r="T69" s="7"/>
      <c r="U69" s="7"/>
      <c r="V69" s="7"/>
      <c r="W69" s="7"/>
      <c r="X69" s="7"/>
      <c r="Y69" s="7"/>
      <c r="Z69" s="7"/>
      <c r="AA69" s="7"/>
      <c r="AB69" s="8"/>
    </row>
    <row r="70" spans="1:28" x14ac:dyDescent="0.2">
      <c r="A70" s="45"/>
      <c r="B70" s="45"/>
      <c r="C70" s="45"/>
      <c r="D70" s="45"/>
      <c r="E70" s="46"/>
      <c r="F70" s="6"/>
      <c r="G70" s="6"/>
      <c r="H70" s="6"/>
      <c r="I70" s="7"/>
      <c r="J70" s="7"/>
      <c r="K70" s="7"/>
      <c r="L70" s="7"/>
      <c r="M70" s="7"/>
      <c r="N70" s="7"/>
      <c r="O70" s="7"/>
      <c r="P70" s="7"/>
      <c r="Q70" s="7"/>
      <c r="R70" s="7"/>
      <c r="S70" s="7"/>
      <c r="T70" s="7"/>
      <c r="U70" s="7"/>
      <c r="V70" s="7"/>
      <c r="W70" s="7"/>
      <c r="X70" s="7"/>
      <c r="Y70" s="7"/>
      <c r="Z70" s="7"/>
      <c r="AA70" s="7"/>
      <c r="AB70" s="8"/>
    </row>
    <row r="71" spans="1:28" x14ac:dyDescent="0.2">
      <c r="A71" s="45"/>
      <c r="B71" s="45"/>
      <c r="C71" s="45"/>
      <c r="D71" s="45"/>
      <c r="E71" s="46"/>
      <c r="F71" s="6"/>
      <c r="G71" s="6"/>
      <c r="H71" s="6"/>
      <c r="I71" s="7"/>
      <c r="J71" s="7"/>
      <c r="K71" s="7"/>
      <c r="L71" s="7"/>
      <c r="M71" s="7"/>
      <c r="N71" s="7"/>
      <c r="O71" s="7"/>
      <c r="P71" s="7"/>
      <c r="Q71" s="7"/>
      <c r="R71" s="7"/>
      <c r="S71" s="7"/>
      <c r="T71" s="7"/>
      <c r="U71" s="7"/>
      <c r="V71" s="7"/>
      <c r="W71" s="7"/>
      <c r="X71" s="7"/>
      <c r="Y71" s="7"/>
      <c r="Z71" s="7"/>
      <c r="AA71" s="7"/>
      <c r="AB71" s="8"/>
    </row>
    <row r="72" spans="1:28" x14ac:dyDescent="0.2">
      <c r="A72" s="45"/>
      <c r="B72" s="45"/>
      <c r="C72" s="45"/>
      <c r="D72" s="45"/>
      <c r="E72" s="46"/>
      <c r="F72" s="6"/>
      <c r="G72" s="6"/>
      <c r="H72" s="6"/>
      <c r="I72" s="7"/>
      <c r="J72" s="7"/>
      <c r="K72" s="7"/>
      <c r="L72" s="7"/>
      <c r="M72" s="7"/>
      <c r="N72" s="7"/>
      <c r="O72" s="7"/>
      <c r="P72" s="7"/>
      <c r="Q72" s="7"/>
      <c r="R72" s="7"/>
      <c r="S72" s="7"/>
      <c r="T72" s="7"/>
      <c r="U72" s="7"/>
      <c r="V72" s="7"/>
      <c r="W72" s="7"/>
      <c r="X72" s="7"/>
      <c r="Y72" s="7"/>
      <c r="Z72" s="7"/>
      <c r="AA72" s="7"/>
      <c r="AB72" s="8"/>
    </row>
    <row r="73" spans="1:28" x14ac:dyDescent="0.2">
      <c r="A73" s="45"/>
      <c r="B73" s="45"/>
      <c r="C73" s="45"/>
      <c r="D73" s="45"/>
      <c r="E73" s="46"/>
      <c r="F73" s="6"/>
      <c r="G73" s="6"/>
      <c r="H73" s="6"/>
      <c r="I73" s="7"/>
      <c r="J73" s="7"/>
      <c r="K73" s="7"/>
      <c r="L73" s="7"/>
      <c r="M73" s="7"/>
      <c r="N73" s="7"/>
      <c r="O73" s="7"/>
      <c r="P73" s="7"/>
      <c r="Q73" s="7"/>
      <c r="R73" s="7"/>
      <c r="S73" s="7"/>
      <c r="T73" s="7"/>
      <c r="U73" s="7"/>
      <c r="V73" s="7"/>
      <c r="W73" s="7"/>
      <c r="X73" s="7"/>
      <c r="Y73" s="7"/>
      <c r="Z73" s="7"/>
      <c r="AA73" s="7"/>
      <c r="AB73" s="8"/>
    </row>
    <row r="74" spans="1:28" ht="12.75" customHeight="1" x14ac:dyDescent="0.2">
      <c r="A74" s="37" t="s">
        <v>132</v>
      </c>
      <c r="B74" s="38"/>
      <c r="C74" s="38"/>
      <c r="D74" s="38"/>
      <c r="E74" s="38"/>
      <c r="F74" s="38"/>
      <c r="G74" s="38"/>
      <c r="H74" s="38"/>
      <c r="I74" s="38"/>
      <c r="J74" s="48">
        <f t="shared" ref="J74:P74" si="16">ROUNDUP(SUM(J19:J73),0)</f>
        <v>0</v>
      </c>
      <c r="K74" s="48">
        <f t="shared" si="16"/>
        <v>0</v>
      </c>
      <c r="L74" s="60">
        <f t="shared" si="16"/>
        <v>104207</v>
      </c>
      <c r="M74" s="48">
        <f t="shared" si="16"/>
        <v>0</v>
      </c>
      <c r="N74" s="48">
        <f t="shared" si="16"/>
        <v>0</v>
      </c>
      <c r="O74" s="48">
        <f t="shared" si="16"/>
        <v>0</v>
      </c>
      <c r="P74" s="48">
        <f t="shared" si="16"/>
        <v>0</v>
      </c>
      <c r="Q74" s="51">
        <f>ROUNDUP(SUM(Q19:S73),0)</f>
        <v>9381</v>
      </c>
      <c r="R74" s="62"/>
      <c r="S74" s="63"/>
      <c r="T74" s="48">
        <f t="shared" ref="T74:AB74" si="17">ROUNDUP(SUM(T19:T73),0)</f>
        <v>0</v>
      </c>
      <c r="U74" s="48">
        <f t="shared" si="17"/>
        <v>0</v>
      </c>
      <c r="V74" s="48">
        <f t="shared" si="17"/>
        <v>3716</v>
      </c>
      <c r="W74" s="48">
        <f t="shared" si="17"/>
        <v>4344</v>
      </c>
      <c r="X74" s="48">
        <f t="shared" si="17"/>
        <v>0</v>
      </c>
      <c r="Y74" s="48">
        <f t="shared" si="17"/>
        <v>0</v>
      </c>
      <c r="Z74" s="48">
        <f t="shared" si="17"/>
        <v>0</v>
      </c>
      <c r="AA74" s="48">
        <f t="shared" si="17"/>
        <v>0</v>
      </c>
      <c r="AB74" s="50">
        <f t="shared" si="17"/>
        <v>0</v>
      </c>
    </row>
    <row r="75" spans="1:28" ht="12.75" customHeight="1" x14ac:dyDescent="0.2">
      <c r="A75" s="58"/>
      <c r="B75" s="59"/>
      <c r="C75" s="59"/>
      <c r="D75" s="59"/>
      <c r="E75" s="59"/>
      <c r="F75" s="59"/>
      <c r="G75" s="59"/>
      <c r="H75" s="59"/>
      <c r="I75" s="59"/>
      <c r="J75" s="49"/>
      <c r="K75" s="49"/>
      <c r="L75" s="61"/>
      <c r="M75" s="49"/>
      <c r="N75" s="49"/>
      <c r="O75" s="49"/>
      <c r="P75" s="49"/>
      <c r="Q75" s="64"/>
      <c r="R75" s="65"/>
      <c r="S75" s="66"/>
      <c r="T75" s="49"/>
      <c r="U75" s="49"/>
      <c r="V75" s="49"/>
      <c r="W75" s="49"/>
      <c r="X75" s="49"/>
      <c r="Y75" s="49"/>
      <c r="Z75" s="49"/>
      <c r="AA75" s="49"/>
      <c r="AB75" s="51"/>
    </row>
  </sheetData>
  <mergeCells count="139">
    <mergeCell ref="D63:E63"/>
    <mergeCell ref="Q74:S75"/>
    <mergeCell ref="D39:E39"/>
    <mergeCell ref="A41:B41"/>
    <mergeCell ref="A27:B27"/>
    <mergeCell ref="D27:E27"/>
    <mergeCell ref="A30:B30"/>
    <mergeCell ref="D30:E30"/>
    <mergeCell ref="D29:E29"/>
    <mergeCell ref="A69:E69"/>
    <mergeCell ref="A33:B33"/>
    <mergeCell ref="D33:E33"/>
    <mergeCell ref="A35:B35"/>
    <mergeCell ref="D35:E35"/>
    <mergeCell ref="A36:B36"/>
    <mergeCell ref="D36:E36"/>
    <mergeCell ref="A34:B34"/>
    <mergeCell ref="D34:E34"/>
    <mergeCell ref="A31:B31"/>
    <mergeCell ref="D31:E31"/>
    <mergeCell ref="A32:B32"/>
    <mergeCell ref="D32:E32"/>
    <mergeCell ref="A61:B61"/>
    <mergeCell ref="D61:E61"/>
    <mergeCell ref="A62:B62"/>
    <mergeCell ref="A74:I75"/>
    <mergeCell ref="J74:J75"/>
    <mergeCell ref="K74:K75"/>
    <mergeCell ref="Z74:Z75"/>
    <mergeCell ref="AA74:AA75"/>
    <mergeCell ref="AB74:AB75"/>
    <mergeCell ref="A25:B25"/>
    <mergeCell ref="D25:E25"/>
    <mergeCell ref="A26:B26"/>
    <mergeCell ref="D26:E26"/>
    <mergeCell ref="A28:B28"/>
    <mergeCell ref="D28:E28"/>
    <mergeCell ref="A29:B29"/>
    <mergeCell ref="T74:T75"/>
    <mergeCell ref="U74:U75"/>
    <mergeCell ref="V74:V75"/>
    <mergeCell ref="W74:W75"/>
    <mergeCell ref="X74:X75"/>
    <mergeCell ref="Y74:Y75"/>
    <mergeCell ref="L74:L75"/>
    <mergeCell ref="M74:M75"/>
    <mergeCell ref="N74:N75"/>
    <mergeCell ref="O74:O75"/>
    <mergeCell ref="P74:P75"/>
    <mergeCell ref="AB2:AB17"/>
    <mergeCell ref="Q2:Q16"/>
    <mergeCell ref="R2:R16"/>
    <mergeCell ref="S2:S16"/>
    <mergeCell ref="T2:T16"/>
    <mergeCell ref="U2:U16"/>
    <mergeCell ref="V2:V17"/>
    <mergeCell ref="K2:K17"/>
    <mergeCell ref="L2:L17"/>
    <mergeCell ref="M2:M17"/>
    <mergeCell ref="N2:N17"/>
    <mergeCell ref="O2:O16"/>
    <mergeCell ref="P2:P16"/>
    <mergeCell ref="W2:W16"/>
    <mergeCell ref="X2:X16"/>
    <mergeCell ref="Y2:Y16"/>
    <mergeCell ref="Z2:Z16"/>
    <mergeCell ref="AA2:AA17"/>
    <mergeCell ref="A68:B68"/>
    <mergeCell ref="D68:E68"/>
    <mergeCell ref="A19:E19"/>
    <mergeCell ref="A20:E20"/>
    <mergeCell ref="A23:E23"/>
    <mergeCell ref="A24:B24"/>
    <mergeCell ref="D24:E24"/>
    <mergeCell ref="A1:E18"/>
    <mergeCell ref="F1:F18"/>
    <mergeCell ref="A50:B50"/>
    <mergeCell ref="D50:E50"/>
    <mergeCell ref="A46:B46"/>
    <mergeCell ref="D46:E46"/>
    <mergeCell ref="A48:B48"/>
    <mergeCell ref="D48:E48"/>
    <mergeCell ref="A51:B51"/>
    <mergeCell ref="D51:E51"/>
    <mergeCell ref="A52:B52"/>
    <mergeCell ref="D52:E52"/>
    <mergeCell ref="A53:B53"/>
    <mergeCell ref="A57:B57"/>
    <mergeCell ref="D57:E57"/>
    <mergeCell ref="A60:B60"/>
    <mergeCell ref="D60:E60"/>
    <mergeCell ref="A65:B65"/>
    <mergeCell ref="D65:E65"/>
    <mergeCell ref="I1:I18"/>
    <mergeCell ref="J2:J17"/>
    <mergeCell ref="A21:E21"/>
    <mergeCell ref="A22:E22"/>
    <mergeCell ref="D66:E66"/>
    <mergeCell ref="A67:B67"/>
    <mergeCell ref="D67:E67"/>
    <mergeCell ref="G1:G18"/>
    <mergeCell ref="H1:H18"/>
    <mergeCell ref="D53:E53"/>
    <mergeCell ref="A55:B55"/>
    <mergeCell ref="D55:E55"/>
    <mergeCell ref="A56:B56"/>
    <mergeCell ref="D56:E56"/>
    <mergeCell ref="A58:B58"/>
    <mergeCell ref="D58:E58"/>
    <mergeCell ref="A59:B59"/>
    <mergeCell ref="D59:E59"/>
    <mergeCell ref="A54:B54"/>
    <mergeCell ref="D54:E54"/>
    <mergeCell ref="D62:E62"/>
    <mergeCell ref="A63:B63"/>
    <mergeCell ref="A70:E70"/>
    <mergeCell ref="A71:E71"/>
    <mergeCell ref="A72:E72"/>
    <mergeCell ref="A73:E73"/>
    <mergeCell ref="A66:B66"/>
    <mergeCell ref="A43:E43"/>
    <mergeCell ref="A45:E45"/>
    <mergeCell ref="A37:B37"/>
    <mergeCell ref="D37:E37"/>
    <mergeCell ref="A40:B40"/>
    <mergeCell ref="D40:E40"/>
    <mergeCell ref="A38:B38"/>
    <mergeCell ref="D38:E38"/>
    <mergeCell ref="A39:B39"/>
    <mergeCell ref="A44:E44"/>
    <mergeCell ref="D41:E41"/>
    <mergeCell ref="A42:B42"/>
    <mergeCell ref="D42:E42"/>
    <mergeCell ref="A47:B47"/>
    <mergeCell ref="D47:E47"/>
    <mergeCell ref="A49:B49"/>
    <mergeCell ref="D49:E49"/>
    <mergeCell ref="A64:B64"/>
    <mergeCell ref="D64:E64"/>
  </mergeCells>
  <pageMargins left="0.7" right="0.7" top="0.75" bottom="0.75" header="0.3" footer="0.3"/>
  <pageSetup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08D35A-28F8-4DD6-AF75-A172F6447675}">
  <dimension ref="A1:AB75"/>
  <sheetViews>
    <sheetView showZeros="0" topLeftCell="A28" zoomScale="85" zoomScaleNormal="85" workbookViewId="0">
      <selection activeCell="A74" sqref="A74:I75"/>
    </sheetView>
  </sheetViews>
  <sheetFormatPr defaultRowHeight="12.75" x14ac:dyDescent="0.2"/>
  <cols>
    <col min="1" max="2" width="10.7109375" style="1" customWidth="1"/>
    <col min="3" max="3" width="3.7109375" style="1" customWidth="1"/>
    <col min="4" max="5" width="10.7109375" style="1" customWidth="1"/>
    <col min="6" max="7" width="9.7109375" style="1" customWidth="1"/>
    <col min="8" max="8" width="9.7109375" style="18" customWidth="1"/>
    <col min="9" max="9" width="9.7109375" style="15" customWidth="1"/>
    <col min="10" max="28" width="9.42578125" style="1" customWidth="1"/>
    <col min="29" max="36" width="9.7109375" style="1" customWidth="1"/>
    <col min="37" max="16384" width="9.140625" style="1"/>
  </cols>
  <sheetData>
    <row r="1" spans="1:28" ht="12.75" customHeight="1" x14ac:dyDescent="0.2">
      <c r="A1" s="35" t="s">
        <v>33</v>
      </c>
      <c r="B1" s="36"/>
      <c r="C1" s="36"/>
      <c r="D1" s="36"/>
      <c r="E1" s="36"/>
      <c r="F1" s="39" t="s">
        <v>29</v>
      </c>
      <c r="G1" s="39" t="s">
        <v>30</v>
      </c>
      <c r="H1" s="81" t="s">
        <v>36</v>
      </c>
      <c r="I1" s="67" t="s">
        <v>31</v>
      </c>
      <c r="J1" s="2">
        <v>202</v>
      </c>
      <c r="K1" s="2">
        <v>206</v>
      </c>
      <c r="L1" s="2">
        <v>254</v>
      </c>
      <c r="M1" s="2">
        <v>254</v>
      </c>
      <c r="N1" s="2">
        <v>255</v>
      </c>
      <c r="O1" s="2">
        <v>302</v>
      </c>
      <c r="P1" s="2">
        <v>304</v>
      </c>
      <c r="Q1" s="2">
        <v>407</v>
      </c>
      <c r="R1" s="2">
        <v>407</v>
      </c>
      <c r="S1" s="2">
        <v>407</v>
      </c>
      <c r="T1" s="2">
        <v>408</v>
      </c>
      <c r="U1" s="2">
        <v>441</v>
      </c>
      <c r="V1" s="2">
        <v>442</v>
      </c>
      <c r="W1" s="2">
        <v>442</v>
      </c>
      <c r="X1" s="2">
        <v>442</v>
      </c>
      <c r="Y1" s="2">
        <v>442</v>
      </c>
      <c r="Z1" s="2">
        <v>617</v>
      </c>
      <c r="AA1" s="2">
        <v>874</v>
      </c>
      <c r="AB1" s="3">
        <v>874</v>
      </c>
    </row>
    <row r="2" spans="1:28" ht="12.75" customHeight="1" x14ac:dyDescent="0.2">
      <c r="A2" s="37"/>
      <c r="B2" s="38"/>
      <c r="C2" s="38"/>
      <c r="D2" s="38"/>
      <c r="E2" s="38"/>
      <c r="F2" s="40"/>
      <c r="G2" s="40"/>
      <c r="H2" s="81"/>
      <c r="I2" s="68"/>
      <c r="J2" s="29" t="s">
        <v>0</v>
      </c>
      <c r="K2" s="28" t="s">
        <v>2</v>
      </c>
      <c r="L2" s="28" t="s">
        <v>3</v>
      </c>
      <c r="M2" s="28" t="s">
        <v>6</v>
      </c>
      <c r="N2" s="29" t="s">
        <v>4</v>
      </c>
      <c r="O2" s="28" t="s">
        <v>22</v>
      </c>
      <c r="P2" s="29" t="s">
        <v>8</v>
      </c>
      <c r="Q2" s="32" t="s">
        <v>12</v>
      </c>
      <c r="R2" s="28" t="s">
        <v>11</v>
      </c>
      <c r="S2" s="28" t="s">
        <v>11</v>
      </c>
      <c r="T2" s="29" t="s">
        <v>17</v>
      </c>
      <c r="U2" s="28" t="s">
        <v>19</v>
      </c>
      <c r="V2" s="29" t="s">
        <v>21</v>
      </c>
      <c r="W2" s="28" t="s">
        <v>109</v>
      </c>
      <c r="X2" s="28" t="s">
        <v>23</v>
      </c>
      <c r="Y2" s="28" t="s">
        <v>110</v>
      </c>
      <c r="Z2" s="28" t="s">
        <v>25</v>
      </c>
      <c r="AA2" s="28" t="s">
        <v>27</v>
      </c>
      <c r="AB2" s="30" t="s">
        <v>28</v>
      </c>
    </row>
    <row r="3" spans="1:28" ht="12.75" customHeight="1" x14ac:dyDescent="0.2">
      <c r="A3" s="37"/>
      <c r="B3" s="38"/>
      <c r="C3" s="38"/>
      <c r="D3" s="38"/>
      <c r="E3" s="38"/>
      <c r="F3" s="40"/>
      <c r="G3" s="40"/>
      <c r="H3" s="81"/>
      <c r="I3" s="68"/>
      <c r="J3" s="29"/>
      <c r="K3" s="29"/>
      <c r="L3" s="29"/>
      <c r="M3" s="29"/>
      <c r="N3" s="29"/>
      <c r="O3" s="29"/>
      <c r="P3" s="29"/>
      <c r="Q3" s="33"/>
      <c r="R3" s="29"/>
      <c r="S3" s="29"/>
      <c r="T3" s="29"/>
      <c r="U3" s="29"/>
      <c r="V3" s="29"/>
      <c r="W3" s="29"/>
      <c r="X3" s="29"/>
      <c r="Y3" s="29"/>
      <c r="Z3" s="29"/>
      <c r="AA3" s="29"/>
      <c r="AB3" s="31"/>
    </row>
    <row r="4" spans="1:28" ht="12.75" customHeight="1" x14ac:dyDescent="0.2">
      <c r="A4" s="37"/>
      <c r="B4" s="38"/>
      <c r="C4" s="38"/>
      <c r="D4" s="38"/>
      <c r="E4" s="38"/>
      <c r="F4" s="40"/>
      <c r="G4" s="40"/>
      <c r="H4" s="81"/>
      <c r="I4" s="68"/>
      <c r="J4" s="29"/>
      <c r="K4" s="29"/>
      <c r="L4" s="29"/>
      <c r="M4" s="29"/>
      <c r="N4" s="29"/>
      <c r="O4" s="29"/>
      <c r="P4" s="29"/>
      <c r="Q4" s="33"/>
      <c r="R4" s="29"/>
      <c r="S4" s="29"/>
      <c r="T4" s="29"/>
      <c r="U4" s="29"/>
      <c r="V4" s="29"/>
      <c r="W4" s="29"/>
      <c r="X4" s="29"/>
      <c r="Y4" s="29"/>
      <c r="Z4" s="29"/>
      <c r="AA4" s="29"/>
      <c r="AB4" s="31"/>
    </row>
    <row r="5" spans="1:28" ht="12.75" customHeight="1" x14ac:dyDescent="0.2">
      <c r="A5" s="37"/>
      <c r="B5" s="38"/>
      <c r="C5" s="38"/>
      <c r="D5" s="38"/>
      <c r="E5" s="38"/>
      <c r="F5" s="40"/>
      <c r="G5" s="40"/>
      <c r="H5" s="81"/>
      <c r="I5" s="68"/>
      <c r="J5" s="29"/>
      <c r="K5" s="29"/>
      <c r="L5" s="29"/>
      <c r="M5" s="29"/>
      <c r="N5" s="29"/>
      <c r="O5" s="29"/>
      <c r="P5" s="29"/>
      <c r="Q5" s="33"/>
      <c r="R5" s="29"/>
      <c r="S5" s="29"/>
      <c r="T5" s="29"/>
      <c r="U5" s="29"/>
      <c r="V5" s="29"/>
      <c r="W5" s="29"/>
      <c r="X5" s="29"/>
      <c r="Y5" s="29"/>
      <c r="Z5" s="29"/>
      <c r="AA5" s="29"/>
      <c r="AB5" s="31"/>
    </row>
    <row r="6" spans="1:28" ht="12.75" customHeight="1" x14ac:dyDescent="0.2">
      <c r="A6" s="37"/>
      <c r="B6" s="38"/>
      <c r="C6" s="38"/>
      <c r="D6" s="38"/>
      <c r="E6" s="38"/>
      <c r="F6" s="40"/>
      <c r="G6" s="40"/>
      <c r="H6" s="81"/>
      <c r="I6" s="68"/>
      <c r="J6" s="29"/>
      <c r="K6" s="29"/>
      <c r="L6" s="29"/>
      <c r="M6" s="29"/>
      <c r="N6" s="29"/>
      <c r="O6" s="29"/>
      <c r="P6" s="29"/>
      <c r="Q6" s="33"/>
      <c r="R6" s="29"/>
      <c r="S6" s="29"/>
      <c r="T6" s="29"/>
      <c r="U6" s="29"/>
      <c r="V6" s="29"/>
      <c r="W6" s="29"/>
      <c r="X6" s="29"/>
      <c r="Y6" s="29"/>
      <c r="Z6" s="29"/>
      <c r="AA6" s="29"/>
      <c r="AB6" s="31"/>
    </row>
    <row r="7" spans="1:28" ht="12.75" customHeight="1" x14ac:dyDescent="0.2">
      <c r="A7" s="37"/>
      <c r="B7" s="38"/>
      <c r="C7" s="38"/>
      <c r="D7" s="38"/>
      <c r="E7" s="38"/>
      <c r="F7" s="40"/>
      <c r="G7" s="40"/>
      <c r="H7" s="81"/>
      <c r="I7" s="68"/>
      <c r="J7" s="29"/>
      <c r="K7" s="29"/>
      <c r="L7" s="29"/>
      <c r="M7" s="29"/>
      <c r="N7" s="29"/>
      <c r="O7" s="29"/>
      <c r="P7" s="29"/>
      <c r="Q7" s="33"/>
      <c r="R7" s="29"/>
      <c r="S7" s="29"/>
      <c r="T7" s="29"/>
      <c r="U7" s="29"/>
      <c r="V7" s="29"/>
      <c r="W7" s="29"/>
      <c r="X7" s="29"/>
      <c r="Y7" s="29"/>
      <c r="Z7" s="29"/>
      <c r="AA7" s="29"/>
      <c r="AB7" s="31"/>
    </row>
    <row r="8" spans="1:28" ht="12.75" customHeight="1" x14ac:dyDescent="0.2">
      <c r="A8" s="37"/>
      <c r="B8" s="38"/>
      <c r="C8" s="38"/>
      <c r="D8" s="38"/>
      <c r="E8" s="38"/>
      <c r="F8" s="40"/>
      <c r="G8" s="40"/>
      <c r="H8" s="81"/>
      <c r="I8" s="68"/>
      <c r="J8" s="29"/>
      <c r="K8" s="29"/>
      <c r="L8" s="29"/>
      <c r="M8" s="29"/>
      <c r="N8" s="29"/>
      <c r="O8" s="29"/>
      <c r="P8" s="29"/>
      <c r="Q8" s="33"/>
      <c r="R8" s="29"/>
      <c r="S8" s="29"/>
      <c r="T8" s="29"/>
      <c r="U8" s="29"/>
      <c r="V8" s="29"/>
      <c r="W8" s="29"/>
      <c r="X8" s="29"/>
      <c r="Y8" s="29"/>
      <c r="Z8" s="29"/>
      <c r="AA8" s="29"/>
      <c r="AB8" s="31"/>
    </row>
    <row r="9" spans="1:28" ht="12.75" customHeight="1" x14ac:dyDescent="0.2">
      <c r="A9" s="37"/>
      <c r="B9" s="38"/>
      <c r="C9" s="38"/>
      <c r="D9" s="38"/>
      <c r="E9" s="38"/>
      <c r="F9" s="40"/>
      <c r="G9" s="40"/>
      <c r="H9" s="81"/>
      <c r="I9" s="68"/>
      <c r="J9" s="29"/>
      <c r="K9" s="29"/>
      <c r="L9" s="29"/>
      <c r="M9" s="29"/>
      <c r="N9" s="29"/>
      <c r="O9" s="29"/>
      <c r="P9" s="29"/>
      <c r="Q9" s="33"/>
      <c r="R9" s="29"/>
      <c r="S9" s="29"/>
      <c r="T9" s="29"/>
      <c r="U9" s="29"/>
      <c r="V9" s="29"/>
      <c r="W9" s="29"/>
      <c r="X9" s="29"/>
      <c r="Y9" s="29"/>
      <c r="Z9" s="29"/>
      <c r="AA9" s="29"/>
      <c r="AB9" s="31"/>
    </row>
    <row r="10" spans="1:28" ht="12.75" customHeight="1" x14ac:dyDescent="0.2">
      <c r="A10" s="37"/>
      <c r="B10" s="38"/>
      <c r="C10" s="38"/>
      <c r="D10" s="38"/>
      <c r="E10" s="38"/>
      <c r="F10" s="40"/>
      <c r="G10" s="40"/>
      <c r="H10" s="81"/>
      <c r="I10" s="68"/>
      <c r="J10" s="29"/>
      <c r="K10" s="29"/>
      <c r="L10" s="29"/>
      <c r="M10" s="29"/>
      <c r="N10" s="29"/>
      <c r="O10" s="29"/>
      <c r="P10" s="29"/>
      <c r="Q10" s="33"/>
      <c r="R10" s="29"/>
      <c r="S10" s="29"/>
      <c r="T10" s="29"/>
      <c r="U10" s="29"/>
      <c r="V10" s="29"/>
      <c r="W10" s="29"/>
      <c r="X10" s="29"/>
      <c r="Y10" s="29"/>
      <c r="Z10" s="29"/>
      <c r="AA10" s="29"/>
      <c r="AB10" s="31"/>
    </row>
    <row r="11" spans="1:28" ht="12.75" customHeight="1" x14ac:dyDescent="0.2">
      <c r="A11" s="37"/>
      <c r="B11" s="38"/>
      <c r="C11" s="38"/>
      <c r="D11" s="38"/>
      <c r="E11" s="38"/>
      <c r="F11" s="40"/>
      <c r="G11" s="40"/>
      <c r="H11" s="81"/>
      <c r="I11" s="68"/>
      <c r="J11" s="29"/>
      <c r="K11" s="29"/>
      <c r="L11" s="29"/>
      <c r="M11" s="29"/>
      <c r="N11" s="29"/>
      <c r="O11" s="29"/>
      <c r="P11" s="29"/>
      <c r="Q11" s="33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31"/>
    </row>
    <row r="12" spans="1:28" ht="12.75" customHeight="1" x14ac:dyDescent="0.2">
      <c r="A12" s="37"/>
      <c r="B12" s="38"/>
      <c r="C12" s="38"/>
      <c r="D12" s="38"/>
      <c r="E12" s="38"/>
      <c r="F12" s="40"/>
      <c r="G12" s="40"/>
      <c r="H12" s="81"/>
      <c r="I12" s="68"/>
      <c r="J12" s="29"/>
      <c r="K12" s="29"/>
      <c r="L12" s="29"/>
      <c r="M12" s="29"/>
      <c r="N12" s="29"/>
      <c r="O12" s="29"/>
      <c r="P12" s="29"/>
      <c r="Q12" s="33"/>
      <c r="R12" s="29"/>
      <c r="S12" s="29"/>
      <c r="T12" s="29"/>
      <c r="U12" s="29"/>
      <c r="V12" s="29"/>
      <c r="W12" s="29"/>
      <c r="X12" s="29"/>
      <c r="Y12" s="29"/>
      <c r="Z12" s="29"/>
      <c r="AA12" s="29"/>
      <c r="AB12" s="31"/>
    </row>
    <row r="13" spans="1:28" ht="12.75" customHeight="1" x14ac:dyDescent="0.2">
      <c r="A13" s="37"/>
      <c r="B13" s="38"/>
      <c r="C13" s="38"/>
      <c r="D13" s="38"/>
      <c r="E13" s="38"/>
      <c r="F13" s="40"/>
      <c r="G13" s="40"/>
      <c r="H13" s="81"/>
      <c r="I13" s="68"/>
      <c r="J13" s="29"/>
      <c r="K13" s="29"/>
      <c r="L13" s="29"/>
      <c r="M13" s="29"/>
      <c r="N13" s="29"/>
      <c r="O13" s="29"/>
      <c r="P13" s="29"/>
      <c r="Q13" s="33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31"/>
    </row>
    <row r="14" spans="1:28" ht="12.75" customHeight="1" x14ac:dyDescent="0.2">
      <c r="A14" s="37"/>
      <c r="B14" s="38"/>
      <c r="C14" s="38"/>
      <c r="D14" s="38"/>
      <c r="E14" s="38"/>
      <c r="F14" s="40"/>
      <c r="G14" s="40"/>
      <c r="H14" s="81"/>
      <c r="I14" s="68"/>
      <c r="J14" s="29"/>
      <c r="K14" s="29"/>
      <c r="L14" s="29"/>
      <c r="M14" s="29"/>
      <c r="N14" s="29"/>
      <c r="O14" s="29"/>
      <c r="P14" s="29"/>
      <c r="Q14" s="33"/>
      <c r="R14" s="29"/>
      <c r="S14" s="29"/>
      <c r="T14" s="29"/>
      <c r="U14" s="29"/>
      <c r="V14" s="29"/>
      <c r="W14" s="29"/>
      <c r="X14" s="29"/>
      <c r="Y14" s="29"/>
      <c r="Z14" s="29"/>
      <c r="AA14" s="29"/>
      <c r="AB14" s="31"/>
    </row>
    <row r="15" spans="1:28" ht="12.75" customHeight="1" x14ac:dyDescent="0.2">
      <c r="A15" s="37"/>
      <c r="B15" s="38"/>
      <c r="C15" s="38"/>
      <c r="D15" s="38"/>
      <c r="E15" s="38"/>
      <c r="F15" s="40"/>
      <c r="G15" s="40"/>
      <c r="H15" s="81"/>
      <c r="I15" s="68"/>
      <c r="J15" s="29"/>
      <c r="K15" s="29"/>
      <c r="L15" s="29"/>
      <c r="M15" s="29"/>
      <c r="N15" s="29"/>
      <c r="O15" s="29"/>
      <c r="P15" s="29"/>
      <c r="Q15" s="33"/>
      <c r="R15" s="29"/>
      <c r="S15" s="29"/>
      <c r="T15" s="29"/>
      <c r="U15" s="29"/>
      <c r="V15" s="29"/>
      <c r="W15" s="29"/>
      <c r="X15" s="29"/>
      <c r="Y15" s="29"/>
      <c r="Z15" s="29"/>
      <c r="AA15" s="29"/>
      <c r="AB15" s="31"/>
    </row>
    <row r="16" spans="1:28" ht="12.75" customHeight="1" x14ac:dyDescent="0.2">
      <c r="A16" s="37"/>
      <c r="B16" s="38"/>
      <c r="C16" s="38"/>
      <c r="D16" s="38"/>
      <c r="E16" s="38"/>
      <c r="F16" s="40"/>
      <c r="G16" s="40"/>
      <c r="H16" s="81"/>
      <c r="I16" s="68"/>
      <c r="J16" s="29"/>
      <c r="K16" s="29"/>
      <c r="L16" s="29"/>
      <c r="M16" s="29"/>
      <c r="N16" s="29"/>
      <c r="O16" s="29"/>
      <c r="P16" s="29"/>
      <c r="Q16" s="34"/>
      <c r="R16" s="29"/>
      <c r="S16" s="29"/>
      <c r="T16" s="29"/>
      <c r="U16" s="29"/>
      <c r="V16" s="29"/>
      <c r="W16" s="29"/>
      <c r="X16" s="29"/>
      <c r="Y16" s="29"/>
      <c r="Z16" s="29"/>
      <c r="AA16" s="29"/>
      <c r="AB16" s="31"/>
    </row>
    <row r="17" spans="1:28" ht="12.75" customHeight="1" x14ac:dyDescent="0.2">
      <c r="A17" s="37"/>
      <c r="B17" s="38"/>
      <c r="C17" s="38"/>
      <c r="D17" s="38"/>
      <c r="E17" s="38"/>
      <c r="F17" s="40"/>
      <c r="G17" s="40"/>
      <c r="H17" s="81"/>
      <c r="I17" s="68"/>
      <c r="J17" s="29"/>
      <c r="K17" s="29"/>
      <c r="L17" s="29"/>
      <c r="M17" s="29"/>
      <c r="N17" s="29"/>
      <c r="O17" s="4" t="s">
        <v>10</v>
      </c>
      <c r="P17" s="4" t="s">
        <v>9</v>
      </c>
      <c r="Q17" s="4" t="s">
        <v>13</v>
      </c>
      <c r="R17" s="4" t="s">
        <v>15</v>
      </c>
      <c r="S17" s="4" t="s">
        <v>16</v>
      </c>
      <c r="T17" s="4" t="s">
        <v>18</v>
      </c>
      <c r="U17" s="4" t="s">
        <v>20</v>
      </c>
      <c r="V17" s="29"/>
      <c r="W17" s="4" t="s">
        <v>20</v>
      </c>
      <c r="X17" s="4" t="s">
        <v>20</v>
      </c>
      <c r="Y17" s="4" t="s">
        <v>24</v>
      </c>
      <c r="Z17" s="4" t="s">
        <v>26</v>
      </c>
      <c r="AA17" s="29"/>
      <c r="AB17" s="31"/>
    </row>
    <row r="18" spans="1:28" ht="12.75" customHeight="1" x14ac:dyDescent="0.2">
      <c r="A18" s="37"/>
      <c r="B18" s="38"/>
      <c r="C18" s="38"/>
      <c r="D18" s="38"/>
      <c r="E18" s="38"/>
      <c r="F18" s="40"/>
      <c r="G18" s="40"/>
      <c r="H18" s="82"/>
      <c r="I18" s="68"/>
      <c r="J18" s="4" t="s">
        <v>1</v>
      </c>
      <c r="K18" s="4" t="s">
        <v>1</v>
      </c>
      <c r="L18" s="4" t="s">
        <v>1</v>
      </c>
      <c r="M18" s="4" t="s">
        <v>1</v>
      </c>
      <c r="N18" s="4" t="s">
        <v>5</v>
      </c>
      <c r="O18" s="4" t="s">
        <v>7</v>
      </c>
      <c r="P18" s="4" t="s">
        <v>7</v>
      </c>
      <c r="Q18" s="4" t="s">
        <v>14</v>
      </c>
      <c r="R18" s="4" t="s">
        <v>14</v>
      </c>
      <c r="S18" s="4" t="s">
        <v>14</v>
      </c>
      <c r="T18" s="4" t="s">
        <v>14</v>
      </c>
      <c r="U18" s="4" t="s">
        <v>7</v>
      </c>
      <c r="V18" s="4" t="s">
        <v>7</v>
      </c>
      <c r="W18" s="4" t="s">
        <v>7</v>
      </c>
      <c r="X18" s="4" t="s">
        <v>7</v>
      </c>
      <c r="Y18" s="4" t="s">
        <v>7</v>
      </c>
      <c r="Z18" s="4" t="s">
        <v>7</v>
      </c>
      <c r="AA18" s="4" t="s">
        <v>5</v>
      </c>
      <c r="AB18" s="5" t="s">
        <v>5</v>
      </c>
    </row>
    <row r="19" spans="1:28" x14ac:dyDescent="0.2">
      <c r="A19" s="43" t="s">
        <v>57</v>
      </c>
      <c r="B19" s="43"/>
      <c r="C19" s="43"/>
      <c r="D19" s="43"/>
      <c r="E19" s="44"/>
      <c r="F19" s="6"/>
      <c r="G19" s="6"/>
      <c r="H19" s="6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8"/>
    </row>
    <row r="20" spans="1:28" x14ac:dyDescent="0.2">
      <c r="A20" s="43"/>
      <c r="B20" s="43"/>
      <c r="C20" s="43"/>
      <c r="D20" s="43"/>
      <c r="E20" s="44"/>
      <c r="F20" s="6"/>
      <c r="G20" s="6"/>
      <c r="H20" s="6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8"/>
    </row>
    <row r="21" spans="1:28" x14ac:dyDescent="0.2">
      <c r="A21" s="43" t="s">
        <v>111</v>
      </c>
      <c r="B21" s="43"/>
      <c r="C21" s="43"/>
      <c r="D21" s="43"/>
      <c r="E21" s="44"/>
      <c r="F21" s="6"/>
      <c r="G21" s="6"/>
      <c r="H21" s="6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8"/>
    </row>
    <row r="22" spans="1:28" x14ac:dyDescent="0.2">
      <c r="A22" s="43"/>
      <c r="B22" s="43"/>
      <c r="C22" s="43"/>
      <c r="D22" s="43"/>
      <c r="E22" s="44"/>
      <c r="F22" s="6"/>
      <c r="G22" s="6"/>
      <c r="H22" s="6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8"/>
    </row>
    <row r="23" spans="1:28" x14ac:dyDescent="0.2">
      <c r="A23" s="46">
        <v>75051.789999999994</v>
      </c>
      <c r="B23" s="42"/>
      <c r="C23" s="4" t="s">
        <v>32</v>
      </c>
      <c r="D23" s="42">
        <v>76945</v>
      </c>
      <c r="E23" s="42"/>
      <c r="F23" s="6" t="s">
        <v>35</v>
      </c>
      <c r="G23" s="6">
        <f t="shared" ref="G23" si="0">D23-A23</f>
        <v>1893.2100000000064</v>
      </c>
      <c r="H23" s="6">
        <v>11.6</v>
      </c>
      <c r="I23" s="7">
        <f t="shared" ref="I23" si="1">ROUNDUP(((H23*G23)/9),1)</f>
        <v>2440.1999999999998</v>
      </c>
      <c r="J23" s="7"/>
      <c r="K23" s="7"/>
      <c r="L23" s="7">
        <f>I23</f>
        <v>2440.1999999999998</v>
      </c>
      <c r="M23" s="7"/>
      <c r="N23" s="7"/>
      <c r="O23" s="7"/>
      <c r="P23" s="7"/>
      <c r="Q23" s="7"/>
      <c r="R23" s="7"/>
      <c r="S23" s="7">
        <f>ROUNDUP((I23*0.09),1)</f>
        <v>219.7</v>
      </c>
      <c r="T23" s="7"/>
      <c r="U23" s="7"/>
      <c r="V23" s="7"/>
      <c r="W23" s="7">
        <f>ROUNDUP((I23*(1.5/36)),1)</f>
        <v>101.69999999999999</v>
      </c>
      <c r="X23" s="7"/>
      <c r="Y23" s="7"/>
      <c r="Z23" s="7"/>
      <c r="AA23" s="7"/>
      <c r="AB23" s="8"/>
    </row>
    <row r="24" spans="1:28" x14ac:dyDescent="0.2">
      <c r="A24" s="46">
        <v>76945</v>
      </c>
      <c r="B24" s="42"/>
      <c r="C24" s="4" t="s">
        <v>32</v>
      </c>
      <c r="D24" s="42">
        <v>76985</v>
      </c>
      <c r="E24" s="42"/>
      <c r="F24" s="6" t="s">
        <v>35</v>
      </c>
      <c r="G24" s="6">
        <f t="shared" ref="G24:G35" si="2">D24-A24</f>
        <v>40</v>
      </c>
      <c r="H24" s="16">
        <v>10.98</v>
      </c>
      <c r="I24" s="7">
        <f t="shared" ref="I24:I35" si="3">ROUNDUP(((H24*G24)/9),1)</f>
        <v>48.8</v>
      </c>
      <c r="J24" s="7"/>
      <c r="K24" s="7"/>
      <c r="L24" s="7">
        <f t="shared" ref="L24:L37" si="4">I24</f>
        <v>48.8</v>
      </c>
      <c r="M24" s="7"/>
      <c r="N24" s="7"/>
      <c r="O24" s="7"/>
      <c r="P24" s="7"/>
      <c r="Q24" s="7"/>
      <c r="R24" s="7"/>
      <c r="S24" s="7">
        <f t="shared" ref="S24:S37" si="5">ROUNDUP((I24*0.09),1)</f>
        <v>4.3999999999999995</v>
      </c>
      <c r="T24" s="7"/>
      <c r="U24" s="7"/>
      <c r="V24" s="7"/>
      <c r="W24" s="7">
        <f t="shared" ref="W24:W37" si="6">ROUNDUP((I24*(1.5/36)),1)</f>
        <v>2.1</v>
      </c>
      <c r="X24" s="7"/>
      <c r="Y24" s="7"/>
      <c r="Z24" s="7"/>
      <c r="AA24" s="7"/>
      <c r="AB24" s="8"/>
    </row>
    <row r="25" spans="1:28" x14ac:dyDescent="0.2">
      <c r="A25" s="46">
        <v>76985</v>
      </c>
      <c r="B25" s="42"/>
      <c r="C25" s="4" t="s">
        <v>32</v>
      </c>
      <c r="D25" s="42">
        <v>76995</v>
      </c>
      <c r="E25" s="42"/>
      <c r="F25" s="6" t="s">
        <v>35</v>
      </c>
      <c r="G25" s="6">
        <f t="shared" si="2"/>
        <v>10</v>
      </c>
      <c r="H25" s="6">
        <v>10.35</v>
      </c>
      <c r="I25" s="7">
        <f t="shared" si="3"/>
        <v>11.5</v>
      </c>
      <c r="J25" s="7"/>
      <c r="K25" s="7"/>
      <c r="L25" s="7">
        <f t="shared" si="4"/>
        <v>11.5</v>
      </c>
      <c r="M25" s="7"/>
      <c r="N25" s="7"/>
      <c r="O25" s="7"/>
      <c r="P25" s="7"/>
      <c r="Q25" s="7"/>
      <c r="R25" s="7"/>
      <c r="S25" s="7">
        <f t="shared" si="5"/>
        <v>1.1000000000000001</v>
      </c>
      <c r="T25" s="7"/>
      <c r="U25" s="7"/>
      <c r="V25" s="7"/>
      <c r="W25" s="7">
        <f t="shared" si="6"/>
        <v>0.5</v>
      </c>
      <c r="X25" s="7"/>
      <c r="Y25" s="7"/>
      <c r="Z25" s="7"/>
      <c r="AA25" s="7"/>
      <c r="AB25" s="8"/>
    </row>
    <row r="26" spans="1:28" x14ac:dyDescent="0.2">
      <c r="A26" s="46">
        <v>76995</v>
      </c>
      <c r="B26" s="42"/>
      <c r="C26" s="4" t="s">
        <v>32</v>
      </c>
      <c r="D26" s="42">
        <v>77035</v>
      </c>
      <c r="E26" s="42"/>
      <c r="F26" s="6" t="s">
        <v>35</v>
      </c>
      <c r="G26" s="6">
        <f t="shared" si="2"/>
        <v>40</v>
      </c>
      <c r="H26" s="16">
        <v>10.98</v>
      </c>
      <c r="I26" s="7">
        <f t="shared" si="3"/>
        <v>48.8</v>
      </c>
      <c r="J26" s="7"/>
      <c r="K26" s="7"/>
      <c r="L26" s="7">
        <f t="shared" si="4"/>
        <v>48.8</v>
      </c>
      <c r="M26" s="7"/>
      <c r="N26" s="7"/>
      <c r="O26" s="7"/>
      <c r="P26" s="7"/>
      <c r="Q26" s="7"/>
      <c r="R26" s="7"/>
      <c r="S26" s="7">
        <f t="shared" si="5"/>
        <v>4.3999999999999995</v>
      </c>
      <c r="T26" s="7"/>
      <c r="U26" s="7"/>
      <c r="V26" s="7"/>
      <c r="W26" s="7">
        <f t="shared" si="6"/>
        <v>2.1</v>
      </c>
      <c r="X26" s="7"/>
      <c r="Y26" s="7"/>
      <c r="Z26" s="7"/>
      <c r="AA26" s="7"/>
      <c r="AB26" s="8"/>
    </row>
    <row r="27" spans="1:28" x14ac:dyDescent="0.2">
      <c r="A27" s="46">
        <v>77035</v>
      </c>
      <c r="B27" s="42"/>
      <c r="C27" s="4" t="s">
        <v>32</v>
      </c>
      <c r="D27" s="42">
        <v>79585</v>
      </c>
      <c r="E27" s="42"/>
      <c r="F27" s="6" t="s">
        <v>35</v>
      </c>
      <c r="G27" s="6">
        <f t="shared" si="2"/>
        <v>2550</v>
      </c>
      <c r="H27" s="6">
        <v>11.6</v>
      </c>
      <c r="I27" s="7">
        <f t="shared" si="3"/>
        <v>3286.7</v>
      </c>
      <c r="J27" s="7"/>
      <c r="K27" s="7"/>
      <c r="L27" s="7">
        <f t="shared" si="4"/>
        <v>3286.7</v>
      </c>
      <c r="M27" s="7"/>
      <c r="N27" s="7"/>
      <c r="O27" s="7"/>
      <c r="P27" s="7"/>
      <c r="Q27" s="7"/>
      <c r="R27" s="7"/>
      <c r="S27" s="7">
        <f t="shared" si="5"/>
        <v>295.90000000000003</v>
      </c>
      <c r="T27" s="7"/>
      <c r="U27" s="7"/>
      <c r="V27" s="7"/>
      <c r="W27" s="7">
        <f t="shared" si="6"/>
        <v>137</v>
      </c>
      <c r="X27" s="7"/>
      <c r="Y27" s="7"/>
      <c r="Z27" s="7"/>
      <c r="AA27" s="7"/>
      <c r="AB27" s="8"/>
    </row>
    <row r="28" spans="1:28" x14ac:dyDescent="0.2">
      <c r="A28" s="46">
        <v>79585</v>
      </c>
      <c r="B28" s="42"/>
      <c r="C28" s="4" t="s">
        <v>32</v>
      </c>
      <c r="D28" s="42">
        <v>79625</v>
      </c>
      <c r="E28" s="42"/>
      <c r="F28" s="6" t="s">
        <v>35</v>
      </c>
      <c r="G28" s="6">
        <f t="shared" si="2"/>
        <v>40</v>
      </c>
      <c r="H28" s="16">
        <v>10.97</v>
      </c>
      <c r="I28" s="7">
        <f t="shared" si="3"/>
        <v>48.800000000000004</v>
      </c>
      <c r="J28" s="7"/>
      <c r="K28" s="7"/>
      <c r="L28" s="7">
        <f t="shared" si="4"/>
        <v>48.800000000000004</v>
      </c>
      <c r="M28" s="7"/>
      <c r="N28" s="7"/>
      <c r="O28" s="7"/>
      <c r="P28" s="7"/>
      <c r="Q28" s="7"/>
      <c r="R28" s="7"/>
      <c r="S28" s="7">
        <f t="shared" si="5"/>
        <v>4.3999999999999995</v>
      </c>
      <c r="T28" s="7"/>
      <c r="U28" s="7"/>
      <c r="V28" s="7"/>
      <c r="W28" s="7">
        <f t="shared" si="6"/>
        <v>2.1</v>
      </c>
      <c r="X28" s="7"/>
      <c r="Y28" s="7"/>
      <c r="Z28" s="7"/>
      <c r="AA28" s="7"/>
      <c r="AB28" s="8"/>
    </row>
    <row r="29" spans="1:28" x14ac:dyDescent="0.2">
      <c r="A29" s="46">
        <v>79625</v>
      </c>
      <c r="B29" s="42"/>
      <c r="C29" s="4" t="s">
        <v>32</v>
      </c>
      <c r="D29" s="42">
        <v>79635</v>
      </c>
      <c r="E29" s="42"/>
      <c r="F29" s="6" t="s">
        <v>35</v>
      </c>
      <c r="G29" s="6">
        <f t="shared" si="2"/>
        <v>10</v>
      </c>
      <c r="H29" s="6">
        <v>10.34</v>
      </c>
      <c r="I29" s="7">
        <f t="shared" si="3"/>
        <v>11.5</v>
      </c>
      <c r="J29" s="7"/>
      <c r="K29" s="7"/>
      <c r="L29" s="7">
        <f t="shared" si="4"/>
        <v>11.5</v>
      </c>
      <c r="M29" s="7"/>
      <c r="N29" s="7"/>
      <c r="O29" s="7"/>
      <c r="P29" s="7"/>
      <c r="Q29" s="7"/>
      <c r="R29" s="7"/>
      <c r="S29" s="7">
        <f t="shared" si="5"/>
        <v>1.1000000000000001</v>
      </c>
      <c r="T29" s="7"/>
      <c r="U29" s="7"/>
      <c r="V29" s="7"/>
      <c r="W29" s="7">
        <f t="shared" si="6"/>
        <v>0.5</v>
      </c>
      <c r="X29" s="7"/>
      <c r="Y29" s="7"/>
      <c r="Z29" s="7"/>
      <c r="AA29" s="7"/>
      <c r="AB29" s="8"/>
    </row>
    <row r="30" spans="1:28" x14ac:dyDescent="0.2">
      <c r="A30" s="46">
        <v>79635</v>
      </c>
      <c r="B30" s="42"/>
      <c r="C30" s="4" t="s">
        <v>32</v>
      </c>
      <c r="D30" s="42">
        <v>79675</v>
      </c>
      <c r="E30" s="42"/>
      <c r="F30" s="6" t="s">
        <v>35</v>
      </c>
      <c r="G30" s="6">
        <f t="shared" si="2"/>
        <v>40</v>
      </c>
      <c r="H30" s="16">
        <v>10.97</v>
      </c>
      <c r="I30" s="7">
        <f t="shared" si="3"/>
        <v>48.800000000000004</v>
      </c>
      <c r="J30" s="7"/>
      <c r="K30" s="7"/>
      <c r="L30" s="7">
        <f t="shared" si="4"/>
        <v>48.800000000000004</v>
      </c>
      <c r="M30" s="7"/>
      <c r="N30" s="7"/>
      <c r="O30" s="7"/>
      <c r="P30" s="7"/>
      <c r="Q30" s="7"/>
      <c r="R30" s="7"/>
      <c r="S30" s="7">
        <f t="shared" si="5"/>
        <v>4.3999999999999995</v>
      </c>
      <c r="T30" s="7"/>
      <c r="U30" s="7"/>
      <c r="V30" s="7"/>
      <c r="W30" s="7">
        <f t="shared" si="6"/>
        <v>2.1</v>
      </c>
      <c r="X30" s="7"/>
      <c r="Y30" s="7"/>
      <c r="Z30" s="7"/>
      <c r="AA30" s="7"/>
      <c r="AB30" s="8"/>
    </row>
    <row r="31" spans="1:28" x14ac:dyDescent="0.2">
      <c r="A31" s="46">
        <v>79675</v>
      </c>
      <c r="B31" s="42"/>
      <c r="C31" s="4" t="s">
        <v>32</v>
      </c>
      <c r="D31" s="42">
        <v>82235</v>
      </c>
      <c r="E31" s="42"/>
      <c r="F31" s="6" t="s">
        <v>35</v>
      </c>
      <c r="G31" s="6">
        <f t="shared" si="2"/>
        <v>2560</v>
      </c>
      <c r="H31" s="6">
        <v>11.6</v>
      </c>
      <c r="I31" s="7">
        <f t="shared" si="3"/>
        <v>3299.6</v>
      </c>
      <c r="J31" s="7"/>
      <c r="K31" s="7"/>
      <c r="L31" s="7">
        <f t="shared" si="4"/>
        <v>3299.6</v>
      </c>
      <c r="M31" s="7"/>
      <c r="N31" s="7"/>
      <c r="O31" s="7"/>
      <c r="P31" s="7"/>
      <c r="Q31" s="7"/>
      <c r="R31" s="7"/>
      <c r="S31" s="7">
        <f t="shared" si="5"/>
        <v>297</v>
      </c>
      <c r="T31" s="7"/>
      <c r="U31" s="7"/>
      <c r="V31" s="7"/>
      <c r="W31" s="7">
        <f t="shared" si="6"/>
        <v>137.5</v>
      </c>
      <c r="X31" s="7"/>
      <c r="Y31" s="7"/>
      <c r="Z31" s="7"/>
      <c r="AA31" s="7"/>
      <c r="AB31" s="8"/>
    </row>
    <row r="32" spans="1:28" x14ac:dyDescent="0.2">
      <c r="A32" s="46">
        <v>82235</v>
      </c>
      <c r="B32" s="42"/>
      <c r="C32" s="4" t="s">
        <v>32</v>
      </c>
      <c r="D32" s="42">
        <v>82275</v>
      </c>
      <c r="E32" s="42"/>
      <c r="F32" s="6" t="s">
        <v>35</v>
      </c>
      <c r="G32" s="6">
        <f t="shared" si="2"/>
        <v>40</v>
      </c>
      <c r="H32" s="16">
        <v>10.75</v>
      </c>
      <c r="I32" s="7">
        <f t="shared" si="3"/>
        <v>47.800000000000004</v>
      </c>
      <c r="J32" s="7"/>
      <c r="K32" s="7"/>
      <c r="L32" s="7">
        <f t="shared" si="4"/>
        <v>47.800000000000004</v>
      </c>
      <c r="M32" s="7"/>
      <c r="N32" s="7"/>
      <c r="O32" s="7"/>
      <c r="P32" s="7"/>
      <c r="Q32" s="7"/>
      <c r="R32" s="7"/>
      <c r="S32" s="7">
        <f t="shared" si="5"/>
        <v>4.3999999999999995</v>
      </c>
      <c r="T32" s="7"/>
      <c r="U32" s="7"/>
      <c r="V32" s="7"/>
      <c r="W32" s="7">
        <f t="shared" si="6"/>
        <v>2</v>
      </c>
      <c r="X32" s="7"/>
      <c r="Y32" s="7"/>
      <c r="Z32" s="7"/>
      <c r="AA32" s="7"/>
      <c r="AB32" s="8"/>
    </row>
    <row r="33" spans="1:28" x14ac:dyDescent="0.2">
      <c r="A33" s="46">
        <v>82275</v>
      </c>
      <c r="B33" s="42"/>
      <c r="C33" s="4" t="s">
        <v>32</v>
      </c>
      <c r="D33" s="42">
        <v>82285</v>
      </c>
      <c r="E33" s="42"/>
      <c r="F33" s="6" t="s">
        <v>35</v>
      </c>
      <c r="G33" s="6">
        <f t="shared" si="2"/>
        <v>10</v>
      </c>
      <c r="H33" s="6">
        <v>10.14</v>
      </c>
      <c r="I33" s="7">
        <f t="shared" si="3"/>
        <v>11.299999999999999</v>
      </c>
      <c r="J33" s="7"/>
      <c r="K33" s="7"/>
      <c r="L33" s="7">
        <f t="shared" si="4"/>
        <v>11.299999999999999</v>
      </c>
      <c r="M33" s="7"/>
      <c r="N33" s="7"/>
      <c r="O33" s="7"/>
      <c r="P33" s="7"/>
      <c r="Q33" s="7"/>
      <c r="R33" s="7"/>
      <c r="S33" s="7">
        <f t="shared" si="5"/>
        <v>1.1000000000000001</v>
      </c>
      <c r="T33" s="7"/>
      <c r="U33" s="7"/>
      <c r="V33" s="7"/>
      <c r="W33" s="7">
        <f t="shared" si="6"/>
        <v>0.5</v>
      </c>
      <c r="X33" s="7"/>
      <c r="Y33" s="7"/>
      <c r="Z33" s="7"/>
      <c r="AA33" s="7"/>
      <c r="AB33" s="8"/>
    </row>
    <row r="34" spans="1:28" x14ac:dyDescent="0.2">
      <c r="A34" s="46">
        <v>82285</v>
      </c>
      <c r="B34" s="42"/>
      <c r="C34" s="4" t="s">
        <v>32</v>
      </c>
      <c r="D34" s="42">
        <v>82325</v>
      </c>
      <c r="E34" s="42"/>
      <c r="F34" s="6" t="s">
        <v>35</v>
      </c>
      <c r="G34" s="6">
        <f t="shared" si="2"/>
        <v>40</v>
      </c>
      <c r="H34" s="16">
        <v>10.75</v>
      </c>
      <c r="I34" s="7">
        <f t="shared" si="3"/>
        <v>47.800000000000004</v>
      </c>
      <c r="J34" s="7"/>
      <c r="K34" s="7"/>
      <c r="L34" s="7">
        <f t="shared" si="4"/>
        <v>47.800000000000004</v>
      </c>
      <c r="M34" s="7"/>
      <c r="N34" s="7"/>
      <c r="O34" s="7"/>
      <c r="P34" s="7"/>
      <c r="Q34" s="7"/>
      <c r="R34" s="7"/>
      <c r="S34" s="7">
        <f t="shared" si="5"/>
        <v>4.3999999999999995</v>
      </c>
      <c r="T34" s="7"/>
      <c r="U34" s="7"/>
      <c r="V34" s="7"/>
      <c r="W34" s="7">
        <f t="shared" si="6"/>
        <v>2</v>
      </c>
      <c r="X34" s="7"/>
      <c r="Y34" s="7"/>
      <c r="Z34" s="7"/>
      <c r="AA34" s="7"/>
      <c r="AB34" s="8"/>
    </row>
    <row r="35" spans="1:28" x14ac:dyDescent="0.2">
      <c r="A35" s="46">
        <v>82325</v>
      </c>
      <c r="B35" s="42"/>
      <c r="C35" s="4" t="s">
        <v>32</v>
      </c>
      <c r="D35" s="42">
        <v>83170</v>
      </c>
      <c r="E35" s="42"/>
      <c r="F35" s="6" t="s">
        <v>35</v>
      </c>
      <c r="G35" s="6">
        <f t="shared" si="2"/>
        <v>845</v>
      </c>
      <c r="H35" s="16">
        <v>11.45</v>
      </c>
      <c r="I35" s="7">
        <f t="shared" si="3"/>
        <v>1075.0999999999999</v>
      </c>
      <c r="J35" s="12"/>
      <c r="K35" s="7"/>
      <c r="L35" s="7">
        <f t="shared" si="4"/>
        <v>1075.0999999999999</v>
      </c>
      <c r="M35" s="7"/>
      <c r="N35" s="7"/>
      <c r="O35" s="7"/>
      <c r="P35" s="7"/>
      <c r="Q35" s="7"/>
      <c r="R35" s="7"/>
      <c r="S35" s="7">
        <f t="shared" si="5"/>
        <v>96.8</v>
      </c>
      <c r="T35" s="7"/>
      <c r="U35" s="7"/>
      <c r="V35" s="7"/>
      <c r="W35" s="7">
        <f t="shared" si="6"/>
        <v>44.800000000000004</v>
      </c>
      <c r="X35" s="7"/>
      <c r="Y35" s="7"/>
      <c r="Z35" s="7"/>
      <c r="AA35" s="7"/>
      <c r="AB35" s="8"/>
    </row>
    <row r="36" spans="1:28" x14ac:dyDescent="0.2">
      <c r="A36" s="46">
        <v>83170</v>
      </c>
      <c r="B36" s="42"/>
      <c r="C36" s="4" t="s">
        <v>32</v>
      </c>
      <c r="D36" s="42">
        <v>83378</v>
      </c>
      <c r="E36" s="42"/>
      <c r="F36" s="6" t="s">
        <v>35</v>
      </c>
      <c r="G36" s="6">
        <f t="shared" ref="G36:G37" si="7">D36-A36</f>
        <v>208</v>
      </c>
      <c r="H36" s="16">
        <f>ROUNDUP(((I36*9)/G36),1)</f>
        <v>10.299999999999999</v>
      </c>
      <c r="I36" s="17">
        <f>ROUNDUP((2137.92/9),1)</f>
        <v>237.6</v>
      </c>
      <c r="J36" s="7"/>
      <c r="K36" s="7"/>
      <c r="L36" s="7">
        <f t="shared" si="4"/>
        <v>237.6</v>
      </c>
      <c r="M36" s="7"/>
      <c r="N36" s="7"/>
      <c r="O36" s="7"/>
      <c r="P36" s="7"/>
      <c r="Q36" s="7"/>
      <c r="R36" s="7"/>
      <c r="S36" s="7">
        <f t="shared" si="5"/>
        <v>21.400000000000002</v>
      </c>
      <c r="T36" s="7"/>
      <c r="U36" s="7"/>
      <c r="V36" s="7"/>
      <c r="W36" s="7">
        <f t="shared" si="6"/>
        <v>9.9</v>
      </c>
      <c r="X36" s="7"/>
      <c r="Y36" s="7"/>
      <c r="Z36" s="7"/>
      <c r="AA36" s="7"/>
      <c r="AB36" s="8"/>
    </row>
    <row r="37" spans="1:28" x14ac:dyDescent="0.2">
      <c r="A37" s="46">
        <v>83378</v>
      </c>
      <c r="B37" s="42"/>
      <c r="C37" s="4" t="s">
        <v>32</v>
      </c>
      <c r="D37" s="42">
        <v>85500</v>
      </c>
      <c r="E37" s="42"/>
      <c r="F37" s="6" t="s">
        <v>35</v>
      </c>
      <c r="G37" s="6">
        <f t="shared" si="7"/>
        <v>2122</v>
      </c>
      <c r="H37" s="16">
        <f>ROUNDUP(((I37*9)/G37),1)</f>
        <v>10.199999999999999</v>
      </c>
      <c r="I37" s="17">
        <f>ROUNDUP((21550.55/9),1)</f>
        <v>2394.6</v>
      </c>
      <c r="J37" s="7"/>
      <c r="K37" s="7"/>
      <c r="L37" s="7">
        <f t="shared" si="4"/>
        <v>2394.6</v>
      </c>
      <c r="M37" s="7"/>
      <c r="N37" s="7"/>
      <c r="O37" s="7"/>
      <c r="P37" s="7"/>
      <c r="Q37" s="7"/>
      <c r="R37" s="7"/>
      <c r="S37" s="7">
        <f t="shared" si="5"/>
        <v>215.6</v>
      </c>
      <c r="T37" s="7"/>
      <c r="U37" s="7"/>
      <c r="V37" s="7"/>
      <c r="W37" s="7">
        <f t="shared" si="6"/>
        <v>99.8</v>
      </c>
      <c r="X37" s="7"/>
      <c r="Y37" s="7"/>
      <c r="Z37" s="7"/>
      <c r="AA37" s="7"/>
      <c r="AB37" s="8"/>
    </row>
    <row r="38" spans="1:28" x14ac:dyDescent="0.2">
      <c r="A38" s="45"/>
      <c r="B38" s="45"/>
      <c r="C38" s="45"/>
      <c r="D38" s="45"/>
      <c r="E38" s="46"/>
      <c r="F38" s="6"/>
      <c r="G38" s="6"/>
      <c r="H38" s="6"/>
      <c r="I38" s="19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8"/>
    </row>
    <row r="39" spans="1:28" x14ac:dyDescent="0.2">
      <c r="A39" s="45"/>
      <c r="B39" s="45"/>
      <c r="C39" s="45"/>
      <c r="D39" s="45"/>
      <c r="E39" s="46"/>
      <c r="F39" s="6"/>
      <c r="G39" s="6"/>
      <c r="H39" s="6"/>
      <c r="I39" s="20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Z39" s="7"/>
      <c r="AA39" s="7"/>
      <c r="AB39" s="8"/>
    </row>
    <row r="40" spans="1:28" x14ac:dyDescent="0.2">
      <c r="A40" s="45" t="s">
        <v>56</v>
      </c>
      <c r="B40" s="45"/>
      <c r="C40" s="45"/>
      <c r="D40" s="45"/>
      <c r="E40" s="46"/>
      <c r="F40" s="6"/>
      <c r="G40" s="6"/>
      <c r="H40" s="6"/>
      <c r="I40" s="20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  <c r="AA40" s="7"/>
      <c r="AB40" s="8"/>
    </row>
    <row r="41" spans="1:28" x14ac:dyDescent="0.2">
      <c r="A41" s="46" t="s">
        <v>88</v>
      </c>
      <c r="B41" s="42"/>
      <c r="C41" s="4" t="s">
        <v>32</v>
      </c>
      <c r="D41" s="42">
        <v>62300</v>
      </c>
      <c r="E41" s="42"/>
      <c r="F41" s="6" t="s">
        <v>35</v>
      </c>
      <c r="G41" s="6">
        <f>100</f>
        <v>100</v>
      </c>
      <c r="H41" s="27">
        <f>ROUNDUP(((I41*9)/G41),1)</f>
        <v>9.6999999999999993</v>
      </c>
      <c r="I41" s="21">
        <f>ROUNDUP((967.48/9),1)</f>
        <v>107.5</v>
      </c>
      <c r="J41" s="7"/>
      <c r="K41" s="7"/>
      <c r="L41" s="7">
        <f t="shared" ref="L41:L59" si="8">I41</f>
        <v>107.5</v>
      </c>
      <c r="M41" s="7"/>
      <c r="N41" s="7"/>
      <c r="O41" s="7"/>
      <c r="P41" s="7"/>
      <c r="Q41" s="7"/>
      <c r="R41" s="7"/>
      <c r="S41" s="7">
        <f t="shared" ref="S41:S59" si="9">ROUNDUP((I41*0.09),1)</f>
        <v>9.6999999999999993</v>
      </c>
      <c r="T41" s="7"/>
      <c r="U41" s="7"/>
      <c r="V41" s="7"/>
      <c r="W41" s="7">
        <f t="shared" ref="W41:W59" si="10">ROUNDUP((I41*(1.5/36)),1)</f>
        <v>4.5</v>
      </c>
      <c r="X41" s="7"/>
      <c r="Y41" s="7"/>
      <c r="Z41" s="7"/>
      <c r="AA41" s="7"/>
      <c r="AB41" s="8"/>
    </row>
    <row r="42" spans="1:28" x14ac:dyDescent="0.2">
      <c r="A42" s="46">
        <v>62300</v>
      </c>
      <c r="B42" s="42"/>
      <c r="C42" s="4" t="s">
        <v>32</v>
      </c>
      <c r="D42" s="42">
        <v>63965</v>
      </c>
      <c r="E42" s="42"/>
      <c r="F42" s="6" t="s">
        <v>35</v>
      </c>
      <c r="G42" s="6">
        <f>D42-A42</f>
        <v>1665</v>
      </c>
      <c r="H42" s="27">
        <f>ROUNDUP(((I42*9)/G42),1)</f>
        <v>10</v>
      </c>
      <c r="I42" s="21">
        <f>ROUNDUP((16532.8/9),1)</f>
        <v>1837</v>
      </c>
      <c r="J42" s="7"/>
      <c r="K42" s="7"/>
      <c r="L42" s="7">
        <f t="shared" si="8"/>
        <v>1837</v>
      </c>
      <c r="M42" s="7"/>
      <c r="N42" s="7"/>
      <c r="O42" s="7"/>
      <c r="P42" s="7"/>
      <c r="Q42" s="7"/>
      <c r="R42" s="7"/>
      <c r="S42" s="7">
        <f t="shared" si="9"/>
        <v>165.4</v>
      </c>
      <c r="T42" s="7"/>
      <c r="U42" s="7"/>
      <c r="V42" s="7"/>
      <c r="W42" s="7">
        <f t="shared" si="10"/>
        <v>76.599999999999994</v>
      </c>
      <c r="X42" s="7"/>
      <c r="Y42" s="7"/>
      <c r="Z42" s="7"/>
      <c r="AA42" s="7"/>
      <c r="AB42" s="8"/>
    </row>
    <row r="43" spans="1:28" x14ac:dyDescent="0.2">
      <c r="A43" s="46">
        <v>63965</v>
      </c>
      <c r="B43" s="42"/>
      <c r="C43" s="4" t="s">
        <v>32</v>
      </c>
      <c r="D43" s="42">
        <v>65575</v>
      </c>
      <c r="E43" s="42"/>
      <c r="F43" s="6" t="s">
        <v>35</v>
      </c>
      <c r="G43" s="6">
        <f>D43-A43</f>
        <v>1610</v>
      </c>
      <c r="H43" s="6">
        <v>10</v>
      </c>
      <c r="I43" s="20">
        <f>ROUNDUP(((H43*G43)/9),1)</f>
        <v>1788.8999999999999</v>
      </c>
      <c r="J43" s="7"/>
      <c r="K43" s="7"/>
      <c r="L43" s="7">
        <f t="shared" si="8"/>
        <v>1788.8999999999999</v>
      </c>
      <c r="M43" s="7"/>
      <c r="N43" s="7"/>
      <c r="O43" s="7"/>
      <c r="P43" s="7"/>
      <c r="Q43" s="7"/>
      <c r="R43" s="7"/>
      <c r="S43" s="7">
        <f t="shared" si="9"/>
        <v>161.1</v>
      </c>
      <c r="T43" s="7"/>
      <c r="U43" s="7"/>
      <c r="V43" s="7"/>
      <c r="W43" s="7">
        <f t="shared" si="10"/>
        <v>74.599999999999994</v>
      </c>
      <c r="X43" s="7"/>
      <c r="Y43" s="7"/>
      <c r="Z43" s="7"/>
      <c r="AA43" s="7"/>
      <c r="AB43" s="8"/>
    </row>
    <row r="44" spans="1:28" x14ac:dyDescent="0.2">
      <c r="A44" s="46">
        <v>65575</v>
      </c>
      <c r="B44" s="42"/>
      <c r="C44" s="4" t="s">
        <v>32</v>
      </c>
      <c r="D44" s="42">
        <v>65675</v>
      </c>
      <c r="E44" s="42"/>
      <c r="F44" s="6" t="s">
        <v>35</v>
      </c>
      <c r="G44" s="6">
        <f>D44-A44</f>
        <v>100</v>
      </c>
      <c r="H44" s="16">
        <v>9</v>
      </c>
      <c r="I44" s="20">
        <f>ROUNDUP(((H44*G44)/9),1)</f>
        <v>100</v>
      </c>
      <c r="J44" s="7"/>
      <c r="K44" s="7"/>
      <c r="L44" s="7">
        <f t="shared" si="8"/>
        <v>100</v>
      </c>
      <c r="M44" s="7"/>
      <c r="N44" s="7"/>
      <c r="O44" s="7"/>
      <c r="P44" s="7"/>
      <c r="Q44" s="7"/>
      <c r="R44" s="7"/>
      <c r="S44" s="7">
        <f t="shared" si="9"/>
        <v>9</v>
      </c>
      <c r="T44" s="7"/>
      <c r="U44" s="7"/>
      <c r="V44" s="7"/>
      <c r="W44" s="7">
        <f t="shared" si="10"/>
        <v>4.1999999999999993</v>
      </c>
      <c r="X44" s="7"/>
      <c r="Y44" s="7"/>
      <c r="Z44" s="7"/>
      <c r="AA44" s="7"/>
      <c r="AB44" s="8"/>
    </row>
    <row r="45" spans="1:28" x14ac:dyDescent="0.2">
      <c r="A45" s="46">
        <v>65675</v>
      </c>
      <c r="B45" s="42"/>
      <c r="C45" s="4" t="s">
        <v>32</v>
      </c>
      <c r="D45" s="42">
        <v>65806.8</v>
      </c>
      <c r="E45" s="42"/>
      <c r="F45" s="6" t="s">
        <v>35</v>
      </c>
      <c r="G45" s="6">
        <f t="shared" ref="G45:G59" si="11">D45-A45</f>
        <v>131.80000000000291</v>
      </c>
      <c r="H45" s="16">
        <v>8</v>
      </c>
      <c r="I45" s="20">
        <f t="shared" ref="I45:I56" si="12">ROUNDUP(((H45*G45)/9),1)</f>
        <v>117.19999999999999</v>
      </c>
      <c r="J45" s="12"/>
      <c r="K45" s="7"/>
      <c r="L45" s="7">
        <f t="shared" si="8"/>
        <v>117.19999999999999</v>
      </c>
      <c r="M45" s="7"/>
      <c r="N45" s="7"/>
      <c r="O45" s="7"/>
      <c r="P45" s="7"/>
      <c r="Q45" s="7"/>
      <c r="R45" s="7"/>
      <c r="S45" s="7">
        <f t="shared" si="9"/>
        <v>10.6</v>
      </c>
      <c r="T45" s="7"/>
      <c r="U45" s="7"/>
      <c r="V45" s="7"/>
      <c r="W45" s="7">
        <f t="shared" si="10"/>
        <v>4.8999999999999995</v>
      </c>
      <c r="X45" s="7"/>
      <c r="Y45" s="7"/>
      <c r="Z45" s="7"/>
      <c r="AA45" s="7"/>
      <c r="AB45" s="8"/>
    </row>
    <row r="46" spans="1:28" x14ac:dyDescent="0.2">
      <c r="A46" s="46">
        <v>66177</v>
      </c>
      <c r="B46" s="42"/>
      <c r="C46" s="4" t="s">
        <v>32</v>
      </c>
      <c r="D46" s="42">
        <v>67674</v>
      </c>
      <c r="E46" s="42"/>
      <c r="F46" s="6" t="s">
        <v>35</v>
      </c>
      <c r="G46" s="6">
        <f t="shared" si="11"/>
        <v>1497</v>
      </c>
      <c r="H46" s="6">
        <v>10</v>
      </c>
      <c r="I46" s="20">
        <f t="shared" si="12"/>
        <v>1663.3999999999999</v>
      </c>
      <c r="J46" s="7"/>
      <c r="K46" s="7"/>
      <c r="L46" s="7">
        <f t="shared" si="8"/>
        <v>1663.3999999999999</v>
      </c>
      <c r="M46" s="7"/>
      <c r="N46" s="7"/>
      <c r="O46" s="7"/>
      <c r="P46" s="7"/>
      <c r="Q46" s="7"/>
      <c r="R46" s="7"/>
      <c r="S46" s="7">
        <f t="shared" si="9"/>
        <v>149.79999999999998</v>
      </c>
      <c r="T46" s="7"/>
      <c r="U46" s="7"/>
      <c r="V46" s="7"/>
      <c r="W46" s="7">
        <f t="shared" si="10"/>
        <v>69.399999999999991</v>
      </c>
      <c r="X46" s="7"/>
      <c r="Y46" s="7"/>
      <c r="Z46" s="7"/>
      <c r="AA46" s="7"/>
      <c r="AB46" s="8"/>
    </row>
    <row r="47" spans="1:28" x14ac:dyDescent="0.2">
      <c r="A47" s="46">
        <v>67938.53</v>
      </c>
      <c r="B47" s="42"/>
      <c r="C47" s="4" t="s">
        <v>32</v>
      </c>
      <c r="D47" s="42">
        <v>68438.12</v>
      </c>
      <c r="E47" s="42"/>
      <c r="F47" s="6" t="s">
        <v>35</v>
      </c>
      <c r="G47" s="6">
        <f t="shared" si="11"/>
        <v>499.58999999999651</v>
      </c>
      <c r="H47" s="16">
        <v>4</v>
      </c>
      <c r="I47" s="20">
        <f t="shared" si="12"/>
        <v>222.1</v>
      </c>
      <c r="J47" s="7"/>
      <c r="K47" s="7"/>
      <c r="L47" s="7">
        <f t="shared" si="8"/>
        <v>222.1</v>
      </c>
      <c r="M47" s="7"/>
      <c r="N47" s="7"/>
      <c r="O47" s="7"/>
      <c r="P47" s="7"/>
      <c r="Q47" s="7"/>
      <c r="R47" s="7"/>
      <c r="S47" s="7">
        <f t="shared" si="9"/>
        <v>20</v>
      </c>
      <c r="T47" s="7"/>
      <c r="U47" s="7"/>
      <c r="V47" s="7"/>
      <c r="W47" s="7">
        <f t="shared" si="10"/>
        <v>9.2999999999999989</v>
      </c>
      <c r="X47" s="7"/>
      <c r="Y47" s="7"/>
      <c r="Z47" s="7"/>
      <c r="AA47" s="7"/>
      <c r="AB47" s="8"/>
    </row>
    <row r="48" spans="1:28" x14ac:dyDescent="0.2">
      <c r="A48" s="46">
        <v>68438.12</v>
      </c>
      <c r="B48" s="42"/>
      <c r="C48" s="4" t="s">
        <v>32</v>
      </c>
      <c r="D48" s="42">
        <v>68503.41</v>
      </c>
      <c r="E48" s="42"/>
      <c r="F48" s="6" t="s">
        <v>35</v>
      </c>
      <c r="G48" s="6">
        <f t="shared" si="11"/>
        <v>65.290000000008149</v>
      </c>
      <c r="H48" s="16">
        <v>2.5</v>
      </c>
      <c r="I48" s="20">
        <f t="shared" si="12"/>
        <v>18.200000000000003</v>
      </c>
      <c r="J48" s="7"/>
      <c r="K48" s="7"/>
      <c r="L48" s="7">
        <f t="shared" si="8"/>
        <v>18.200000000000003</v>
      </c>
      <c r="M48" s="7"/>
      <c r="N48" s="7"/>
      <c r="O48" s="7"/>
      <c r="P48" s="7"/>
      <c r="Q48" s="7"/>
      <c r="R48" s="7"/>
      <c r="S48" s="7">
        <f t="shared" si="9"/>
        <v>1.7000000000000002</v>
      </c>
      <c r="T48" s="7"/>
      <c r="U48" s="7"/>
      <c r="V48" s="7"/>
      <c r="W48" s="7">
        <f t="shared" si="10"/>
        <v>0.79999999999999993</v>
      </c>
      <c r="X48" s="7"/>
      <c r="Y48" s="7"/>
      <c r="Z48" s="7"/>
      <c r="AA48" s="7"/>
      <c r="AB48" s="8"/>
    </row>
    <row r="49" spans="1:28" x14ac:dyDescent="0.2">
      <c r="A49" s="46">
        <v>68800</v>
      </c>
      <c r="B49" s="42"/>
      <c r="C49" s="4" t="s">
        <v>32</v>
      </c>
      <c r="D49" s="42">
        <v>70753</v>
      </c>
      <c r="E49" s="42"/>
      <c r="F49" s="6" t="s">
        <v>35</v>
      </c>
      <c r="G49" s="6">
        <f t="shared" si="11"/>
        <v>1953</v>
      </c>
      <c r="H49" s="6">
        <v>10</v>
      </c>
      <c r="I49" s="20">
        <f t="shared" si="12"/>
        <v>2170</v>
      </c>
      <c r="J49" s="7"/>
      <c r="K49" s="7"/>
      <c r="L49" s="7">
        <f t="shared" si="8"/>
        <v>2170</v>
      </c>
      <c r="M49" s="7"/>
      <c r="N49" s="7"/>
      <c r="O49" s="7"/>
      <c r="P49" s="7"/>
      <c r="Q49" s="7"/>
      <c r="R49" s="7"/>
      <c r="S49" s="7">
        <f t="shared" si="9"/>
        <v>195.3</v>
      </c>
      <c r="T49" s="7"/>
      <c r="U49" s="7"/>
      <c r="V49" s="7"/>
      <c r="W49" s="7">
        <f t="shared" si="10"/>
        <v>90.5</v>
      </c>
      <c r="X49" s="7"/>
      <c r="Y49" s="7"/>
      <c r="Z49" s="7"/>
      <c r="AA49" s="7"/>
      <c r="AB49" s="8"/>
    </row>
    <row r="50" spans="1:28" x14ac:dyDescent="0.2">
      <c r="A50" s="46">
        <v>71208.61</v>
      </c>
      <c r="B50" s="42"/>
      <c r="C50" s="4" t="s">
        <v>32</v>
      </c>
      <c r="D50" s="42">
        <v>71400</v>
      </c>
      <c r="E50" s="42"/>
      <c r="F50" s="6" t="s">
        <v>35</v>
      </c>
      <c r="G50" s="6">
        <f t="shared" si="11"/>
        <v>191.38999999999942</v>
      </c>
      <c r="H50" s="6">
        <v>8</v>
      </c>
      <c r="I50" s="20">
        <f t="shared" si="12"/>
        <v>170.2</v>
      </c>
      <c r="J50" s="17"/>
      <c r="K50" s="7"/>
      <c r="L50" s="7">
        <f t="shared" si="8"/>
        <v>170.2</v>
      </c>
      <c r="M50" s="7"/>
      <c r="N50" s="7"/>
      <c r="O50" s="7"/>
      <c r="P50" s="7"/>
      <c r="Q50" s="7"/>
      <c r="R50" s="7"/>
      <c r="S50" s="7">
        <f t="shared" si="9"/>
        <v>15.4</v>
      </c>
      <c r="T50" s="7"/>
      <c r="U50" s="7"/>
      <c r="V50" s="7"/>
      <c r="W50" s="7">
        <f t="shared" si="10"/>
        <v>7.1</v>
      </c>
      <c r="X50" s="7"/>
      <c r="Y50" s="7"/>
      <c r="Z50" s="7"/>
      <c r="AA50" s="7"/>
      <c r="AB50" s="8"/>
    </row>
    <row r="51" spans="1:28" x14ac:dyDescent="0.2">
      <c r="A51" s="46">
        <v>71400</v>
      </c>
      <c r="B51" s="42"/>
      <c r="C51" s="4" t="s">
        <v>32</v>
      </c>
      <c r="D51" s="42">
        <v>71800</v>
      </c>
      <c r="E51" s="42"/>
      <c r="F51" s="6" t="s">
        <v>35</v>
      </c>
      <c r="G51" s="6">
        <f t="shared" si="11"/>
        <v>400</v>
      </c>
      <c r="H51" s="16">
        <v>9</v>
      </c>
      <c r="I51" s="20">
        <f t="shared" si="12"/>
        <v>400</v>
      </c>
      <c r="J51" s="7"/>
      <c r="K51" s="7"/>
      <c r="L51" s="7">
        <f t="shared" si="8"/>
        <v>400</v>
      </c>
      <c r="M51" s="7"/>
      <c r="N51" s="7"/>
      <c r="O51" s="7"/>
      <c r="P51" s="7"/>
      <c r="Q51" s="7"/>
      <c r="R51" s="7"/>
      <c r="S51" s="7">
        <f t="shared" si="9"/>
        <v>36</v>
      </c>
      <c r="T51" s="7"/>
      <c r="U51" s="7"/>
      <c r="V51" s="7"/>
      <c r="W51" s="7">
        <f t="shared" si="10"/>
        <v>16.700000000000003</v>
      </c>
      <c r="X51" s="7"/>
      <c r="Y51" s="7"/>
      <c r="Z51" s="7"/>
      <c r="AA51" s="7"/>
      <c r="AB51" s="8"/>
    </row>
    <row r="52" spans="1:28" x14ac:dyDescent="0.2">
      <c r="A52" s="46">
        <v>71800</v>
      </c>
      <c r="B52" s="42"/>
      <c r="C52" s="4" t="s">
        <v>32</v>
      </c>
      <c r="D52" s="42">
        <v>72300</v>
      </c>
      <c r="E52" s="42"/>
      <c r="F52" s="6" t="s">
        <v>35</v>
      </c>
      <c r="G52" s="6">
        <f t="shared" si="11"/>
        <v>500</v>
      </c>
      <c r="H52" s="6">
        <v>10</v>
      </c>
      <c r="I52" s="20">
        <f t="shared" si="12"/>
        <v>555.6</v>
      </c>
      <c r="J52" s="7"/>
      <c r="K52" s="7"/>
      <c r="L52" s="7">
        <f t="shared" si="8"/>
        <v>555.6</v>
      </c>
      <c r="M52" s="7"/>
      <c r="N52" s="7"/>
      <c r="O52" s="7"/>
      <c r="P52" s="7"/>
      <c r="Q52" s="7"/>
      <c r="R52" s="7"/>
      <c r="S52" s="7">
        <f t="shared" si="9"/>
        <v>50.1</v>
      </c>
      <c r="T52" s="7"/>
      <c r="U52" s="7"/>
      <c r="V52" s="7"/>
      <c r="W52" s="7">
        <f t="shared" si="10"/>
        <v>23.200000000000003</v>
      </c>
      <c r="X52" s="7"/>
      <c r="Y52" s="7"/>
      <c r="Z52" s="7"/>
      <c r="AA52" s="7"/>
      <c r="AB52" s="8"/>
    </row>
    <row r="53" spans="1:28" x14ac:dyDescent="0.2">
      <c r="A53" s="46">
        <v>72300</v>
      </c>
      <c r="B53" s="42"/>
      <c r="C53" s="4" t="s">
        <v>32</v>
      </c>
      <c r="D53" s="42">
        <v>72400</v>
      </c>
      <c r="E53" s="42"/>
      <c r="F53" s="6" t="s">
        <v>35</v>
      </c>
      <c r="G53" s="6">
        <f t="shared" si="11"/>
        <v>100</v>
      </c>
      <c r="H53" s="16">
        <v>6.5</v>
      </c>
      <c r="I53" s="20">
        <f t="shared" si="12"/>
        <v>72.3</v>
      </c>
      <c r="J53" s="7"/>
      <c r="K53" s="7"/>
      <c r="L53" s="7">
        <f t="shared" si="8"/>
        <v>72.3</v>
      </c>
      <c r="M53" s="7"/>
      <c r="N53" s="7"/>
      <c r="O53" s="7"/>
      <c r="P53" s="7"/>
      <c r="Q53" s="7"/>
      <c r="R53" s="7"/>
      <c r="S53" s="7">
        <f t="shared" si="9"/>
        <v>6.6</v>
      </c>
      <c r="T53" s="7"/>
      <c r="U53" s="7"/>
      <c r="V53" s="7"/>
      <c r="W53" s="7">
        <f t="shared" si="10"/>
        <v>3.1</v>
      </c>
      <c r="X53" s="7"/>
      <c r="Y53" s="7"/>
      <c r="Z53" s="7"/>
      <c r="AA53" s="7"/>
      <c r="AB53" s="8"/>
    </row>
    <row r="54" spans="1:28" x14ac:dyDescent="0.2">
      <c r="A54" s="46">
        <v>72400</v>
      </c>
      <c r="B54" s="42"/>
      <c r="C54" s="4" t="s">
        <v>32</v>
      </c>
      <c r="D54" s="42">
        <v>72650</v>
      </c>
      <c r="E54" s="42"/>
      <c r="F54" s="6" t="s">
        <v>35</v>
      </c>
      <c r="G54" s="6">
        <f t="shared" si="11"/>
        <v>250</v>
      </c>
      <c r="H54" s="6">
        <v>3</v>
      </c>
      <c r="I54" s="20">
        <f t="shared" si="12"/>
        <v>83.399999999999991</v>
      </c>
      <c r="J54" s="7"/>
      <c r="K54" s="7"/>
      <c r="L54" s="7">
        <f t="shared" si="8"/>
        <v>83.399999999999991</v>
      </c>
      <c r="M54" s="7"/>
      <c r="N54" s="7"/>
      <c r="O54" s="7"/>
      <c r="P54" s="7"/>
      <c r="Q54" s="7"/>
      <c r="R54" s="7"/>
      <c r="S54" s="7">
        <f t="shared" si="9"/>
        <v>7.6</v>
      </c>
      <c r="T54" s="7"/>
      <c r="U54" s="7"/>
      <c r="V54" s="7"/>
      <c r="W54" s="7">
        <f t="shared" si="10"/>
        <v>3.5</v>
      </c>
      <c r="X54" s="7"/>
      <c r="Y54" s="7"/>
      <c r="Z54" s="7"/>
      <c r="AA54" s="7"/>
      <c r="AB54" s="8"/>
    </row>
    <row r="55" spans="1:28" x14ac:dyDescent="0.2">
      <c r="A55" s="46">
        <v>72748</v>
      </c>
      <c r="B55" s="42"/>
      <c r="C55" s="4" t="s">
        <v>32</v>
      </c>
      <c r="D55" s="42">
        <v>74761.78</v>
      </c>
      <c r="E55" s="42"/>
      <c r="F55" s="6" t="s">
        <v>35</v>
      </c>
      <c r="G55" s="6">
        <f t="shared" si="11"/>
        <v>2013.7799999999988</v>
      </c>
      <c r="H55" s="6">
        <v>10</v>
      </c>
      <c r="I55" s="20">
        <f t="shared" si="12"/>
        <v>2237.6</v>
      </c>
      <c r="J55" s="12"/>
      <c r="K55" s="7"/>
      <c r="L55" s="7">
        <f t="shared" si="8"/>
        <v>2237.6</v>
      </c>
      <c r="M55" s="7"/>
      <c r="N55" s="7"/>
      <c r="O55" s="7"/>
      <c r="P55" s="7"/>
      <c r="Q55" s="7"/>
      <c r="R55" s="7"/>
      <c r="S55" s="7">
        <f t="shared" si="9"/>
        <v>201.4</v>
      </c>
      <c r="T55" s="7"/>
      <c r="U55" s="7"/>
      <c r="V55" s="7"/>
      <c r="W55" s="7">
        <f t="shared" si="10"/>
        <v>93.3</v>
      </c>
      <c r="X55" s="7"/>
      <c r="Y55" s="7"/>
      <c r="Z55" s="7"/>
      <c r="AA55" s="7"/>
      <c r="AB55" s="8"/>
    </row>
    <row r="56" spans="1:28" x14ac:dyDescent="0.2">
      <c r="A56" s="46">
        <v>75051.789999999994</v>
      </c>
      <c r="B56" s="42"/>
      <c r="C56" s="4" t="s">
        <v>32</v>
      </c>
      <c r="D56" s="42">
        <v>80336</v>
      </c>
      <c r="E56" s="42"/>
      <c r="F56" s="6" t="s">
        <v>35</v>
      </c>
      <c r="G56" s="6">
        <f t="shared" si="11"/>
        <v>5284.2100000000064</v>
      </c>
      <c r="H56" s="6">
        <v>10</v>
      </c>
      <c r="I56" s="20">
        <f t="shared" si="12"/>
        <v>5871.4000000000005</v>
      </c>
      <c r="J56" s="7"/>
      <c r="K56" s="7"/>
      <c r="L56" s="7">
        <f t="shared" si="8"/>
        <v>5871.4000000000005</v>
      </c>
      <c r="M56" s="7"/>
      <c r="N56" s="7"/>
      <c r="O56" s="7"/>
      <c r="P56" s="7"/>
      <c r="Q56" s="7"/>
      <c r="R56" s="7"/>
      <c r="S56" s="7">
        <f t="shared" si="9"/>
        <v>528.5</v>
      </c>
      <c r="T56" s="7"/>
      <c r="U56" s="7"/>
      <c r="V56" s="7"/>
      <c r="W56" s="7">
        <f t="shared" si="10"/>
        <v>244.7</v>
      </c>
      <c r="X56" s="7"/>
      <c r="Y56" s="7"/>
      <c r="Z56" s="7"/>
      <c r="AA56" s="7"/>
      <c r="AB56" s="8"/>
    </row>
    <row r="57" spans="1:28" x14ac:dyDescent="0.2">
      <c r="A57" s="46">
        <v>80336</v>
      </c>
      <c r="B57" s="42"/>
      <c r="C57" s="4" t="s">
        <v>32</v>
      </c>
      <c r="D57" s="42">
        <v>81429</v>
      </c>
      <c r="E57" s="42"/>
      <c r="F57" s="6" t="s">
        <v>35</v>
      </c>
      <c r="G57" s="6">
        <f t="shared" si="11"/>
        <v>1093</v>
      </c>
      <c r="H57" s="16">
        <f>ROUNDUP(((I57*9)/G57),1)</f>
        <v>10</v>
      </c>
      <c r="I57" s="17">
        <f>ROUNDUP((10863.96/9),1)</f>
        <v>1207.1999999999998</v>
      </c>
      <c r="J57" s="7"/>
      <c r="K57" s="7"/>
      <c r="L57" s="7">
        <f t="shared" si="8"/>
        <v>1207.1999999999998</v>
      </c>
      <c r="M57" s="7"/>
      <c r="N57" s="7"/>
      <c r="O57" s="7"/>
      <c r="P57" s="7"/>
      <c r="Q57" s="7"/>
      <c r="R57" s="7"/>
      <c r="S57" s="7">
        <f t="shared" si="9"/>
        <v>108.69999999999999</v>
      </c>
      <c r="T57" s="7"/>
      <c r="U57" s="7"/>
      <c r="V57" s="7"/>
      <c r="W57" s="7">
        <f t="shared" si="10"/>
        <v>50.3</v>
      </c>
      <c r="X57" s="7"/>
      <c r="Y57" s="7"/>
      <c r="Z57" s="7"/>
      <c r="AA57" s="7"/>
      <c r="AB57" s="8"/>
    </row>
    <row r="58" spans="1:28" x14ac:dyDescent="0.2">
      <c r="A58" s="46">
        <v>82263.259999999995</v>
      </c>
      <c r="B58" s="42"/>
      <c r="C58" s="4" t="s">
        <v>32</v>
      </c>
      <c r="D58" s="42">
        <v>82970.84</v>
      </c>
      <c r="E58" s="42"/>
      <c r="F58" s="6" t="s">
        <v>35</v>
      </c>
      <c r="G58" s="6">
        <f t="shared" si="11"/>
        <v>707.58000000000175</v>
      </c>
      <c r="H58" s="16">
        <f>ROUNDUP(((I58*9)/G58),1)</f>
        <v>10.199999999999999</v>
      </c>
      <c r="I58" s="17">
        <f>ROUNDUP((7206.99/9),1)</f>
        <v>800.80000000000007</v>
      </c>
      <c r="J58" s="7"/>
      <c r="K58" s="7"/>
      <c r="L58" s="7">
        <f t="shared" si="8"/>
        <v>800.80000000000007</v>
      </c>
      <c r="M58" s="7"/>
      <c r="N58" s="7"/>
      <c r="O58" s="7"/>
      <c r="P58" s="7"/>
      <c r="Q58" s="7"/>
      <c r="R58" s="7"/>
      <c r="S58" s="7">
        <f t="shared" si="9"/>
        <v>72.099999999999994</v>
      </c>
      <c r="T58" s="7"/>
      <c r="U58" s="7"/>
      <c r="V58" s="7"/>
      <c r="W58" s="7">
        <f t="shared" si="10"/>
        <v>33.4</v>
      </c>
      <c r="X58" s="7"/>
      <c r="Y58" s="7"/>
      <c r="Z58" s="7"/>
      <c r="AA58" s="7"/>
      <c r="AB58" s="8"/>
    </row>
    <row r="59" spans="1:28" x14ac:dyDescent="0.2">
      <c r="A59" s="46">
        <v>84470</v>
      </c>
      <c r="B59" s="42"/>
      <c r="C59" s="4" t="s">
        <v>32</v>
      </c>
      <c r="D59" s="42">
        <v>85500</v>
      </c>
      <c r="E59" s="42"/>
      <c r="F59" s="6" t="s">
        <v>35</v>
      </c>
      <c r="G59" s="6">
        <f t="shared" si="11"/>
        <v>1030</v>
      </c>
      <c r="H59" s="16">
        <f>ROUNDUP(((I59*9)/G59),1)</f>
        <v>9.9</v>
      </c>
      <c r="I59" s="17">
        <f>ROUNDUP((10129.22/9),1)</f>
        <v>1125.5</v>
      </c>
      <c r="J59" s="7"/>
      <c r="K59" s="7"/>
      <c r="L59" s="7">
        <f t="shared" si="8"/>
        <v>1125.5</v>
      </c>
      <c r="M59" s="7"/>
      <c r="N59" s="7"/>
      <c r="O59" s="7"/>
      <c r="P59" s="7"/>
      <c r="Q59" s="7"/>
      <c r="R59" s="7"/>
      <c r="S59" s="7">
        <f t="shared" si="9"/>
        <v>101.3</v>
      </c>
      <c r="T59" s="7"/>
      <c r="U59" s="7"/>
      <c r="V59" s="7"/>
      <c r="W59" s="7">
        <f t="shared" si="10"/>
        <v>46.9</v>
      </c>
      <c r="X59" s="7"/>
      <c r="Y59" s="7"/>
      <c r="Z59" s="7"/>
      <c r="AA59" s="7"/>
      <c r="AB59" s="8"/>
    </row>
    <row r="60" spans="1:28" x14ac:dyDescent="0.2">
      <c r="A60" s="45"/>
      <c r="B60" s="45"/>
      <c r="C60" s="45"/>
      <c r="D60" s="45"/>
      <c r="E60" s="46"/>
      <c r="F60" s="6"/>
      <c r="G60" s="6"/>
      <c r="H60" s="6"/>
      <c r="I60" s="11"/>
      <c r="J60" s="17"/>
      <c r="K60" s="7"/>
      <c r="L60" s="7"/>
      <c r="M60" s="7"/>
      <c r="N60" s="7"/>
      <c r="O60" s="7"/>
      <c r="P60" s="7"/>
      <c r="Q60" s="7"/>
      <c r="R60" s="7"/>
      <c r="S60" s="7"/>
      <c r="T60" s="7"/>
      <c r="U60" s="7"/>
      <c r="V60" s="7"/>
      <c r="W60" s="7"/>
      <c r="X60" s="7"/>
      <c r="Y60" s="7"/>
      <c r="Z60" s="7"/>
      <c r="AA60" s="7"/>
      <c r="AB60" s="8"/>
    </row>
    <row r="61" spans="1:28" x14ac:dyDescent="0.2">
      <c r="A61" s="45"/>
      <c r="B61" s="45"/>
      <c r="C61" s="45"/>
      <c r="D61" s="45"/>
      <c r="E61" s="46"/>
      <c r="F61" s="6"/>
      <c r="G61" s="6"/>
      <c r="H61" s="6"/>
      <c r="I61" s="11"/>
      <c r="J61" s="17"/>
      <c r="K61" s="7"/>
      <c r="L61" s="7"/>
      <c r="M61" s="7"/>
      <c r="N61" s="7"/>
      <c r="O61" s="7"/>
      <c r="P61" s="7"/>
      <c r="Q61" s="7"/>
      <c r="R61" s="7"/>
      <c r="S61" s="7"/>
      <c r="T61" s="7"/>
      <c r="U61" s="7"/>
      <c r="V61" s="7"/>
      <c r="W61" s="7"/>
      <c r="X61" s="7"/>
      <c r="Y61" s="7"/>
      <c r="Z61" s="7"/>
      <c r="AA61" s="7"/>
      <c r="AB61" s="8"/>
    </row>
    <row r="62" spans="1:28" x14ac:dyDescent="0.2">
      <c r="A62" s="45" t="s">
        <v>89</v>
      </c>
      <c r="B62" s="45"/>
      <c r="C62" s="45"/>
      <c r="D62" s="45"/>
      <c r="E62" s="46"/>
      <c r="F62" s="6"/>
      <c r="G62" s="6"/>
      <c r="H62" s="6"/>
      <c r="I62" s="7"/>
      <c r="J62" s="17"/>
      <c r="K62" s="7"/>
      <c r="L62" s="7"/>
      <c r="M62" s="7"/>
      <c r="N62" s="7"/>
      <c r="O62" s="7"/>
      <c r="P62" s="7"/>
      <c r="Q62" s="7"/>
      <c r="R62" s="7"/>
      <c r="S62" s="7"/>
      <c r="T62" s="7"/>
      <c r="U62" s="7"/>
      <c r="V62" s="7"/>
      <c r="W62" s="7"/>
      <c r="X62" s="7"/>
      <c r="Y62" s="7"/>
      <c r="Z62" s="7"/>
      <c r="AA62" s="7"/>
      <c r="AB62" s="8"/>
    </row>
    <row r="63" spans="1:28" x14ac:dyDescent="0.2">
      <c r="A63" s="46" t="s">
        <v>88</v>
      </c>
      <c r="B63" s="42"/>
      <c r="C63" s="4" t="s">
        <v>32</v>
      </c>
      <c r="D63" s="42">
        <v>62300</v>
      </c>
      <c r="E63" s="42"/>
      <c r="F63" s="6" t="s">
        <v>35</v>
      </c>
      <c r="G63" s="6">
        <v>100</v>
      </c>
      <c r="H63" s="6">
        <v>2</v>
      </c>
      <c r="I63" s="7">
        <f>ROUNDUP(((H63*G63)/9),1)</f>
        <v>22.3</v>
      </c>
      <c r="J63" s="17"/>
      <c r="K63" s="7"/>
      <c r="L63" s="7"/>
      <c r="M63" s="7"/>
      <c r="N63" s="7"/>
      <c r="O63" s="7"/>
      <c r="P63" s="7"/>
      <c r="Q63" s="7"/>
      <c r="R63" s="7"/>
      <c r="S63" s="7"/>
      <c r="T63" s="7">
        <f>ROUNDUP((I63*0.4),1)</f>
        <v>9</v>
      </c>
      <c r="U63" s="7"/>
      <c r="V63" s="7"/>
      <c r="W63" s="7"/>
      <c r="X63" s="7"/>
      <c r="Y63" s="7"/>
      <c r="Z63" s="7">
        <f>ROUNDUP((I63*(2/36)),1)</f>
        <v>1.3</v>
      </c>
      <c r="AA63" s="7"/>
      <c r="AB63" s="8"/>
    </row>
    <row r="64" spans="1:28" x14ac:dyDescent="0.2">
      <c r="A64" s="46">
        <v>62300</v>
      </c>
      <c r="B64" s="42"/>
      <c r="C64" s="4" t="s">
        <v>32</v>
      </c>
      <c r="D64" s="42">
        <v>67088</v>
      </c>
      <c r="E64" s="42"/>
      <c r="F64" s="6" t="s">
        <v>35</v>
      </c>
      <c r="G64" s="6">
        <f>D64-A64</f>
        <v>4788</v>
      </c>
      <c r="H64" s="6">
        <v>2</v>
      </c>
      <c r="I64" s="11">
        <f>ROUNDUP(((H64*G64)/9),1)</f>
        <v>1064</v>
      </c>
      <c r="J64" s="7"/>
      <c r="K64" s="7"/>
      <c r="L64" s="7"/>
      <c r="M64" s="7"/>
      <c r="N64" s="7"/>
      <c r="O64" s="7"/>
      <c r="P64" s="7"/>
      <c r="Q64" s="7"/>
      <c r="R64" s="7"/>
      <c r="S64" s="7"/>
      <c r="T64" s="7">
        <f t="shared" ref="T64:T69" si="13">ROUNDUP((I64*0.4),1)</f>
        <v>425.6</v>
      </c>
      <c r="U64" s="7"/>
      <c r="V64" s="7"/>
      <c r="W64" s="7"/>
      <c r="X64" s="7"/>
      <c r="Y64" s="7"/>
      <c r="Z64" s="7">
        <f t="shared" ref="Z64:Z69" si="14">ROUNDUP((I64*(2/36)),1)</f>
        <v>59.2</v>
      </c>
      <c r="AA64" s="7"/>
      <c r="AB64" s="8"/>
    </row>
    <row r="65" spans="1:28" x14ac:dyDescent="0.2">
      <c r="A65" s="46">
        <v>67163</v>
      </c>
      <c r="B65" s="42"/>
      <c r="C65" s="4" t="s">
        <v>32</v>
      </c>
      <c r="D65" s="42">
        <v>68438.12</v>
      </c>
      <c r="E65" s="42"/>
      <c r="F65" s="6" t="s">
        <v>35</v>
      </c>
      <c r="G65" s="6">
        <f t="shared" ref="G65:G69" si="15">D65-A65</f>
        <v>1275.1199999999953</v>
      </c>
      <c r="H65" s="6">
        <v>2</v>
      </c>
      <c r="I65" s="11">
        <f t="shared" ref="I65:I69" si="16">ROUNDUP(((H65*G65)/9),1)</f>
        <v>283.40000000000003</v>
      </c>
      <c r="J65" s="7"/>
      <c r="K65" s="7"/>
      <c r="L65" s="7"/>
      <c r="M65" s="7"/>
      <c r="N65" s="7"/>
      <c r="O65" s="7"/>
      <c r="P65" s="7"/>
      <c r="Q65" s="7"/>
      <c r="R65" s="7"/>
      <c r="S65" s="7"/>
      <c r="T65" s="7">
        <f t="shared" si="13"/>
        <v>113.39999999999999</v>
      </c>
      <c r="U65" s="7"/>
      <c r="V65" s="7"/>
      <c r="W65" s="7"/>
      <c r="X65" s="7"/>
      <c r="Y65" s="7"/>
      <c r="Z65" s="7">
        <f t="shared" si="14"/>
        <v>15.799999999999999</v>
      </c>
      <c r="AA65" s="7"/>
      <c r="AB65" s="8"/>
    </row>
    <row r="66" spans="1:28" x14ac:dyDescent="0.2">
      <c r="A66" s="46">
        <v>68800</v>
      </c>
      <c r="B66" s="42"/>
      <c r="C66" s="4" t="s">
        <v>32</v>
      </c>
      <c r="D66" s="42">
        <v>72650</v>
      </c>
      <c r="E66" s="42"/>
      <c r="F66" s="6" t="s">
        <v>35</v>
      </c>
      <c r="G66" s="6">
        <f t="shared" si="15"/>
        <v>3850</v>
      </c>
      <c r="H66" s="6">
        <v>2</v>
      </c>
      <c r="I66" s="11">
        <f t="shared" si="16"/>
        <v>855.6</v>
      </c>
      <c r="J66" s="7"/>
      <c r="K66" s="7"/>
      <c r="L66" s="7"/>
      <c r="M66" s="7"/>
      <c r="N66" s="7"/>
      <c r="O66" s="7"/>
      <c r="P66" s="7"/>
      <c r="Q66" s="7"/>
      <c r="R66" s="7"/>
      <c r="S66" s="7"/>
      <c r="T66" s="7">
        <f t="shared" si="13"/>
        <v>342.3</v>
      </c>
      <c r="U66" s="7"/>
      <c r="V66" s="7"/>
      <c r="W66" s="7"/>
      <c r="X66" s="7"/>
      <c r="Y66" s="7"/>
      <c r="Z66" s="7">
        <f t="shared" si="14"/>
        <v>47.6</v>
      </c>
      <c r="AA66" s="7"/>
      <c r="AB66" s="8"/>
    </row>
    <row r="67" spans="1:28" x14ac:dyDescent="0.2">
      <c r="A67" s="46">
        <v>72739.5</v>
      </c>
      <c r="B67" s="42"/>
      <c r="C67" s="4" t="s">
        <v>32</v>
      </c>
      <c r="D67" s="42">
        <v>74761.78</v>
      </c>
      <c r="E67" s="42"/>
      <c r="F67" s="6" t="s">
        <v>35</v>
      </c>
      <c r="G67" s="6">
        <f t="shared" si="15"/>
        <v>2022.2799999999988</v>
      </c>
      <c r="H67" s="6">
        <v>2</v>
      </c>
      <c r="I67" s="11">
        <f t="shared" si="16"/>
        <v>449.40000000000003</v>
      </c>
      <c r="J67" s="7"/>
      <c r="K67" s="7"/>
      <c r="L67" s="7"/>
      <c r="M67" s="7"/>
      <c r="N67" s="7"/>
      <c r="O67" s="7"/>
      <c r="P67" s="7"/>
      <c r="Q67" s="7"/>
      <c r="R67" s="7"/>
      <c r="S67" s="7"/>
      <c r="T67" s="7">
        <f t="shared" si="13"/>
        <v>179.79999999999998</v>
      </c>
      <c r="U67" s="7"/>
      <c r="V67" s="7"/>
      <c r="W67" s="7"/>
      <c r="X67" s="7"/>
      <c r="Y67" s="7"/>
      <c r="Z67" s="7">
        <f t="shared" si="14"/>
        <v>25</v>
      </c>
      <c r="AA67" s="7"/>
      <c r="AB67" s="8"/>
    </row>
    <row r="68" spans="1:28" x14ac:dyDescent="0.2">
      <c r="A68" s="46">
        <v>75051.789999999994</v>
      </c>
      <c r="B68" s="42"/>
      <c r="C68" s="4" t="s">
        <v>32</v>
      </c>
      <c r="D68" s="42">
        <v>81429</v>
      </c>
      <c r="E68" s="42"/>
      <c r="F68" s="6" t="s">
        <v>35</v>
      </c>
      <c r="G68" s="6">
        <f t="shared" si="15"/>
        <v>6377.2100000000064</v>
      </c>
      <c r="H68" s="6">
        <v>2</v>
      </c>
      <c r="I68" s="11">
        <f t="shared" si="16"/>
        <v>1417.1999999999998</v>
      </c>
      <c r="J68" s="7"/>
      <c r="K68" s="7"/>
      <c r="L68" s="7"/>
      <c r="M68" s="7"/>
      <c r="N68" s="7"/>
      <c r="O68" s="7"/>
      <c r="P68" s="7"/>
      <c r="Q68" s="7"/>
      <c r="R68" s="7"/>
      <c r="S68" s="7"/>
      <c r="T68" s="7">
        <f t="shared" si="13"/>
        <v>566.9</v>
      </c>
      <c r="U68" s="7"/>
      <c r="V68" s="7"/>
      <c r="W68" s="7"/>
      <c r="X68" s="7"/>
      <c r="Y68" s="7"/>
      <c r="Z68" s="7">
        <f t="shared" si="14"/>
        <v>78.8</v>
      </c>
      <c r="AA68" s="7"/>
      <c r="AB68" s="8"/>
    </row>
    <row r="69" spans="1:28" x14ac:dyDescent="0.2">
      <c r="A69" s="46">
        <v>82263.259999999995</v>
      </c>
      <c r="B69" s="42"/>
      <c r="C69" s="4" t="s">
        <v>32</v>
      </c>
      <c r="D69" s="42">
        <v>85500</v>
      </c>
      <c r="E69" s="42"/>
      <c r="F69" s="6" t="s">
        <v>35</v>
      </c>
      <c r="G69" s="6">
        <f t="shared" si="15"/>
        <v>3236.7400000000052</v>
      </c>
      <c r="H69" s="6">
        <v>2</v>
      </c>
      <c r="I69" s="11">
        <f t="shared" si="16"/>
        <v>719.30000000000007</v>
      </c>
      <c r="J69" s="7"/>
      <c r="K69" s="7"/>
      <c r="L69" s="7"/>
      <c r="M69" s="7"/>
      <c r="N69" s="7"/>
      <c r="O69" s="7"/>
      <c r="P69" s="7"/>
      <c r="Q69" s="7"/>
      <c r="R69" s="7"/>
      <c r="S69" s="7"/>
      <c r="T69" s="7">
        <f t="shared" si="13"/>
        <v>287.8</v>
      </c>
      <c r="U69" s="7"/>
      <c r="V69" s="7"/>
      <c r="W69" s="7"/>
      <c r="X69" s="7"/>
      <c r="Y69" s="7"/>
      <c r="Z69" s="7">
        <f t="shared" si="14"/>
        <v>40</v>
      </c>
      <c r="AA69" s="7"/>
      <c r="AB69" s="8"/>
    </row>
    <row r="70" spans="1:28" x14ac:dyDescent="0.2">
      <c r="A70" s="45"/>
      <c r="B70" s="45"/>
      <c r="C70" s="45"/>
      <c r="D70" s="45"/>
      <c r="E70" s="46"/>
      <c r="F70" s="6"/>
      <c r="G70" s="6"/>
      <c r="H70" s="6"/>
      <c r="I70" s="7"/>
      <c r="J70" s="7"/>
      <c r="K70" s="7"/>
      <c r="L70" s="7"/>
      <c r="M70" s="7"/>
      <c r="N70" s="7"/>
      <c r="O70" s="7"/>
      <c r="P70" s="7"/>
      <c r="Q70" s="7"/>
      <c r="R70" s="7"/>
      <c r="S70" s="7"/>
      <c r="T70" s="7"/>
      <c r="U70" s="7"/>
      <c r="V70" s="7"/>
      <c r="W70" s="7"/>
      <c r="X70" s="7"/>
      <c r="Y70" s="7"/>
      <c r="Z70" s="7"/>
      <c r="AA70" s="7"/>
      <c r="AB70" s="8"/>
    </row>
    <row r="71" spans="1:28" x14ac:dyDescent="0.2">
      <c r="A71" s="45"/>
      <c r="B71" s="45"/>
      <c r="C71" s="45"/>
      <c r="D71" s="45"/>
      <c r="E71" s="46"/>
      <c r="F71" s="6"/>
      <c r="G71" s="6"/>
      <c r="H71" s="6"/>
      <c r="I71" s="7"/>
      <c r="J71" s="7"/>
      <c r="K71" s="7"/>
      <c r="L71" s="7"/>
      <c r="M71" s="7"/>
      <c r="N71" s="7"/>
      <c r="O71" s="7"/>
      <c r="P71" s="7"/>
      <c r="Q71" s="7"/>
      <c r="R71" s="7"/>
      <c r="S71" s="7"/>
      <c r="T71" s="7"/>
      <c r="U71" s="7"/>
      <c r="V71" s="7"/>
      <c r="W71" s="7"/>
      <c r="X71" s="7"/>
      <c r="Y71" s="7"/>
      <c r="Z71" s="7"/>
      <c r="AA71" s="7"/>
      <c r="AB71" s="8"/>
    </row>
    <row r="72" spans="1:28" x14ac:dyDescent="0.2">
      <c r="A72" s="45"/>
      <c r="B72" s="45"/>
      <c r="C72" s="45"/>
      <c r="D72" s="45"/>
      <c r="E72" s="46"/>
      <c r="F72" s="6"/>
      <c r="G72" s="6"/>
      <c r="H72" s="6"/>
      <c r="I72" s="7"/>
      <c r="J72" s="7"/>
      <c r="K72" s="7"/>
      <c r="L72" s="7"/>
      <c r="M72" s="7"/>
      <c r="N72" s="7"/>
      <c r="O72" s="7"/>
      <c r="P72" s="7"/>
      <c r="Q72" s="7"/>
      <c r="R72" s="7"/>
      <c r="S72" s="7"/>
      <c r="T72" s="7"/>
      <c r="U72" s="7"/>
      <c r="V72" s="7"/>
      <c r="W72" s="7"/>
      <c r="X72" s="7"/>
      <c r="Y72" s="7"/>
      <c r="Z72" s="7"/>
      <c r="AA72" s="7"/>
      <c r="AB72" s="8"/>
    </row>
    <row r="73" spans="1:28" x14ac:dyDescent="0.2">
      <c r="A73" s="45"/>
      <c r="B73" s="45"/>
      <c r="C73" s="45"/>
      <c r="D73" s="45"/>
      <c r="E73" s="46"/>
      <c r="F73" s="6"/>
      <c r="G73" s="6"/>
      <c r="H73" s="6"/>
      <c r="I73" s="7"/>
      <c r="J73" s="7"/>
      <c r="K73" s="7"/>
      <c r="L73" s="7"/>
      <c r="M73" s="7"/>
      <c r="N73" s="7"/>
      <c r="O73" s="7"/>
      <c r="P73" s="7"/>
      <c r="Q73" s="7"/>
      <c r="R73" s="7"/>
      <c r="S73" s="7"/>
      <c r="T73" s="7"/>
      <c r="U73" s="7"/>
      <c r="V73" s="7"/>
      <c r="W73" s="7"/>
      <c r="X73" s="7"/>
      <c r="Y73" s="7"/>
      <c r="Z73" s="7"/>
      <c r="AA73" s="7"/>
      <c r="AB73" s="8"/>
    </row>
    <row r="74" spans="1:28" ht="12.75" customHeight="1" x14ac:dyDescent="0.2">
      <c r="A74" s="37" t="s">
        <v>132</v>
      </c>
      <c r="B74" s="38"/>
      <c r="C74" s="38"/>
      <c r="D74" s="38"/>
      <c r="E74" s="38"/>
      <c r="F74" s="38"/>
      <c r="G74" s="38"/>
      <c r="H74" s="38"/>
      <c r="I74" s="38"/>
      <c r="J74" s="48">
        <f t="shared" ref="J74:P74" si="17">ROUNDUP(SUM(J19:J73),0)</f>
        <v>0</v>
      </c>
      <c r="K74" s="48">
        <f t="shared" si="17"/>
        <v>0</v>
      </c>
      <c r="L74" s="60">
        <f t="shared" si="17"/>
        <v>33608</v>
      </c>
      <c r="M74" s="48">
        <f t="shared" si="17"/>
        <v>0</v>
      </c>
      <c r="N74" s="48">
        <f t="shared" si="17"/>
        <v>0</v>
      </c>
      <c r="O74" s="48">
        <f t="shared" si="17"/>
        <v>0</v>
      </c>
      <c r="P74" s="48">
        <f t="shared" si="17"/>
        <v>0</v>
      </c>
      <c r="Q74" s="51">
        <f>ROUNDUP(SUM(Q19:S73),0)</f>
        <v>3027</v>
      </c>
      <c r="R74" s="62"/>
      <c r="S74" s="63"/>
      <c r="T74" s="48">
        <f t="shared" ref="T74:AB74" si="18">ROUNDUP(SUM(T19:T73),0)</f>
        <v>1925</v>
      </c>
      <c r="U74" s="48">
        <f t="shared" si="18"/>
        <v>0</v>
      </c>
      <c r="V74" s="48">
        <f t="shared" si="18"/>
        <v>0</v>
      </c>
      <c r="W74" s="48">
        <f t="shared" si="18"/>
        <v>1402</v>
      </c>
      <c r="X74" s="48">
        <f t="shared" si="18"/>
        <v>0</v>
      </c>
      <c r="Y74" s="48">
        <f t="shared" si="18"/>
        <v>0</v>
      </c>
      <c r="Z74" s="48">
        <f t="shared" si="18"/>
        <v>268</v>
      </c>
      <c r="AA74" s="48">
        <f t="shared" si="18"/>
        <v>0</v>
      </c>
      <c r="AB74" s="50">
        <f t="shared" si="18"/>
        <v>0</v>
      </c>
    </row>
    <row r="75" spans="1:28" ht="12.75" customHeight="1" x14ac:dyDescent="0.2">
      <c r="A75" s="58"/>
      <c r="B75" s="59"/>
      <c r="C75" s="59"/>
      <c r="D75" s="59"/>
      <c r="E75" s="59"/>
      <c r="F75" s="59"/>
      <c r="G75" s="59"/>
      <c r="H75" s="59"/>
      <c r="I75" s="59"/>
      <c r="J75" s="49"/>
      <c r="K75" s="49"/>
      <c r="L75" s="61"/>
      <c r="M75" s="49"/>
      <c r="N75" s="49"/>
      <c r="O75" s="49"/>
      <c r="P75" s="49"/>
      <c r="Q75" s="64"/>
      <c r="R75" s="65"/>
      <c r="S75" s="66"/>
      <c r="T75" s="49"/>
      <c r="U75" s="49"/>
      <c r="V75" s="49"/>
      <c r="W75" s="49"/>
      <c r="X75" s="49"/>
      <c r="Y75" s="49"/>
      <c r="Z75" s="49"/>
      <c r="AA75" s="49"/>
      <c r="AB75" s="51"/>
    </row>
  </sheetData>
  <mergeCells count="138">
    <mergeCell ref="X2:X16"/>
    <mergeCell ref="Y2:Y16"/>
    <mergeCell ref="Z2:Z16"/>
    <mergeCell ref="AA2:AA17"/>
    <mergeCell ref="AB2:AB17"/>
    <mergeCell ref="Q2:Q16"/>
    <mergeCell ref="R2:R16"/>
    <mergeCell ref="S2:S16"/>
    <mergeCell ref="T2:T16"/>
    <mergeCell ref="U2:U16"/>
    <mergeCell ref="V2:V17"/>
    <mergeCell ref="A19:E19"/>
    <mergeCell ref="A20:E20"/>
    <mergeCell ref="A25:B25"/>
    <mergeCell ref="D25:E25"/>
    <mergeCell ref="A23:B23"/>
    <mergeCell ref="D23:E23"/>
    <mergeCell ref="A24:B24"/>
    <mergeCell ref="D24:E24"/>
    <mergeCell ref="W2:W16"/>
    <mergeCell ref="K2:K17"/>
    <mergeCell ref="L2:L17"/>
    <mergeCell ref="M2:M17"/>
    <mergeCell ref="N2:N17"/>
    <mergeCell ref="O2:O16"/>
    <mergeCell ref="P2:P16"/>
    <mergeCell ref="A1:E18"/>
    <mergeCell ref="F1:F18"/>
    <mergeCell ref="G1:G18"/>
    <mergeCell ref="H1:H18"/>
    <mergeCell ref="I1:I18"/>
    <mergeCell ref="J2:J17"/>
    <mergeCell ref="A21:E21"/>
    <mergeCell ref="A22:E22"/>
    <mergeCell ref="A29:B29"/>
    <mergeCell ref="D29:E29"/>
    <mergeCell ref="A30:B30"/>
    <mergeCell ref="D30:E30"/>
    <mergeCell ref="A31:B31"/>
    <mergeCell ref="D31:E31"/>
    <mergeCell ref="A28:B28"/>
    <mergeCell ref="D28:E28"/>
    <mergeCell ref="A26:B26"/>
    <mergeCell ref="D26:E26"/>
    <mergeCell ref="A27:B27"/>
    <mergeCell ref="D27:E27"/>
    <mergeCell ref="A35:B35"/>
    <mergeCell ref="D35:E35"/>
    <mergeCell ref="A36:B36"/>
    <mergeCell ref="D36:E36"/>
    <mergeCell ref="A37:B37"/>
    <mergeCell ref="D37:E37"/>
    <mergeCell ref="A32:B32"/>
    <mergeCell ref="D32:E32"/>
    <mergeCell ref="A33:B33"/>
    <mergeCell ref="D33:E33"/>
    <mergeCell ref="A34:B34"/>
    <mergeCell ref="D34:E34"/>
    <mergeCell ref="A44:B44"/>
    <mergeCell ref="D44:E44"/>
    <mergeCell ref="A45:B45"/>
    <mergeCell ref="D45:E45"/>
    <mergeCell ref="A38:E38"/>
    <mergeCell ref="A39:E39"/>
    <mergeCell ref="A40:E40"/>
    <mergeCell ref="A42:B42"/>
    <mergeCell ref="D42:E42"/>
    <mergeCell ref="A43:B43"/>
    <mergeCell ref="D43:E43"/>
    <mergeCell ref="A41:B41"/>
    <mergeCell ref="D41:E41"/>
    <mergeCell ref="A49:B49"/>
    <mergeCell ref="D49:E49"/>
    <mergeCell ref="A50:B50"/>
    <mergeCell ref="D50:E50"/>
    <mergeCell ref="A51:B51"/>
    <mergeCell ref="D51:E51"/>
    <mergeCell ref="A46:B46"/>
    <mergeCell ref="D46:E46"/>
    <mergeCell ref="A47:B47"/>
    <mergeCell ref="D47:E47"/>
    <mergeCell ref="A48:B48"/>
    <mergeCell ref="D48:E48"/>
    <mergeCell ref="A55:B55"/>
    <mergeCell ref="D55:E55"/>
    <mergeCell ref="A56:B56"/>
    <mergeCell ref="D56:E56"/>
    <mergeCell ref="A58:B58"/>
    <mergeCell ref="D58:E58"/>
    <mergeCell ref="A52:B52"/>
    <mergeCell ref="D52:E52"/>
    <mergeCell ref="A53:B53"/>
    <mergeCell ref="D53:E53"/>
    <mergeCell ref="A54:B54"/>
    <mergeCell ref="D54:E54"/>
    <mergeCell ref="A57:B57"/>
    <mergeCell ref="D57:E57"/>
    <mergeCell ref="A70:E70"/>
    <mergeCell ref="A63:B63"/>
    <mergeCell ref="D63:E63"/>
    <mergeCell ref="A64:B64"/>
    <mergeCell ref="D64:E64"/>
    <mergeCell ref="A59:B59"/>
    <mergeCell ref="D59:E59"/>
    <mergeCell ref="A62:E62"/>
    <mergeCell ref="A68:B68"/>
    <mergeCell ref="D68:E68"/>
    <mergeCell ref="A69:B69"/>
    <mergeCell ref="D69:E69"/>
    <mergeCell ref="A65:B65"/>
    <mergeCell ref="D65:E65"/>
    <mergeCell ref="A66:B66"/>
    <mergeCell ref="D66:E66"/>
    <mergeCell ref="A67:B67"/>
    <mergeCell ref="D67:E67"/>
    <mergeCell ref="A60:E60"/>
    <mergeCell ref="A61:E61"/>
    <mergeCell ref="A74:I75"/>
    <mergeCell ref="J74:J75"/>
    <mergeCell ref="K74:K75"/>
    <mergeCell ref="L74:L75"/>
    <mergeCell ref="M74:M75"/>
    <mergeCell ref="N74:N75"/>
    <mergeCell ref="A71:E71"/>
    <mergeCell ref="A72:E72"/>
    <mergeCell ref="A73:E73"/>
    <mergeCell ref="W74:W75"/>
    <mergeCell ref="X74:X75"/>
    <mergeCell ref="Y74:Y75"/>
    <mergeCell ref="Z74:Z75"/>
    <mergeCell ref="AA74:AA75"/>
    <mergeCell ref="AB74:AB75"/>
    <mergeCell ref="O74:O75"/>
    <mergeCell ref="P74:P75"/>
    <mergeCell ref="Q74:S75"/>
    <mergeCell ref="T74:T75"/>
    <mergeCell ref="U74:U75"/>
    <mergeCell ref="V74:V75"/>
  </mergeCells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61A948-DE2C-4430-B9C1-4072EB584692}">
  <dimension ref="A1:AB75"/>
  <sheetViews>
    <sheetView showZeros="0" topLeftCell="A31" zoomScale="85" zoomScaleNormal="85" workbookViewId="0">
      <selection activeCell="A74" sqref="A74:I75"/>
    </sheetView>
  </sheetViews>
  <sheetFormatPr defaultRowHeight="12.75" x14ac:dyDescent="0.2"/>
  <cols>
    <col min="1" max="2" width="10.7109375" style="1" customWidth="1"/>
    <col min="3" max="3" width="3.7109375" style="1" customWidth="1"/>
    <col min="4" max="5" width="10.7109375" style="1" customWidth="1"/>
    <col min="6" max="7" width="9.7109375" style="1" customWidth="1"/>
    <col min="8" max="8" width="9.7109375" style="18" customWidth="1"/>
    <col min="9" max="9" width="9.7109375" style="15" customWidth="1"/>
    <col min="10" max="28" width="9.42578125" style="1" customWidth="1"/>
    <col min="29" max="36" width="9.7109375" style="1" customWidth="1"/>
    <col min="37" max="16384" width="9.140625" style="1"/>
  </cols>
  <sheetData>
    <row r="1" spans="1:28" ht="12.75" customHeight="1" x14ac:dyDescent="0.2">
      <c r="A1" s="35" t="s">
        <v>98</v>
      </c>
      <c r="B1" s="36"/>
      <c r="C1" s="36"/>
      <c r="D1" s="36"/>
      <c r="E1" s="36"/>
      <c r="F1" s="39" t="s">
        <v>29</v>
      </c>
      <c r="G1" s="39" t="s">
        <v>30</v>
      </c>
      <c r="H1" s="81" t="s">
        <v>36</v>
      </c>
      <c r="I1" s="67" t="s">
        <v>31</v>
      </c>
      <c r="J1" s="2">
        <v>202</v>
      </c>
      <c r="K1" s="2">
        <v>206</v>
      </c>
      <c r="L1" s="2">
        <v>254</v>
      </c>
      <c r="M1" s="2">
        <v>254</v>
      </c>
      <c r="N1" s="2">
        <v>255</v>
      </c>
      <c r="O1" s="2">
        <v>302</v>
      </c>
      <c r="P1" s="2">
        <v>304</v>
      </c>
      <c r="Q1" s="2">
        <v>407</v>
      </c>
      <c r="R1" s="2">
        <v>407</v>
      </c>
      <c r="S1" s="2">
        <v>407</v>
      </c>
      <c r="T1" s="2">
        <v>408</v>
      </c>
      <c r="U1" s="2">
        <v>441</v>
      </c>
      <c r="V1" s="2">
        <v>442</v>
      </c>
      <c r="W1" s="2">
        <v>442</v>
      </c>
      <c r="X1" s="2">
        <v>442</v>
      </c>
      <c r="Y1" s="2">
        <v>442</v>
      </c>
      <c r="Z1" s="2">
        <v>617</v>
      </c>
      <c r="AA1" s="2">
        <v>874</v>
      </c>
      <c r="AB1" s="3">
        <v>874</v>
      </c>
    </row>
    <row r="2" spans="1:28" ht="12.75" customHeight="1" x14ac:dyDescent="0.2">
      <c r="A2" s="37"/>
      <c r="B2" s="38"/>
      <c r="C2" s="38"/>
      <c r="D2" s="38"/>
      <c r="E2" s="38"/>
      <c r="F2" s="40"/>
      <c r="G2" s="40"/>
      <c r="H2" s="81"/>
      <c r="I2" s="68"/>
      <c r="J2" s="29" t="s">
        <v>0</v>
      </c>
      <c r="K2" s="28" t="s">
        <v>2</v>
      </c>
      <c r="L2" s="28" t="s">
        <v>3</v>
      </c>
      <c r="M2" s="28" t="s">
        <v>6</v>
      </c>
      <c r="N2" s="29" t="s">
        <v>4</v>
      </c>
      <c r="O2" s="28" t="s">
        <v>22</v>
      </c>
      <c r="P2" s="29" t="s">
        <v>8</v>
      </c>
      <c r="Q2" s="32" t="s">
        <v>12</v>
      </c>
      <c r="R2" s="28" t="s">
        <v>11</v>
      </c>
      <c r="S2" s="28" t="s">
        <v>11</v>
      </c>
      <c r="T2" s="29" t="s">
        <v>17</v>
      </c>
      <c r="U2" s="28" t="s">
        <v>19</v>
      </c>
      <c r="V2" s="29" t="s">
        <v>21</v>
      </c>
      <c r="W2" s="28" t="s">
        <v>109</v>
      </c>
      <c r="X2" s="28" t="s">
        <v>23</v>
      </c>
      <c r="Y2" s="28" t="s">
        <v>110</v>
      </c>
      <c r="Z2" s="28" t="s">
        <v>25</v>
      </c>
      <c r="AA2" s="28" t="s">
        <v>27</v>
      </c>
      <c r="AB2" s="30" t="s">
        <v>28</v>
      </c>
    </row>
    <row r="3" spans="1:28" ht="12.75" customHeight="1" x14ac:dyDescent="0.2">
      <c r="A3" s="37"/>
      <c r="B3" s="38"/>
      <c r="C3" s="38"/>
      <c r="D3" s="38"/>
      <c r="E3" s="38"/>
      <c r="F3" s="40"/>
      <c r="G3" s="40"/>
      <c r="H3" s="81"/>
      <c r="I3" s="68"/>
      <c r="J3" s="29"/>
      <c r="K3" s="29"/>
      <c r="L3" s="29"/>
      <c r="M3" s="29"/>
      <c r="N3" s="29"/>
      <c r="O3" s="29"/>
      <c r="P3" s="29"/>
      <c r="Q3" s="33"/>
      <c r="R3" s="29"/>
      <c r="S3" s="29"/>
      <c r="T3" s="29"/>
      <c r="U3" s="29"/>
      <c r="V3" s="29"/>
      <c r="W3" s="29"/>
      <c r="X3" s="29"/>
      <c r="Y3" s="29"/>
      <c r="Z3" s="29"/>
      <c r="AA3" s="29"/>
      <c r="AB3" s="31"/>
    </row>
    <row r="4" spans="1:28" ht="12.75" customHeight="1" x14ac:dyDescent="0.2">
      <c r="A4" s="37"/>
      <c r="B4" s="38"/>
      <c r="C4" s="38"/>
      <c r="D4" s="38"/>
      <c r="E4" s="38"/>
      <c r="F4" s="40"/>
      <c r="G4" s="40"/>
      <c r="H4" s="81"/>
      <c r="I4" s="68"/>
      <c r="J4" s="29"/>
      <c r="K4" s="29"/>
      <c r="L4" s="29"/>
      <c r="M4" s="29"/>
      <c r="N4" s="29"/>
      <c r="O4" s="29"/>
      <c r="P4" s="29"/>
      <c r="Q4" s="33"/>
      <c r="R4" s="29"/>
      <c r="S4" s="29"/>
      <c r="T4" s="29"/>
      <c r="U4" s="29"/>
      <c r="V4" s="29"/>
      <c r="W4" s="29"/>
      <c r="X4" s="29"/>
      <c r="Y4" s="29"/>
      <c r="Z4" s="29"/>
      <c r="AA4" s="29"/>
      <c r="AB4" s="31"/>
    </row>
    <row r="5" spans="1:28" ht="12.75" customHeight="1" x14ac:dyDescent="0.2">
      <c r="A5" s="37"/>
      <c r="B5" s="38"/>
      <c r="C5" s="38"/>
      <c r="D5" s="38"/>
      <c r="E5" s="38"/>
      <c r="F5" s="40"/>
      <c r="G5" s="40"/>
      <c r="H5" s="81"/>
      <c r="I5" s="68"/>
      <c r="J5" s="29"/>
      <c r="K5" s="29"/>
      <c r="L5" s="29"/>
      <c r="M5" s="29"/>
      <c r="N5" s="29"/>
      <c r="O5" s="29"/>
      <c r="P5" s="29"/>
      <c r="Q5" s="33"/>
      <c r="R5" s="29"/>
      <c r="S5" s="29"/>
      <c r="T5" s="29"/>
      <c r="U5" s="29"/>
      <c r="V5" s="29"/>
      <c r="W5" s="29"/>
      <c r="X5" s="29"/>
      <c r="Y5" s="29"/>
      <c r="Z5" s="29"/>
      <c r="AA5" s="29"/>
      <c r="AB5" s="31"/>
    </row>
    <row r="6" spans="1:28" ht="12.75" customHeight="1" x14ac:dyDescent="0.2">
      <c r="A6" s="37"/>
      <c r="B6" s="38"/>
      <c r="C6" s="38"/>
      <c r="D6" s="38"/>
      <c r="E6" s="38"/>
      <c r="F6" s="40"/>
      <c r="G6" s="40"/>
      <c r="H6" s="81"/>
      <c r="I6" s="68"/>
      <c r="J6" s="29"/>
      <c r="K6" s="29"/>
      <c r="L6" s="29"/>
      <c r="M6" s="29"/>
      <c r="N6" s="29"/>
      <c r="O6" s="29"/>
      <c r="P6" s="29"/>
      <c r="Q6" s="33"/>
      <c r="R6" s="29"/>
      <c r="S6" s="29"/>
      <c r="T6" s="29"/>
      <c r="U6" s="29"/>
      <c r="V6" s="29"/>
      <c r="W6" s="29"/>
      <c r="X6" s="29"/>
      <c r="Y6" s="29"/>
      <c r="Z6" s="29"/>
      <c r="AA6" s="29"/>
      <c r="AB6" s="31"/>
    </row>
    <row r="7" spans="1:28" ht="12.75" customHeight="1" x14ac:dyDescent="0.2">
      <c r="A7" s="37"/>
      <c r="B7" s="38"/>
      <c r="C7" s="38"/>
      <c r="D7" s="38"/>
      <c r="E7" s="38"/>
      <c r="F7" s="40"/>
      <c r="G7" s="40"/>
      <c r="H7" s="81"/>
      <c r="I7" s="68"/>
      <c r="J7" s="29"/>
      <c r="K7" s="29"/>
      <c r="L7" s="29"/>
      <c r="M7" s="29"/>
      <c r="N7" s="29"/>
      <c r="O7" s="29"/>
      <c r="P7" s="29"/>
      <c r="Q7" s="33"/>
      <c r="R7" s="29"/>
      <c r="S7" s="29"/>
      <c r="T7" s="29"/>
      <c r="U7" s="29"/>
      <c r="V7" s="29"/>
      <c r="W7" s="29"/>
      <c r="X7" s="29"/>
      <c r="Y7" s="29"/>
      <c r="Z7" s="29"/>
      <c r="AA7" s="29"/>
      <c r="AB7" s="31"/>
    </row>
    <row r="8" spans="1:28" ht="12.75" customHeight="1" x14ac:dyDescent="0.2">
      <c r="A8" s="37"/>
      <c r="B8" s="38"/>
      <c r="C8" s="38"/>
      <c r="D8" s="38"/>
      <c r="E8" s="38"/>
      <c r="F8" s="40"/>
      <c r="G8" s="40"/>
      <c r="H8" s="81"/>
      <c r="I8" s="68"/>
      <c r="J8" s="29"/>
      <c r="K8" s="29"/>
      <c r="L8" s="29"/>
      <c r="M8" s="29"/>
      <c r="N8" s="29"/>
      <c r="O8" s="29"/>
      <c r="P8" s="29"/>
      <c r="Q8" s="33"/>
      <c r="R8" s="29"/>
      <c r="S8" s="29"/>
      <c r="T8" s="29"/>
      <c r="U8" s="29"/>
      <c r="V8" s="29"/>
      <c r="W8" s="29"/>
      <c r="X8" s="29"/>
      <c r="Y8" s="29"/>
      <c r="Z8" s="29"/>
      <c r="AA8" s="29"/>
      <c r="AB8" s="31"/>
    </row>
    <row r="9" spans="1:28" ht="12.75" customHeight="1" x14ac:dyDescent="0.2">
      <c r="A9" s="37"/>
      <c r="B9" s="38"/>
      <c r="C9" s="38"/>
      <c r="D9" s="38"/>
      <c r="E9" s="38"/>
      <c r="F9" s="40"/>
      <c r="G9" s="40"/>
      <c r="H9" s="81"/>
      <c r="I9" s="68"/>
      <c r="J9" s="29"/>
      <c r="K9" s="29"/>
      <c r="L9" s="29"/>
      <c r="M9" s="29"/>
      <c r="N9" s="29"/>
      <c r="O9" s="29"/>
      <c r="P9" s="29"/>
      <c r="Q9" s="33"/>
      <c r="R9" s="29"/>
      <c r="S9" s="29"/>
      <c r="T9" s="29"/>
      <c r="U9" s="29"/>
      <c r="V9" s="29"/>
      <c r="W9" s="29"/>
      <c r="X9" s="29"/>
      <c r="Y9" s="29"/>
      <c r="Z9" s="29"/>
      <c r="AA9" s="29"/>
      <c r="AB9" s="31"/>
    </row>
    <row r="10" spans="1:28" ht="12.75" customHeight="1" x14ac:dyDescent="0.2">
      <c r="A10" s="37"/>
      <c r="B10" s="38"/>
      <c r="C10" s="38"/>
      <c r="D10" s="38"/>
      <c r="E10" s="38"/>
      <c r="F10" s="40"/>
      <c r="G10" s="40"/>
      <c r="H10" s="81"/>
      <c r="I10" s="68"/>
      <c r="J10" s="29"/>
      <c r="K10" s="29"/>
      <c r="L10" s="29"/>
      <c r="M10" s="29"/>
      <c r="N10" s="29"/>
      <c r="O10" s="29"/>
      <c r="P10" s="29"/>
      <c r="Q10" s="33"/>
      <c r="R10" s="29"/>
      <c r="S10" s="29"/>
      <c r="T10" s="29"/>
      <c r="U10" s="29"/>
      <c r="V10" s="29"/>
      <c r="W10" s="29"/>
      <c r="X10" s="29"/>
      <c r="Y10" s="29"/>
      <c r="Z10" s="29"/>
      <c r="AA10" s="29"/>
      <c r="AB10" s="31"/>
    </row>
    <row r="11" spans="1:28" ht="12.75" customHeight="1" x14ac:dyDescent="0.2">
      <c r="A11" s="37"/>
      <c r="B11" s="38"/>
      <c r="C11" s="38"/>
      <c r="D11" s="38"/>
      <c r="E11" s="38"/>
      <c r="F11" s="40"/>
      <c r="G11" s="40"/>
      <c r="H11" s="81"/>
      <c r="I11" s="68"/>
      <c r="J11" s="29"/>
      <c r="K11" s="29"/>
      <c r="L11" s="29"/>
      <c r="M11" s="29"/>
      <c r="N11" s="29"/>
      <c r="O11" s="29"/>
      <c r="P11" s="29"/>
      <c r="Q11" s="33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31"/>
    </row>
    <row r="12" spans="1:28" ht="12.75" customHeight="1" x14ac:dyDescent="0.2">
      <c r="A12" s="37"/>
      <c r="B12" s="38"/>
      <c r="C12" s="38"/>
      <c r="D12" s="38"/>
      <c r="E12" s="38"/>
      <c r="F12" s="40"/>
      <c r="G12" s="40"/>
      <c r="H12" s="81"/>
      <c r="I12" s="68"/>
      <c r="J12" s="29"/>
      <c r="K12" s="29"/>
      <c r="L12" s="29"/>
      <c r="M12" s="29"/>
      <c r="N12" s="29"/>
      <c r="O12" s="29"/>
      <c r="P12" s="29"/>
      <c r="Q12" s="33"/>
      <c r="R12" s="29"/>
      <c r="S12" s="29"/>
      <c r="T12" s="29"/>
      <c r="U12" s="29"/>
      <c r="V12" s="29"/>
      <c r="W12" s="29"/>
      <c r="X12" s="29"/>
      <c r="Y12" s="29"/>
      <c r="Z12" s="29"/>
      <c r="AA12" s="29"/>
      <c r="AB12" s="31"/>
    </row>
    <row r="13" spans="1:28" ht="12.75" customHeight="1" x14ac:dyDescent="0.2">
      <c r="A13" s="37"/>
      <c r="B13" s="38"/>
      <c r="C13" s="38"/>
      <c r="D13" s="38"/>
      <c r="E13" s="38"/>
      <c r="F13" s="40"/>
      <c r="G13" s="40"/>
      <c r="H13" s="81"/>
      <c r="I13" s="68"/>
      <c r="J13" s="29"/>
      <c r="K13" s="29"/>
      <c r="L13" s="29"/>
      <c r="M13" s="29"/>
      <c r="N13" s="29"/>
      <c r="O13" s="29"/>
      <c r="P13" s="29"/>
      <c r="Q13" s="33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31"/>
    </row>
    <row r="14" spans="1:28" ht="12.75" customHeight="1" x14ac:dyDescent="0.2">
      <c r="A14" s="37"/>
      <c r="B14" s="38"/>
      <c r="C14" s="38"/>
      <c r="D14" s="38"/>
      <c r="E14" s="38"/>
      <c r="F14" s="40"/>
      <c r="G14" s="40"/>
      <c r="H14" s="81"/>
      <c r="I14" s="68"/>
      <c r="J14" s="29"/>
      <c r="K14" s="29"/>
      <c r="L14" s="29"/>
      <c r="M14" s="29"/>
      <c r="N14" s="29"/>
      <c r="O14" s="29"/>
      <c r="P14" s="29"/>
      <c r="Q14" s="33"/>
      <c r="R14" s="29"/>
      <c r="S14" s="29"/>
      <c r="T14" s="29"/>
      <c r="U14" s="29"/>
      <c r="V14" s="29"/>
      <c r="W14" s="29"/>
      <c r="X14" s="29"/>
      <c r="Y14" s="29"/>
      <c r="Z14" s="29"/>
      <c r="AA14" s="29"/>
      <c r="AB14" s="31"/>
    </row>
    <row r="15" spans="1:28" ht="12.75" customHeight="1" x14ac:dyDescent="0.2">
      <c r="A15" s="37"/>
      <c r="B15" s="38"/>
      <c r="C15" s="38"/>
      <c r="D15" s="38"/>
      <c r="E15" s="38"/>
      <c r="F15" s="40"/>
      <c r="G15" s="40"/>
      <c r="H15" s="81"/>
      <c r="I15" s="68"/>
      <c r="J15" s="29"/>
      <c r="K15" s="29"/>
      <c r="L15" s="29"/>
      <c r="M15" s="29"/>
      <c r="N15" s="29"/>
      <c r="O15" s="29"/>
      <c r="P15" s="29"/>
      <c r="Q15" s="33"/>
      <c r="R15" s="29"/>
      <c r="S15" s="29"/>
      <c r="T15" s="29"/>
      <c r="U15" s="29"/>
      <c r="V15" s="29"/>
      <c r="W15" s="29"/>
      <c r="X15" s="29"/>
      <c r="Y15" s="29"/>
      <c r="Z15" s="29"/>
      <c r="AA15" s="29"/>
      <c r="AB15" s="31"/>
    </row>
    <row r="16" spans="1:28" ht="12.75" customHeight="1" x14ac:dyDescent="0.2">
      <c r="A16" s="37"/>
      <c r="B16" s="38"/>
      <c r="C16" s="38"/>
      <c r="D16" s="38"/>
      <c r="E16" s="38"/>
      <c r="F16" s="40"/>
      <c r="G16" s="40"/>
      <c r="H16" s="81"/>
      <c r="I16" s="68"/>
      <c r="J16" s="29"/>
      <c r="K16" s="29"/>
      <c r="L16" s="29"/>
      <c r="M16" s="29"/>
      <c r="N16" s="29"/>
      <c r="O16" s="29"/>
      <c r="P16" s="29"/>
      <c r="Q16" s="34"/>
      <c r="R16" s="29"/>
      <c r="S16" s="29"/>
      <c r="T16" s="29"/>
      <c r="U16" s="29"/>
      <c r="V16" s="29"/>
      <c r="W16" s="29"/>
      <c r="X16" s="29"/>
      <c r="Y16" s="29"/>
      <c r="Z16" s="29"/>
      <c r="AA16" s="29"/>
      <c r="AB16" s="31"/>
    </row>
    <row r="17" spans="1:28" ht="12.75" customHeight="1" x14ac:dyDescent="0.2">
      <c r="A17" s="37"/>
      <c r="B17" s="38"/>
      <c r="C17" s="38"/>
      <c r="D17" s="38"/>
      <c r="E17" s="38"/>
      <c r="F17" s="40"/>
      <c r="G17" s="40"/>
      <c r="H17" s="81"/>
      <c r="I17" s="68"/>
      <c r="J17" s="29"/>
      <c r="K17" s="29"/>
      <c r="L17" s="29"/>
      <c r="M17" s="29"/>
      <c r="N17" s="29"/>
      <c r="O17" s="4" t="s">
        <v>10</v>
      </c>
      <c r="P17" s="4" t="s">
        <v>9</v>
      </c>
      <c r="Q17" s="4" t="s">
        <v>13</v>
      </c>
      <c r="R17" s="4" t="s">
        <v>15</v>
      </c>
      <c r="S17" s="4" t="s">
        <v>16</v>
      </c>
      <c r="T17" s="4" t="s">
        <v>18</v>
      </c>
      <c r="U17" s="4" t="s">
        <v>20</v>
      </c>
      <c r="V17" s="29"/>
      <c r="W17" s="4" t="s">
        <v>20</v>
      </c>
      <c r="X17" s="4" t="s">
        <v>20</v>
      </c>
      <c r="Y17" s="4" t="s">
        <v>24</v>
      </c>
      <c r="Z17" s="4" t="s">
        <v>26</v>
      </c>
      <c r="AA17" s="29"/>
      <c r="AB17" s="31"/>
    </row>
    <row r="18" spans="1:28" ht="12.75" customHeight="1" x14ac:dyDescent="0.2">
      <c r="A18" s="37"/>
      <c r="B18" s="38"/>
      <c r="C18" s="38"/>
      <c r="D18" s="38"/>
      <c r="E18" s="38"/>
      <c r="F18" s="40"/>
      <c r="G18" s="40"/>
      <c r="H18" s="82"/>
      <c r="I18" s="68"/>
      <c r="J18" s="4" t="s">
        <v>1</v>
      </c>
      <c r="K18" s="4" t="s">
        <v>1</v>
      </c>
      <c r="L18" s="4" t="s">
        <v>1</v>
      </c>
      <c r="M18" s="4" t="s">
        <v>1</v>
      </c>
      <c r="N18" s="4" t="s">
        <v>5</v>
      </c>
      <c r="O18" s="4" t="s">
        <v>7</v>
      </c>
      <c r="P18" s="4" t="s">
        <v>7</v>
      </c>
      <c r="Q18" s="4" t="s">
        <v>14</v>
      </c>
      <c r="R18" s="4" t="s">
        <v>14</v>
      </c>
      <c r="S18" s="4" t="s">
        <v>14</v>
      </c>
      <c r="T18" s="4" t="s">
        <v>14</v>
      </c>
      <c r="U18" s="4" t="s">
        <v>7</v>
      </c>
      <c r="V18" s="4" t="s">
        <v>7</v>
      </c>
      <c r="W18" s="4" t="s">
        <v>7</v>
      </c>
      <c r="X18" s="4" t="s">
        <v>7</v>
      </c>
      <c r="Y18" s="4" t="s">
        <v>7</v>
      </c>
      <c r="Z18" s="4" t="s">
        <v>7</v>
      </c>
      <c r="AA18" s="4" t="s">
        <v>5</v>
      </c>
      <c r="AB18" s="5" t="s">
        <v>5</v>
      </c>
    </row>
    <row r="19" spans="1:28" x14ac:dyDescent="0.2">
      <c r="A19" s="43" t="s">
        <v>57</v>
      </c>
      <c r="B19" s="43"/>
      <c r="C19" s="43"/>
      <c r="D19" s="43"/>
      <c r="E19" s="44"/>
      <c r="F19" s="6"/>
      <c r="G19" s="6"/>
      <c r="H19" s="6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8"/>
    </row>
    <row r="20" spans="1:28" x14ac:dyDescent="0.2">
      <c r="A20" s="43"/>
      <c r="B20" s="43"/>
      <c r="C20" s="43"/>
      <c r="D20" s="43"/>
      <c r="E20" s="44"/>
      <c r="F20" s="6"/>
      <c r="G20" s="6"/>
      <c r="H20" s="6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8"/>
    </row>
    <row r="21" spans="1:28" x14ac:dyDescent="0.2">
      <c r="A21" s="43" t="s">
        <v>111</v>
      </c>
      <c r="B21" s="43"/>
      <c r="C21" s="43"/>
      <c r="D21" s="43"/>
      <c r="E21" s="44"/>
      <c r="F21" s="6"/>
      <c r="G21" s="6"/>
      <c r="H21" s="6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8"/>
    </row>
    <row r="22" spans="1:28" x14ac:dyDescent="0.2">
      <c r="A22" s="43"/>
      <c r="B22" s="43"/>
      <c r="C22" s="43"/>
      <c r="D22" s="43"/>
      <c r="E22" s="44"/>
      <c r="F22" s="6"/>
      <c r="G22" s="6"/>
      <c r="H22" s="6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8"/>
    </row>
    <row r="23" spans="1:28" x14ac:dyDescent="0.2">
      <c r="A23" s="43" t="s">
        <v>58</v>
      </c>
      <c r="B23" s="43"/>
      <c r="C23" s="43"/>
      <c r="D23" s="43"/>
      <c r="E23" s="44"/>
      <c r="F23" s="6"/>
      <c r="G23" s="6"/>
      <c r="H23" s="6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8"/>
    </row>
    <row r="24" spans="1:28" x14ac:dyDescent="0.2">
      <c r="A24" s="46">
        <v>65806.8</v>
      </c>
      <c r="B24" s="42"/>
      <c r="C24" s="4" t="s">
        <v>32</v>
      </c>
      <c r="D24" s="74">
        <v>66175.31</v>
      </c>
      <c r="E24" s="74"/>
      <c r="F24" s="6" t="s">
        <v>35</v>
      </c>
      <c r="G24" s="6">
        <f>D24-A24</f>
        <v>368.50999999999476</v>
      </c>
      <c r="H24" s="16">
        <f>(I24*9)/G24</f>
        <v>18.95688041030121</v>
      </c>
      <c r="I24" s="12">
        <f>ROUNDUP((6985.75/9),1)</f>
        <v>776.2</v>
      </c>
      <c r="J24" s="7"/>
      <c r="K24" s="7"/>
      <c r="L24" s="7">
        <f>I24</f>
        <v>776.2</v>
      </c>
      <c r="M24" s="7"/>
      <c r="N24" s="7"/>
      <c r="O24" s="7"/>
      <c r="P24" s="7"/>
      <c r="Q24" s="7"/>
      <c r="R24" s="7"/>
      <c r="S24" s="7">
        <f>ROUNDUP((I24*0.09),1)</f>
        <v>69.899999999999991</v>
      </c>
      <c r="T24" s="7"/>
      <c r="U24" s="7"/>
      <c r="V24" s="7">
        <f>W24</f>
        <v>32.4</v>
      </c>
      <c r="W24" s="7">
        <f>ROUNDUP((I24*(1.5/36)),1)</f>
        <v>32.4</v>
      </c>
      <c r="X24" s="7"/>
      <c r="Y24" s="7"/>
      <c r="Z24" s="7"/>
      <c r="AA24" s="7"/>
      <c r="AB24" s="8"/>
    </row>
    <row r="25" spans="1:28" x14ac:dyDescent="0.2">
      <c r="A25" s="43"/>
      <c r="B25" s="43"/>
      <c r="C25" s="43"/>
      <c r="D25" s="43"/>
      <c r="E25" s="44"/>
      <c r="F25" s="6"/>
      <c r="G25" s="6"/>
      <c r="H25" s="6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8"/>
    </row>
    <row r="26" spans="1:28" x14ac:dyDescent="0.2">
      <c r="A26" s="43" t="s">
        <v>59</v>
      </c>
      <c r="B26" s="43"/>
      <c r="C26" s="43"/>
      <c r="D26" s="43"/>
      <c r="E26" s="44"/>
      <c r="F26" s="6"/>
      <c r="G26" s="6"/>
      <c r="H26" s="6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8"/>
    </row>
    <row r="27" spans="1:28" x14ac:dyDescent="0.2">
      <c r="A27" s="46">
        <v>65806.8</v>
      </c>
      <c r="B27" s="42"/>
      <c r="C27" s="4" t="s">
        <v>32</v>
      </c>
      <c r="D27" s="74">
        <v>66175.31</v>
      </c>
      <c r="E27" s="74"/>
      <c r="F27" s="6" t="s">
        <v>35</v>
      </c>
      <c r="G27" s="6">
        <f>D27-A27</f>
        <v>368.50999999999476</v>
      </c>
      <c r="H27" s="16">
        <v>6.5</v>
      </c>
      <c r="I27" s="7">
        <f>(G27*H27)/9</f>
        <v>266.1461111111073</v>
      </c>
      <c r="J27" s="7"/>
      <c r="K27" s="7"/>
      <c r="L27" s="7">
        <f t="shared" ref="L27:L52" si="0">I27</f>
        <v>266.1461111111073</v>
      </c>
      <c r="M27" s="7"/>
      <c r="N27" s="7"/>
      <c r="O27" s="7"/>
      <c r="P27" s="7"/>
      <c r="Q27" s="7"/>
      <c r="R27" s="7"/>
      <c r="S27" s="7">
        <f t="shared" ref="S27:S52" si="1">ROUNDUP((I27*0.09),1)</f>
        <v>24</v>
      </c>
      <c r="T27" s="7"/>
      <c r="U27" s="7"/>
      <c r="V27" s="7"/>
      <c r="W27" s="7">
        <f t="shared" ref="W27:W52" si="2">ROUNDUP((I27*(1.5/36)),1)</f>
        <v>11.1</v>
      </c>
      <c r="X27" s="7"/>
      <c r="Y27" s="7"/>
      <c r="Z27" s="7"/>
      <c r="AA27" s="7"/>
      <c r="AB27" s="8"/>
    </row>
    <row r="28" spans="1:28" x14ac:dyDescent="0.2">
      <c r="A28" s="43"/>
      <c r="B28" s="43"/>
      <c r="C28" s="43"/>
      <c r="D28" s="43"/>
      <c r="E28" s="44"/>
      <c r="F28" s="6"/>
      <c r="G28" s="6"/>
      <c r="H28" s="6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8"/>
    </row>
    <row r="29" spans="1:28" x14ac:dyDescent="0.2">
      <c r="A29" s="43"/>
      <c r="B29" s="43"/>
      <c r="C29" s="43"/>
      <c r="D29" s="43"/>
      <c r="E29" s="44"/>
      <c r="F29" s="6"/>
      <c r="G29" s="6"/>
      <c r="H29" s="6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8"/>
    </row>
    <row r="30" spans="1:28" x14ac:dyDescent="0.2">
      <c r="A30" s="43" t="s">
        <v>60</v>
      </c>
      <c r="B30" s="43"/>
      <c r="C30" s="43"/>
      <c r="D30" s="43"/>
      <c r="E30" s="44"/>
      <c r="F30" s="6"/>
      <c r="G30" s="6"/>
      <c r="H30" s="6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8"/>
    </row>
    <row r="31" spans="1:28" x14ac:dyDescent="0.2">
      <c r="A31" s="46">
        <v>67675.490000000005</v>
      </c>
      <c r="B31" s="42"/>
      <c r="C31" s="4" t="s">
        <v>32</v>
      </c>
      <c r="D31" s="70">
        <v>67938.53</v>
      </c>
      <c r="E31" s="70"/>
      <c r="F31" s="6" t="s">
        <v>35</v>
      </c>
      <c r="G31" s="6">
        <f t="shared" ref="G31:G48" si="3">D31-A31</f>
        <v>263.0399999999936</v>
      </c>
      <c r="H31" s="16">
        <f>(I31*9)/G31</f>
        <v>23.307481751825385</v>
      </c>
      <c r="I31" s="12">
        <f>ROUNDUP((6130.28/9),1)</f>
        <v>681.2</v>
      </c>
      <c r="J31" s="7"/>
      <c r="K31" s="7"/>
      <c r="L31" s="7">
        <f t="shared" si="0"/>
        <v>681.2</v>
      </c>
      <c r="M31" s="7"/>
      <c r="N31" s="7"/>
      <c r="O31" s="7"/>
      <c r="P31" s="7"/>
      <c r="Q31" s="7"/>
      <c r="R31" s="7"/>
      <c r="S31" s="7">
        <f t="shared" si="1"/>
        <v>61.4</v>
      </c>
      <c r="T31" s="7"/>
      <c r="U31" s="7"/>
      <c r="V31" s="7">
        <f t="shared" ref="V31:V52" si="4">W31</f>
        <v>28.400000000000002</v>
      </c>
      <c r="W31" s="7">
        <f t="shared" si="2"/>
        <v>28.400000000000002</v>
      </c>
      <c r="X31" s="7"/>
      <c r="Y31" s="7"/>
      <c r="Z31" s="7"/>
      <c r="AA31" s="7"/>
      <c r="AB31" s="8"/>
    </row>
    <row r="32" spans="1:28" x14ac:dyDescent="0.2">
      <c r="A32" s="43"/>
      <c r="B32" s="43"/>
      <c r="C32" s="43"/>
      <c r="D32" s="43"/>
      <c r="E32" s="44"/>
      <c r="F32" s="6"/>
      <c r="G32" s="6"/>
      <c r="H32" s="6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8"/>
    </row>
    <row r="33" spans="1:28" x14ac:dyDescent="0.2">
      <c r="A33" s="43" t="s">
        <v>61</v>
      </c>
      <c r="B33" s="43"/>
      <c r="C33" s="43"/>
      <c r="D33" s="43"/>
      <c r="E33" s="44"/>
      <c r="F33" s="6"/>
      <c r="G33" s="6"/>
      <c r="H33" s="6"/>
      <c r="I33" s="7"/>
      <c r="J33" s="12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8"/>
    </row>
    <row r="34" spans="1:28" x14ac:dyDescent="0.2">
      <c r="A34" s="46">
        <v>67675.490000000005</v>
      </c>
      <c r="B34" s="42"/>
      <c r="C34" s="4" t="s">
        <v>32</v>
      </c>
      <c r="D34" s="70">
        <v>67938.53</v>
      </c>
      <c r="E34" s="70"/>
      <c r="F34" s="6" t="s">
        <v>35</v>
      </c>
      <c r="G34" s="6">
        <f t="shared" si="3"/>
        <v>263.0399999999936</v>
      </c>
      <c r="H34" s="6">
        <v>4</v>
      </c>
      <c r="I34" s="7">
        <f>ROUNDUP(((H34*G34)/9),1)</f>
        <v>117</v>
      </c>
      <c r="J34" s="7"/>
      <c r="K34" s="7"/>
      <c r="L34" s="7">
        <f t="shared" si="0"/>
        <v>117</v>
      </c>
      <c r="M34" s="7"/>
      <c r="N34" s="7"/>
      <c r="O34" s="7"/>
      <c r="P34" s="7"/>
      <c r="Q34" s="7"/>
      <c r="R34" s="7"/>
      <c r="S34" s="7">
        <f t="shared" si="1"/>
        <v>10.6</v>
      </c>
      <c r="T34" s="7"/>
      <c r="U34" s="7"/>
      <c r="V34" s="7"/>
      <c r="W34" s="7">
        <f t="shared" si="2"/>
        <v>4.8999999999999995</v>
      </c>
      <c r="X34" s="7"/>
      <c r="Y34" s="7"/>
      <c r="Z34" s="7"/>
      <c r="AA34" s="7"/>
      <c r="AB34" s="8"/>
    </row>
    <row r="35" spans="1:28" x14ac:dyDescent="0.2">
      <c r="A35" s="43"/>
      <c r="B35" s="43"/>
      <c r="C35" s="43"/>
      <c r="D35" s="43"/>
      <c r="E35" s="44"/>
      <c r="F35" s="6"/>
      <c r="G35" s="6"/>
      <c r="H35" s="6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8"/>
    </row>
    <row r="36" spans="1:28" x14ac:dyDescent="0.2">
      <c r="A36" s="43"/>
      <c r="B36" s="43"/>
      <c r="C36" s="43"/>
      <c r="D36" s="43"/>
      <c r="E36" s="44"/>
      <c r="F36" s="6"/>
      <c r="G36" s="6"/>
      <c r="H36" s="6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8"/>
    </row>
    <row r="37" spans="1:28" x14ac:dyDescent="0.2">
      <c r="A37" s="43" t="s">
        <v>62</v>
      </c>
      <c r="B37" s="43"/>
      <c r="C37" s="43"/>
      <c r="D37" s="43"/>
      <c r="E37" s="44"/>
      <c r="F37" s="6"/>
      <c r="G37" s="6"/>
      <c r="H37" s="6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8"/>
    </row>
    <row r="38" spans="1:28" x14ac:dyDescent="0.2">
      <c r="A38" s="46">
        <v>68503.41</v>
      </c>
      <c r="B38" s="42"/>
      <c r="C38" s="4" t="s">
        <v>32</v>
      </c>
      <c r="D38" s="71">
        <v>68798.34</v>
      </c>
      <c r="E38" s="71"/>
      <c r="F38" s="6" t="s">
        <v>35</v>
      </c>
      <c r="G38" s="6">
        <f t="shared" si="3"/>
        <v>294.92999999999302</v>
      </c>
      <c r="H38" s="16">
        <f>(I38*9)/G38</f>
        <v>22.206286237412794</v>
      </c>
      <c r="I38" s="12">
        <f>ROUNDUP((6548.8/9),1)</f>
        <v>727.7</v>
      </c>
      <c r="J38" s="7"/>
      <c r="K38" s="7"/>
      <c r="L38" s="7">
        <f t="shared" si="0"/>
        <v>727.7</v>
      </c>
      <c r="M38" s="7"/>
      <c r="N38" s="7"/>
      <c r="O38" s="7"/>
      <c r="P38" s="7"/>
      <c r="Q38" s="7"/>
      <c r="R38" s="7"/>
      <c r="S38" s="7">
        <f t="shared" si="1"/>
        <v>65.5</v>
      </c>
      <c r="T38" s="7"/>
      <c r="U38" s="7"/>
      <c r="V38" s="7">
        <f t="shared" si="4"/>
        <v>30.400000000000002</v>
      </c>
      <c r="W38" s="7">
        <f t="shared" si="2"/>
        <v>30.400000000000002</v>
      </c>
      <c r="X38" s="7"/>
      <c r="Y38" s="7"/>
      <c r="Z38" s="7"/>
      <c r="AA38" s="7"/>
      <c r="AB38" s="8"/>
    </row>
    <row r="39" spans="1:28" x14ac:dyDescent="0.2">
      <c r="A39" s="43"/>
      <c r="B39" s="43"/>
      <c r="C39" s="43"/>
      <c r="D39" s="43"/>
      <c r="E39" s="44"/>
      <c r="F39" s="6"/>
      <c r="G39" s="6"/>
      <c r="H39" s="6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Z39" s="7"/>
      <c r="AA39" s="7"/>
      <c r="AB39" s="8"/>
    </row>
    <row r="40" spans="1:28" x14ac:dyDescent="0.2">
      <c r="A40" s="43" t="s">
        <v>63</v>
      </c>
      <c r="B40" s="43"/>
      <c r="C40" s="43"/>
      <c r="D40" s="43"/>
      <c r="E40" s="44"/>
      <c r="F40" s="6"/>
      <c r="G40" s="6"/>
      <c r="H40" s="6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  <c r="AA40" s="7"/>
      <c r="AB40" s="8"/>
    </row>
    <row r="41" spans="1:28" x14ac:dyDescent="0.2">
      <c r="A41" s="46">
        <v>68503.41</v>
      </c>
      <c r="B41" s="42"/>
      <c r="C41" s="4" t="s">
        <v>32</v>
      </c>
      <c r="D41" s="71">
        <v>68798.34</v>
      </c>
      <c r="E41" s="71"/>
      <c r="F41" s="6" t="s">
        <v>35</v>
      </c>
      <c r="G41" s="6">
        <f t="shared" si="3"/>
        <v>294.92999999999302</v>
      </c>
      <c r="H41" s="16">
        <f>(I41*9)/G41</f>
        <v>2.7311565456210594</v>
      </c>
      <c r="I41" s="12">
        <f>ROUNDUP((805.1/9),1)</f>
        <v>89.5</v>
      </c>
      <c r="J41" s="7"/>
      <c r="K41" s="7"/>
      <c r="L41" s="7">
        <f t="shared" si="0"/>
        <v>89.5</v>
      </c>
      <c r="M41" s="7"/>
      <c r="N41" s="7"/>
      <c r="O41" s="7"/>
      <c r="P41" s="7"/>
      <c r="Q41" s="7"/>
      <c r="R41" s="7"/>
      <c r="S41" s="7">
        <f t="shared" si="1"/>
        <v>8.1</v>
      </c>
      <c r="T41" s="7"/>
      <c r="U41" s="7"/>
      <c r="V41" s="7"/>
      <c r="W41" s="7">
        <f t="shared" si="2"/>
        <v>3.8000000000000003</v>
      </c>
      <c r="X41" s="7"/>
      <c r="Y41" s="7"/>
      <c r="Z41" s="7"/>
      <c r="AA41" s="7"/>
      <c r="AB41" s="8"/>
    </row>
    <row r="42" spans="1:28" x14ac:dyDescent="0.2">
      <c r="A42" s="43"/>
      <c r="B42" s="43"/>
      <c r="C42" s="43"/>
      <c r="D42" s="43"/>
      <c r="E42" s="44"/>
      <c r="F42" s="6"/>
      <c r="G42" s="6"/>
      <c r="H42" s="6"/>
      <c r="I42" s="7"/>
      <c r="J42" s="12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8"/>
    </row>
    <row r="43" spans="1:28" x14ac:dyDescent="0.2">
      <c r="A43" s="43"/>
      <c r="B43" s="43"/>
      <c r="C43" s="43"/>
      <c r="D43" s="43"/>
      <c r="E43" s="44"/>
      <c r="F43" s="6"/>
      <c r="G43" s="6"/>
      <c r="H43" s="6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8"/>
    </row>
    <row r="44" spans="1:28" x14ac:dyDescent="0.2">
      <c r="A44" s="43" t="s">
        <v>64</v>
      </c>
      <c r="B44" s="43"/>
      <c r="C44" s="43"/>
      <c r="D44" s="43"/>
      <c r="E44" s="44"/>
      <c r="F44" s="6"/>
      <c r="G44" s="6"/>
      <c r="H44" s="6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8"/>
    </row>
    <row r="45" spans="1:28" x14ac:dyDescent="0.2">
      <c r="A45" s="45">
        <v>70745.960000000006</v>
      </c>
      <c r="B45" s="46"/>
      <c r="C45" s="4" t="s">
        <v>32</v>
      </c>
      <c r="D45" s="72">
        <v>71206.81</v>
      </c>
      <c r="E45" s="73"/>
      <c r="F45" s="6" t="s">
        <v>35</v>
      </c>
      <c r="G45" s="6">
        <f t="shared" si="3"/>
        <v>460.84999999999127</v>
      </c>
      <c r="H45" s="16">
        <f>(I45*9)/G45</f>
        <v>21.189107084735131</v>
      </c>
      <c r="I45" s="12">
        <f>ROUNDUP((9764.55/9),1)</f>
        <v>1085</v>
      </c>
      <c r="J45" s="7"/>
      <c r="K45" s="7"/>
      <c r="L45" s="7">
        <f t="shared" si="0"/>
        <v>1085</v>
      </c>
      <c r="M45" s="7"/>
      <c r="N45" s="7"/>
      <c r="O45" s="7"/>
      <c r="P45" s="7"/>
      <c r="Q45" s="7"/>
      <c r="R45" s="7"/>
      <c r="S45" s="7">
        <f t="shared" si="1"/>
        <v>97.699999999999989</v>
      </c>
      <c r="T45" s="7"/>
      <c r="U45" s="7"/>
      <c r="V45" s="7">
        <f t="shared" si="4"/>
        <v>45.300000000000004</v>
      </c>
      <c r="W45" s="7">
        <f t="shared" si="2"/>
        <v>45.300000000000004</v>
      </c>
      <c r="X45" s="7"/>
      <c r="Y45" s="7"/>
      <c r="Z45" s="7"/>
      <c r="AA45" s="7"/>
      <c r="AB45" s="8"/>
    </row>
    <row r="46" spans="1:28" x14ac:dyDescent="0.2">
      <c r="A46" s="43"/>
      <c r="B46" s="43"/>
      <c r="C46" s="43"/>
      <c r="D46" s="43"/>
      <c r="E46" s="44"/>
      <c r="F46" s="6"/>
      <c r="G46" s="6"/>
      <c r="H46" s="6"/>
      <c r="I46" s="7"/>
      <c r="J46" s="1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8"/>
    </row>
    <row r="47" spans="1:28" x14ac:dyDescent="0.2">
      <c r="A47" s="43" t="s">
        <v>65</v>
      </c>
      <c r="B47" s="43"/>
      <c r="C47" s="43"/>
      <c r="D47" s="43"/>
      <c r="E47" s="44"/>
      <c r="F47" s="6"/>
      <c r="G47" s="6"/>
      <c r="H47" s="6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  <c r="AA47" s="7"/>
      <c r="AB47" s="8"/>
    </row>
    <row r="48" spans="1:28" x14ac:dyDescent="0.2">
      <c r="A48" s="45">
        <v>70745.960000000006</v>
      </c>
      <c r="B48" s="46"/>
      <c r="C48" s="4" t="s">
        <v>32</v>
      </c>
      <c r="D48" s="72">
        <v>71206.81</v>
      </c>
      <c r="E48" s="73"/>
      <c r="F48" s="6" t="s">
        <v>35</v>
      </c>
      <c r="G48" s="6">
        <f t="shared" si="3"/>
        <v>460.84999999999127</v>
      </c>
      <c r="H48" s="16">
        <f>(I48*9)/G48</f>
        <v>6.0032548551590592</v>
      </c>
      <c r="I48" s="12">
        <v>307.39999999999998</v>
      </c>
      <c r="J48" s="7"/>
      <c r="K48" s="7"/>
      <c r="L48" s="7">
        <f t="shared" si="0"/>
        <v>307.39999999999998</v>
      </c>
      <c r="M48" s="7"/>
      <c r="N48" s="7"/>
      <c r="O48" s="7"/>
      <c r="P48" s="7"/>
      <c r="Q48" s="7"/>
      <c r="R48" s="7"/>
      <c r="S48" s="7">
        <f t="shared" si="1"/>
        <v>27.700000000000003</v>
      </c>
      <c r="T48" s="7"/>
      <c r="U48" s="7"/>
      <c r="V48" s="7"/>
      <c r="W48" s="7">
        <f t="shared" si="2"/>
        <v>12.9</v>
      </c>
      <c r="X48" s="7"/>
      <c r="Y48" s="7"/>
      <c r="Z48" s="7"/>
      <c r="AA48" s="7"/>
      <c r="AB48" s="8"/>
    </row>
    <row r="49" spans="1:28" x14ac:dyDescent="0.2">
      <c r="A49" s="43"/>
      <c r="B49" s="43"/>
      <c r="C49" s="43"/>
      <c r="D49" s="43"/>
      <c r="E49" s="44"/>
      <c r="F49" s="6"/>
      <c r="G49" s="6"/>
      <c r="H49" s="6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8"/>
    </row>
    <row r="50" spans="1:28" x14ac:dyDescent="0.2">
      <c r="A50" s="43"/>
      <c r="B50" s="43"/>
      <c r="C50" s="43"/>
      <c r="D50" s="43"/>
      <c r="E50" s="44"/>
      <c r="F50" s="6"/>
      <c r="G50" s="6"/>
      <c r="H50" s="6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B50" s="8"/>
    </row>
    <row r="51" spans="1:28" x14ac:dyDescent="0.2">
      <c r="A51" s="45" t="s">
        <v>66</v>
      </c>
      <c r="B51" s="45"/>
      <c r="C51" s="45"/>
      <c r="D51" s="45"/>
      <c r="E51" s="46"/>
      <c r="F51" s="6"/>
      <c r="G51" s="6"/>
      <c r="H51" s="6"/>
      <c r="I51" s="7"/>
      <c r="J51" s="12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8"/>
    </row>
    <row r="52" spans="1:28" x14ac:dyDescent="0.2">
      <c r="A52" s="45">
        <v>72650</v>
      </c>
      <c r="B52" s="46"/>
      <c r="C52" s="4" t="s">
        <v>32</v>
      </c>
      <c r="D52" s="47">
        <v>72739.5</v>
      </c>
      <c r="E52" s="46"/>
      <c r="F52" s="6" t="s">
        <v>35</v>
      </c>
      <c r="G52" s="6">
        <f>D52-A52</f>
        <v>89.5</v>
      </c>
      <c r="H52" s="6">
        <v>3</v>
      </c>
      <c r="I52" s="7">
        <f>ROUNDUP(((H52*G52)/9),1)</f>
        <v>29.900000000000002</v>
      </c>
      <c r="J52" s="7"/>
      <c r="K52" s="7"/>
      <c r="L52" s="7">
        <f t="shared" si="0"/>
        <v>29.900000000000002</v>
      </c>
      <c r="M52" s="7"/>
      <c r="N52" s="7"/>
      <c r="O52" s="7"/>
      <c r="P52" s="7"/>
      <c r="Q52" s="7"/>
      <c r="R52" s="7"/>
      <c r="S52" s="7">
        <f t="shared" si="1"/>
        <v>2.7</v>
      </c>
      <c r="T52" s="7"/>
      <c r="U52" s="7"/>
      <c r="V52" s="7">
        <f t="shared" si="4"/>
        <v>1.3</v>
      </c>
      <c r="W52" s="7">
        <f t="shared" si="2"/>
        <v>1.3</v>
      </c>
      <c r="X52" s="7"/>
      <c r="Y52" s="7"/>
      <c r="Z52" s="7"/>
      <c r="AA52" s="7"/>
      <c r="AB52" s="8"/>
    </row>
    <row r="53" spans="1:28" x14ac:dyDescent="0.2">
      <c r="A53" s="45"/>
      <c r="B53" s="45"/>
      <c r="C53" s="45"/>
      <c r="D53" s="45"/>
      <c r="E53" s="46"/>
      <c r="F53" s="6"/>
      <c r="G53" s="6"/>
      <c r="H53" s="6"/>
      <c r="I53" s="1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  <c r="AB53" s="8"/>
    </row>
    <row r="54" spans="1:28" x14ac:dyDescent="0.2">
      <c r="A54" s="45"/>
      <c r="B54" s="45"/>
      <c r="C54" s="45"/>
      <c r="D54" s="45"/>
      <c r="E54" s="46"/>
      <c r="F54" s="6"/>
      <c r="G54" s="6"/>
      <c r="H54" s="6"/>
      <c r="I54" s="1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  <c r="AA54" s="7"/>
      <c r="AB54" s="8"/>
    </row>
    <row r="55" spans="1:28" x14ac:dyDescent="0.2">
      <c r="A55" s="45" t="s">
        <v>96</v>
      </c>
      <c r="B55" s="45"/>
      <c r="C55" s="45"/>
      <c r="D55" s="45"/>
      <c r="E55" s="46"/>
      <c r="F55" s="6"/>
      <c r="G55" s="6"/>
      <c r="H55" s="6"/>
      <c r="I55" s="11"/>
      <c r="J55" s="1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  <c r="AA55" s="7"/>
      <c r="AB55" s="8"/>
    </row>
    <row r="56" spans="1:28" x14ac:dyDescent="0.2">
      <c r="A56" s="45">
        <v>81429</v>
      </c>
      <c r="B56" s="46"/>
      <c r="C56" s="4" t="s">
        <v>32</v>
      </c>
      <c r="D56" s="47">
        <v>82263.259999999995</v>
      </c>
      <c r="E56" s="46"/>
      <c r="F56" s="6" t="s">
        <v>35</v>
      </c>
      <c r="G56" s="6">
        <f>D56-A56</f>
        <v>834.25999999999476</v>
      </c>
      <c r="H56" s="26">
        <f>(I56*9)/G56</f>
        <v>16.351377268477556</v>
      </c>
      <c r="I56" s="17">
        <f>ROUNDUP((13641.225/9),1)</f>
        <v>1515.6999999999998</v>
      </c>
      <c r="J56" s="17"/>
      <c r="K56" s="7"/>
      <c r="L56" s="7">
        <f t="shared" ref="L56" si="5">I56</f>
        <v>1515.6999999999998</v>
      </c>
      <c r="M56" s="7"/>
      <c r="N56" s="7"/>
      <c r="O56" s="7"/>
      <c r="P56" s="7"/>
      <c r="Q56" s="7"/>
      <c r="R56" s="7"/>
      <c r="S56" s="7">
        <f t="shared" ref="S56" si="6">ROUNDUP((I56*0.09),1)</f>
        <v>136.5</v>
      </c>
      <c r="T56" s="7"/>
      <c r="U56" s="7"/>
      <c r="V56" s="7">
        <f t="shared" ref="V56" si="7">W56</f>
        <v>63.2</v>
      </c>
      <c r="W56" s="7">
        <f t="shared" ref="W56" si="8">ROUNDUP((I56*(1.5/36)),1)</f>
        <v>63.2</v>
      </c>
      <c r="X56" s="7"/>
      <c r="Y56" s="7"/>
      <c r="Z56" s="7"/>
      <c r="AA56" s="7"/>
      <c r="AB56" s="8"/>
    </row>
    <row r="57" spans="1:28" x14ac:dyDescent="0.2">
      <c r="A57" s="45"/>
      <c r="B57" s="45"/>
      <c r="C57" s="45"/>
      <c r="D57" s="45"/>
      <c r="E57" s="46"/>
      <c r="F57" s="6"/>
      <c r="G57" s="6"/>
      <c r="H57" s="6"/>
      <c r="I57" s="7"/>
      <c r="J57" s="17"/>
      <c r="K57" s="7"/>
      <c r="L57" s="7"/>
      <c r="M57" s="7"/>
      <c r="N57" s="7"/>
      <c r="O57" s="7"/>
      <c r="P57" s="7"/>
      <c r="Q57" s="7"/>
      <c r="R57" s="7"/>
      <c r="S57" s="7"/>
      <c r="T57" s="7"/>
      <c r="U57" s="7"/>
      <c r="V57" s="7"/>
      <c r="W57" s="7"/>
      <c r="X57" s="7"/>
      <c r="Y57" s="7"/>
      <c r="Z57" s="7"/>
      <c r="AA57" s="7"/>
      <c r="AB57" s="8"/>
    </row>
    <row r="58" spans="1:28" x14ac:dyDescent="0.2">
      <c r="A58" s="45" t="s">
        <v>97</v>
      </c>
      <c r="B58" s="45"/>
      <c r="C58" s="45"/>
      <c r="D58" s="45"/>
      <c r="E58" s="46"/>
      <c r="F58" s="6"/>
      <c r="G58" s="6"/>
      <c r="H58" s="6"/>
      <c r="I58" s="11"/>
      <c r="J58" s="17"/>
      <c r="K58" s="7"/>
      <c r="L58" s="7"/>
      <c r="M58" s="7"/>
      <c r="N58" s="7"/>
      <c r="O58" s="7"/>
      <c r="P58" s="7"/>
      <c r="Q58" s="7"/>
      <c r="R58" s="7"/>
      <c r="S58" s="7"/>
      <c r="T58" s="7"/>
      <c r="U58" s="7"/>
      <c r="V58" s="7"/>
      <c r="W58" s="7"/>
      <c r="X58" s="7"/>
      <c r="Y58" s="7"/>
      <c r="Z58" s="7"/>
      <c r="AA58" s="7"/>
      <c r="AB58" s="8"/>
    </row>
    <row r="59" spans="1:28" x14ac:dyDescent="0.2">
      <c r="A59" s="45">
        <v>81429</v>
      </c>
      <c r="B59" s="46"/>
      <c r="C59" s="4" t="s">
        <v>32</v>
      </c>
      <c r="D59" s="47">
        <v>82258.34</v>
      </c>
      <c r="E59" s="46"/>
      <c r="F59" s="6" t="s">
        <v>35</v>
      </c>
      <c r="G59" s="6">
        <f>D59-A59</f>
        <v>829.33999999999651</v>
      </c>
      <c r="H59" s="26">
        <f>(I59*9)/G59</f>
        <v>9.1156823498203767</v>
      </c>
      <c r="I59" s="17">
        <f>ROUNDUP((7559.66/9),1)</f>
        <v>840</v>
      </c>
      <c r="J59" s="7"/>
      <c r="K59" s="7"/>
      <c r="L59" s="7">
        <f t="shared" ref="L59" si="9">I59</f>
        <v>840</v>
      </c>
      <c r="M59" s="7"/>
      <c r="N59" s="7"/>
      <c r="O59" s="7"/>
      <c r="P59" s="7"/>
      <c r="Q59" s="7"/>
      <c r="R59" s="7"/>
      <c r="S59" s="7">
        <f t="shared" ref="S59" si="10">ROUNDUP((I59*0.09),1)</f>
        <v>75.599999999999994</v>
      </c>
      <c r="T59" s="7"/>
      <c r="U59" s="7"/>
      <c r="V59" s="7"/>
      <c r="W59" s="7">
        <f t="shared" ref="W59" si="11">ROUNDUP((I59*(1.5/36)),1)</f>
        <v>35</v>
      </c>
      <c r="X59" s="7"/>
      <c r="Y59" s="7"/>
      <c r="Z59" s="7"/>
      <c r="AA59" s="7"/>
      <c r="AB59" s="8"/>
    </row>
    <row r="60" spans="1:28" x14ac:dyDescent="0.2">
      <c r="A60" s="45"/>
      <c r="B60" s="45"/>
      <c r="C60" s="45"/>
      <c r="D60" s="45"/>
      <c r="E60" s="46"/>
      <c r="F60" s="6"/>
      <c r="G60" s="6"/>
      <c r="H60" s="6"/>
      <c r="I60" s="11"/>
      <c r="J60" s="7"/>
      <c r="K60" s="7"/>
      <c r="L60" s="7"/>
      <c r="M60" s="7"/>
      <c r="N60" s="7"/>
      <c r="O60" s="7"/>
      <c r="P60" s="7"/>
      <c r="Q60" s="7"/>
      <c r="R60" s="7"/>
      <c r="S60" s="7"/>
      <c r="T60" s="7"/>
      <c r="U60" s="7"/>
      <c r="V60" s="7"/>
      <c r="W60" s="7"/>
      <c r="X60" s="7"/>
      <c r="Y60" s="7"/>
      <c r="Z60" s="7"/>
      <c r="AA60" s="7"/>
      <c r="AB60" s="8"/>
    </row>
    <row r="61" spans="1:28" x14ac:dyDescent="0.2">
      <c r="A61" s="45"/>
      <c r="B61" s="45"/>
      <c r="C61" s="45"/>
      <c r="D61" s="45"/>
      <c r="E61" s="46"/>
      <c r="F61" s="6"/>
      <c r="G61" s="6"/>
      <c r="H61" s="6"/>
      <c r="I61" s="11"/>
      <c r="J61" s="7"/>
      <c r="K61" s="7"/>
      <c r="L61" s="7"/>
      <c r="M61" s="7"/>
      <c r="N61" s="7"/>
      <c r="O61" s="7"/>
      <c r="P61" s="7"/>
      <c r="Q61" s="7"/>
      <c r="R61" s="7"/>
      <c r="S61" s="7"/>
      <c r="T61" s="7"/>
      <c r="U61" s="7"/>
      <c r="V61" s="7"/>
      <c r="W61" s="7"/>
      <c r="X61" s="7"/>
      <c r="Y61" s="7"/>
      <c r="Z61" s="7"/>
      <c r="AA61" s="7"/>
      <c r="AB61" s="8"/>
    </row>
    <row r="62" spans="1:28" x14ac:dyDescent="0.2">
      <c r="A62" s="45" t="s">
        <v>99</v>
      </c>
      <c r="B62" s="45"/>
      <c r="C62" s="45"/>
      <c r="D62" s="45"/>
      <c r="E62" s="46"/>
      <c r="F62" s="6"/>
      <c r="G62" s="6"/>
      <c r="H62" s="6"/>
      <c r="I62" s="11"/>
      <c r="J62" s="7"/>
      <c r="K62" s="7"/>
      <c r="L62" s="7"/>
      <c r="M62" s="7"/>
      <c r="N62" s="7"/>
      <c r="O62" s="7"/>
      <c r="P62" s="7"/>
      <c r="Q62" s="7"/>
      <c r="R62" s="7"/>
      <c r="S62" s="7"/>
      <c r="T62" s="7"/>
      <c r="U62" s="7"/>
      <c r="V62" s="7"/>
      <c r="W62" s="7"/>
      <c r="X62" s="7"/>
      <c r="Y62" s="7"/>
      <c r="Z62" s="7"/>
      <c r="AA62" s="7"/>
      <c r="AB62" s="8"/>
    </row>
    <row r="63" spans="1:28" x14ac:dyDescent="0.2">
      <c r="A63" s="45">
        <v>82970.84</v>
      </c>
      <c r="B63" s="46"/>
      <c r="C63" s="4" t="s">
        <v>32</v>
      </c>
      <c r="D63" s="47">
        <v>84470</v>
      </c>
      <c r="E63" s="46"/>
      <c r="F63" s="6" t="s">
        <v>35</v>
      </c>
      <c r="G63" s="6">
        <f>D63-A63</f>
        <v>1499.1600000000035</v>
      </c>
      <c r="H63" s="26">
        <f>(I63*9)/G63</f>
        <v>16.608300648363045</v>
      </c>
      <c r="I63" s="17">
        <f>ROUNDUP((24897.76/9),1)</f>
        <v>2766.5</v>
      </c>
      <c r="J63" s="7"/>
      <c r="K63" s="7"/>
      <c r="L63" s="7">
        <f t="shared" ref="L63" si="12">I63</f>
        <v>2766.5</v>
      </c>
      <c r="M63" s="7"/>
      <c r="N63" s="7"/>
      <c r="O63" s="7"/>
      <c r="P63" s="7"/>
      <c r="Q63" s="7"/>
      <c r="R63" s="7"/>
      <c r="S63" s="7">
        <f t="shared" ref="S63" si="13">ROUNDUP((I63*0.09),1)</f>
        <v>249</v>
      </c>
      <c r="T63" s="7"/>
      <c r="U63" s="7"/>
      <c r="V63" s="7">
        <f t="shared" ref="V63" si="14">W63</f>
        <v>115.3</v>
      </c>
      <c r="W63" s="7">
        <f t="shared" ref="W63" si="15">ROUNDUP((I63*(1.5/36)),1)</f>
        <v>115.3</v>
      </c>
      <c r="X63" s="7"/>
      <c r="Y63" s="7"/>
      <c r="Z63" s="7"/>
      <c r="AA63" s="7"/>
      <c r="AB63" s="8"/>
    </row>
    <row r="64" spans="1:28" x14ac:dyDescent="0.2">
      <c r="A64" s="45"/>
      <c r="B64" s="45"/>
      <c r="C64" s="45"/>
      <c r="D64" s="45"/>
      <c r="E64" s="46"/>
      <c r="F64" s="6"/>
      <c r="G64" s="6"/>
      <c r="H64" s="6"/>
      <c r="I64" s="11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8"/>
    </row>
    <row r="65" spans="1:28" x14ac:dyDescent="0.2">
      <c r="A65" s="45" t="s">
        <v>100</v>
      </c>
      <c r="B65" s="45"/>
      <c r="C65" s="45"/>
      <c r="D65" s="45"/>
      <c r="E65" s="46"/>
      <c r="F65" s="6"/>
      <c r="G65" s="6"/>
      <c r="H65" s="6"/>
      <c r="I65" s="11"/>
      <c r="J65" s="7"/>
      <c r="K65" s="7"/>
      <c r="L65" s="7"/>
      <c r="M65" s="7"/>
      <c r="N65" s="7"/>
      <c r="O65" s="7"/>
      <c r="P65" s="7"/>
      <c r="Q65" s="7"/>
      <c r="R65" s="7"/>
      <c r="S65" s="7"/>
      <c r="T65" s="7"/>
      <c r="U65" s="7"/>
      <c r="V65" s="7"/>
      <c r="W65" s="7"/>
      <c r="X65" s="7"/>
      <c r="Y65" s="7"/>
      <c r="Z65" s="7"/>
      <c r="AA65" s="7"/>
      <c r="AB65" s="8"/>
    </row>
    <row r="66" spans="1:28" x14ac:dyDescent="0.2">
      <c r="A66" s="45">
        <v>82980.09</v>
      </c>
      <c r="B66" s="46"/>
      <c r="C66" s="4" t="s">
        <v>32</v>
      </c>
      <c r="D66" s="47">
        <v>84470</v>
      </c>
      <c r="E66" s="46"/>
      <c r="F66" s="6" t="s">
        <v>35</v>
      </c>
      <c r="G66" s="6">
        <f>D66-A66</f>
        <v>1489.9100000000035</v>
      </c>
      <c r="H66" s="26">
        <f>(I66*9)/G66</f>
        <v>7.1158660590236824</v>
      </c>
      <c r="I66" s="17">
        <f>ROUNDUP((10601.94/9),1)</f>
        <v>1178</v>
      </c>
      <c r="J66" s="7"/>
      <c r="K66" s="7"/>
      <c r="L66" s="7">
        <f t="shared" ref="L66" si="16">I66</f>
        <v>1178</v>
      </c>
      <c r="M66" s="7"/>
      <c r="N66" s="7"/>
      <c r="O66" s="7"/>
      <c r="P66" s="7"/>
      <c r="Q66" s="7"/>
      <c r="R66" s="7"/>
      <c r="S66" s="7">
        <f t="shared" ref="S66" si="17">ROUNDUP((I66*0.09),1)</f>
        <v>106.1</v>
      </c>
      <c r="T66" s="7"/>
      <c r="U66" s="7"/>
      <c r="V66" s="7"/>
      <c r="W66" s="7">
        <f t="shared" ref="W66" si="18">ROUNDUP((I66*(1.5/36)),1)</f>
        <v>49.1</v>
      </c>
      <c r="X66" s="7"/>
      <c r="Y66" s="7"/>
      <c r="Z66" s="7"/>
      <c r="AA66" s="7"/>
      <c r="AB66" s="8"/>
    </row>
    <row r="67" spans="1:28" x14ac:dyDescent="0.2">
      <c r="A67" s="45"/>
      <c r="B67" s="45"/>
      <c r="C67" s="45"/>
      <c r="D67" s="45"/>
      <c r="E67" s="46"/>
      <c r="F67" s="6"/>
      <c r="G67" s="6"/>
      <c r="H67" s="6"/>
      <c r="I67" s="11"/>
      <c r="J67" s="7"/>
      <c r="K67" s="7"/>
      <c r="L67" s="7"/>
      <c r="M67" s="7"/>
      <c r="N67" s="7"/>
      <c r="O67" s="7"/>
      <c r="P67" s="7"/>
      <c r="Q67" s="7"/>
      <c r="R67" s="7"/>
      <c r="S67" s="7"/>
      <c r="T67" s="7"/>
      <c r="U67" s="7"/>
      <c r="V67" s="7"/>
      <c r="W67" s="7"/>
      <c r="X67" s="7"/>
      <c r="Y67" s="7"/>
      <c r="Z67" s="7"/>
      <c r="AA67" s="7"/>
      <c r="AB67" s="8"/>
    </row>
    <row r="68" spans="1:28" x14ac:dyDescent="0.2">
      <c r="A68" s="45"/>
      <c r="B68" s="45"/>
      <c r="C68" s="45"/>
      <c r="D68" s="45"/>
      <c r="E68" s="46"/>
      <c r="F68" s="6"/>
      <c r="G68" s="6"/>
      <c r="H68" s="6"/>
      <c r="I68" s="11"/>
      <c r="J68" s="7"/>
      <c r="K68" s="7"/>
      <c r="L68" s="7"/>
      <c r="M68" s="7"/>
      <c r="N68" s="7"/>
      <c r="O68" s="7"/>
      <c r="P68" s="7"/>
      <c r="Q68" s="7"/>
      <c r="R68" s="7"/>
      <c r="S68" s="7"/>
      <c r="T68" s="7"/>
      <c r="U68" s="7"/>
      <c r="V68" s="7"/>
      <c r="W68" s="7"/>
      <c r="X68" s="7"/>
      <c r="Y68" s="7"/>
      <c r="Z68" s="7"/>
      <c r="AA68" s="7"/>
      <c r="AB68" s="8"/>
    </row>
    <row r="69" spans="1:28" x14ac:dyDescent="0.2">
      <c r="A69" s="45"/>
      <c r="B69" s="45"/>
      <c r="C69" s="45"/>
      <c r="D69" s="45"/>
      <c r="E69" s="46"/>
      <c r="F69" s="6"/>
      <c r="G69" s="6"/>
      <c r="H69" s="6"/>
      <c r="I69" s="7"/>
      <c r="J69" s="7"/>
      <c r="K69" s="7"/>
      <c r="L69" s="7"/>
      <c r="M69" s="7"/>
      <c r="N69" s="7"/>
      <c r="O69" s="7"/>
      <c r="P69" s="7"/>
      <c r="Q69" s="7"/>
      <c r="R69" s="7"/>
      <c r="S69" s="7"/>
      <c r="T69" s="7"/>
      <c r="U69" s="7"/>
      <c r="V69" s="7"/>
      <c r="W69" s="7"/>
      <c r="X69" s="7"/>
      <c r="Y69" s="7"/>
      <c r="Z69" s="7"/>
      <c r="AA69" s="7"/>
      <c r="AB69" s="8"/>
    </row>
    <row r="70" spans="1:28" x14ac:dyDescent="0.2">
      <c r="A70" s="45"/>
      <c r="B70" s="45"/>
      <c r="C70" s="45"/>
      <c r="D70" s="45"/>
      <c r="E70" s="46"/>
      <c r="F70" s="6"/>
      <c r="G70" s="6"/>
      <c r="H70" s="6"/>
      <c r="I70" s="7"/>
      <c r="J70" s="7"/>
      <c r="K70" s="7"/>
      <c r="L70" s="7"/>
      <c r="M70" s="7"/>
      <c r="N70" s="7"/>
      <c r="O70" s="7"/>
      <c r="P70" s="7"/>
      <c r="Q70" s="7"/>
      <c r="R70" s="7"/>
      <c r="S70" s="7"/>
      <c r="T70" s="7"/>
      <c r="U70" s="7"/>
      <c r="V70" s="7"/>
      <c r="W70" s="7"/>
      <c r="X70" s="7"/>
      <c r="Y70" s="7"/>
      <c r="Z70" s="7"/>
      <c r="AA70" s="7"/>
      <c r="AB70" s="8"/>
    </row>
    <row r="71" spans="1:28" x14ac:dyDescent="0.2">
      <c r="A71" s="45"/>
      <c r="B71" s="45"/>
      <c r="C71" s="45"/>
      <c r="D71" s="45"/>
      <c r="E71" s="46"/>
      <c r="F71" s="6"/>
      <c r="G71" s="6"/>
      <c r="H71" s="6"/>
      <c r="I71" s="7"/>
      <c r="J71" s="7"/>
      <c r="K71" s="7"/>
      <c r="L71" s="7"/>
      <c r="M71" s="7"/>
      <c r="N71" s="7"/>
      <c r="O71" s="7"/>
      <c r="P71" s="7"/>
      <c r="Q71" s="7"/>
      <c r="R71" s="7"/>
      <c r="S71" s="7"/>
      <c r="T71" s="7"/>
      <c r="U71" s="7"/>
      <c r="V71" s="7"/>
      <c r="W71" s="7"/>
      <c r="X71" s="7"/>
      <c r="Y71" s="7"/>
      <c r="Z71" s="7"/>
      <c r="AA71" s="7"/>
      <c r="AB71" s="8"/>
    </row>
    <row r="72" spans="1:28" x14ac:dyDescent="0.2">
      <c r="A72" s="45"/>
      <c r="B72" s="45"/>
      <c r="C72" s="45"/>
      <c r="D72" s="45"/>
      <c r="E72" s="46"/>
      <c r="F72" s="6"/>
      <c r="G72" s="6"/>
      <c r="H72" s="6"/>
      <c r="I72" s="7"/>
      <c r="J72" s="7"/>
      <c r="K72" s="7"/>
      <c r="L72" s="7"/>
      <c r="M72" s="7"/>
      <c r="N72" s="7"/>
      <c r="O72" s="7"/>
      <c r="P72" s="7"/>
      <c r="Q72" s="7"/>
      <c r="R72" s="7"/>
      <c r="S72" s="7"/>
      <c r="T72" s="7"/>
      <c r="U72" s="7"/>
      <c r="V72" s="7"/>
      <c r="W72" s="7"/>
      <c r="X72" s="7"/>
      <c r="Y72" s="7"/>
      <c r="Z72" s="7"/>
      <c r="AA72" s="7"/>
      <c r="AB72" s="8"/>
    </row>
    <row r="73" spans="1:28" x14ac:dyDescent="0.2">
      <c r="A73" s="45"/>
      <c r="B73" s="45"/>
      <c r="C73" s="45"/>
      <c r="D73" s="45"/>
      <c r="E73" s="46"/>
      <c r="F73" s="6"/>
      <c r="G73" s="6"/>
      <c r="H73" s="6"/>
      <c r="I73" s="7"/>
      <c r="J73" s="7"/>
      <c r="K73" s="7"/>
      <c r="L73" s="7"/>
      <c r="M73" s="7"/>
      <c r="N73" s="7"/>
      <c r="O73" s="7"/>
      <c r="P73" s="7"/>
      <c r="Q73" s="7"/>
      <c r="R73" s="7"/>
      <c r="S73" s="7"/>
      <c r="T73" s="7"/>
      <c r="U73" s="7"/>
      <c r="V73" s="7"/>
      <c r="W73" s="7"/>
      <c r="X73" s="7"/>
      <c r="Y73" s="7"/>
      <c r="Z73" s="7"/>
      <c r="AA73" s="7"/>
      <c r="AB73" s="8"/>
    </row>
    <row r="74" spans="1:28" ht="12.75" customHeight="1" x14ac:dyDescent="0.2">
      <c r="A74" s="37" t="s">
        <v>132</v>
      </c>
      <c r="B74" s="38"/>
      <c r="C74" s="38"/>
      <c r="D74" s="38"/>
      <c r="E74" s="38"/>
      <c r="F74" s="38"/>
      <c r="G74" s="38"/>
      <c r="H74" s="38"/>
      <c r="I74" s="38"/>
      <c r="J74" s="48">
        <f t="shared" ref="J74:P74" si="19">ROUNDUP(SUM(J19:J73),0)</f>
        <v>0</v>
      </c>
      <c r="K74" s="48">
        <f t="shared" si="19"/>
        <v>0</v>
      </c>
      <c r="L74" s="60">
        <f t="shared" si="19"/>
        <v>10381</v>
      </c>
      <c r="M74" s="48">
        <f t="shared" si="19"/>
        <v>0</v>
      </c>
      <c r="N74" s="48">
        <f t="shared" si="19"/>
        <v>0</v>
      </c>
      <c r="O74" s="48">
        <f t="shared" si="19"/>
        <v>0</v>
      </c>
      <c r="P74" s="48">
        <f t="shared" si="19"/>
        <v>0</v>
      </c>
      <c r="Q74" s="51">
        <f>ROUNDUP(SUM(Q19:S73),0)</f>
        <v>935</v>
      </c>
      <c r="R74" s="62"/>
      <c r="S74" s="63"/>
      <c r="T74" s="48">
        <f t="shared" ref="T74:AB74" si="20">ROUNDUP(SUM(T19:T73),0)</f>
        <v>0</v>
      </c>
      <c r="U74" s="48">
        <f t="shared" si="20"/>
        <v>0</v>
      </c>
      <c r="V74" s="48">
        <f t="shared" si="20"/>
        <v>317</v>
      </c>
      <c r="W74" s="48">
        <f t="shared" si="20"/>
        <v>434</v>
      </c>
      <c r="X74" s="48">
        <f t="shared" si="20"/>
        <v>0</v>
      </c>
      <c r="Y74" s="48">
        <f t="shared" si="20"/>
        <v>0</v>
      </c>
      <c r="Z74" s="48">
        <f t="shared" si="20"/>
        <v>0</v>
      </c>
      <c r="AA74" s="48">
        <f t="shared" si="20"/>
        <v>0</v>
      </c>
      <c r="AB74" s="50">
        <f t="shared" si="20"/>
        <v>0</v>
      </c>
    </row>
    <row r="75" spans="1:28" ht="12.75" customHeight="1" x14ac:dyDescent="0.2">
      <c r="A75" s="58"/>
      <c r="B75" s="59"/>
      <c r="C75" s="59"/>
      <c r="D75" s="59"/>
      <c r="E75" s="59"/>
      <c r="F75" s="59"/>
      <c r="G75" s="59"/>
      <c r="H75" s="59"/>
      <c r="I75" s="59"/>
      <c r="J75" s="49"/>
      <c r="K75" s="49"/>
      <c r="L75" s="61"/>
      <c r="M75" s="49"/>
      <c r="N75" s="49"/>
      <c r="O75" s="49"/>
      <c r="P75" s="49"/>
      <c r="Q75" s="64"/>
      <c r="R75" s="65"/>
      <c r="S75" s="66"/>
      <c r="T75" s="49"/>
      <c r="U75" s="49"/>
      <c r="V75" s="49"/>
      <c r="W75" s="49"/>
      <c r="X75" s="49"/>
      <c r="Y75" s="49"/>
      <c r="Z75" s="49"/>
      <c r="AA75" s="49"/>
      <c r="AB75" s="51"/>
    </row>
  </sheetData>
  <mergeCells count="110">
    <mergeCell ref="Z2:Z16"/>
    <mergeCell ref="AA2:AA17"/>
    <mergeCell ref="AB2:AB17"/>
    <mergeCell ref="Q2:Q16"/>
    <mergeCell ref="R2:R16"/>
    <mergeCell ref="S2:S16"/>
    <mergeCell ref="T2:T16"/>
    <mergeCell ref="U2:U16"/>
    <mergeCell ref="V2:V17"/>
    <mergeCell ref="A24:B24"/>
    <mergeCell ref="D24:E24"/>
    <mergeCell ref="A19:E19"/>
    <mergeCell ref="A20:E20"/>
    <mergeCell ref="A21:E21"/>
    <mergeCell ref="A22:E22"/>
    <mergeCell ref="W2:W16"/>
    <mergeCell ref="X2:X16"/>
    <mergeCell ref="Y2:Y16"/>
    <mergeCell ref="K2:K17"/>
    <mergeCell ref="L2:L17"/>
    <mergeCell ref="M2:M17"/>
    <mergeCell ref="N2:N17"/>
    <mergeCell ref="O2:O16"/>
    <mergeCell ref="P2:P16"/>
    <mergeCell ref="A1:E18"/>
    <mergeCell ref="F1:F18"/>
    <mergeCell ref="G1:G18"/>
    <mergeCell ref="H1:H18"/>
    <mergeCell ref="I1:I18"/>
    <mergeCell ref="J2:J17"/>
    <mergeCell ref="A27:B27"/>
    <mergeCell ref="D27:E27"/>
    <mergeCell ref="A41:B41"/>
    <mergeCell ref="D41:E41"/>
    <mergeCell ref="A38:B38"/>
    <mergeCell ref="D38:E38"/>
    <mergeCell ref="A34:B34"/>
    <mergeCell ref="D34:E34"/>
    <mergeCell ref="A36:E36"/>
    <mergeCell ref="A37:E37"/>
    <mergeCell ref="A35:E35"/>
    <mergeCell ref="A40:E40"/>
    <mergeCell ref="A45:B45"/>
    <mergeCell ref="D45:E45"/>
    <mergeCell ref="A32:E32"/>
    <mergeCell ref="A33:E33"/>
    <mergeCell ref="A31:B31"/>
    <mergeCell ref="D31:E31"/>
    <mergeCell ref="A29:E29"/>
    <mergeCell ref="A30:E30"/>
    <mergeCell ref="A42:E42"/>
    <mergeCell ref="A43:E43"/>
    <mergeCell ref="A44:E44"/>
    <mergeCell ref="AA74:AA75"/>
    <mergeCell ref="AB74:AB75"/>
    <mergeCell ref="A23:E23"/>
    <mergeCell ref="A25:E25"/>
    <mergeCell ref="A26:E26"/>
    <mergeCell ref="A28:E28"/>
    <mergeCell ref="P74:P75"/>
    <mergeCell ref="Q74:S75"/>
    <mergeCell ref="T74:T75"/>
    <mergeCell ref="U74:U75"/>
    <mergeCell ref="V74:V75"/>
    <mergeCell ref="W74:W75"/>
    <mergeCell ref="J74:J75"/>
    <mergeCell ref="K74:K75"/>
    <mergeCell ref="L74:L75"/>
    <mergeCell ref="M74:M75"/>
    <mergeCell ref="N74:N75"/>
    <mergeCell ref="O74:O75"/>
    <mergeCell ref="A69:E69"/>
    <mergeCell ref="A70:E70"/>
    <mergeCell ref="A71:E71"/>
    <mergeCell ref="A72:E72"/>
    <mergeCell ref="A73:E73"/>
    <mergeCell ref="A39:E39"/>
    <mergeCell ref="X74:X75"/>
    <mergeCell ref="Y74:Y75"/>
    <mergeCell ref="Z74:Z75"/>
    <mergeCell ref="A74:I75"/>
    <mergeCell ref="A67:E67"/>
    <mergeCell ref="A68:E68"/>
    <mergeCell ref="A61:E61"/>
    <mergeCell ref="A65:E65"/>
    <mergeCell ref="A57:E57"/>
    <mergeCell ref="A66:B66"/>
    <mergeCell ref="D66:E66"/>
    <mergeCell ref="A60:E60"/>
    <mergeCell ref="A62:E62"/>
    <mergeCell ref="A64:E64"/>
    <mergeCell ref="A59:B59"/>
    <mergeCell ref="D59:E59"/>
    <mergeCell ref="A63:B63"/>
    <mergeCell ref="D63:E63"/>
    <mergeCell ref="A48:B48"/>
    <mergeCell ref="D48:E48"/>
    <mergeCell ref="A46:E46"/>
    <mergeCell ref="A55:E55"/>
    <mergeCell ref="A58:E58"/>
    <mergeCell ref="A52:B52"/>
    <mergeCell ref="D52:E52"/>
    <mergeCell ref="A53:E53"/>
    <mergeCell ref="A54:E54"/>
    <mergeCell ref="A49:E49"/>
    <mergeCell ref="A50:E50"/>
    <mergeCell ref="A51:E51"/>
    <mergeCell ref="A47:E47"/>
    <mergeCell ref="A56:B56"/>
    <mergeCell ref="D56:E56"/>
  </mergeCells>
  <pageMargins left="0.7" right="0.7" top="0.75" bottom="0.75" header="0.3" footer="0.3"/>
  <pageSetup orientation="portrait" r:id="rId1"/>
</worksheet>
</file>

<file path=docMetadata/LabelInfo.xml><?xml version="1.0" encoding="utf-8"?>
<clbl:labelList xmlns:clbl="http://schemas.microsoft.com/office/2020/mipLabelMetadata">
  <clbl:label id="{f920f5b4-f35a-4bd1-ab57-79db69ad10fb}" enabled="1" method="Standard" siteId="{50f8fcc4-94d8-4f07-84eb-36ed57c7c8a2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13</vt:i4>
      </vt:variant>
    </vt:vector>
  </HeadingPairs>
  <TitlesOfParts>
    <vt:vector size="13" baseType="lpstr">
      <vt:lpstr>Sheet1</vt:lpstr>
      <vt:lpstr>Sheet2</vt:lpstr>
      <vt:lpstr>Sheet3</vt:lpstr>
      <vt:lpstr>Sheet4</vt:lpstr>
      <vt:lpstr>Sheet5</vt:lpstr>
      <vt:lpstr>Sheet6</vt:lpstr>
      <vt:lpstr>Sheet7</vt:lpstr>
      <vt:lpstr>Sheet8</vt:lpstr>
      <vt:lpstr>Sheet9</vt:lpstr>
      <vt:lpstr>Sheet10</vt:lpstr>
      <vt:lpstr>Sheet11</vt:lpstr>
      <vt:lpstr>Sheet12</vt:lpstr>
      <vt:lpstr>Sheet13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Harlow, Brian</dc:creator>
  <cp:lastModifiedBy>Harlow, Brian</cp:lastModifiedBy>
  <dcterms:created xsi:type="dcterms:W3CDTF">2025-07-25T11:28:39Z</dcterms:created>
  <dcterms:modified xsi:type="dcterms:W3CDTF">2025-10-07T20:33:57Z</dcterms:modified>
</cp:coreProperties>
</file>