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eider\appdata\local\bentley\projectwise\workingdir\ohiodot-pw.bentley.com_ohiodot-pw-02\mneider@msconsultants.com\d1442848\"/>
    </mc:Choice>
  </mc:AlternateContent>
  <xr:revisionPtr revIDLastSave="0" documentId="13_ncr:1_{5F5C9D13-E9CD-4015-A2BD-BAC7C6A3EC64}" xr6:coauthVersionLast="47" xr6:coauthVersionMax="47" xr10:uidLastSave="{00000000-0000-0000-0000-000000000000}"/>
  <bookViews>
    <workbookView xWindow="-120" yWindow="-120" windowWidth="29040" windowHeight="15720" tabRatio="808" activeTab="1" xr2:uid="{00000000-000D-0000-FFFF-FFFF00000000}"/>
  </bookViews>
  <sheets>
    <sheet name="Rumble Strips" sheetId="11" r:id="rId1"/>
    <sheet name="QMS Cover" sheetId="3" r:id="rId2"/>
    <sheet name="Gen Notes" sheetId="10" r:id="rId3"/>
    <sheet name="erosion control" sheetId="1" r:id="rId4"/>
  </sheets>
  <definedNames>
    <definedName name="_xlnm.Print_Area" localSheetId="3">'erosion control'!$A$2:$P$31</definedName>
    <definedName name="_xlnm.Print_Area" localSheetId="2">'Gen Notes'!$A$1:$L$51</definedName>
    <definedName name="_xlnm.Print_Area" localSheetId="1">'QMS Cover'!$A$1:$J$51</definedName>
    <definedName name="_xlnm.Print_Area" localSheetId="0">'Rumble Strips'!$A$3:$I$74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0" l="1"/>
  <c r="H33" i="11"/>
  <c r="I33" i="11" s="1"/>
  <c r="H46" i="11"/>
  <c r="I46" i="11" s="1"/>
  <c r="H17" i="11"/>
  <c r="I17" i="11" s="1"/>
  <c r="H65" i="11"/>
  <c r="I65" i="11" s="1"/>
  <c r="H66" i="11"/>
  <c r="I66" i="11" s="1"/>
  <c r="H64" i="11"/>
  <c r="I64" i="11" s="1"/>
  <c r="H63" i="11"/>
  <c r="I63" i="11" s="1"/>
  <c r="H62" i="11"/>
  <c r="I62" i="11" s="1"/>
  <c r="H61" i="11"/>
  <c r="I61" i="11" s="1"/>
  <c r="H60" i="11"/>
  <c r="I60" i="11" s="1"/>
  <c r="H59" i="11"/>
  <c r="I59" i="11" s="1"/>
  <c r="H58" i="11"/>
  <c r="I58" i="11" s="1"/>
  <c r="H57" i="11"/>
  <c r="I57" i="11" s="1"/>
  <c r="H56" i="11"/>
  <c r="I56" i="11" s="1"/>
  <c r="H55" i="11"/>
  <c r="I55" i="11" s="1"/>
  <c r="H54" i="11"/>
  <c r="I54" i="11" s="1"/>
  <c r="H53" i="11"/>
  <c r="I53" i="11" s="1"/>
  <c r="H52" i="11"/>
  <c r="I52" i="11" s="1"/>
  <c r="H51" i="11"/>
  <c r="I51" i="11" s="1"/>
  <c r="H45" i="1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H28" i="11"/>
  <c r="I28" i="11" s="1"/>
  <c r="H29" i="11"/>
  <c r="I29" i="11" s="1"/>
  <c r="H30" i="11"/>
  <c r="I30" i="11" s="1"/>
  <c r="H31" i="11"/>
  <c r="I31" i="11" s="1"/>
  <c r="H32" i="11"/>
  <c r="I32" i="11" s="1"/>
  <c r="H34" i="11"/>
  <c r="I34" i="11" s="1"/>
  <c r="H10" i="11"/>
  <c r="I10" i="11" s="1"/>
  <c r="H11" i="11"/>
  <c r="I11" i="11" s="1"/>
  <c r="H12" i="11"/>
  <c r="I12" i="11" s="1"/>
  <c r="H13" i="11"/>
  <c r="I13" i="11" s="1"/>
  <c r="H14" i="11"/>
  <c r="I14" i="11" s="1"/>
  <c r="H15" i="11"/>
  <c r="I15" i="11" s="1"/>
  <c r="H16" i="11"/>
  <c r="I16" i="11" s="1"/>
  <c r="H18" i="11"/>
  <c r="I18" i="11" s="1"/>
  <c r="H19" i="11"/>
  <c r="I19" i="11" s="1"/>
  <c r="H20" i="11"/>
  <c r="I20" i="11" s="1"/>
  <c r="H21" i="11"/>
  <c r="I21" i="11" s="1"/>
  <c r="H22" i="11"/>
  <c r="I22" i="11" s="1"/>
  <c r="H23" i="11"/>
  <c r="I23" i="11" s="1"/>
  <c r="H9" i="11"/>
  <c r="I9" i="11" s="1"/>
  <c r="B48" i="10"/>
  <c r="J34" i="10"/>
  <c r="J33" i="10"/>
  <c r="J35" i="10" s="1"/>
  <c r="K15" i="10"/>
  <c r="K13" i="10"/>
  <c r="K9" i="10"/>
  <c r="K7" i="10"/>
  <c r="K18" i="10" s="1"/>
  <c r="I69" i="11" l="1"/>
  <c r="G21" i="10"/>
  <c r="K21" i="10" s="1"/>
  <c r="G23" i="10"/>
  <c r="K23" i="10" s="1"/>
  <c r="G22" i="10"/>
  <c r="K22" i="10" s="1"/>
  <c r="K26" i="10"/>
  <c r="G26" i="10"/>
  <c r="G40" i="10"/>
  <c r="J40" i="10" s="1"/>
  <c r="G38" i="10"/>
  <c r="J38" i="10" s="1"/>
  <c r="G39" i="10"/>
  <c r="J39" i="10" s="1"/>
  <c r="G37" i="10"/>
  <c r="J37" i="10" s="1"/>
  <c r="G24" i="10"/>
  <c r="K24" i="10" s="1"/>
  <c r="G25" i="10"/>
  <c r="K25" i="10" s="1"/>
  <c r="H69" i="11" l="1"/>
  <c r="F28" i="1" l="1"/>
  <c r="G28" i="1" s="1"/>
  <c r="F24" i="1"/>
  <c r="F23" i="1"/>
  <c r="F21" i="1"/>
  <c r="G21" i="1" s="1"/>
  <c r="F17" i="1"/>
  <c r="F15" i="1"/>
  <c r="F25" i="1" s="1"/>
  <c r="F26" i="1" s="1"/>
  <c r="G26" i="1" s="1"/>
  <c r="F13" i="1"/>
  <c r="G13" i="1" s="1"/>
  <c r="F11" i="1"/>
  <c r="F9" i="1" s="1"/>
  <c r="G9" i="1" s="1"/>
  <c r="F8" i="1"/>
  <c r="G8" i="1" s="1"/>
  <c r="G15" i="1" l="1"/>
  <c r="F18" i="1" s="1"/>
  <c r="F19" i="1"/>
  <c r="G19" i="1" s="1"/>
  <c r="G11" i="1"/>
</calcChain>
</file>

<file path=xl/sharedStrings.xml><?xml version="1.0" encoding="utf-8"?>
<sst xmlns="http://schemas.openxmlformats.org/spreadsheetml/2006/main" count="236" uniqueCount="113">
  <si>
    <t>SY</t>
  </si>
  <si>
    <t>CY</t>
  </si>
  <si>
    <t>USE SY =</t>
  </si>
  <si>
    <t>WITHOUT TOPSOIL</t>
  </si>
  <si>
    <t>WITH TOPSOIL</t>
  </si>
  <si>
    <t>EACH</t>
  </si>
  <si>
    <t>SOIL ANALYSIS TEST</t>
  </si>
  <si>
    <t>TOPSOIL</t>
  </si>
  <si>
    <t>REPAIR SEEDING AND MULCHING</t>
  </si>
  <si>
    <t>=</t>
  </si>
  <si>
    <t xml:space="preserve">INTER- SEEDING </t>
  </si>
  <si>
    <t>COMMERCIAL FERTILIZER</t>
  </si>
  <si>
    <t>TON</t>
  </si>
  <si>
    <t>+</t>
  </si>
  <si>
    <t>LIME</t>
  </si>
  <si>
    <t>AC</t>
  </si>
  <si>
    <t>WATER</t>
  </si>
  <si>
    <t>MGAL</t>
  </si>
  <si>
    <t>MSF</t>
  </si>
  <si>
    <t>MOWING</t>
  </si>
  <si>
    <t>ONLY IF PROJECT LASTS MORE THAN ONE YEAR</t>
  </si>
  <si>
    <t>659E00500</t>
  </si>
  <si>
    <t>(SY) SEEDING AND MULCHING, CLASS 1</t>
  </si>
  <si>
    <t>(USE A MINIMUM OF 2 EACH PER DESIGNER NOTE)</t>
  </si>
  <si>
    <t>659E00100</t>
  </si>
  <si>
    <t>(EACH) SOIL ANALYSIS TEST</t>
  </si>
  <si>
    <t>659E00300</t>
  </si>
  <si>
    <t>(CY) TOPSOIL</t>
  </si>
  <si>
    <t>659E14000</t>
  </si>
  <si>
    <t>(SY) REPAIR SEEDING AND MULCHING</t>
  </si>
  <si>
    <t>659E15000</t>
  </si>
  <si>
    <t>(SY) INTER-SEEDING</t>
  </si>
  <si>
    <t>659E20000</t>
  </si>
  <si>
    <t>(TON) COMMERCIAL FERTILIZER</t>
  </si>
  <si>
    <t>659E31000</t>
  </si>
  <si>
    <t>(ACRE) LIME</t>
  </si>
  <si>
    <t>659E35000</t>
  </si>
  <si>
    <t>(MGAL) WATER</t>
  </si>
  <si>
    <t>670E00550</t>
  </si>
  <si>
    <t>(SY) SLOPE EROSION PROTESTION MAT, TYPE E</t>
  </si>
  <si>
    <t>WIDTH</t>
  </si>
  <si>
    <t>LENGTH</t>
  </si>
  <si>
    <t>AREA</t>
  </si>
  <si>
    <t>(FEET)</t>
  </si>
  <si>
    <t>(SQ. FT.)</t>
  </si>
  <si>
    <t>RT</t>
  </si>
  <si>
    <t>LT</t>
  </si>
  <si>
    <t xml:space="preserve"> TOTAL:</t>
  </si>
  <si>
    <t>.</t>
  </si>
  <si>
    <t>TOTAL</t>
  </si>
  <si>
    <t>TOTALS</t>
  </si>
  <si>
    <t>PROJECT NAME</t>
  </si>
  <si>
    <t>OFFICE CALCS, EARTHWORK, AND SEEDING</t>
  </si>
  <si>
    <t>PID 121474</t>
  </si>
  <si>
    <t>MAH-680-4.58</t>
  </si>
  <si>
    <t>Woodland</t>
  </si>
  <si>
    <t>South Ave. Ramp A</t>
  </si>
  <si>
    <t>x</t>
  </si>
  <si>
    <t>ft. wide</t>
  </si>
  <si>
    <t>ft. long</t>
  </si>
  <si>
    <t xml:space="preserve">ft long </t>
  </si>
  <si>
    <t>PIPE</t>
  </si>
  <si>
    <t>DRAINAGE STRUCTURES</t>
  </si>
  <si>
    <t>Woodland - 3A CB</t>
  </si>
  <si>
    <t>ft wide</t>
  </si>
  <si>
    <t>ft long</t>
  </si>
  <si>
    <t>South Ave. Ramp A - 3A CB</t>
  </si>
  <si>
    <t>ITEM 202 - PAVEMENT REMOVED</t>
  </si>
  <si>
    <t xml:space="preserve">SF/9 SF/SY </t>
  </si>
  <si>
    <t>ITEM 302 - ASPHALT CONCRETE BASE, PG64-22 (449)</t>
  </si>
  <si>
    <t>Pavement Restoration for Pipe and Drainage Structure Installation</t>
  </si>
  <si>
    <t>ITEM 442 - ASPHALT CONCRETE SURFACE COURSE (449)</t>
  </si>
  <si>
    <t>ITEM 304 - AGGREGATE BASE</t>
  </si>
  <si>
    <t>ITEM 407 - NON-TRACKING TACK COAT</t>
  </si>
  <si>
    <t>X .5 FT/27 CF/CY</t>
  </si>
  <si>
    <t>X .125 FT/27 CF/CY</t>
  </si>
  <si>
    <t>X .146 FT/27 CF/CY</t>
  </si>
  <si>
    <t>/9 X 0.6 GAL/SY</t>
  </si>
  <si>
    <t>GAL</t>
  </si>
  <si>
    <t>Pavement Repair</t>
  </si>
  <si>
    <t>Total square yardage of resurfacing</t>
  </si>
  <si>
    <t>Ramp F/H</t>
  </si>
  <si>
    <t>Ramp J</t>
  </si>
  <si>
    <t>sf \ 9 sf/sy</t>
  </si>
  <si>
    <t>Assume 25% for each repair</t>
  </si>
  <si>
    <t>ITEM 251 - PARTIAL DEPTH PAVEMENT REPAIR (441)</t>
  </si>
  <si>
    <t>ITEM 253 - PAVEMENT REPAIR</t>
  </si>
  <si>
    <t>ITEM 203 - EXCAVATION (FOR PAVEMENT REPAIR)</t>
  </si>
  <si>
    <t>ITEM 304 - AGGREGATE BASE (FOR PAVEMENT REPAIR)</t>
  </si>
  <si>
    <t>SY X .25 =</t>
  </si>
  <si>
    <t>SY X .25 X .5/3 FT/YD =</t>
  </si>
  <si>
    <t>ITEM 204 - PROOF ROLLING</t>
  </si>
  <si>
    <t>Based on 1 hr. of roller time for each 2000 SY of Item 204 - Subgrade Compaction =</t>
  </si>
  <si>
    <t>/(2000 SY/hr)</t>
  </si>
  <si>
    <t>HR</t>
  </si>
  <si>
    <t>STATION RANGE</t>
  </si>
  <si>
    <t>TYPICAL SECTION</t>
  </si>
  <si>
    <t>SIDE</t>
  </si>
  <si>
    <t>DISTANCE</t>
  </si>
  <si>
    <t>FEET</t>
  </si>
  <si>
    <t>MILE</t>
  </si>
  <si>
    <t>SOUTHBOUND OUTSIDE SHOULDER</t>
  </si>
  <si>
    <t>BEGIN/RESUME</t>
  </si>
  <si>
    <t>SUSPEND/END</t>
  </si>
  <si>
    <t>SOUTHBOUND INSIDE SHOULDER</t>
  </si>
  <si>
    <t>618E40600</t>
  </si>
  <si>
    <t>TO</t>
  </si>
  <si>
    <t>RUMBLE STRIPS, SHOULDER (ASPHALT CONCRETE)</t>
  </si>
  <si>
    <t>NORTHBOUND INSIDE SHOULDER</t>
  </si>
  <si>
    <t>RT MED</t>
  </si>
  <si>
    <t>LT MED</t>
  </si>
  <si>
    <t>NORTHBOUND OUTSIDE SHOULDER</t>
  </si>
  <si>
    <t>Tracings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</si>
</sst>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+00.00"/>
    <numFmt numFmtId="165" formatCode="00\+00.00"/>
    <numFmt numFmtId="166" formatCode="0.000"/>
  </numFmts>
  <fonts count="13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2" fontId="1" fillId="0" borderId="0" xfId="0" applyNumberFormat="1" applyFont="1"/>
    <xf numFmtId="0" fontId="1" fillId="2" borderId="0" xfId="0" applyFont="1" applyFill="1"/>
    <xf numFmtId="0" fontId="0" fillId="2" borderId="0" xfId="0" applyFill="1"/>
    <xf numFmtId="49" fontId="4" fillId="0" borderId="0" xfId="0" applyNumberFormat="1" applyFont="1"/>
    <xf numFmtId="11" fontId="0" fillId="0" borderId="0" xfId="0" applyNumberFormat="1"/>
    <xf numFmtId="0" fontId="4" fillId="0" borderId="0" xfId="1"/>
    <xf numFmtId="0" fontId="4" fillId="0" borderId="0" xfId="1" applyAlignment="1">
      <alignment horizontal="right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" fontId="1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1" fontId="4" fillId="0" borderId="2" xfId="1" applyNumberFormat="1" applyBorder="1" applyAlignment="1">
      <alignment horizontal="center" vertical="center"/>
    </xf>
    <xf numFmtId="165" fontId="4" fillId="0" borderId="2" xfId="1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1" fillId="0" borderId="2" xfId="1" applyFont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textRotation="90"/>
    </xf>
    <xf numFmtId="2" fontId="4" fillId="0" borderId="2" xfId="1" applyNumberFormat="1" applyBorder="1" applyAlignment="1">
      <alignment horizontal="center" vertical="center"/>
    </xf>
    <xf numFmtId="11" fontId="4" fillId="0" borderId="0" xfId="1" applyNumberFormat="1"/>
    <xf numFmtId="0" fontId="4" fillId="0" borderId="3" xfId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165" fontId="4" fillId="3" borderId="2" xfId="1" applyNumberFormat="1" applyFill="1" applyBorder="1" applyAlignment="1">
      <alignment horizontal="center" vertical="center"/>
    </xf>
    <xf numFmtId="165" fontId="4" fillId="4" borderId="2" xfId="1" applyNumberFormat="1" applyFill="1" applyBorder="1" applyAlignment="1">
      <alignment horizontal="center" vertical="center"/>
    </xf>
    <xf numFmtId="165" fontId="4" fillId="5" borderId="2" xfId="1" applyNumberFormat="1" applyFill="1" applyBorder="1" applyAlignment="1">
      <alignment horizontal="center" vertical="center"/>
    </xf>
    <xf numFmtId="165" fontId="4" fillId="6" borderId="2" xfId="1" applyNumberFormat="1" applyFill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4" fillId="0" borderId="3" xfId="1" applyBorder="1" applyAlignment="1">
      <alignment horizontal="right" vertical="center"/>
    </xf>
    <xf numFmtId="0" fontId="1" fillId="0" borderId="7" xfId="1" applyFont="1" applyBorder="1" applyAlignment="1">
      <alignment horizontal="center" vertical="center" textRotation="90"/>
    </xf>
    <xf numFmtId="0" fontId="1" fillId="0" borderId="8" xfId="1" applyFont="1" applyBorder="1" applyAlignment="1">
      <alignment horizontal="center" vertical="center" textRotation="90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86F7-E365-4DB0-A5C2-59EC27602A94}">
  <sheetPr>
    <tabColor rgb="FF99FF99"/>
    <pageSetUpPr fitToPage="1"/>
  </sheetPr>
  <dimension ref="A3:I74"/>
  <sheetViews>
    <sheetView view="pageBreakPreview" zoomScaleNormal="100" zoomScaleSheetLayoutView="100" workbookViewId="0">
      <selection activeCell="N56" sqref="N56"/>
    </sheetView>
  </sheetViews>
  <sheetFormatPr defaultRowHeight="12.75" x14ac:dyDescent="0.2"/>
  <cols>
    <col min="1" max="1" width="5" style="19" customWidth="1"/>
    <col min="2" max="2" width="14.28515625" style="19" customWidth="1"/>
    <col min="3" max="3" width="17.42578125" style="19" customWidth="1"/>
    <col min="4" max="4" width="4.5703125" style="19" customWidth="1"/>
    <col min="5" max="5" width="17.42578125" style="19" customWidth="1"/>
    <col min="6" max="7" width="9.140625" style="19"/>
    <col min="8" max="8" width="11.7109375" style="19" bestFit="1" customWidth="1"/>
    <col min="9" max="9" width="10.7109375" style="19" customWidth="1"/>
    <col min="10" max="251" width="9.140625" style="19"/>
    <col min="252" max="252" width="12.7109375" style="19" customWidth="1"/>
    <col min="253" max="254" width="9.140625" style="19"/>
    <col min="255" max="256" width="9.5703125" style="19" bestFit="1" customWidth="1"/>
    <col min="257" max="258" width="9.140625" style="19"/>
    <col min="259" max="259" width="39.5703125" style="19" customWidth="1"/>
    <col min="260" max="260" width="13.42578125" style="19" customWidth="1"/>
    <col min="261" max="507" width="9.140625" style="19"/>
    <col min="508" max="508" width="12.7109375" style="19" customWidth="1"/>
    <col min="509" max="510" width="9.140625" style="19"/>
    <col min="511" max="512" width="9.5703125" style="19" bestFit="1" customWidth="1"/>
    <col min="513" max="514" width="9.140625" style="19"/>
    <col min="515" max="515" width="39.5703125" style="19" customWidth="1"/>
    <col min="516" max="516" width="13.42578125" style="19" customWidth="1"/>
    <col min="517" max="763" width="9.140625" style="19"/>
    <col min="764" max="764" width="12.7109375" style="19" customWidth="1"/>
    <col min="765" max="766" width="9.140625" style="19"/>
    <col min="767" max="768" width="9.5703125" style="19" bestFit="1" customWidth="1"/>
    <col min="769" max="770" width="9.140625" style="19"/>
    <col min="771" max="771" width="39.5703125" style="19" customWidth="1"/>
    <col min="772" max="772" width="13.42578125" style="19" customWidth="1"/>
    <col min="773" max="1019" width="9.140625" style="19"/>
    <col min="1020" max="1020" width="12.7109375" style="19" customWidth="1"/>
    <col min="1021" max="1022" width="9.140625" style="19"/>
    <col min="1023" max="1024" width="9.5703125" style="19" bestFit="1" customWidth="1"/>
    <col min="1025" max="1026" width="9.140625" style="19"/>
    <col min="1027" max="1027" width="39.5703125" style="19" customWidth="1"/>
    <col min="1028" max="1028" width="13.42578125" style="19" customWidth="1"/>
    <col min="1029" max="1275" width="9.140625" style="19"/>
    <col min="1276" max="1276" width="12.7109375" style="19" customWidth="1"/>
    <col min="1277" max="1278" width="9.140625" style="19"/>
    <col min="1279" max="1280" width="9.5703125" style="19" bestFit="1" customWidth="1"/>
    <col min="1281" max="1282" width="9.140625" style="19"/>
    <col min="1283" max="1283" width="39.5703125" style="19" customWidth="1"/>
    <col min="1284" max="1284" width="13.42578125" style="19" customWidth="1"/>
    <col min="1285" max="1531" width="9.140625" style="19"/>
    <col min="1532" max="1532" width="12.7109375" style="19" customWidth="1"/>
    <col min="1533" max="1534" width="9.140625" style="19"/>
    <col min="1535" max="1536" width="9.5703125" style="19" bestFit="1" customWidth="1"/>
    <col min="1537" max="1538" width="9.140625" style="19"/>
    <col min="1539" max="1539" width="39.5703125" style="19" customWidth="1"/>
    <col min="1540" max="1540" width="13.42578125" style="19" customWidth="1"/>
    <col min="1541" max="1787" width="9.140625" style="19"/>
    <col min="1788" max="1788" width="12.7109375" style="19" customWidth="1"/>
    <col min="1789" max="1790" width="9.140625" style="19"/>
    <col min="1791" max="1792" width="9.5703125" style="19" bestFit="1" customWidth="1"/>
    <col min="1793" max="1794" width="9.140625" style="19"/>
    <col min="1795" max="1795" width="39.5703125" style="19" customWidth="1"/>
    <col min="1796" max="1796" width="13.42578125" style="19" customWidth="1"/>
    <col min="1797" max="2043" width="9.140625" style="19"/>
    <col min="2044" max="2044" width="12.7109375" style="19" customWidth="1"/>
    <col min="2045" max="2046" width="9.140625" style="19"/>
    <col min="2047" max="2048" width="9.5703125" style="19" bestFit="1" customWidth="1"/>
    <col min="2049" max="2050" width="9.140625" style="19"/>
    <col min="2051" max="2051" width="39.5703125" style="19" customWidth="1"/>
    <col min="2052" max="2052" width="13.42578125" style="19" customWidth="1"/>
    <col min="2053" max="2299" width="9.140625" style="19"/>
    <col min="2300" max="2300" width="12.7109375" style="19" customWidth="1"/>
    <col min="2301" max="2302" width="9.140625" style="19"/>
    <col min="2303" max="2304" width="9.5703125" style="19" bestFit="1" customWidth="1"/>
    <col min="2305" max="2306" width="9.140625" style="19"/>
    <col min="2307" max="2307" width="39.5703125" style="19" customWidth="1"/>
    <col min="2308" max="2308" width="13.42578125" style="19" customWidth="1"/>
    <col min="2309" max="2555" width="9.140625" style="19"/>
    <col min="2556" max="2556" width="12.7109375" style="19" customWidth="1"/>
    <col min="2557" max="2558" width="9.140625" style="19"/>
    <col min="2559" max="2560" width="9.5703125" style="19" bestFit="1" customWidth="1"/>
    <col min="2561" max="2562" width="9.140625" style="19"/>
    <col min="2563" max="2563" width="39.5703125" style="19" customWidth="1"/>
    <col min="2564" max="2564" width="13.42578125" style="19" customWidth="1"/>
    <col min="2565" max="2811" width="9.140625" style="19"/>
    <col min="2812" max="2812" width="12.7109375" style="19" customWidth="1"/>
    <col min="2813" max="2814" width="9.140625" style="19"/>
    <col min="2815" max="2816" width="9.5703125" style="19" bestFit="1" customWidth="1"/>
    <col min="2817" max="2818" width="9.140625" style="19"/>
    <col min="2819" max="2819" width="39.5703125" style="19" customWidth="1"/>
    <col min="2820" max="2820" width="13.42578125" style="19" customWidth="1"/>
    <col min="2821" max="3067" width="9.140625" style="19"/>
    <col min="3068" max="3068" width="12.7109375" style="19" customWidth="1"/>
    <col min="3069" max="3070" width="9.140625" style="19"/>
    <col min="3071" max="3072" width="9.5703125" style="19" bestFit="1" customWidth="1"/>
    <col min="3073" max="3074" width="9.140625" style="19"/>
    <col min="3075" max="3075" width="39.5703125" style="19" customWidth="1"/>
    <col min="3076" max="3076" width="13.42578125" style="19" customWidth="1"/>
    <col min="3077" max="3323" width="9.140625" style="19"/>
    <col min="3324" max="3324" width="12.7109375" style="19" customWidth="1"/>
    <col min="3325" max="3326" width="9.140625" style="19"/>
    <col min="3327" max="3328" width="9.5703125" style="19" bestFit="1" customWidth="1"/>
    <col min="3329" max="3330" width="9.140625" style="19"/>
    <col min="3331" max="3331" width="39.5703125" style="19" customWidth="1"/>
    <col min="3332" max="3332" width="13.42578125" style="19" customWidth="1"/>
    <col min="3333" max="3579" width="9.140625" style="19"/>
    <col min="3580" max="3580" width="12.7109375" style="19" customWidth="1"/>
    <col min="3581" max="3582" width="9.140625" style="19"/>
    <col min="3583" max="3584" width="9.5703125" style="19" bestFit="1" customWidth="1"/>
    <col min="3585" max="3586" width="9.140625" style="19"/>
    <col min="3587" max="3587" width="39.5703125" style="19" customWidth="1"/>
    <col min="3588" max="3588" width="13.42578125" style="19" customWidth="1"/>
    <col min="3589" max="3835" width="9.140625" style="19"/>
    <col min="3836" max="3836" width="12.7109375" style="19" customWidth="1"/>
    <col min="3837" max="3838" width="9.140625" style="19"/>
    <col min="3839" max="3840" width="9.5703125" style="19" bestFit="1" customWidth="1"/>
    <col min="3841" max="3842" width="9.140625" style="19"/>
    <col min="3843" max="3843" width="39.5703125" style="19" customWidth="1"/>
    <col min="3844" max="3844" width="13.42578125" style="19" customWidth="1"/>
    <col min="3845" max="4091" width="9.140625" style="19"/>
    <col min="4092" max="4092" width="12.7109375" style="19" customWidth="1"/>
    <col min="4093" max="4094" width="9.140625" style="19"/>
    <col min="4095" max="4096" width="9.5703125" style="19" bestFit="1" customWidth="1"/>
    <col min="4097" max="4098" width="9.140625" style="19"/>
    <col min="4099" max="4099" width="39.5703125" style="19" customWidth="1"/>
    <col min="4100" max="4100" width="13.42578125" style="19" customWidth="1"/>
    <col min="4101" max="4347" width="9.140625" style="19"/>
    <col min="4348" max="4348" width="12.7109375" style="19" customWidth="1"/>
    <col min="4349" max="4350" width="9.140625" style="19"/>
    <col min="4351" max="4352" width="9.5703125" style="19" bestFit="1" customWidth="1"/>
    <col min="4353" max="4354" width="9.140625" style="19"/>
    <col min="4355" max="4355" width="39.5703125" style="19" customWidth="1"/>
    <col min="4356" max="4356" width="13.42578125" style="19" customWidth="1"/>
    <col min="4357" max="4603" width="9.140625" style="19"/>
    <col min="4604" max="4604" width="12.7109375" style="19" customWidth="1"/>
    <col min="4605" max="4606" width="9.140625" style="19"/>
    <col min="4607" max="4608" width="9.5703125" style="19" bestFit="1" customWidth="1"/>
    <col min="4609" max="4610" width="9.140625" style="19"/>
    <col min="4611" max="4611" width="39.5703125" style="19" customWidth="1"/>
    <col min="4612" max="4612" width="13.42578125" style="19" customWidth="1"/>
    <col min="4613" max="4859" width="9.140625" style="19"/>
    <col min="4860" max="4860" width="12.7109375" style="19" customWidth="1"/>
    <col min="4861" max="4862" width="9.140625" style="19"/>
    <col min="4863" max="4864" width="9.5703125" style="19" bestFit="1" customWidth="1"/>
    <col min="4865" max="4866" width="9.140625" style="19"/>
    <col min="4867" max="4867" width="39.5703125" style="19" customWidth="1"/>
    <col min="4868" max="4868" width="13.42578125" style="19" customWidth="1"/>
    <col min="4869" max="5115" width="9.140625" style="19"/>
    <col min="5116" max="5116" width="12.7109375" style="19" customWidth="1"/>
    <col min="5117" max="5118" width="9.140625" style="19"/>
    <col min="5119" max="5120" width="9.5703125" style="19" bestFit="1" customWidth="1"/>
    <col min="5121" max="5122" width="9.140625" style="19"/>
    <col min="5123" max="5123" width="39.5703125" style="19" customWidth="1"/>
    <col min="5124" max="5124" width="13.42578125" style="19" customWidth="1"/>
    <col min="5125" max="5371" width="9.140625" style="19"/>
    <col min="5372" max="5372" width="12.7109375" style="19" customWidth="1"/>
    <col min="5373" max="5374" width="9.140625" style="19"/>
    <col min="5375" max="5376" width="9.5703125" style="19" bestFit="1" customWidth="1"/>
    <col min="5377" max="5378" width="9.140625" style="19"/>
    <col min="5379" max="5379" width="39.5703125" style="19" customWidth="1"/>
    <col min="5380" max="5380" width="13.42578125" style="19" customWidth="1"/>
    <col min="5381" max="5627" width="9.140625" style="19"/>
    <col min="5628" max="5628" width="12.7109375" style="19" customWidth="1"/>
    <col min="5629" max="5630" width="9.140625" style="19"/>
    <col min="5631" max="5632" width="9.5703125" style="19" bestFit="1" customWidth="1"/>
    <col min="5633" max="5634" width="9.140625" style="19"/>
    <col min="5635" max="5635" width="39.5703125" style="19" customWidth="1"/>
    <col min="5636" max="5636" width="13.42578125" style="19" customWidth="1"/>
    <col min="5637" max="5883" width="9.140625" style="19"/>
    <col min="5884" max="5884" width="12.7109375" style="19" customWidth="1"/>
    <col min="5885" max="5886" width="9.140625" style="19"/>
    <col min="5887" max="5888" width="9.5703125" style="19" bestFit="1" customWidth="1"/>
    <col min="5889" max="5890" width="9.140625" style="19"/>
    <col min="5891" max="5891" width="39.5703125" style="19" customWidth="1"/>
    <col min="5892" max="5892" width="13.42578125" style="19" customWidth="1"/>
    <col min="5893" max="6139" width="9.140625" style="19"/>
    <col min="6140" max="6140" width="12.7109375" style="19" customWidth="1"/>
    <col min="6141" max="6142" width="9.140625" style="19"/>
    <col min="6143" max="6144" width="9.5703125" style="19" bestFit="1" customWidth="1"/>
    <col min="6145" max="6146" width="9.140625" style="19"/>
    <col min="6147" max="6147" width="39.5703125" style="19" customWidth="1"/>
    <col min="6148" max="6148" width="13.42578125" style="19" customWidth="1"/>
    <col min="6149" max="6395" width="9.140625" style="19"/>
    <col min="6396" max="6396" width="12.7109375" style="19" customWidth="1"/>
    <col min="6397" max="6398" width="9.140625" style="19"/>
    <col min="6399" max="6400" width="9.5703125" style="19" bestFit="1" customWidth="1"/>
    <col min="6401" max="6402" width="9.140625" style="19"/>
    <col min="6403" max="6403" width="39.5703125" style="19" customWidth="1"/>
    <col min="6404" max="6404" width="13.42578125" style="19" customWidth="1"/>
    <col min="6405" max="6651" width="9.140625" style="19"/>
    <col min="6652" max="6652" width="12.7109375" style="19" customWidth="1"/>
    <col min="6653" max="6654" width="9.140625" style="19"/>
    <col min="6655" max="6656" width="9.5703125" style="19" bestFit="1" customWidth="1"/>
    <col min="6657" max="6658" width="9.140625" style="19"/>
    <col min="6659" max="6659" width="39.5703125" style="19" customWidth="1"/>
    <col min="6660" max="6660" width="13.42578125" style="19" customWidth="1"/>
    <col min="6661" max="6907" width="9.140625" style="19"/>
    <col min="6908" max="6908" width="12.7109375" style="19" customWidth="1"/>
    <col min="6909" max="6910" width="9.140625" style="19"/>
    <col min="6911" max="6912" width="9.5703125" style="19" bestFit="1" customWidth="1"/>
    <col min="6913" max="6914" width="9.140625" style="19"/>
    <col min="6915" max="6915" width="39.5703125" style="19" customWidth="1"/>
    <col min="6916" max="6916" width="13.42578125" style="19" customWidth="1"/>
    <col min="6917" max="7163" width="9.140625" style="19"/>
    <col min="7164" max="7164" width="12.7109375" style="19" customWidth="1"/>
    <col min="7165" max="7166" width="9.140625" style="19"/>
    <col min="7167" max="7168" width="9.5703125" style="19" bestFit="1" customWidth="1"/>
    <col min="7169" max="7170" width="9.140625" style="19"/>
    <col min="7171" max="7171" width="39.5703125" style="19" customWidth="1"/>
    <col min="7172" max="7172" width="13.42578125" style="19" customWidth="1"/>
    <col min="7173" max="7419" width="9.140625" style="19"/>
    <col min="7420" max="7420" width="12.7109375" style="19" customWidth="1"/>
    <col min="7421" max="7422" width="9.140625" style="19"/>
    <col min="7423" max="7424" width="9.5703125" style="19" bestFit="1" customWidth="1"/>
    <col min="7425" max="7426" width="9.140625" style="19"/>
    <col min="7427" max="7427" width="39.5703125" style="19" customWidth="1"/>
    <col min="7428" max="7428" width="13.42578125" style="19" customWidth="1"/>
    <col min="7429" max="7675" width="9.140625" style="19"/>
    <col min="7676" max="7676" width="12.7109375" style="19" customWidth="1"/>
    <col min="7677" max="7678" width="9.140625" style="19"/>
    <col min="7679" max="7680" width="9.5703125" style="19" bestFit="1" customWidth="1"/>
    <col min="7681" max="7682" width="9.140625" style="19"/>
    <col min="7683" max="7683" width="39.5703125" style="19" customWidth="1"/>
    <col min="7684" max="7684" width="13.42578125" style="19" customWidth="1"/>
    <col min="7685" max="7931" width="9.140625" style="19"/>
    <col min="7932" max="7932" width="12.7109375" style="19" customWidth="1"/>
    <col min="7933" max="7934" width="9.140625" style="19"/>
    <col min="7935" max="7936" width="9.5703125" style="19" bestFit="1" customWidth="1"/>
    <col min="7937" max="7938" width="9.140625" style="19"/>
    <col min="7939" max="7939" width="39.5703125" style="19" customWidth="1"/>
    <col min="7940" max="7940" width="13.42578125" style="19" customWidth="1"/>
    <col min="7941" max="8187" width="9.140625" style="19"/>
    <col min="8188" max="8188" width="12.7109375" style="19" customWidth="1"/>
    <col min="8189" max="8190" width="9.140625" style="19"/>
    <col min="8191" max="8192" width="9.5703125" style="19" bestFit="1" customWidth="1"/>
    <col min="8193" max="8194" width="9.140625" style="19"/>
    <col min="8195" max="8195" width="39.5703125" style="19" customWidth="1"/>
    <col min="8196" max="8196" width="13.42578125" style="19" customWidth="1"/>
    <col min="8197" max="8443" width="9.140625" style="19"/>
    <col min="8444" max="8444" width="12.7109375" style="19" customWidth="1"/>
    <col min="8445" max="8446" width="9.140625" style="19"/>
    <col min="8447" max="8448" width="9.5703125" style="19" bestFit="1" customWidth="1"/>
    <col min="8449" max="8450" width="9.140625" style="19"/>
    <col min="8451" max="8451" width="39.5703125" style="19" customWidth="1"/>
    <col min="8452" max="8452" width="13.42578125" style="19" customWidth="1"/>
    <col min="8453" max="8699" width="9.140625" style="19"/>
    <col min="8700" max="8700" width="12.7109375" style="19" customWidth="1"/>
    <col min="8701" max="8702" width="9.140625" style="19"/>
    <col min="8703" max="8704" width="9.5703125" style="19" bestFit="1" customWidth="1"/>
    <col min="8705" max="8706" width="9.140625" style="19"/>
    <col min="8707" max="8707" width="39.5703125" style="19" customWidth="1"/>
    <col min="8708" max="8708" width="13.42578125" style="19" customWidth="1"/>
    <col min="8709" max="8955" width="9.140625" style="19"/>
    <col min="8956" max="8956" width="12.7109375" style="19" customWidth="1"/>
    <col min="8957" max="8958" width="9.140625" style="19"/>
    <col min="8959" max="8960" width="9.5703125" style="19" bestFit="1" customWidth="1"/>
    <col min="8961" max="8962" width="9.140625" style="19"/>
    <col min="8963" max="8963" width="39.5703125" style="19" customWidth="1"/>
    <col min="8964" max="8964" width="13.42578125" style="19" customWidth="1"/>
    <col min="8965" max="9211" width="9.140625" style="19"/>
    <col min="9212" max="9212" width="12.7109375" style="19" customWidth="1"/>
    <col min="9213" max="9214" width="9.140625" style="19"/>
    <col min="9215" max="9216" width="9.5703125" style="19" bestFit="1" customWidth="1"/>
    <col min="9217" max="9218" width="9.140625" style="19"/>
    <col min="9219" max="9219" width="39.5703125" style="19" customWidth="1"/>
    <col min="9220" max="9220" width="13.42578125" style="19" customWidth="1"/>
    <col min="9221" max="9467" width="9.140625" style="19"/>
    <col min="9468" max="9468" width="12.7109375" style="19" customWidth="1"/>
    <col min="9469" max="9470" width="9.140625" style="19"/>
    <col min="9471" max="9472" width="9.5703125" style="19" bestFit="1" customWidth="1"/>
    <col min="9473" max="9474" width="9.140625" style="19"/>
    <col min="9475" max="9475" width="39.5703125" style="19" customWidth="1"/>
    <col min="9476" max="9476" width="13.42578125" style="19" customWidth="1"/>
    <col min="9477" max="9723" width="9.140625" style="19"/>
    <col min="9724" max="9724" width="12.7109375" style="19" customWidth="1"/>
    <col min="9725" max="9726" width="9.140625" style="19"/>
    <col min="9727" max="9728" width="9.5703125" style="19" bestFit="1" customWidth="1"/>
    <col min="9729" max="9730" width="9.140625" style="19"/>
    <col min="9731" max="9731" width="39.5703125" style="19" customWidth="1"/>
    <col min="9732" max="9732" width="13.42578125" style="19" customWidth="1"/>
    <col min="9733" max="9979" width="9.140625" style="19"/>
    <col min="9980" max="9980" width="12.7109375" style="19" customWidth="1"/>
    <col min="9981" max="9982" width="9.140625" style="19"/>
    <col min="9983" max="9984" width="9.5703125" style="19" bestFit="1" customWidth="1"/>
    <col min="9985" max="9986" width="9.140625" style="19"/>
    <col min="9987" max="9987" width="39.5703125" style="19" customWidth="1"/>
    <col min="9988" max="9988" width="13.42578125" style="19" customWidth="1"/>
    <col min="9989" max="10235" width="9.140625" style="19"/>
    <col min="10236" max="10236" width="12.7109375" style="19" customWidth="1"/>
    <col min="10237" max="10238" width="9.140625" style="19"/>
    <col min="10239" max="10240" width="9.5703125" style="19" bestFit="1" customWidth="1"/>
    <col min="10241" max="10242" width="9.140625" style="19"/>
    <col min="10243" max="10243" width="39.5703125" style="19" customWidth="1"/>
    <col min="10244" max="10244" width="13.42578125" style="19" customWidth="1"/>
    <col min="10245" max="10491" width="9.140625" style="19"/>
    <col min="10492" max="10492" width="12.7109375" style="19" customWidth="1"/>
    <col min="10493" max="10494" width="9.140625" style="19"/>
    <col min="10495" max="10496" width="9.5703125" style="19" bestFit="1" customWidth="1"/>
    <col min="10497" max="10498" width="9.140625" style="19"/>
    <col min="10499" max="10499" width="39.5703125" style="19" customWidth="1"/>
    <col min="10500" max="10500" width="13.42578125" style="19" customWidth="1"/>
    <col min="10501" max="10747" width="9.140625" style="19"/>
    <col min="10748" max="10748" width="12.7109375" style="19" customWidth="1"/>
    <col min="10749" max="10750" width="9.140625" style="19"/>
    <col min="10751" max="10752" width="9.5703125" style="19" bestFit="1" customWidth="1"/>
    <col min="10753" max="10754" width="9.140625" style="19"/>
    <col min="10755" max="10755" width="39.5703125" style="19" customWidth="1"/>
    <col min="10756" max="10756" width="13.42578125" style="19" customWidth="1"/>
    <col min="10757" max="11003" width="9.140625" style="19"/>
    <col min="11004" max="11004" width="12.7109375" style="19" customWidth="1"/>
    <col min="11005" max="11006" width="9.140625" style="19"/>
    <col min="11007" max="11008" width="9.5703125" style="19" bestFit="1" customWidth="1"/>
    <col min="11009" max="11010" width="9.140625" style="19"/>
    <col min="11011" max="11011" width="39.5703125" style="19" customWidth="1"/>
    <col min="11012" max="11012" width="13.42578125" style="19" customWidth="1"/>
    <col min="11013" max="11259" width="9.140625" style="19"/>
    <col min="11260" max="11260" width="12.7109375" style="19" customWidth="1"/>
    <col min="11261" max="11262" width="9.140625" style="19"/>
    <col min="11263" max="11264" width="9.5703125" style="19" bestFit="1" customWidth="1"/>
    <col min="11265" max="11266" width="9.140625" style="19"/>
    <col min="11267" max="11267" width="39.5703125" style="19" customWidth="1"/>
    <col min="11268" max="11268" width="13.42578125" style="19" customWidth="1"/>
    <col min="11269" max="11515" width="9.140625" style="19"/>
    <col min="11516" max="11516" width="12.7109375" style="19" customWidth="1"/>
    <col min="11517" max="11518" width="9.140625" style="19"/>
    <col min="11519" max="11520" width="9.5703125" style="19" bestFit="1" customWidth="1"/>
    <col min="11521" max="11522" width="9.140625" style="19"/>
    <col min="11523" max="11523" width="39.5703125" style="19" customWidth="1"/>
    <col min="11524" max="11524" width="13.42578125" style="19" customWidth="1"/>
    <col min="11525" max="11771" width="9.140625" style="19"/>
    <col min="11772" max="11772" width="12.7109375" style="19" customWidth="1"/>
    <col min="11773" max="11774" width="9.140625" style="19"/>
    <col min="11775" max="11776" width="9.5703125" style="19" bestFit="1" customWidth="1"/>
    <col min="11777" max="11778" width="9.140625" style="19"/>
    <col min="11779" max="11779" width="39.5703125" style="19" customWidth="1"/>
    <col min="11780" max="11780" width="13.42578125" style="19" customWidth="1"/>
    <col min="11781" max="12027" width="9.140625" style="19"/>
    <col min="12028" max="12028" width="12.7109375" style="19" customWidth="1"/>
    <col min="12029" max="12030" width="9.140625" style="19"/>
    <col min="12031" max="12032" width="9.5703125" style="19" bestFit="1" customWidth="1"/>
    <col min="12033" max="12034" width="9.140625" style="19"/>
    <col min="12035" max="12035" width="39.5703125" style="19" customWidth="1"/>
    <col min="12036" max="12036" width="13.42578125" style="19" customWidth="1"/>
    <col min="12037" max="12283" width="9.140625" style="19"/>
    <col min="12284" max="12284" width="12.7109375" style="19" customWidth="1"/>
    <col min="12285" max="12286" width="9.140625" style="19"/>
    <col min="12287" max="12288" width="9.5703125" style="19" bestFit="1" customWidth="1"/>
    <col min="12289" max="12290" width="9.140625" style="19"/>
    <col min="12291" max="12291" width="39.5703125" style="19" customWidth="1"/>
    <col min="12292" max="12292" width="13.42578125" style="19" customWidth="1"/>
    <col min="12293" max="12539" width="9.140625" style="19"/>
    <col min="12540" max="12540" width="12.7109375" style="19" customWidth="1"/>
    <col min="12541" max="12542" width="9.140625" style="19"/>
    <col min="12543" max="12544" width="9.5703125" style="19" bestFit="1" customWidth="1"/>
    <col min="12545" max="12546" width="9.140625" style="19"/>
    <col min="12547" max="12547" width="39.5703125" style="19" customWidth="1"/>
    <col min="12548" max="12548" width="13.42578125" style="19" customWidth="1"/>
    <col min="12549" max="12795" width="9.140625" style="19"/>
    <col min="12796" max="12796" width="12.7109375" style="19" customWidth="1"/>
    <col min="12797" max="12798" width="9.140625" style="19"/>
    <col min="12799" max="12800" width="9.5703125" style="19" bestFit="1" customWidth="1"/>
    <col min="12801" max="12802" width="9.140625" style="19"/>
    <col min="12803" max="12803" width="39.5703125" style="19" customWidth="1"/>
    <col min="12804" max="12804" width="13.42578125" style="19" customWidth="1"/>
    <col min="12805" max="13051" width="9.140625" style="19"/>
    <col min="13052" max="13052" width="12.7109375" style="19" customWidth="1"/>
    <col min="13053" max="13054" width="9.140625" style="19"/>
    <col min="13055" max="13056" width="9.5703125" style="19" bestFit="1" customWidth="1"/>
    <col min="13057" max="13058" width="9.140625" style="19"/>
    <col min="13059" max="13059" width="39.5703125" style="19" customWidth="1"/>
    <col min="13060" max="13060" width="13.42578125" style="19" customWidth="1"/>
    <col min="13061" max="13307" width="9.140625" style="19"/>
    <col min="13308" max="13308" width="12.7109375" style="19" customWidth="1"/>
    <col min="13309" max="13310" width="9.140625" style="19"/>
    <col min="13311" max="13312" width="9.5703125" style="19" bestFit="1" customWidth="1"/>
    <col min="13313" max="13314" width="9.140625" style="19"/>
    <col min="13315" max="13315" width="39.5703125" style="19" customWidth="1"/>
    <col min="13316" max="13316" width="13.42578125" style="19" customWidth="1"/>
    <col min="13317" max="13563" width="9.140625" style="19"/>
    <col min="13564" max="13564" width="12.7109375" style="19" customWidth="1"/>
    <col min="13565" max="13566" width="9.140625" style="19"/>
    <col min="13567" max="13568" width="9.5703125" style="19" bestFit="1" customWidth="1"/>
    <col min="13569" max="13570" width="9.140625" style="19"/>
    <col min="13571" max="13571" width="39.5703125" style="19" customWidth="1"/>
    <col min="13572" max="13572" width="13.42578125" style="19" customWidth="1"/>
    <col min="13573" max="13819" width="9.140625" style="19"/>
    <col min="13820" max="13820" width="12.7109375" style="19" customWidth="1"/>
    <col min="13821" max="13822" width="9.140625" style="19"/>
    <col min="13823" max="13824" width="9.5703125" style="19" bestFit="1" customWidth="1"/>
    <col min="13825" max="13826" width="9.140625" style="19"/>
    <col min="13827" max="13827" width="39.5703125" style="19" customWidth="1"/>
    <col min="13828" max="13828" width="13.42578125" style="19" customWidth="1"/>
    <col min="13829" max="14075" width="9.140625" style="19"/>
    <col min="14076" max="14076" width="12.7109375" style="19" customWidth="1"/>
    <col min="14077" max="14078" width="9.140625" style="19"/>
    <col min="14079" max="14080" width="9.5703125" style="19" bestFit="1" customWidth="1"/>
    <col min="14081" max="14082" width="9.140625" style="19"/>
    <col min="14083" max="14083" width="39.5703125" style="19" customWidth="1"/>
    <col min="14084" max="14084" width="13.42578125" style="19" customWidth="1"/>
    <col min="14085" max="14331" width="9.140625" style="19"/>
    <col min="14332" max="14332" width="12.7109375" style="19" customWidth="1"/>
    <col min="14333" max="14334" width="9.140625" style="19"/>
    <col min="14335" max="14336" width="9.5703125" style="19" bestFit="1" customWidth="1"/>
    <col min="14337" max="14338" width="9.140625" style="19"/>
    <col min="14339" max="14339" width="39.5703125" style="19" customWidth="1"/>
    <col min="14340" max="14340" width="13.42578125" style="19" customWidth="1"/>
    <col min="14341" max="14587" width="9.140625" style="19"/>
    <col min="14588" max="14588" width="12.7109375" style="19" customWidth="1"/>
    <col min="14589" max="14590" width="9.140625" style="19"/>
    <col min="14591" max="14592" width="9.5703125" style="19" bestFit="1" customWidth="1"/>
    <col min="14593" max="14594" width="9.140625" style="19"/>
    <col min="14595" max="14595" width="39.5703125" style="19" customWidth="1"/>
    <col min="14596" max="14596" width="13.42578125" style="19" customWidth="1"/>
    <col min="14597" max="14843" width="9.140625" style="19"/>
    <col min="14844" max="14844" width="12.7109375" style="19" customWidth="1"/>
    <col min="14845" max="14846" width="9.140625" style="19"/>
    <col min="14847" max="14848" width="9.5703125" style="19" bestFit="1" customWidth="1"/>
    <col min="14849" max="14850" width="9.140625" style="19"/>
    <col min="14851" max="14851" width="39.5703125" style="19" customWidth="1"/>
    <col min="14852" max="14852" width="13.42578125" style="19" customWidth="1"/>
    <col min="14853" max="15099" width="9.140625" style="19"/>
    <col min="15100" max="15100" width="12.7109375" style="19" customWidth="1"/>
    <col min="15101" max="15102" width="9.140625" style="19"/>
    <col min="15103" max="15104" width="9.5703125" style="19" bestFit="1" customWidth="1"/>
    <col min="15105" max="15106" width="9.140625" style="19"/>
    <col min="15107" max="15107" width="39.5703125" style="19" customWidth="1"/>
    <col min="15108" max="15108" width="13.42578125" style="19" customWidth="1"/>
    <col min="15109" max="15355" width="9.140625" style="19"/>
    <col min="15356" max="15356" width="12.7109375" style="19" customWidth="1"/>
    <col min="15357" max="15358" width="9.140625" style="19"/>
    <col min="15359" max="15360" width="9.5703125" style="19" bestFit="1" customWidth="1"/>
    <col min="15361" max="15362" width="9.140625" style="19"/>
    <col min="15363" max="15363" width="39.5703125" style="19" customWidth="1"/>
    <col min="15364" max="15364" width="13.42578125" style="19" customWidth="1"/>
    <col min="15365" max="15611" width="9.140625" style="19"/>
    <col min="15612" max="15612" width="12.7109375" style="19" customWidth="1"/>
    <col min="15613" max="15614" width="9.140625" style="19"/>
    <col min="15615" max="15616" width="9.5703125" style="19" bestFit="1" customWidth="1"/>
    <col min="15617" max="15618" width="9.140625" style="19"/>
    <col min="15619" max="15619" width="39.5703125" style="19" customWidth="1"/>
    <col min="15620" max="15620" width="13.42578125" style="19" customWidth="1"/>
    <col min="15621" max="15867" width="9.140625" style="19"/>
    <col min="15868" max="15868" width="12.7109375" style="19" customWidth="1"/>
    <col min="15869" max="15870" width="9.140625" style="19"/>
    <col min="15871" max="15872" width="9.5703125" style="19" bestFit="1" customWidth="1"/>
    <col min="15873" max="15874" width="9.140625" style="19"/>
    <col min="15875" max="15875" width="39.5703125" style="19" customWidth="1"/>
    <col min="15876" max="15876" width="13.42578125" style="19" customWidth="1"/>
    <col min="15877" max="16123" width="9.140625" style="19"/>
    <col min="16124" max="16124" width="12.7109375" style="19" customWidth="1"/>
    <col min="16125" max="16126" width="9.140625" style="19"/>
    <col min="16127" max="16128" width="9.5703125" style="19" bestFit="1" customWidth="1"/>
    <col min="16129" max="16130" width="9.140625" style="19"/>
    <col min="16131" max="16131" width="39.5703125" style="19" customWidth="1"/>
    <col min="16132" max="16132" width="13.42578125" style="19" customWidth="1"/>
    <col min="16133" max="16384" width="9.140625" style="19"/>
  </cols>
  <sheetData>
    <row r="3" spans="1:9" x14ac:dyDescent="0.2">
      <c r="I3" s="80" t="s">
        <v>105</v>
      </c>
    </row>
    <row r="4" spans="1:9" s="21" customFormat="1" ht="150" customHeight="1" x14ac:dyDescent="0.2">
      <c r="A4" s="57"/>
      <c r="B4" s="57"/>
      <c r="C4" s="95" t="s">
        <v>95</v>
      </c>
      <c r="D4" s="96"/>
      <c r="E4" s="97"/>
      <c r="F4" s="93" t="s">
        <v>96</v>
      </c>
      <c r="G4" s="93" t="s">
        <v>97</v>
      </c>
      <c r="H4" s="78" t="s">
        <v>98</v>
      </c>
      <c r="I4" s="76" t="s">
        <v>107</v>
      </c>
    </row>
    <row r="5" spans="1:9" s="21" customFormat="1" ht="15" customHeight="1" x14ac:dyDescent="0.2">
      <c r="A5" s="57"/>
      <c r="B5" s="57"/>
      <c r="C5" s="98"/>
      <c r="D5" s="99"/>
      <c r="E5" s="100"/>
      <c r="F5" s="94"/>
      <c r="G5" s="94"/>
      <c r="H5" s="58" t="s">
        <v>99</v>
      </c>
      <c r="I5" s="58" t="s">
        <v>100</v>
      </c>
    </row>
    <row r="6" spans="1:9" s="21" customFormat="1" ht="15" customHeight="1" x14ac:dyDescent="0.2">
      <c r="A6" s="57"/>
      <c r="B6" s="57"/>
      <c r="C6" s="88" t="s">
        <v>101</v>
      </c>
      <c r="D6" s="89"/>
      <c r="E6" s="90"/>
      <c r="F6" s="58"/>
      <c r="G6" s="59"/>
      <c r="H6" s="58"/>
      <c r="I6" s="77"/>
    </row>
    <row r="7" spans="1:9" s="21" customFormat="1" ht="15" customHeight="1" x14ac:dyDescent="0.2">
      <c r="A7" s="57"/>
      <c r="B7" s="57"/>
      <c r="C7" s="59" t="s">
        <v>102</v>
      </c>
      <c r="D7" s="59"/>
      <c r="E7" s="59" t="s">
        <v>103</v>
      </c>
      <c r="F7" s="59"/>
      <c r="G7" s="59"/>
      <c r="H7" s="59"/>
      <c r="I7" s="77"/>
    </row>
    <row r="8" spans="1:9" s="21" customFormat="1" ht="15" customHeight="1" x14ac:dyDescent="0.2">
      <c r="A8" s="57"/>
      <c r="B8" s="57"/>
      <c r="C8" s="59"/>
      <c r="D8" s="59"/>
      <c r="E8" s="59"/>
      <c r="F8" s="59"/>
      <c r="G8" s="59"/>
      <c r="H8" s="59"/>
      <c r="I8" s="77"/>
    </row>
    <row r="9" spans="1:9" s="21" customFormat="1" ht="15" customHeight="1" x14ac:dyDescent="0.2">
      <c r="A9" s="57"/>
      <c r="B9" s="57"/>
      <c r="C9" s="85">
        <v>95065.76</v>
      </c>
      <c r="D9" s="61" t="s">
        <v>106</v>
      </c>
      <c r="E9" s="85">
        <v>95372.95</v>
      </c>
      <c r="F9" s="60"/>
      <c r="G9" s="60" t="s">
        <v>45</v>
      </c>
      <c r="H9" s="60">
        <f>SUM(E9-C9)</f>
        <v>307.19000000000233</v>
      </c>
      <c r="I9" s="79">
        <f>SUM(H9/5280)</f>
        <v>5.8179924242424685E-2</v>
      </c>
    </row>
    <row r="10" spans="1:9" s="21" customFormat="1" ht="15" customHeight="1" x14ac:dyDescent="0.2">
      <c r="A10" s="57"/>
      <c r="B10" s="57"/>
      <c r="C10" s="85">
        <v>95372.95</v>
      </c>
      <c r="D10" s="61" t="s">
        <v>106</v>
      </c>
      <c r="E10" s="85">
        <v>96176.44</v>
      </c>
      <c r="F10" s="60"/>
      <c r="G10" s="60" t="s">
        <v>45</v>
      </c>
      <c r="H10" s="60">
        <f t="shared" ref="H10:H23" si="0">SUM(E10-C10)</f>
        <v>803.49000000000524</v>
      </c>
      <c r="I10" s="79">
        <f t="shared" ref="I10:I46" si="1">SUM(H10/5280)</f>
        <v>0.15217613636363736</v>
      </c>
    </row>
    <row r="11" spans="1:9" s="21" customFormat="1" ht="15" customHeight="1" x14ac:dyDescent="0.2">
      <c r="A11" s="57"/>
      <c r="B11" s="57"/>
      <c r="C11" s="85">
        <v>96176.44</v>
      </c>
      <c r="D11" s="61" t="s">
        <v>106</v>
      </c>
      <c r="E11" s="85">
        <v>96218.68</v>
      </c>
      <c r="F11" s="60"/>
      <c r="G11" s="60" t="s">
        <v>45</v>
      </c>
      <c r="H11" s="60">
        <f t="shared" si="0"/>
        <v>42.239999999990687</v>
      </c>
      <c r="I11" s="79">
        <f t="shared" si="1"/>
        <v>7.999999999998236E-3</v>
      </c>
    </row>
    <row r="12" spans="1:9" s="21" customFormat="1" ht="15" customHeight="1" x14ac:dyDescent="0.2">
      <c r="A12" s="57"/>
      <c r="B12" s="57"/>
      <c r="C12" s="85">
        <v>96877.69</v>
      </c>
      <c r="D12" s="61" t="s">
        <v>106</v>
      </c>
      <c r="E12" s="85">
        <v>97894.14</v>
      </c>
      <c r="F12" s="60"/>
      <c r="G12" s="60" t="s">
        <v>45</v>
      </c>
      <c r="H12" s="60">
        <f t="shared" si="0"/>
        <v>1016.4499999999971</v>
      </c>
      <c r="I12" s="79">
        <f t="shared" si="1"/>
        <v>0.19250946969696914</v>
      </c>
    </row>
    <row r="13" spans="1:9" s="21" customFormat="1" ht="15" customHeight="1" x14ac:dyDescent="0.2">
      <c r="A13" s="57"/>
      <c r="B13" s="57"/>
      <c r="C13" s="85">
        <v>98107.1</v>
      </c>
      <c r="D13" s="61" t="s">
        <v>106</v>
      </c>
      <c r="E13" s="85">
        <v>98290.41</v>
      </c>
      <c r="F13" s="60"/>
      <c r="G13" s="60" t="s">
        <v>45</v>
      </c>
      <c r="H13" s="60">
        <f t="shared" si="0"/>
        <v>183.30999999999767</v>
      </c>
      <c r="I13" s="79">
        <f t="shared" si="1"/>
        <v>3.4717803030302592E-2</v>
      </c>
    </row>
    <row r="14" spans="1:9" s="21" customFormat="1" ht="15" customHeight="1" x14ac:dyDescent="0.2">
      <c r="A14" s="57"/>
      <c r="B14" s="57"/>
      <c r="C14" s="85">
        <v>98290.41</v>
      </c>
      <c r="D14" s="61" t="s">
        <v>106</v>
      </c>
      <c r="E14" s="85">
        <v>99610.18</v>
      </c>
      <c r="F14" s="60"/>
      <c r="G14" s="60" t="s">
        <v>45</v>
      </c>
      <c r="H14" s="60">
        <f t="shared" si="0"/>
        <v>1319.7699999999895</v>
      </c>
      <c r="I14" s="79">
        <f t="shared" si="1"/>
        <v>0.24995643939393741</v>
      </c>
    </row>
    <row r="15" spans="1:9" s="21" customFormat="1" ht="15" customHeight="1" x14ac:dyDescent="0.2">
      <c r="A15" s="57"/>
      <c r="B15" s="57"/>
      <c r="C15" s="85">
        <v>99610.18</v>
      </c>
      <c r="D15" s="61" t="s">
        <v>106</v>
      </c>
      <c r="E15" s="85">
        <v>100498.26</v>
      </c>
      <c r="F15" s="60"/>
      <c r="G15" s="60" t="s">
        <v>45</v>
      </c>
      <c r="H15" s="60">
        <f t="shared" si="0"/>
        <v>888.08000000000175</v>
      </c>
      <c r="I15" s="79">
        <f t="shared" si="1"/>
        <v>0.16819696969697004</v>
      </c>
    </row>
    <row r="16" spans="1:9" s="21" customFormat="1" ht="15" customHeight="1" x14ac:dyDescent="0.2">
      <c r="A16" s="57"/>
      <c r="B16" s="57"/>
      <c r="C16" s="85">
        <v>100730.62</v>
      </c>
      <c r="D16" s="61" t="s">
        <v>106</v>
      </c>
      <c r="E16" s="85">
        <v>102048.68</v>
      </c>
      <c r="F16" s="60"/>
      <c r="G16" s="60" t="s">
        <v>45</v>
      </c>
      <c r="H16" s="60">
        <f t="shared" si="0"/>
        <v>1318.0599999999977</v>
      </c>
      <c r="I16" s="79">
        <f t="shared" si="1"/>
        <v>0.2496325757575753</v>
      </c>
    </row>
    <row r="17" spans="1:9" s="21" customFormat="1" ht="15" customHeight="1" x14ac:dyDescent="0.2">
      <c r="A17" s="57"/>
      <c r="B17" s="57"/>
      <c r="C17" s="85">
        <v>102048.68</v>
      </c>
      <c r="D17" s="61" t="s">
        <v>106</v>
      </c>
      <c r="E17" s="85">
        <v>102995.27</v>
      </c>
      <c r="F17" s="60"/>
      <c r="G17" s="60" t="s">
        <v>45</v>
      </c>
      <c r="H17" s="60">
        <f t="shared" ref="H17" si="2">SUM(E17-C17)</f>
        <v>946.59000000001106</v>
      </c>
      <c r="I17" s="79">
        <f t="shared" si="1"/>
        <v>0.17927840909091119</v>
      </c>
    </row>
    <row r="18" spans="1:9" s="21" customFormat="1" ht="15" customHeight="1" x14ac:dyDescent="0.2">
      <c r="A18" s="57"/>
      <c r="B18" s="57"/>
      <c r="C18" s="85">
        <v>102995.27</v>
      </c>
      <c r="D18" s="61" t="s">
        <v>106</v>
      </c>
      <c r="E18" s="85">
        <v>104455.44</v>
      </c>
      <c r="F18" s="60"/>
      <c r="G18" s="60" t="s">
        <v>45</v>
      </c>
      <c r="H18" s="60">
        <f t="shared" si="0"/>
        <v>1460.1699999999983</v>
      </c>
      <c r="I18" s="79">
        <f t="shared" si="1"/>
        <v>0.27654734848484813</v>
      </c>
    </row>
    <row r="19" spans="1:9" s="21" customFormat="1" ht="15" customHeight="1" x14ac:dyDescent="0.2">
      <c r="A19" s="57"/>
      <c r="B19" s="57"/>
      <c r="C19" s="85">
        <v>104746.73</v>
      </c>
      <c r="D19" s="61" t="s">
        <v>106</v>
      </c>
      <c r="E19" s="85">
        <v>105672.37</v>
      </c>
      <c r="F19" s="60"/>
      <c r="G19" s="60" t="s">
        <v>45</v>
      </c>
      <c r="H19" s="60">
        <f t="shared" si="0"/>
        <v>925.63999999999942</v>
      </c>
      <c r="I19" s="79">
        <f t="shared" si="1"/>
        <v>0.17531060606060594</v>
      </c>
    </row>
    <row r="20" spans="1:9" s="21" customFormat="1" ht="15" customHeight="1" x14ac:dyDescent="0.2">
      <c r="A20" s="57"/>
      <c r="B20" s="57"/>
      <c r="C20" s="85">
        <v>105672.37</v>
      </c>
      <c r="D20" s="61" t="s">
        <v>106</v>
      </c>
      <c r="E20" s="85">
        <v>107354.05</v>
      </c>
      <c r="F20" s="60"/>
      <c r="G20" s="60" t="s">
        <v>45</v>
      </c>
      <c r="H20" s="60">
        <f t="shared" si="0"/>
        <v>1681.6800000000076</v>
      </c>
      <c r="I20" s="79">
        <f t="shared" si="1"/>
        <v>0.31850000000000145</v>
      </c>
    </row>
    <row r="21" spans="1:9" s="21" customFormat="1" ht="15" customHeight="1" x14ac:dyDescent="0.2">
      <c r="A21" s="57"/>
      <c r="B21" s="57"/>
      <c r="C21" s="85">
        <v>107565.35</v>
      </c>
      <c r="D21" s="61" t="s">
        <v>106</v>
      </c>
      <c r="E21" s="85">
        <v>107689.33</v>
      </c>
      <c r="F21" s="60"/>
      <c r="G21" s="60" t="s">
        <v>45</v>
      </c>
      <c r="H21" s="60">
        <f t="shared" si="0"/>
        <v>123.97999999999593</v>
      </c>
      <c r="I21" s="79">
        <f t="shared" si="1"/>
        <v>2.3481060606059836E-2</v>
      </c>
    </row>
    <row r="22" spans="1:9" s="21" customFormat="1" ht="15" customHeight="1" x14ac:dyDescent="0.2">
      <c r="A22" s="57"/>
      <c r="B22" s="57"/>
      <c r="C22" s="85">
        <v>107871.44</v>
      </c>
      <c r="D22" s="61" t="s">
        <v>106</v>
      </c>
      <c r="E22" s="85">
        <v>109116.81</v>
      </c>
      <c r="F22" s="60"/>
      <c r="G22" s="60" t="s">
        <v>45</v>
      </c>
      <c r="H22" s="60">
        <f t="shared" si="0"/>
        <v>1245.3699999999953</v>
      </c>
      <c r="I22" s="79">
        <f t="shared" si="1"/>
        <v>0.23586553030302942</v>
      </c>
    </row>
    <row r="23" spans="1:9" s="21" customFormat="1" ht="15" customHeight="1" x14ac:dyDescent="0.2">
      <c r="A23" s="57"/>
      <c r="B23" s="57"/>
      <c r="C23" s="85">
        <v>109116.81</v>
      </c>
      <c r="D23" s="61" t="s">
        <v>106</v>
      </c>
      <c r="E23" s="85">
        <v>109725</v>
      </c>
      <c r="F23" s="60"/>
      <c r="G23" s="60" t="s">
        <v>45</v>
      </c>
      <c r="H23" s="60">
        <f t="shared" si="0"/>
        <v>608.19000000000233</v>
      </c>
      <c r="I23" s="79">
        <f t="shared" si="1"/>
        <v>0.11518750000000044</v>
      </c>
    </row>
    <row r="24" spans="1:9" s="21" customFormat="1" ht="15" customHeight="1" x14ac:dyDescent="0.2">
      <c r="A24" s="57"/>
      <c r="B24" s="57"/>
      <c r="C24" s="61"/>
      <c r="D24" s="61"/>
      <c r="E24" s="61"/>
      <c r="F24" s="60"/>
      <c r="G24" s="60"/>
      <c r="H24" s="60"/>
      <c r="I24" s="79"/>
    </row>
    <row r="25" spans="1:9" s="21" customFormat="1" ht="15" customHeight="1" x14ac:dyDescent="0.2">
      <c r="A25" s="57"/>
      <c r="B25" s="57"/>
      <c r="C25" s="88" t="s">
        <v>104</v>
      </c>
      <c r="D25" s="89"/>
      <c r="E25" s="90"/>
      <c r="F25" s="60"/>
      <c r="G25" s="60"/>
      <c r="H25" s="60"/>
      <c r="I25" s="79"/>
    </row>
    <row r="26" spans="1:9" s="21" customFormat="1" ht="15" customHeight="1" x14ac:dyDescent="0.2">
      <c r="A26" s="57"/>
      <c r="B26" s="57"/>
      <c r="C26" s="59" t="s">
        <v>102</v>
      </c>
      <c r="D26" s="59"/>
      <c r="E26" s="59" t="s">
        <v>103</v>
      </c>
      <c r="F26" s="60"/>
      <c r="G26" s="60"/>
      <c r="H26" s="60"/>
      <c r="I26" s="79"/>
    </row>
    <row r="27" spans="1:9" s="21" customFormat="1" ht="15" customHeight="1" x14ac:dyDescent="0.2">
      <c r="A27" s="57"/>
      <c r="B27" s="57"/>
      <c r="C27" s="59"/>
      <c r="D27" s="59"/>
      <c r="E27" s="59"/>
      <c r="F27" s="60"/>
      <c r="G27" s="60"/>
      <c r="H27" s="60"/>
      <c r="I27" s="79"/>
    </row>
    <row r="28" spans="1:9" s="21" customFormat="1" ht="15" customHeight="1" x14ac:dyDescent="0.2">
      <c r="A28" s="57"/>
      <c r="B28" s="57"/>
      <c r="C28" s="84">
        <v>95065.76</v>
      </c>
      <c r="D28" s="61"/>
      <c r="E28" s="84">
        <v>96218.68</v>
      </c>
      <c r="F28" s="60"/>
      <c r="G28" s="60" t="s">
        <v>109</v>
      </c>
      <c r="H28" s="60">
        <f t="shared" ref="H28:H34" si="3">SUM(E28-C28)</f>
        <v>1152.9199999999983</v>
      </c>
      <c r="I28" s="79">
        <f t="shared" si="1"/>
        <v>0.21835606060606028</v>
      </c>
    </row>
    <row r="29" spans="1:9" s="21" customFormat="1" ht="15" customHeight="1" x14ac:dyDescent="0.2">
      <c r="A29" s="57"/>
      <c r="B29" s="57"/>
      <c r="C29" s="84">
        <v>96877.69</v>
      </c>
      <c r="D29" s="61"/>
      <c r="E29" s="84">
        <v>97894.14</v>
      </c>
      <c r="F29" s="60"/>
      <c r="G29" s="60" t="s">
        <v>109</v>
      </c>
      <c r="H29" s="60">
        <f t="shared" si="3"/>
        <v>1016.4499999999971</v>
      </c>
      <c r="I29" s="79">
        <f t="shared" si="1"/>
        <v>0.19250946969696914</v>
      </c>
    </row>
    <row r="30" spans="1:9" s="21" customFormat="1" ht="15" customHeight="1" x14ac:dyDescent="0.2">
      <c r="A30" s="57"/>
      <c r="B30" s="57"/>
      <c r="C30" s="84">
        <v>98107.1</v>
      </c>
      <c r="D30" s="61"/>
      <c r="E30" s="84">
        <v>100483.98</v>
      </c>
      <c r="F30" s="60"/>
      <c r="G30" s="60" t="s">
        <v>109</v>
      </c>
      <c r="H30" s="60">
        <f t="shared" si="3"/>
        <v>2376.8799999999901</v>
      </c>
      <c r="I30" s="79">
        <f t="shared" si="1"/>
        <v>0.45016666666666477</v>
      </c>
    </row>
    <row r="31" spans="1:9" s="21" customFormat="1" ht="15" customHeight="1" x14ac:dyDescent="0.2">
      <c r="A31" s="57"/>
      <c r="B31" s="57"/>
      <c r="C31" s="84">
        <v>100714.66</v>
      </c>
      <c r="D31" s="61"/>
      <c r="E31" s="84">
        <v>104429.41</v>
      </c>
      <c r="F31" s="60"/>
      <c r="G31" s="60" t="s">
        <v>109</v>
      </c>
      <c r="H31" s="60">
        <f t="shared" si="3"/>
        <v>3714.75</v>
      </c>
      <c r="I31" s="79">
        <f t="shared" si="1"/>
        <v>0.70355113636363631</v>
      </c>
    </row>
    <row r="32" spans="1:9" s="21" customFormat="1" ht="15" customHeight="1" x14ac:dyDescent="0.2">
      <c r="A32" s="57"/>
      <c r="B32" s="57"/>
      <c r="C32" s="84">
        <v>104692.97</v>
      </c>
      <c r="D32" s="61"/>
      <c r="E32" s="84">
        <v>107360.91</v>
      </c>
      <c r="F32" s="60"/>
      <c r="G32" s="60" t="s">
        <v>109</v>
      </c>
      <c r="H32" s="60">
        <f t="shared" si="3"/>
        <v>2667.9400000000023</v>
      </c>
      <c r="I32" s="79">
        <f t="shared" si="1"/>
        <v>0.50529166666666714</v>
      </c>
    </row>
    <row r="33" spans="1:9" s="21" customFormat="1" ht="15" customHeight="1" x14ac:dyDescent="0.2">
      <c r="A33" s="57"/>
      <c r="B33" s="57"/>
      <c r="C33" s="84">
        <v>107547.49</v>
      </c>
      <c r="D33" s="61"/>
      <c r="E33" s="84">
        <v>107682.52</v>
      </c>
      <c r="F33" s="60"/>
      <c r="G33" s="60" t="s">
        <v>109</v>
      </c>
      <c r="H33" s="60">
        <f t="shared" ref="H33" si="4">SUM(E33-C33)</f>
        <v>135.02999999999884</v>
      </c>
      <c r="I33" s="79">
        <f t="shared" si="1"/>
        <v>2.5573863636363416E-2</v>
      </c>
    </row>
    <row r="34" spans="1:9" s="21" customFormat="1" ht="15" customHeight="1" x14ac:dyDescent="0.2">
      <c r="A34" s="57"/>
      <c r="B34" s="57"/>
      <c r="C34" s="84">
        <v>107873.86</v>
      </c>
      <c r="D34" s="61"/>
      <c r="E34" s="84">
        <v>109725</v>
      </c>
      <c r="F34" s="60"/>
      <c r="G34" s="60" t="s">
        <v>109</v>
      </c>
      <c r="H34" s="60">
        <f t="shared" si="3"/>
        <v>1851.1399999999994</v>
      </c>
      <c r="I34" s="79">
        <f t="shared" si="1"/>
        <v>0.35059469696969686</v>
      </c>
    </row>
    <row r="35" spans="1:9" s="21" customFormat="1" ht="15" customHeight="1" x14ac:dyDescent="0.2">
      <c r="A35" s="57"/>
      <c r="B35" s="57"/>
      <c r="C35" s="61"/>
      <c r="D35" s="61"/>
      <c r="E35" s="61"/>
      <c r="F35" s="60"/>
      <c r="G35" s="60"/>
      <c r="H35" s="60"/>
      <c r="I35" s="79"/>
    </row>
    <row r="36" spans="1:9" s="21" customFormat="1" ht="15" customHeight="1" x14ac:dyDescent="0.2">
      <c r="A36" s="57"/>
      <c r="B36" s="57"/>
      <c r="C36" s="61"/>
      <c r="D36" s="61"/>
      <c r="E36" s="61"/>
      <c r="F36" s="60"/>
      <c r="G36" s="60"/>
      <c r="H36" s="60"/>
      <c r="I36" s="79"/>
    </row>
    <row r="37" spans="1:9" s="21" customFormat="1" ht="15" customHeight="1" x14ac:dyDescent="0.2">
      <c r="A37" s="57"/>
      <c r="B37" s="57"/>
      <c r="C37" s="88" t="s">
        <v>108</v>
      </c>
      <c r="D37" s="89"/>
      <c r="E37" s="90"/>
      <c r="F37" s="60"/>
      <c r="G37" s="60"/>
      <c r="H37" s="60"/>
      <c r="I37" s="79"/>
    </row>
    <row r="38" spans="1:9" s="21" customFormat="1" ht="15" customHeight="1" x14ac:dyDescent="0.2">
      <c r="A38" s="57"/>
      <c r="B38" s="57"/>
      <c r="C38" s="59" t="s">
        <v>102</v>
      </c>
      <c r="D38" s="59"/>
      <c r="E38" s="59" t="s">
        <v>103</v>
      </c>
      <c r="F38" s="60"/>
      <c r="G38" s="60"/>
      <c r="H38" s="60"/>
      <c r="I38" s="79"/>
    </row>
    <row r="39" spans="1:9" s="21" customFormat="1" ht="15" customHeight="1" x14ac:dyDescent="0.2">
      <c r="A39" s="57"/>
      <c r="B39" s="57"/>
      <c r="C39" s="59"/>
      <c r="D39" s="59"/>
      <c r="E39" s="59"/>
      <c r="F39" s="60"/>
      <c r="G39" s="60"/>
      <c r="H39" s="60"/>
      <c r="I39" s="79"/>
    </row>
    <row r="40" spans="1:9" s="21" customFormat="1" ht="15" customHeight="1" x14ac:dyDescent="0.2">
      <c r="A40" s="57"/>
      <c r="B40" s="57"/>
      <c r="C40" s="86">
        <v>95065.76</v>
      </c>
      <c r="D40" s="61"/>
      <c r="E40" s="86">
        <v>96218.68</v>
      </c>
      <c r="F40" s="60"/>
      <c r="G40" s="60" t="s">
        <v>110</v>
      </c>
      <c r="H40" s="60">
        <f t="shared" ref="H40:H45" si="5">SUM(E40-C40)</f>
        <v>1152.9199999999983</v>
      </c>
      <c r="I40" s="79">
        <f t="shared" si="1"/>
        <v>0.21835606060606028</v>
      </c>
    </row>
    <row r="41" spans="1:9" s="21" customFormat="1" ht="15" customHeight="1" x14ac:dyDescent="0.2">
      <c r="A41" s="57"/>
      <c r="B41" s="57"/>
      <c r="C41" s="86">
        <v>96877.69</v>
      </c>
      <c r="D41" s="61"/>
      <c r="E41" s="86">
        <v>97894.14</v>
      </c>
      <c r="F41" s="60"/>
      <c r="G41" s="60" t="s">
        <v>110</v>
      </c>
      <c r="H41" s="60">
        <f t="shared" si="5"/>
        <v>1016.4499999999971</v>
      </c>
      <c r="I41" s="79">
        <f t="shared" si="1"/>
        <v>0.19250946969696914</v>
      </c>
    </row>
    <row r="42" spans="1:9" s="21" customFormat="1" ht="15" customHeight="1" x14ac:dyDescent="0.2">
      <c r="A42" s="57"/>
      <c r="B42" s="57"/>
      <c r="C42" s="86">
        <v>98107.1</v>
      </c>
      <c r="D42" s="61"/>
      <c r="E42" s="86">
        <v>100482.93</v>
      </c>
      <c r="F42" s="60"/>
      <c r="G42" s="60" t="s">
        <v>110</v>
      </c>
      <c r="H42" s="60">
        <f t="shared" si="5"/>
        <v>2375.8299999999872</v>
      </c>
      <c r="I42" s="79">
        <f t="shared" si="1"/>
        <v>0.44996780303030059</v>
      </c>
    </row>
    <row r="43" spans="1:9" s="21" customFormat="1" ht="15" customHeight="1" x14ac:dyDescent="0.2">
      <c r="A43" s="57"/>
      <c r="B43" s="57"/>
      <c r="C43" s="86">
        <v>100713.27</v>
      </c>
      <c r="D43" s="61"/>
      <c r="E43" s="86">
        <v>104427.17</v>
      </c>
      <c r="F43" s="60"/>
      <c r="G43" s="60" t="s">
        <v>110</v>
      </c>
      <c r="H43" s="60">
        <f t="shared" si="5"/>
        <v>3713.8999999999942</v>
      </c>
      <c r="I43" s="79">
        <f t="shared" si="1"/>
        <v>0.70339015151515039</v>
      </c>
    </row>
    <row r="44" spans="1:9" s="21" customFormat="1" ht="15" customHeight="1" x14ac:dyDescent="0.2">
      <c r="A44" s="57"/>
      <c r="B44" s="57"/>
      <c r="C44" s="86">
        <v>104688.39</v>
      </c>
      <c r="D44" s="61"/>
      <c r="E44" s="86">
        <v>107361.28</v>
      </c>
      <c r="F44" s="60"/>
      <c r="G44" s="60" t="s">
        <v>110</v>
      </c>
      <c r="H44" s="60">
        <f t="shared" si="5"/>
        <v>2672.8899999999994</v>
      </c>
      <c r="I44" s="79">
        <f t="shared" si="1"/>
        <v>0.50622916666666651</v>
      </c>
    </row>
    <row r="45" spans="1:9" s="21" customFormat="1" ht="15" customHeight="1" x14ac:dyDescent="0.2">
      <c r="A45" s="57"/>
      <c r="B45" s="57"/>
      <c r="C45" s="86">
        <v>107546.61</v>
      </c>
      <c r="D45" s="61"/>
      <c r="E45" s="86">
        <v>107682.15</v>
      </c>
      <c r="F45" s="60"/>
      <c r="G45" s="60" t="s">
        <v>110</v>
      </c>
      <c r="H45" s="60">
        <f t="shared" si="5"/>
        <v>135.5399999999936</v>
      </c>
      <c r="I45" s="79">
        <f t="shared" si="1"/>
        <v>2.5670454545453334E-2</v>
      </c>
    </row>
    <row r="46" spans="1:9" s="21" customFormat="1" ht="15" customHeight="1" x14ac:dyDescent="0.2">
      <c r="A46" s="57"/>
      <c r="B46" s="57"/>
      <c r="C46" s="86">
        <v>107874.03</v>
      </c>
      <c r="D46" s="61"/>
      <c r="E46" s="86">
        <v>109725</v>
      </c>
      <c r="F46" s="60"/>
      <c r="G46" s="60" t="s">
        <v>110</v>
      </c>
      <c r="H46" s="60">
        <f t="shared" ref="H46" si="6">SUM(E46-C46)</f>
        <v>1850.9700000000012</v>
      </c>
      <c r="I46" s="79">
        <f t="shared" si="1"/>
        <v>0.35056250000000022</v>
      </c>
    </row>
    <row r="47" spans="1:9" s="21" customFormat="1" ht="15" customHeight="1" x14ac:dyDescent="0.2">
      <c r="A47" s="57"/>
      <c r="B47" s="57"/>
      <c r="C47" s="61"/>
      <c r="D47" s="61"/>
      <c r="E47" s="61"/>
      <c r="F47" s="60"/>
      <c r="G47" s="60"/>
      <c r="H47" s="60"/>
      <c r="I47" s="79"/>
    </row>
    <row r="48" spans="1:9" s="21" customFormat="1" ht="15" customHeight="1" x14ac:dyDescent="0.2">
      <c r="A48" s="57"/>
      <c r="B48" s="57"/>
      <c r="C48" s="88" t="s">
        <v>111</v>
      </c>
      <c r="D48" s="89"/>
      <c r="E48" s="90"/>
      <c r="F48" s="58"/>
      <c r="G48" s="59"/>
      <c r="H48" s="58"/>
      <c r="I48" s="77"/>
    </row>
    <row r="49" spans="1:9" s="21" customFormat="1" ht="15" customHeight="1" x14ac:dyDescent="0.2">
      <c r="A49" s="57"/>
      <c r="B49" s="57"/>
      <c r="C49" s="59" t="s">
        <v>102</v>
      </c>
      <c r="D49" s="59"/>
      <c r="E49" s="59" t="s">
        <v>103</v>
      </c>
      <c r="F49" s="59"/>
      <c r="G49" s="59"/>
      <c r="H49" s="59"/>
      <c r="I49" s="77"/>
    </row>
    <row r="50" spans="1:9" s="21" customFormat="1" ht="15" customHeight="1" x14ac:dyDescent="0.2">
      <c r="A50" s="57"/>
      <c r="B50" s="57"/>
      <c r="C50" s="59"/>
      <c r="D50" s="59"/>
      <c r="E50" s="59"/>
      <c r="F50" s="59"/>
      <c r="G50" s="59"/>
      <c r="H50" s="59"/>
      <c r="I50" s="77"/>
    </row>
    <row r="51" spans="1:9" s="21" customFormat="1" ht="15" customHeight="1" x14ac:dyDescent="0.2">
      <c r="A51" s="57"/>
      <c r="B51" s="57"/>
      <c r="C51" s="87">
        <v>95065.76</v>
      </c>
      <c r="D51" s="61" t="s">
        <v>106</v>
      </c>
      <c r="E51" s="87">
        <v>95165.46</v>
      </c>
      <c r="F51" s="60"/>
      <c r="G51" s="60" t="s">
        <v>46</v>
      </c>
      <c r="H51" s="60">
        <f>SUM(E51-C51)</f>
        <v>99.700000000011642</v>
      </c>
      <c r="I51" s="79">
        <f>SUM(H51/5280)</f>
        <v>1.8882575757577961E-2</v>
      </c>
    </row>
    <row r="52" spans="1:9" s="21" customFormat="1" ht="15" customHeight="1" x14ac:dyDescent="0.2">
      <c r="A52" s="57"/>
      <c r="B52" s="57"/>
      <c r="C52" s="87">
        <v>95165.46</v>
      </c>
      <c r="D52" s="61" t="s">
        <v>106</v>
      </c>
      <c r="E52" s="87">
        <v>95459.53</v>
      </c>
      <c r="F52" s="60"/>
      <c r="G52" s="60" t="s">
        <v>46</v>
      </c>
      <c r="H52" s="60">
        <f t="shared" ref="H52:H64" si="7">SUM(E52-C52)</f>
        <v>294.06999999999243</v>
      </c>
      <c r="I52" s="79">
        <f t="shared" ref="I52:I66" si="8">SUM(H52/5280)</f>
        <v>5.5695075757574326E-2</v>
      </c>
    </row>
    <row r="53" spans="1:9" s="21" customFormat="1" ht="15" customHeight="1" x14ac:dyDescent="0.2">
      <c r="A53" s="57"/>
      <c r="B53" s="57"/>
      <c r="C53" s="87">
        <v>95459.53</v>
      </c>
      <c r="D53" s="61" t="s">
        <v>106</v>
      </c>
      <c r="E53" s="87">
        <v>96218.68</v>
      </c>
      <c r="F53" s="60"/>
      <c r="G53" s="60" t="s">
        <v>46</v>
      </c>
      <c r="H53" s="60">
        <f t="shared" si="7"/>
        <v>759.14999999999418</v>
      </c>
      <c r="I53" s="79">
        <f t="shared" si="8"/>
        <v>0.143778409090908</v>
      </c>
    </row>
    <row r="54" spans="1:9" s="21" customFormat="1" ht="15" customHeight="1" x14ac:dyDescent="0.2">
      <c r="A54" s="57"/>
      <c r="B54" s="57"/>
      <c r="C54" s="87">
        <v>96877.69</v>
      </c>
      <c r="D54" s="61" t="s">
        <v>106</v>
      </c>
      <c r="E54" s="87">
        <v>97156.56</v>
      </c>
      <c r="F54" s="60"/>
      <c r="G54" s="60" t="s">
        <v>46</v>
      </c>
      <c r="H54" s="60">
        <f t="shared" si="7"/>
        <v>278.86999999999534</v>
      </c>
      <c r="I54" s="79">
        <f t="shared" si="8"/>
        <v>5.2816287878786998E-2</v>
      </c>
    </row>
    <row r="55" spans="1:9" s="21" customFormat="1" ht="15" customHeight="1" x14ac:dyDescent="0.2">
      <c r="A55" s="57"/>
      <c r="B55" s="57"/>
      <c r="C55" s="87">
        <v>97156.56</v>
      </c>
      <c r="D55" s="61" t="s">
        <v>106</v>
      </c>
      <c r="E55" s="87">
        <v>97894.14</v>
      </c>
      <c r="F55" s="60"/>
      <c r="G55" s="60" t="s">
        <v>46</v>
      </c>
      <c r="H55" s="60">
        <f t="shared" si="7"/>
        <v>737.58000000000175</v>
      </c>
      <c r="I55" s="79">
        <f t="shared" si="8"/>
        <v>0.13969318181818216</v>
      </c>
    </row>
    <row r="56" spans="1:9" s="21" customFormat="1" ht="15" customHeight="1" x14ac:dyDescent="0.2">
      <c r="A56" s="57"/>
      <c r="B56" s="57"/>
      <c r="C56" s="87">
        <v>98107.1</v>
      </c>
      <c r="D56" s="61" t="s">
        <v>106</v>
      </c>
      <c r="E56" s="87">
        <v>99763.51</v>
      </c>
      <c r="F56" s="60"/>
      <c r="G56" s="60" t="s">
        <v>46</v>
      </c>
      <c r="H56" s="60">
        <f t="shared" si="7"/>
        <v>1656.4099999999889</v>
      </c>
      <c r="I56" s="79">
        <f t="shared" si="8"/>
        <v>0.31371401515151304</v>
      </c>
    </row>
    <row r="57" spans="1:9" s="21" customFormat="1" ht="15" customHeight="1" x14ac:dyDescent="0.2">
      <c r="A57" s="57"/>
      <c r="B57" s="57"/>
      <c r="C57" s="87">
        <v>99763.51</v>
      </c>
      <c r="D57" s="61" t="s">
        <v>106</v>
      </c>
      <c r="E57" s="87">
        <v>100471.49</v>
      </c>
      <c r="F57" s="60"/>
      <c r="G57" s="60" t="s">
        <v>46</v>
      </c>
      <c r="H57" s="60">
        <f t="shared" si="7"/>
        <v>707.98000000001048</v>
      </c>
      <c r="I57" s="79">
        <f t="shared" si="8"/>
        <v>0.13408712121212318</v>
      </c>
    </row>
    <row r="58" spans="1:9" s="21" customFormat="1" ht="15" customHeight="1" x14ac:dyDescent="0.2">
      <c r="A58" s="57"/>
      <c r="B58" s="57"/>
      <c r="C58" s="87">
        <v>100698.49</v>
      </c>
      <c r="D58" s="61" t="s">
        <v>106</v>
      </c>
      <c r="E58" s="87">
        <v>102095.28</v>
      </c>
      <c r="F58" s="60"/>
      <c r="G58" s="60" t="s">
        <v>46</v>
      </c>
      <c r="H58" s="60">
        <f t="shared" si="7"/>
        <v>1396.7899999999936</v>
      </c>
      <c r="I58" s="79">
        <f t="shared" si="8"/>
        <v>0.26454356060605938</v>
      </c>
    </row>
    <row r="59" spans="1:9" s="21" customFormat="1" ht="15" customHeight="1" x14ac:dyDescent="0.2">
      <c r="A59" s="57"/>
      <c r="B59" s="57"/>
      <c r="C59" s="87">
        <v>102095.28</v>
      </c>
      <c r="D59" s="61" t="s">
        <v>106</v>
      </c>
      <c r="E59" s="87">
        <v>103323.34</v>
      </c>
      <c r="F59" s="60"/>
      <c r="G59" s="60" t="s">
        <v>46</v>
      </c>
      <c r="H59" s="60">
        <f t="shared" si="7"/>
        <v>1228.0599999999977</v>
      </c>
      <c r="I59" s="79">
        <f t="shared" si="8"/>
        <v>0.23258712121212077</v>
      </c>
    </row>
    <row r="60" spans="1:9" s="21" customFormat="1" ht="15" customHeight="1" x14ac:dyDescent="0.2">
      <c r="A60" s="57"/>
      <c r="B60" s="57"/>
      <c r="C60" s="87">
        <v>103323.34</v>
      </c>
      <c r="D60" s="61" t="s">
        <v>106</v>
      </c>
      <c r="E60" s="87">
        <v>104404.06</v>
      </c>
      <c r="F60" s="60"/>
      <c r="G60" s="60" t="s">
        <v>46</v>
      </c>
      <c r="H60" s="60">
        <f t="shared" si="7"/>
        <v>1080.7200000000012</v>
      </c>
      <c r="I60" s="79">
        <f t="shared" si="8"/>
        <v>0.20468181818181841</v>
      </c>
    </row>
    <row r="61" spans="1:9" s="21" customFormat="1" ht="15" customHeight="1" x14ac:dyDescent="0.2">
      <c r="A61" s="57"/>
      <c r="B61" s="57"/>
      <c r="C61" s="87">
        <v>104642.55</v>
      </c>
      <c r="D61" s="61" t="s">
        <v>106</v>
      </c>
      <c r="E61" s="87">
        <v>105254.95</v>
      </c>
      <c r="F61" s="60"/>
      <c r="G61" s="60" t="s">
        <v>46</v>
      </c>
      <c r="H61" s="60">
        <f t="shared" si="7"/>
        <v>612.39999999999418</v>
      </c>
      <c r="I61" s="79">
        <f t="shared" si="8"/>
        <v>0.11598484848484739</v>
      </c>
    </row>
    <row r="62" spans="1:9" s="21" customFormat="1" ht="15" customHeight="1" x14ac:dyDescent="0.2">
      <c r="A62" s="57"/>
      <c r="B62" s="57"/>
      <c r="C62" s="87">
        <v>105254.95</v>
      </c>
      <c r="D62" s="61" t="s">
        <v>106</v>
      </c>
      <c r="E62" s="87">
        <v>107367.19</v>
      </c>
      <c r="F62" s="60"/>
      <c r="G62" s="60" t="s">
        <v>46</v>
      </c>
      <c r="H62" s="60">
        <f t="shared" si="7"/>
        <v>2112.2400000000052</v>
      </c>
      <c r="I62" s="79">
        <f t="shared" si="8"/>
        <v>0.40004545454545554</v>
      </c>
    </row>
    <row r="63" spans="1:9" s="21" customFormat="1" ht="15" customHeight="1" x14ac:dyDescent="0.2">
      <c r="A63" s="57"/>
      <c r="B63" s="57"/>
      <c r="C63" s="87">
        <v>107530.42</v>
      </c>
      <c r="D63" s="61" t="s">
        <v>106</v>
      </c>
      <c r="E63" s="87">
        <v>107675.68</v>
      </c>
      <c r="F63" s="60"/>
      <c r="G63" s="60" t="s">
        <v>46</v>
      </c>
      <c r="H63" s="60">
        <f t="shared" si="7"/>
        <v>145.25999999999476</v>
      </c>
      <c r="I63" s="79">
        <f t="shared" si="8"/>
        <v>2.7511363636362644E-2</v>
      </c>
    </row>
    <row r="64" spans="1:9" s="21" customFormat="1" ht="15" customHeight="1" x14ac:dyDescent="0.2">
      <c r="A64" s="57"/>
      <c r="B64" s="57"/>
      <c r="C64" s="87">
        <v>107877.26</v>
      </c>
      <c r="D64" s="61" t="s">
        <v>106</v>
      </c>
      <c r="E64" s="87">
        <v>108563.25</v>
      </c>
      <c r="F64" s="60"/>
      <c r="G64" s="60" t="s">
        <v>46</v>
      </c>
      <c r="H64" s="60">
        <f t="shared" si="7"/>
        <v>685.99000000000524</v>
      </c>
      <c r="I64" s="79">
        <f t="shared" si="8"/>
        <v>0.12992234848484949</v>
      </c>
    </row>
    <row r="65" spans="1:9" s="21" customFormat="1" ht="15" customHeight="1" x14ac:dyDescent="0.2">
      <c r="A65" s="57"/>
      <c r="B65" s="57"/>
      <c r="C65" s="87">
        <v>108563.25</v>
      </c>
      <c r="D65" s="61" t="s">
        <v>106</v>
      </c>
      <c r="E65" s="87">
        <v>109148.5</v>
      </c>
      <c r="F65" s="60"/>
      <c r="G65" s="60" t="s">
        <v>46</v>
      </c>
      <c r="H65" s="60">
        <f>SUM(E65-C65)</f>
        <v>585.25</v>
      </c>
      <c r="I65" s="79">
        <f t="shared" si="8"/>
        <v>0.11084280303030303</v>
      </c>
    </row>
    <row r="66" spans="1:9" s="21" customFormat="1" ht="15" customHeight="1" x14ac:dyDescent="0.2">
      <c r="A66" s="57"/>
      <c r="B66" s="57"/>
      <c r="C66" s="87">
        <v>109148.5</v>
      </c>
      <c r="D66" s="61" t="s">
        <v>106</v>
      </c>
      <c r="E66" s="87">
        <v>109725</v>
      </c>
      <c r="F66" s="60"/>
      <c r="G66" s="60" t="s">
        <v>46</v>
      </c>
      <c r="H66" s="60">
        <f t="shared" ref="H66" si="9">SUM(E66-C66)</f>
        <v>576.5</v>
      </c>
      <c r="I66" s="79">
        <f t="shared" si="8"/>
        <v>0.10918560606060607</v>
      </c>
    </row>
    <row r="67" spans="1:9" s="21" customFormat="1" ht="15" customHeight="1" x14ac:dyDescent="0.2">
      <c r="A67" s="57"/>
      <c r="B67" s="57"/>
      <c r="C67" s="61"/>
      <c r="D67" s="61"/>
      <c r="E67" s="61"/>
      <c r="F67" s="60"/>
      <c r="G67" s="60"/>
      <c r="H67" s="60"/>
      <c r="I67" s="79"/>
    </row>
    <row r="68" spans="1:9" s="21" customFormat="1" ht="15" customHeight="1" thickBot="1" x14ac:dyDescent="0.25">
      <c r="H68" s="27"/>
    </row>
    <row r="69" spans="1:9" s="21" customFormat="1" ht="15" customHeight="1" x14ac:dyDescent="0.2">
      <c r="C69" s="81"/>
      <c r="D69" s="81"/>
      <c r="E69" s="81"/>
      <c r="F69" s="91" t="s">
        <v>50</v>
      </c>
      <c r="G69" s="92"/>
      <c r="H69" s="82">
        <f>SUM(H10:H67)</f>
        <v>51353.599999999933</v>
      </c>
      <c r="I69" s="83">
        <f>SUM(I10:I67)</f>
        <v>9.7260606060605959</v>
      </c>
    </row>
    <row r="70" spans="1:9" s="21" customFormat="1" ht="15" customHeight="1" x14ac:dyDescent="0.2"/>
    <row r="71" spans="1:9" s="21" customFormat="1" ht="15" customHeight="1" x14ac:dyDescent="0.2"/>
    <row r="72" spans="1:9" s="21" customFormat="1" ht="15" customHeight="1" x14ac:dyDescent="0.2"/>
    <row r="73" spans="1:9" s="21" customFormat="1" ht="15" customHeight="1" x14ac:dyDescent="0.2"/>
    <row r="74" spans="1:9" s="21" customFormat="1" ht="15" customHeight="1" x14ac:dyDescent="0.2"/>
  </sheetData>
  <mergeCells count="8">
    <mergeCell ref="C37:E37"/>
    <mergeCell ref="F69:G69"/>
    <mergeCell ref="C48:E48"/>
    <mergeCell ref="F4:F5"/>
    <mergeCell ref="G4:G5"/>
    <mergeCell ref="C4:E5"/>
    <mergeCell ref="C6:E6"/>
    <mergeCell ref="C25:E25"/>
  </mergeCells>
  <pageMargins left="0.25" right="0.25" top="0.75" bottom="0.75" header="0.3" footer="0.3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</sheetPr>
  <dimension ref="A1:J217"/>
  <sheetViews>
    <sheetView tabSelected="1" showRuler="0" view="pageBreakPreview" zoomScaleNormal="90" zoomScaleSheetLayoutView="100" zoomScalePageLayoutView="115" workbookViewId="0">
      <selection activeCell="G28" sqref="G28"/>
    </sheetView>
  </sheetViews>
  <sheetFormatPr defaultColWidth="9.140625" defaultRowHeight="12.75" x14ac:dyDescent="0.2"/>
  <cols>
    <col min="1" max="1" width="8.5703125" style="19" customWidth="1"/>
    <col min="2" max="4" width="9.7109375" style="19" customWidth="1"/>
    <col min="5" max="5" width="9.7109375" style="20" customWidth="1"/>
    <col min="6" max="6" width="9.7109375" style="21" customWidth="1"/>
    <col min="7" max="7" width="10.140625" style="22" bestFit="1" customWidth="1"/>
    <col min="8" max="9" width="9.7109375" style="19" customWidth="1"/>
    <col min="10" max="10" width="9.140625" style="19" customWidth="1"/>
    <col min="11" max="256" width="9.140625" style="19"/>
    <col min="257" max="266" width="9.140625" style="19" customWidth="1"/>
    <col min="267" max="512" width="9.140625" style="19"/>
    <col min="513" max="522" width="9.140625" style="19" customWidth="1"/>
    <col min="523" max="768" width="9.140625" style="19"/>
    <col min="769" max="778" width="9.140625" style="19" customWidth="1"/>
    <col min="779" max="1024" width="9.140625" style="19"/>
    <col min="1025" max="1034" width="9.140625" style="19" customWidth="1"/>
    <col min="1035" max="1280" width="9.140625" style="19"/>
    <col min="1281" max="1290" width="9.140625" style="19" customWidth="1"/>
    <col min="1291" max="1536" width="9.140625" style="19"/>
    <col min="1537" max="1546" width="9.140625" style="19" customWidth="1"/>
    <col min="1547" max="1792" width="9.140625" style="19"/>
    <col min="1793" max="1802" width="9.140625" style="19" customWidth="1"/>
    <col min="1803" max="2048" width="9.140625" style="19"/>
    <col min="2049" max="2058" width="9.140625" style="19" customWidth="1"/>
    <col min="2059" max="2304" width="9.140625" style="19"/>
    <col min="2305" max="2314" width="9.140625" style="19" customWidth="1"/>
    <col min="2315" max="2560" width="9.140625" style="19"/>
    <col min="2561" max="2570" width="9.140625" style="19" customWidth="1"/>
    <col min="2571" max="2816" width="9.140625" style="19"/>
    <col min="2817" max="2826" width="9.140625" style="19" customWidth="1"/>
    <col min="2827" max="3072" width="9.140625" style="19"/>
    <col min="3073" max="3082" width="9.140625" style="19" customWidth="1"/>
    <col min="3083" max="3328" width="9.140625" style="19"/>
    <col min="3329" max="3338" width="9.140625" style="19" customWidth="1"/>
    <col min="3339" max="3584" width="9.140625" style="19"/>
    <col min="3585" max="3594" width="9.140625" style="19" customWidth="1"/>
    <col min="3595" max="3840" width="9.140625" style="19"/>
    <col min="3841" max="3850" width="9.140625" style="19" customWidth="1"/>
    <col min="3851" max="4096" width="9.140625" style="19"/>
    <col min="4097" max="4106" width="9.140625" style="19" customWidth="1"/>
    <col min="4107" max="4352" width="9.140625" style="19"/>
    <col min="4353" max="4362" width="9.140625" style="19" customWidth="1"/>
    <col min="4363" max="4608" width="9.140625" style="19"/>
    <col min="4609" max="4618" width="9.140625" style="19" customWidth="1"/>
    <col min="4619" max="4864" width="9.140625" style="19"/>
    <col min="4865" max="4874" width="9.140625" style="19" customWidth="1"/>
    <col min="4875" max="5120" width="9.140625" style="19"/>
    <col min="5121" max="5130" width="9.140625" style="19" customWidth="1"/>
    <col min="5131" max="5376" width="9.140625" style="19"/>
    <col min="5377" max="5386" width="9.140625" style="19" customWidth="1"/>
    <col min="5387" max="5632" width="9.140625" style="19"/>
    <col min="5633" max="5642" width="9.140625" style="19" customWidth="1"/>
    <col min="5643" max="5888" width="9.140625" style="19"/>
    <col min="5889" max="5898" width="9.140625" style="19" customWidth="1"/>
    <col min="5899" max="6144" width="9.140625" style="19"/>
    <col min="6145" max="6154" width="9.140625" style="19" customWidth="1"/>
    <col min="6155" max="6400" width="9.140625" style="19"/>
    <col min="6401" max="6410" width="9.140625" style="19" customWidth="1"/>
    <col min="6411" max="6656" width="9.140625" style="19"/>
    <col min="6657" max="6666" width="9.140625" style="19" customWidth="1"/>
    <col min="6667" max="6912" width="9.140625" style="19"/>
    <col min="6913" max="6922" width="9.140625" style="19" customWidth="1"/>
    <col min="6923" max="7168" width="9.140625" style="19"/>
    <col min="7169" max="7178" width="9.140625" style="19" customWidth="1"/>
    <col min="7179" max="7424" width="9.140625" style="19"/>
    <col min="7425" max="7434" width="9.140625" style="19" customWidth="1"/>
    <col min="7435" max="7680" width="9.140625" style="19"/>
    <col min="7681" max="7690" width="9.140625" style="19" customWidth="1"/>
    <col min="7691" max="7936" width="9.140625" style="19"/>
    <col min="7937" max="7946" width="9.140625" style="19" customWidth="1"/>
    <col min="7947" max="8192" width="9.140625" style="19"/>
    <col min="8193" max="8202" width="9.140625" style="19" customWidth="1"/>
    <col min="8203" max="8448" width="9.140625" style="19"/>
    <col min="8449" max="8458" width="9.140625" style="19" customWidth="1"/>
    <col min="8459" max="8704" width="9.140625" style="19"/>
    <col min="8705" max="8714" width="9.140625" style="19" customWidth="1"/>
    <col min="8715" max="8960" width="9.140625" style="19"/>
    <col min="8961" max="8970" width="9.140625" style="19" customWidth="1"/>
    <col min="8971" max="9216" width="9.140625" style="19"/>
    <col min="9217" max="9226" width="9.140625" style="19" customWidth="1"/>
    <col min="9227" max="9472" width="9.140625" style="19"/>
    <col min="9473" max="9482" width="9.140625" style="19" customWidth="1"/>
    <col min="9483" max="9728" width="9.140625" style="19"/>
    <col min="9729" max="9738" width="9.140625" style="19" customWidth="1"/>
    <col min="9739" max="9984" width="9.140625" style="19"/>
    <col min="9985" max="9994" width="9.140625" style="19" customWidth="1"/>
    <col min="9995" max="10240" width="9.140625" style="19"/>
    <col min="10241" max="10250" width="9.140625" style="19" customWidth="1"/>
    <col min="10251" max="10496" width="9.140625" style="19"/>
    <col min="10497" max="10506" width="9.140625" style="19" customWidth="1"/>
    <col min="10507" max="10752" width="9.140625" style="19"/>
    <col min="10753" max="10762" width="9.140625" style="19" customWidth="1"/>
    <col min="10763" max="11008" width="9.140625" style="19"/>
    <col min="11009" max="11018" width="9.140625" style="19" customWidth="1"/>
    <col min="11019" max="11264" width="9.140625" style="19"/>
    <col min="11265" max="11274" width="9.140625" style="19" customWidth="1"/>
    <col min="11275" max="11520" width="9.140625" style="19"/>
    <col min="11521" max="11530" width="9.140625" style="19" customWidth="1"/>
    <col min="11531" max="11776" width="9.140625" style="19"/>
    <col min="11777" max="11786" width="9.140625" style="19" customWidth="1"/>
    <col min="11787" max="12032" width="9.140625" style="19"/>
    <col min="12033" max="12042" width="9.140625" style="19" customWidth="1"/>
    <col min="12043" max="12288" width="9.140625" style="19"/>
    <col min="12289" max="12298" width="9.140625" style="19" customWidth="1"/>
    <col min="12299" max="12544" width="9.140625" style="19"/>
    <col min="12545" max="12554" width="9.140625" style="19" customWidth="1"/>
    <col min="12555" max="12800" width="9.140625" style="19"/>
    <col min="12801" max="12810" width="9.140625" style="19" customWidth="1"/>
    <col min="12811" max="13056" width="9.140625" style="19"/>
    <col min="13057" max="13066" width="9.140625" style="19" customWidth="1"/>
    <col min="13067" max="13312" width="9.140625" style="19"/>
    <col min="13313" max="13322" width="9.140625" style="19" customWidth="1"/>
    <col min="13323" max="13568" width="9.140625" style="19"/>
    <col min="13569" max="13578" width="9.140625" style="19" customWidth="1"/>
    <col min="13579" max="13824" width="9.140625" style="19"/>
    <col min="13825" max="13834" width="9.140625" style="19" customWidth="1"/>
    <col min="13835" max="14080" width="9.140625" style="19"/>
    <col min="14081" max="14090" width="9.140625" style="19" customWidth="1"/>
    <col min="14091" max="14336" width="9.140625" style="19"/>
    <col min="14337" max="14346" width="9.140625" style="19" customWidth="1"/>
    <col min="14347" max="14592" width="9.140625" style="19"/>
    <col min="14593" max="14602" width="9.140625" style="19" customWidth="1"/>
    <col min="14603" max="14848" width="9.140625" style="19"/>
    <col min="14849" max="14858" width="9.140625" style="19" customWidth="1"/>
    <col min="14859" max="15104" width="9.140625" style="19"/>
    <col min="15105" max="15114" width="9.140625" style="19" customWidth="1"/>
    <col min="15115" max="15360" width="9.140625" style="19"/>
    <col min="15361" max="15370" width="9.140625" style="19" customWidth="1"/>
    <col min="15371" max="15616" width="9.140625" style="19"/>
    <col min="15617" max="15626" width="9.140625" style="19" customWidth="1"/>
    <col min="15627" max="15872" width="9.140625" style="19"/>
    <col min="15873" max="15882" width="9.140625" style="19" customWidth="1"/>
    <col min="15883" max="16128" width="9.140625" style="19"/>
    <col min="16129" max="16138" width="9.140625" style="19" customWidth="1"/>
    <col min="16139" max="16384" width="9.140625" style="19"/>
  </cols>
  <sheetData>
    <row r="1" spans="6:6" ht="12.75" customHeight="1" x14ac:dyDescent="0.2"/>
    <row r="2" spans="6:6" ht="12.75" customHeight="1" x14ac:dyDescent="0.2"/>
    <row r="3" spans="6:6" ht="12.75" customHeight="1" x14ac:dyDescent="0.2"/>
    <row r="4" spans="6:6" ht="12.75" customHeight="1" x14ac:dyDescent="0.2"/>
    <row r="5" spans="6:6" ht="12.75" customHeight="1" x14ac:dyDescent="0.2"/>
    <row r="6" spans="6:6" ht="12.75" customHeight="1" x14ac:dyDescent="0.2"/>
    <row r="7" spans="6:6" ht="12.75" customHeight="1" x14ac:dyDescent="0.2"/>
    <row r="8" spans="6:6" ht="12.75" customHeight="1" x14ac:dyDescent="0.2"/>
    <row r="9" spans="6:6" ht="12.75" customHeight="1" x14ac:dyDescent="0.2"/>
    <row r="10" spans="6:6" ht="12.75" customHeight="1" x14ac:dyDescent="0.2"/>
    <row r="11" spans="6:6" ht="12.75" customHeight="1" x14ac:dyDescent="0.2"/>
    <row r="12" spans="6:6" ht="12.75" customHeight="1" x14ac:dyDescent="0.2"/>
    <row r="13" spans="6:6" ht="21.95" customHeight="1" x14ac:dyDescent="0.2">
      <c r="F13" s="23" t="s">
        <v>54</v>
      </c>
    </row>
    <row r="14" spans="6:6" ht="21.95" customHeight="1" x14ac:dyDescent="0.2">
      <c r="F14" s="23" t="s">
        <v>51</v>
      </c>
    </row>
    <row r="15" spans="6:6" ht="21.95" customHeight="1" x14ac:dyDescent="0.2">
      <c r="F15" s="23" t="s">
        <v>53</v>
      </c>
    </row>
    <row r="16" spans="6:6" ht="21.95" customHeight="1" x14ac:dyDescent="0.2">
      <c r="F16" s="24" t="s">
        <v>112</v>
      </c>
    </row>
    <row r="17" spans="1:10" ht="21.95" customHeight="1" x14ac:dyDescent="0.2">
      <c r="F17" s="24" t="s">
        <v>52</v>
      </c>
    </row>
    <row r="18" spans="1:10" ht="12.75" customHeight="1" x14ac:dyDescent="0.2">
      <c r="A18" s="21"/>
      <c r="B18" s="21"/>
      <c r="C18" s="21"/>
      <c r="D18" s="21"/>
      <c r="E18" s="25"/>
      <c r="H18" s="21"/>
      <c r="I18" s="21"/>
      <c r="J18" s="21"/>
    </row>
    <row r="19" spans="1:10" ht="12.75" customHeight="1" x14ac:dyDescent="0.2">
      <c r="A19" s="21"/>
      <c r="B19" s="21"/>
      <c r="C19" s="21"/>
      <c r="D19" s="21"/>
      <c r="E19" s="26"/>
      <c r="F19" s="27"/>
      <c r="G19" s="28"/>
      <c r="H19" s="21"/>
      <c r="I19" s="21"/>
      <c r="J19" s="21"/>
    </row>
    <row r="20" spans="1:10" ht="12.75" customHeight="1" x14ac:dyDescent="0.2">
      <c r="A20" s="21"/>
      <c r="B20" s="21"/>
      <c r="C20" s="21"/>
      <c r="D20" s="21"/>
      <c r="E20" s="25"/>
      <c r="F20" s="27"/>
      <c r="G20" s="28"/>
      <c r="H20" s="21"/>
      <c r="I20" s="21"/>
      <c r="J20" s="21"/>
    </row>
    <row r="21" spans="1:10" ht="12.75" customHeight="1" x14ac:dyDescent="0.2">
      <c r="A21" s="21"/>
      <c r="B21" s="21"/>
      <c r="C21" s="21"/>
      <c r="D21" s="21"/>
      <c r="E21" s="25"/>
      <c r="F21" s="27"/>
      <c r="G21" s="28"/>
      <c r="H21" s="21"/>
      <c r="I21" s="21"/>
      <c r="J21" s="21"/>
    </row>
    <row r="22" spans="1:10" ht="12.75" customHeight="1" x14ac:dyDescent="0.2">
      <c r="A22" s="21"/>
      <c r="B22" s="21"/>
      <c r="C22" s="21"/>
      <c r="D22" s="21"/>
      <c r="E22" s="26"/>
      <c r="F22" s="27"/>
      <c r="G22" s="28"/>
      <c r="H22" s="27"/>
      <c r="I22" s="27"/>
      <c r="J22" s="27"/>
    </row>
    <row r="23" spans="1:10" ht="12.75" customHeight="1" x14ac:dyDescent="0.2">
      <c r="A23" s="21"/>
      <c r="B23" s="21"/>
      <c r="C23" s="21"/>
      <c r="D23" s="21"/>
      <c r="H23" s="27"/>
      <c r="I23" s="27"/>
      <c r="J23" s="27"/>
    </row>
    <row r="24" spans="1:10" ht="12.75" customHeight="1" x14ac:dyDescent="0.2">
      <c r="A24" s="21"/>
      <c r="B24" s="21"/>
      <c r="C24" s="21"/>
      <c r="D24" s="21"/>
      <c r="H24" s="27"/>
      <c r="I24" s="27"/>
      <c r="J24" s="27"/>
    </row>
    <row r="25" spans="1:10" ht="12.75" customHeight="1" x14ac:dyDescent="0.2">
      <c r="A25" s="21"/>
      <c r="B25" s="21"/>
      <c r="C25" s="21"/>
      <c r="D25" s="21"/>
      <c r="H25" s="27"/>
      <c r="I25" s="27"/>
      <c r="J25" s="27"/>
    </row>
    <row r="26" spans="1:10" ht="12.75" customHeight="1" x14ac:dyDescent="0.2">
      <c r="A26" s="21"/>
      <c r="B26" s="21"/>
      <c r="C26" s="21"/>
      <c r="D26" s="21"/>
      <c r="H26" s="21"/>
      <c r="I26" s="21"/>
      <c r="J26" s="21"/>
    </row>
    <row r="27" spans="1:10" ht="12.75" customHeight="1" x14ac:dyDescent="0.2">
      <c r="A27" s="21"/>
      <c r="B27" s="21"/>
      <c r="C27" s="21"/>
      <c r="D27" s="21"/>
      <c r="H27" s="27"/>
      <c r="I27" s="21"/>
      <c r="J27" s="21"/>
    </row>
    <row r="28" spans="1:10" ht="12.75" customHeight="1" x14ac:dyDescent="0.2">
      <c r="A28" s="21"/>
      <c r="B28" s="21"/>
      <c r="C28" s="21"/>
      <c r="D28" s="21"/>
      <c r="H28" s="21"/>
      <c r="I28" s="21"/>
      <c r="J28" s="21"/>
    </row>
    <row r="29" spans="1:10" ht="12.75" customHeight="1" x14ac:dyDescent="0.2">
      <c r="A29" s="21"/>
      <c r="B29" s="21"/>
      <c r="C29" s="21"/>
      <c r="D29" s="21"/>
      <c r="H29" s="21"/>
      <c r="I29" s="21"/>
      <c r="J29" s="21"/>
    </row>
    <row r="30" spans="1:10" ht="12.75" customHeight="1" x14ac:dyDescent="0.2">
      <c r="A30" s="21"/>
      <c r="B30" s="21"/>
      <c r="C30" s="21"/>
      <c r="D30" s="21"/>
      <c r="H30" s="21"/>
      <c r="I30" s="21"/>
      <c r="J30" s="21"/>
    </row>
    <row r="31" spans="1:10" ht="12.75" customHeight="1" x14ac:dyDescent="0.2">
      <c r="A31" s="21"/>
      <c r="B31" s="21"/>
      <c r="C31" s="21"/>
      <c r="D31" s="21"/>
      <c r="H31" s="21"/>
      <c r="I31" s="21"/>
      <c r="J31" s="21"/>
    </row>
    <row r="32" spans="1:10" ht="12.75" customHeight="1" x14ac:dyDescent="0.2">
      <c r="A32" s="21"/>
      <c r="B32" s="21"/>
      <c r="C32" s="21"/>
      <c r="D32" s="21"/>
      <c r="H32" s="21"/>
      <c r="I32" s="21"/>
      <c r="J32" s="21"/>
    </row>
    <row r="33" spans="1:10" ht="12.75" customHeight="1" x14ac:dyDescent="0.2">
      <c r="A33" s="21"/>
      <c r="B33" s="21"/>
      <c r="C33" s="21"/>
      <c r="D33" s="21"/>
      <c r="H33" s="21"/>
      <c r="I33" s="21"/>
      <c r="J33" s="21"/>
    </row>
    <row r="34" spans="1:10" ht="12.75" customHeight="1" x14ac:dyDescent="0.2">
      <c r="A34" s="21"/>
      <c r="B34" s="21"/>
      <c r="C34" s="21"/>
      <c r="D34" s="21"/>
      <c r="H34" s="21"/>
      <c r="I34" s="21"/>
      <c r="J34" s="21"/>
    </row>
    <row r="35" spans="1:10" ht="12.75" customHeight="1" x14ac:dyDescent="0.2">
      <c r="A35" s="21"/>
      <c r="B35" s="21"/>
      <c r="C35" s="21"/>
      <c r="D35" s="21"/>
      <c r="H35" s="21"/>
      <c r="I35" s="21"/>
      <c r="J35" s="21"/>
    </row>
    <row r="36" spans="1:10" ht="12.75" customHeight="1" x14ac:dyDescent="0.2">
      <c r="A36" s="21"/>
      <c r="B36" s="21"/>
      <c r="C36" s="21"/>
      <c r="D36" s="21"/>
      <c r="H36" s="21"/>
      <c r="I36" s="21"/>
      <c r="J36" s="21"/>
    </row>
    <row r="37" spans="1:10" ht="12.75" customHeight="1" x14ac:dyDescent="0.2">
      <c r="A37" s="21"/>
      <c r="B37" s="21"/>
      <c r="C37" s="21"/>
      <c r="D37" s="21"/>
      <c r="H37" s="21"/>
      <c r="I37" s="21"/>
      <c r="J37" s="21"/>
    </row>
    <row r="38" spans="1:10" ht="12.75" customHeight="1" x14ac:dyDescent="0.2">
      <c r="A38" s="21"/>
      <c r="B38" s="21"/>
      <c r="C38" s="21"/>
      <c r="D38" s="21"/>
      <c r="H38" s="21"/>
      <c r="I38" s="21"/>
      <c r="J38" s="21"/>
    </row>
    <row r="39" spans="1:10" ht="12.75" customHeight="1" x14ac:dyDescent="0.2">
      <c r="A39" s="21"/>
      <c r="B39" s="21"/>
      <c r="C39" s="21"/>
      <c r="D39" s="21"/>
      <c r="H39" s="21"/>
      <c r="I39" s="21"/>
      <c r="J39" s="21"/>
    </row>
    <row r="40" spans="1:10" ht="12.75" customHeight="1" x14ac:dyDescent="0.2">
      <c r="A40" s="21"/>
      <c r="B40" s="21"/>
      <c r="C40" s="21"/>
      <c r="D40" s="21"/>
      <c r="H40" s="21"/>
      <c r="I40" s="21"/>
      <c r="J40" s="21"/>
    </row>
    <row r="41" spans="1:10" ht="12.75" customHeight="1" x14ac:dyDescent="0.2">
      <c r="A41" s="21"/>
      <c r="B41" s="21"/>
      <c r="C41" s="21"/>
      <c r="D41" s="21"/>
      <c r="H41" s="21"/>
      <c r="I41" s="21"/>
      <c r="J41" s="21"/>
    </row>
    <row r="42" spans="1:10" ht="12.75" customHeight="1" x14ac:dyDescent="0.2">
      <c r="A42" s="21"/>
      <c r="B42" s="21"/>
      <c r="C42" s="21"/>
      <c r="D42" s="21"/>
      <c r="H42" s="21"/>
      <c r="I42" s="21"/>
      <c r="J42" s="21"/>
    </row>
    <row r="43" spans="1:10" ht="12.75" customHeight="1" x14ac:dyDescent="0.2">
      <c r="A43" s="21"/>
      <c r="B43" s="21"/>
      <c r="C43" s="21"/>
      <c r="D43" s="21"/>
      <c r="H43" s="21"/>
      <c r="I43" s="21"/>
      <c r="J43" s="21"/>
    </row>
    <row r="44" spans="1:10" ht="12.75" customHeight="1" x14ac:dyDescent="0.2">
      <c r="A44" s="21"/>
      <c r="B44" s="21"/>
      <c r="C44" s="21"/>
      <c r="D44" s="21"/>
      <c r="H44" s="21"/>
      <c r="I44" s="21"/>
      <c r="J44" s="21"/>
    </row>
    <row r="45" spans="1:10" ht="12.75" customHeight="1" x14ac:dyDescent="0.2">
      <c r="A45" s="21"/>
      <c r="B45" s="21"/>
      <c r="C45" s="21"/>
      <c r="D45" s="21"/>
      <c r="H45" s="21"/>
      <c r="I45" s="21"/>
      <c r="J45" s="21"/>
    </row>
    <row r="46" spans="1:10" ht="12.75" customHeight="1" x14ac:dyDescent="0.2">
      <c r="A46" s="21"/>
      <c r="B46" s="21"/>
      <c r="C46" s="21"/>
      <c r="D46" s="21"/>
      <c r="H46" s="21"/>
      <c r="I46" s="21"/>
      <c r="J46" s="21"/>
    </row>
    <row r="47" spans="1:10" ht="12.75" customHeight="1" x14ac:dyDescent="0.2">
      <c r="A47" s="21"/>
      <c r="B47" s="21"/>
      <c r="C47" s="21"/>
      <c r="D47" s="21"/>
      <c r="H47" s="21"/>
      <c r="I47" s="21"/>
      <c r="J47" s="21"/>
    </row>
    <row r="48" spans="1:10" ht="12.75" customHeight="1" x14ac:dyDescent="0.2">
      <c r="A48" s="21"/>
      <c r="B48" s="21"/>
      <c r="C48" s="21"/>
      <c r="D48" s="21"/>
      <c r="H48" s="21"/>
      <c r="I48" s="21"/>
      <c r="J48" s="21"/>
    </row>
    <row r="49" spans="1:10" ht="12.75" customHeight="1" x14ac:dyDescent="0.2">
      <c r="A49" s="21"/>
      <c r="B49" s="21"/>
      <c r="C49" s="21"/>
      <c r="D49" s="21"/>
      <c r="H49" s="21"/>
      <c r="I49" s="21"/>
      <c r="J49" s="21"/>
    </row>
    <row r="50" spans="1:10" ht="12.75" customHeight="1" x14ac:dyDescent="0.2">
      <c r="A50" s="21"/>
      <c r="B50" s="21"/>
      <c r="C50" s="21"/>
      <c r="D50" s="21"/>
      <c r="H50" s="21"/>
      <c r="I50" s="21"/>
      <c r="J50" s="21"/>
    </row>
    <row r="51" spans="1:10" ht="12.75" customHeight="1" x14ac:dyDescent="0.2">
      <c r="A51" s="21"/>
      <c r="B51" s="21"/>
      <c r="C51" s="21"/>
      <c r="D51" s="21"/>
      <c r="H51" s="21"/>
      <c r="I51" s="21"/>
      <c r="J51" s="21"/>
    </row>
    <row r="52" spans="1:10" ht="12.75" customHeight="1" x14ac:dyDescent="0.2">
      <c r="A52" s="21"/>
      <c r="B52" s="21"/>
      <c r="C52" s="21"/>
      <c r="D52" s="21"/>
      <c r="H52" s="21"/>
      <c r="I52" s="21"/>
      <c r="J52" s="21"/>
    </row>
    <row r="53" spans="1:10" ht="12.75" customHeight="1" x14ac:dyDescent="0.2">
      <c r="A53" s="21"/>
      <c r="B53" s="21"/>
      <c r="C53" s="21"/>
      <c r="D53" s="21"/>
      <c r="H53" s="21"/>
      <c r="I53" s="21"/>
      <c r="J53" s="21"/>
    </row>
    <row r="54" spans="1:10" ht="12.75" customHeight="1" x14ac:dyDescent="0.2">
      <c r="A54" s="21"/>
      <c r="B54" s="21"/>
      <c r="C54" s="21"/>
      <c r="D54" s="21"/>
      <c r="H54" s="21"/>
      <c r="I54" s="21"/>
      <c r="J54" s="21"/>
    </row>
    <row r="55" spans="1:10" ht="12.75" customHeight="1" x14ac:dyDescent="0.2">
      <c r="A55" s="21"/>
      <c r="B55" s="21"/>
      <c r="C55" s="21"/>
      <c r="D55" s="21"/>
      <c r="H55" s="21"/>
      <c r="I55" s="21"/>
      <c r="J55" s="21"/>
    </row>
    <row r="56" spans="1:10" ht="12.75" customHeight="1" x14ac:dyDescent="0.2">
      <c r="A56" s="21"/>
      <c r="B56" s="21"/>
      <c r="C56" s="21"/>
      <c r="D56" s="21"/>
      <c r="H56" s="21"/>
      <c r="I56" s="21"/>
      <c r="J56" s="21"/>
    </row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</sheetData>
  <pageMargins left="0.25" right="0.25" top="0.75" bottom="0.75" header="0.3" footer="0.3"/>
  <pageSetup orientation="portrait" r:id="rId1"/>
  <headerFooter alignWithMargins="0">
    <oddFooter>&amp;C&amp;N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92B7-3403-42E9-8FCA-33BEBE639B46}">
  <sheetPr>
    <tabColor rgb="FF99FF99"/>
    <pageSetUpPr fitToPage="1"/>
  </sheetPr>
  <dimension ref="A1:M48"/>
  <sheetViews>
    <sheetView showGridLines="0" view="pageBreakPreview" zoomScaleNormal="100" zoomScaleSheetLayoutView="100" workbookViewId="0">
      <selection activeCell="J49" sqref="J49"/>
    </sheetView>
  </sheetViews>
  <sheetFormatPr defaultColWidth="9.140625" defaultRowHeight="12.75" x14ac:dyDescent="0.2"/>
  <cols>
    <col min="1" max="1" width="5.42578125" style="30" customWidth="1"/>
    <col min="2" max="2" width="10" style="30" customWidth="1"/>
    <col min="3" max="3" width="6.28515625" style="30" customWidth="1"/>
    <col min="4" max="4" width="8" style="30" customWidth="1"/>
    <col min="5" max="5" width="9.42578125" style="30" customWidth="1"/>
    <col min="6" max="6" width="9.5703125" style="31" customWidth="1"/>
    <col min="7" max="7" width="8.140625" style="30" customWidth="1"/>
    <col min="8" max="8" width="16.7109375" style="30" bestFit="1" customWidth="1"/>
    <col min="9" max="9" width="4.28515625" style="30" customWidth="1"/>
    <col min="10" max="10" width="10.140625" style="30" customWidth="1"/>
    <col min="11" max="11" width="14.28515625" style="30" customWidth="1"/>
    <col min="12" max="16384" width="9.140625" style="9"/>
  </cols>
  <sheetData>
    <row r="1" spans="1:11" s="30" customFormat="1" ht="15" customHeight="1" x14ac:dyDescent="0.2">
      <c r="A1" s="29" t="s">
        <v>70</v>
      </c>
      <c r="F1" s="31"/>
    </row>
    <row r="2" spans="1:11" s="30" customFormat="1" ht="15" customHeight="1" x14ac:dyDescent="0.2">
      <c r="A2" s="32"/>
      <c r="E2" s="33"/>
      <c r="F2" s="34"/>
      <c r="G2" s="35"/>
      <c r="H2" s="35"/>
      <c r="I2" s="36"/>
      <c r="J2" s="37"/>
      <c r="K2" s="38"/>
    </row>
    <row r="3" spans="1:11" s="30" customFormat="1" ht="15" customHeight="1" x14ac:dyDescent="0.2">
      <c r="A3" s="39"/>
      <c r="B3" s="33"/>
      <c r="C3" s="33"/>
      <c r="D3" s="40"/>
      <c r="E3" s="33"/>
      <c r="F3" s="34"/>
      <c r="G3" s="35"/>
      <c r="H3" s="41" t="s">
        <v>40</v>
      </c>
      <c r="I3" s="41"/>
      <c r="J3" s="42" t="s">
        <v>41</v>
      </c>
      <c r="K3" s="42" t="s">
        <v>42</v>
      </c>
    </row>
    <row r="4" spans="1:11" s="30" customFormat="1" ht="15" customHeight="1" x14ac:dyDescent="0.2">
      <c r="A4" s="39"/>
      <c r="B4" s="33"/>
      <c r="C4" s="33"/>
      <c r="D4" s="40"/>
      <c r="E4" s="33"/>
      <c r="F4" s="34"/>
      <c r="G4" s="35"/>
      <c r="H4" s="41" t="s">
        <v>43</v>
      </c>
      <c r="I4" s="41"/>
      <c r="J4" s="42" t="s">
        <v>43</v>
      </c>
      <c r="K4" s="42" t="s">
        <v>44</v>
      </c>
    </row>
    <row r="5" spans="1:11" s="30" customFormat="1" ht="15" customHeight="1" x14ac:dyDescent="0.2">
      <c r="A5" s="39" t="s">
        <v>61</v>
      </c>
      <c r="B5" s="33"/>
      <c r="C5" s="33"/>
      <c r="D5" s="40"/>
      <c r="E5" s="33"/>
      <c r="F5" s="34"/>
      <c r="G5" s="35"/>
      <c r="H5" s="41"/>
      <c r="I5" s="41"/>
      <c r="J5" s="42"/>
      <c r="K5" s="42"/>
    </row>
    <row r="6" spans="1:11" s="30" customFormat="1" ht="15" customHeight="1" x14ac:dyDescent="0.2">
      <c r="A6" s="39" t="s">
        <v>55</v>
      </c>
      <c r="B6" s="33"/>
      <c r="C6" s="33"/>
      <c r="D6" s="40"/>
      <c r="E6" s="33"/>
      <c r="F6" s="34"/>
      <c r="G6" s="35"/>
      <c r="H6" s="41"/>
      <c r="I6" s="41"/>
      <c r="J6" s="42"/>
      <c r="K6" s="42"/>
    </row>
    <row r="7" spans="1:11" s="30" customFormat="1" ht="15" customHeight="1" x14ac:dyDescent="0.2">
      <c r="A7" s="30">
        <v>15</v>
      </c>
      <c r="B7" s="43" t="s">
        <v>59</v>
      </c>
      <c r="C7" s="43" t="s">
        <v>57</v>
      </c>
      <c r="D7" s="40">
        <v>6.25</v>
      </c>
      <c r="E7" s="43" t="s">
        <v>58</v>
      </c>
      <c r="F7" s="44"/>
      <c r="G7" s="35"/>
      <c r="H7" s="35"/>
      <c r="I7" s="36"/>
      <c r="J7" s="45"/>
      <c r="K7" s="38">
        <f>A7*D7</f>
        <v>93.75</v>
      </c>
    </row>
    <row r="8" spans="1:11" s="30" customFormat="1" ht="15" customHeight="1" x14ac:dyDescent="0.2">
      <c r="A8" s="39" t="s">
        <v>56</v>
      </c>
      <c r="B8" s="43"/>
      <c r="C8" s="43"/>
      <c r="D8" s="40"/>
      <c r="E8" s="43"/>
      <c r="F8" s="44"/>
      <c r="G8" s="35"/>
      <c r="H8" s="35"/>
      <c r="I8" s="36"/>
      <c r="J8" s="45"/>
      <c r="K8" s="38"/>
    </row>
    <row r="9" spans="1:11" s="30" customFormat="1" ht="15" customHeight="1" x14ac:dyDescent="0.2">
      <c r="A9" s="30">
        <v>10</v>
      </c>
      <c r="B9" s="43" t="s">
        <v>60</v>
      </c>
      <c r="C9" s="43" t="s">
        <v>57</v>
      </c>
      <c r="D9" s="40">
        <v>6.25</v>
      </c>
      <c r="E9" s="43" t="s">
        <v>58</v>
      </c>
      <c r="F9" s="44"/>
      <c r="G9" s="35"/>
      <c r="H9" s="35"/>
      <c r="I9" s="36"/>
      <c r="J9" s="45"/>
      <c r="K9" s="38">
        <f>A9*D9</f>
        <v>62.5</v>
      </c>
    </row>
    <row r="10" spans="1:11" s="30" customFormat="1" ht="15" customHeight="1" x14ac:dyDescent="0.2">
      <c r="B10" s="43"/>
      <c r="C10" s="43"/>
      <c r="D10" s="40"/>
      <c r="E10" s="43"/>
      <c r="F10" s="44"/>
      <c r="G10" s="35"/>
      <c r="H10" s="35"/>
      <c r="I10" s="36"/>
      <c r="J10" s="45"/>
      <c r="K10" s="38"/>
    </row>
    <row r="11" spans="1:11" s="30" customFormat="1" ht="15" customHeight="1" x14ac:dyDescent="0.2">
      <c r="A11" s="62" t="s">
        <v>62</v>
      </c>
      <c r="B11" s="43"/>
      <c r="C11" s="43"/>
      <c r="D11" s="40"/>
      <c r="E11" s="43"/>
      <c r="F11" s="44"/>
      <c r="G11" s="35"/>
      <c r="H11" s="35"/>
      <c r="I11" s="36"/>
      <c r="J11" s="45"/>
      <c r="K11" s="38"/>
    </row>
    <row r="12" spans="1:11" s="30" customFormat="1" ht="15" customHeight="1" x14ac:dyDescent="0.2">
      <c r="A12" s="62" t="s">
        <v>63</v>
      </c>
      <c r="B12" s="43"/>
      <c r="C12" s="43"/>
      <c r="D12" s="40"/>
      <c r="E12" s="43"/>
      <c r="F12" s="44"/>
      <c r="G12" s="35"/>
      <c r="H12" s="35"/>
      <c r="I12" s="36"/>
      <c r="J12" s="45"/>
      <c r="K12" s="38"/>
    </row>
    <row r="13" spans="1:11" s="30" customFormat="1" ht="15" customHeight="1" x14ac:dyDescent="0.2">
      <c r="A13" s="30">
        <v>7.5</v>
      </c>
      <c r="B13" s="43" t="s">
        <v>65</v>
      </c>
      <c r="C13" s="43" t="s">
        <v>57</v>
      </c>
      <c r="D13" s="40">
        <v>5.58</v>
      </c>
      <c r="E13" s="43" t="s">
        <v>64</v>
      </c>
      <c r="F13" s="44"/>
      <c r="G13" s="35"/>
      <c r="H13" s="35"/>
      <c r="I13" s="36"/>
      <c r="J13" s="45"/>
      <c r="K13" s="38">
        <f>A13*D13</f>
        <v>41.85</v>
      </c>
    </row>
    <row r="14" spans="1:11" s="30" customFormat="1" ht="15" customHeight="1" x14ac:dyDescent="0.2">
      <c r="A14" s="62" t="s">
        <v>66</v>
      </c>
      <c r="B14" s="43"/>
      <c r="C14" s="43"/>
      <c r="D14" s="40"/>
      <c r="E14" s="43"/>
      <c r="F14" s="44"/>
      <c r="G14" s="35"/>
      <c r="H14" s="35"/>
      <c r="I14" s="36"/>
      <c r="J14" s="45"/>
      <c r="K14" s="38"/>
    </row>
    <row r="15" spans="1:11" s="30" customFormat="1" ht="15" customHeight="1" x14ac:dyDescent="0.2">
      <c r="A15" s="30">
        <v>7.5</v>
      </c>
      <c r="B15" s="43" t="s">
        <v>65</v>
      </c>
      <c r="C15" s="43" t="s">
        <v>57</v>
      </c>
      <c r="D15" s="40">
        <v>5.58</v>
      </c>
      <c r="E15" s="43" t="s">
        <v>64</v>
      </c>
      <c r="F15" s="44"/>
      <c r="G15" s="35"/>
      <c r="H15" s="35"/>
      <c r="I15" s="36"/>
      <c r="J15" s="45"/>
      <c r="K15" s="38">
        <f>A15*D15</f>
        <v>41.85</v>
      </c>
    </row>
    <row r="16" spans="1:11" s="30" customFormat="1" ht="15" customHeight="1" x14ac:dyDescent="0.2">
      <c r="B16" s="43"/>
      <c r="C16" s="43"/>
      <c r="D16" s="40"/>
      <c r="E16" s="43"/>
      <c r="F16" s="44"/>
      <c r="G16" s="35"/>
      <c r="H16" s="35"/>
      <c r="I16" s="36"/>
      <c r="J16" s="45"/>
      <c r="K16" s="38"/>
    </row>
    <row r="17" spans="1:13" s="30" customFormat="1" ht="15" customHeight="1" x14ac:dyDescent="0.2">
      <c r="B17" s="43"/>
      <c r="C17" s="43"/>
      <c r="D17" s="40"/>
      <c r="E17" s="43"/>
      <c r="F17" s="44"/>
      <c r="G17" s="35"/>
      <c r="H17" s="35"/>
      <c r="I17" s="36"/>
      <c r="J17" s="37"/>
      <c r="K17" s="38"/>
    </row>
    <row r="18" spans="1:13" s="30" customFormat="1" ht="15" customHeight="1" x14ac:dyDescent="0.2">
      <c r="B18" s="46"/>
      <c r="C18" s="46"/>
      <c r="D18" s="40"/>
      <c r="E18" s="46"/>
      <c r="F18" s="47"/>
      <c r="I18" s="47"/>
      <c r="J18" s="48" t="s">
        <v>47</v>
      </c>
      <c r="K18" s="49">
        <f>SUM(K7:K15)</f>
        <v>239.95</v>
      </c>
      <c r="L18" s="47"/>
    </row>
    <row r="19" spans="1:13" s="30" customFormat="1" ht="15" customHeight="1" x14ac:dyDescent="0.2">
      <c r="B19" s="46"/>
      <c r="C19" s="46"/>
      <c r="D19" s="40"/>
      <c r="E19" s="47"/>
      <c r="F19" s="46"/>
      <c r="H19" s="36"/>
      <c r="I19" s="48"/>
      <c r="J19" s="49"/>
      <c r="L19" s="47"/>
    </row>
    <row r="20" spans="1:13" s="30" customFormat="1" ht="15" customHeight="1" x14ac:dyDescent="0.2">
      <c r="B20" s="46"/>
      <c r="C20" s="46"/>
      <c r="D20" s="40"/>
      <c r="E20" s="47"/>
      <c r="F20" s="46"/>
      <c r="H20" s="36"/>
      <c r="I20" s="48"/>
      <c r="J20" s="49"/>
      <c r="L20" s="47"/>
    </row>
    <row r="21" spans="1:13" s="30" customFormat="1" ht="15" customHeight="1" x14ac:dyDescent="0.2">
      <c r="A21" s="62" t="s">
        <v>67</v>
      </c>
      <c r="B21" s="46"/>
      <c r="C21" s="46"/>
      <c r="D21" s="40"/>
      <c r="E21" s="47"/>
      <c r="F21" s="46"/>
      <c r="G21" s="38">
        <f>K18</f>
        <v>239.95</v>
      </c>
      <c r="H21" s="46" t="s">
        <v>68</v>
      </c>
      <c r="I21" s="63" t="s">
        <v>9</v>
      </c>
      <c r="J21" s="49"/>
      <c r="K21" s="62">
        <f>ROUNDUP(G21/9,0)</f>
        <v>27</v>
      </c>
      <c r="L21" s="62" t="s">
        <v>0</v>
      </c>
    </row>
    <row r="22" spans="1:13" s="30" customFormat="1" ht="15" customHeight="1" x14ac:dyDescent="0.2">
      <c r="A22" s="62" t="s">
        <v>69</v>
      </c>
      <c r="B22" s="46"/>
      <c r="C22" s="46"/>
      <c r="D22" s="40"/>
      <c r="E22" s="47"/>
      <c r="F22" s="46"/>
      <c r="G22" s="38">
        <f>$K$18</f>
        <v>239.95</v>
      </c>
      <c r="H22" s="46" t="s">
        <v>74</v>
      </c>
      <c r="I22" s="63" t="s">
        <v>9</v>
      </c>
      <c r="J22" s="49"/>
      <c r="K22" s="62">
        <f>ROUNDUP((G22*0.5)/27,0)</f>
        <v>5</v>
      </c>
      <c r="L22" s="62" t="s">
        <v>1</v>
      </c>
    </row>
    <row r="23" spans="1:13" s="30" customFormat="1" ht="15" customHeight="1" x14ac:dyDescent="0.2">
      <c r="A23" s="62" t="s">
        <v>72</v>
      </c>
      <c r="B23" s="46"/>
      <c r="C23" s="46"/>
      <c r="D23" s="40"/>
      <c r="E23" s="47"/>
      <c r="F23" s="46"/>
      <c r="G23" s="38">
        <f>$K$18</f>
        <v>239.95</v>
      </c>
      <c r="H23" s="46" t="s">
        <v>74</v>
      </c>
      <c r="I23" s="63" t="s">
        <v>9</v>
      </c>
      <c r="J23" s="49"/>
      <c r="K23" s="62">
        <f>ROUNDUP((G23*0.5)/27,0)</f>
        <v>5</v>
      </c>
      <c r="L23" s="62" t="s">
        <v>1</v>
      </c>
    </row>
    <row r="24" spans="1:13" s="30" customFormat="1" ht="15" customHeight="1" x14ac:dyDescent="0.2">
      <c r="A24" s="62" t="s">
        <v>71</v>
      </c>
      <c r="B24" s="46"/>
      <c r="C24" s="46"/>
      <c r="D24" s="40"/>
      <c r="E24" s="47"/>
      <c r="F24" s="46"/>
      <c r="G24" s="38">
        <f>K18</f>
        <v>239.95</v>
      </c>
      <c r="H24" s="46" t="s">
        <v>75</v>
      </c>
      <c r="I24" s="63" t="s">
        <v>9</v>
      </c>
      <c r="J24" s="49"/>
      <c r="K24" s="62">
        <f>ROUNDUP((G24*0.125)/27,0)</f>
        <v>2</v>
      </c>
      <c r="L24" s="62" t="s">
        <v>1</v>
      </c>
    </row>
    <row r="25" spans="1:13" s="30" customFormat="1" ht="15" customHeight="1" x14ac:dyDescent="0.2">
      <c r="A25" s="62" t="s">
        <v>71</v>
      </c>
      <c r="B25" s="46"/>
      <c r="C25" s="46"/>
      <c r="D25" s="40"/>
      <c r="E25" s="47"/>
      <c r="F25" s="46"/>
      <c r="G25" s="38">
        <f>K18</f>
        <v>239.95</v>
      </c>
      <c r="H25" s="46" t="s">
        <v>76</v>
      </c>
      <c r="I25" s="63" t="s">
        <v>9</v>
      </c>
      <c r="J25" s="49"/>
      <c r="K25" s="62">
        <f>ROUNDUP((G25*0.146)/27,0)</f>
        <v>2</v>
      </c>
      <c r="L25" s="62" t="s">
        <v>1</v>
      </c>
    </row>
    <row r="26" spans="1:13" s="30" customFormat="1" ht="15" customHeight="1" x14ac:dyDescent="0.2">
      <c r="A26" s="62" t="s">
        <v>73</v>
      </c>
      <c r="B26" s="46"/>
      <c r="C26" s="46"/>
      <c r="D26" s="40"/>
      <c r="E26" s="47"/>
      <c r="F26" s="46"/>
      <c r="G26" s="38">
        <f>K18</f>
        <v>239.95</v>
      </c>
      <c r="H26" s="36" t="s">
        <v>77</v>
      </c>
      <c r="I26" s="63" t="s">
        <v>9</v>
      </c>
      <c r="J26" s="49"/>
      <c r="K26" s="62">
        <f>ROUNDUP(K18/9*0.06,0)</f>
        <v>2</v>
      </c>
      <c r="L26" s="62" t="s">
        <v>78</v>
      </c>
    </row>
    <row r="27" spans="1:13" s="30" customFormat="1" ht="15" customHeight="1" x14ac:dyDescent="0.2">
      <c r="B27" s="46"/>
      <c r="C27" s="46"/>
      <c r="D27" s="40"/>
      <c r="E27" s="47"/>
      <c r="F27" s="46"/>
      <c r="H27" s="36"/>
      <c r="I27" s="48"/>
      <c r="J27" s="49"/>
      <c r="L27" s="47"/>
    </row>
    <row r="28" spans="1:13" s="30" customFormat="1" ht="15" customHeight="1" x14ac:dyDescent="0.2">
      <c r="B28" s="46"/>
      <c r="C28" s="46"/>
      <c r="D28" s="40"/>
      <c r="E28" s="47"/>
      <c r="F28" s="46"/>
      <c r="H28" s="36"/>
      <c r="I28" s="48"/>
      <c r="J28" s="49"/>
      <c r="L28" s="47"/>
    </row>
    <row r="29" spans="1:13" s="30" customFormat="1" ht="15" customHeight="1" x14ac:dyDescent="0.2">
      <c r="B29" s="46"/>
      <c r="C29" s="46"/>
      <c r="D29" s="40"/>
      <c r="E29" s="47"/>
      <c r="G29" s="46"/>
      <c r="I29" s="55"/>
      <c r="J29" s="55"/>
      <c r="K29" s="56"/>
      <c r="L29" s="55"/>
      <c r="M29" s="47"/>
    </row>
    <row r="30" spans="1:13" s="30" customFormat="1" ht="15" customHeight="1" x14ac:dyDescent="0.2">
      <c r="B30" s="46"/>
      <c r="C30" s="46"/>
      <c r="D30" s="40"/>
      <c r="E30" s="47"/>
      <c r="G30" s="46"/>
      <c r="I30" s="40"/>
      <c r="J30" s="46"/>
      <c r="K30" s="40"/>
      <c r="M30" s="47"/>
    </row>
    <row r="31" spans="1:13" s="30" customFormat="1" ht="15" customHeight="1" x14ac:dyDescent="0.2">
      <c r="A31" s="29" t="s">
        <v>79</v>
      </c>
      <c r="E31" s="47"/>
      <c r="G31" s="50"/>
      <c r="H31" s="51"/>
      <c r="J31" s="52"/>
      <c r="K31" s="52"/>
      <c r="L31" s="53"/>
      <c r="M31" s="54"/>
    </row>
    <row r="32" spans="1:13" ht="15" customHeight="1" x14ac:dyDescent="0.2">
      <c r="A32" s="30" t="s">
        <v>80</v>
      </c>
      <c r="J32" s="30" t="s">
        <v>48</v>
      </c>
    </row>
    <row r="33" spans="1:13" ht="15" customHeight="1" x14ac:dyDescent="0.2">
      <c r="A33" s="29"/>
      <c r="B33" s="30" t="s">
        <v>81</v>
      </c>
      <c r="F33" s="31">
        <v>3903</v>
      </c>
      <c r="G33" s="30" t="s">
        <v>83</v>
      </c>
      <c r="I33" s="30" t="s">
        <v>9</v>
      </c>
      <c r="J33" s="30">
        <f>ROUNDUP(F33/9,0)</f>
        <v>434</v>
      </c>
      <c r="K33" s="30" t="s">
        <v>0</v>
      </c>
      <c r="L33" s="30"/>
      <c r="M33" s="30"/>
    </row>
    <row r="34" spans="1:13" ht="15" customHeight="1" x14ac:dyDescent="0.2">
      <c r="A34" s="32"/>
      <c r="B34" s="30" t="s">
        <v>82</v>
      </c>
      <c r="E34" s="33"/>
      <c r="F34" s="31">
        <v>6179</v>
      </c>
      <c r="G34" s="30" t="s">
        <v>83</v>
      </c>
      <c r="H34" s="35"/>
      <c r="I34" s="46" t="s">
        <v>9</v>
      </c>
      <c r="J34" s="30">
        <f>ROUNDUP(F34/9,0)</f>
        <v>687</v>
      </c>
      <c r="K34" s="38" t="s">
        <v>0</v>
      </c>
      <c r="L34" s="30"/>
      <c r="M34" s="30"/>
    </row>
    <row r="35" spans="1:13" ht="15" customHeight="1" x14ac:dyDescent="0.2">
      <c r="A35" s="39"/>
      <c r="B35" s="33"/>
      <c r="C35" s="33"/>
      <c r="D35" s="40"/>
      <c r="E35" s="33"/>
      <c r="F35" s="34"/>
      <c r="G35" s="35"/>
      <c r="H35" s="64"/>
      <c r="I35" s="64" t="s">
        <v>49</v>
      </c>
      <c r="J35" s="64">
        <f>J33+J34</f>
        <v>1121</v>
      </c>
      <c r="K35" s="65" t="s">
        <v>0</v>
      </c>
      <c r="L35" s="30"/>
      <c r="M35" s="30"/>
    </row>
    <row r="36" spans="1:13" ht="15" customHeight="1" x14ac:dyDescent="0.2">
      <c r="A36" s="66" t="s">
        <v>84</v>
      </c>
      <c r="B36" s="33"/>
      <c r="C36" s="33"/>
      <c r="D36" s="40"/>
      <c r="E36" s="33"/>
      <c r="F36" s="34"/>
      <c r="G36" s="35"/>
      <c r="H36" s="41"/>
      <c r="I36" s="41"/>
      <c r="J36" s="42"/>
      <c r="K36" s="42"/>
      <c r="L36" s="30"/>
      <c r="M36" s="30"/>
    </row>
    <row r="37" spans="1:13" ht="15" customHeight="1" x14ac:dyDescent="0.2">
      <c r="A37" s="62" t="s">
        <v>85</v>
      </c>
      <c r="B37" s="67"/>
      <c r="C37" s="67"/>
      <c r="D37" s="68"/>
      <c r="E37" s="67"/>
      <c r="F37" s="69"/>
      <c r="G37" s="70">
        <f>J35</f>
        <v>1121</v>
      </c>
      <c r="H37" s="71" t="s">
        <v>89</v>
      </c>
      <c r="I37" s="72"/>
      <c r="J37" s="70">
        <f>ROUNDUP(G37*0.25,0)</f>
        <v>281</v>
      </c>
      <c r="K37" s="73" t="s">
        <v>0</v>
      </c>
      <c r="L37" s="30"/>
      <c r="M37" s="30"/>
    </row>
    <row r="38" spans="1:13" ht="15" customHeight="1" x14ac:dyDescent="0.2">
      <c r="A38" s="62" t="s">
        <v>86</v>
      </c>
      <c r="B38" s="67"/>
      <c r="C38" s="67"/>
      <c r="D38" s="68"/>
      <c r="E38" s="67"/>
      <c r="F38" s="69"/>
      <c r="G38" s="70">
        <f>J35</f>
        <v>1121</v>
      </c>
      <c r="H38" s="71" t="s">
        <v>89</v>
      </c>
      <c r="I38" s="72"/>
      <c r="J38" s="70">
        <f>ROUNDUP(G38*0.25,0)</f>
        <v>281</v>
      </c>
      <c r="K38" s="73" t="s">
        <v>0</v>
      </c>
      <c r="L38" s="30"/>
      <c r="M38" s="30"/>
    </row>
    <row r="39" spans="1:13" ht="15" customHeight="1" x14ac:dyDescent="0.2">
      <c r="A39" s="62" t="s">
        <v>87</v>
      </c>
      <c r="B39" s="67"/>
      <c r="C39" s="67"/>
      <c r="D39" s="68"/>
      <c r="E39" s="67"/>
      <c r="F39" s="69"/>
      <c r="G39" s="70">
        <f>J35</f>
        <v>1121</v>
      </c>
      <c r="H39" s="71" t="s">
        <v>90</v>
      </c>
      <c r="I39" s="72"/>
      <c r="J39" s="70">
        <f>ROUNDUP((G39*0.25)*(0.5/3),0)</f>
        <v>47</v>
      </c>
      <c r="K39" s="73" t="s">
        <v>1</v>
      </c>
      <c r="L39" s="30"/>
      <c r="M39" s="30"/>
    </row>
    <row r="40" spans="1:13" ht="15" customHeight="1" x14ac:dyDescent="0.2">
      <c r="A40" s="62" t="s">
        <v>88</v>
      </c>
      <c r="B40" s="67"/>
      <c r="C40" s="67"/>
      <c r="D40" s="68"/>
      <c r="E40" s="67"/>
      <c r="F40" s="69"/>
      <c r="G40" s="70">
        <f>J35</f>
        <v>1121</v>
      </c>
      <c r="H40" s="71" t="s">
        <v>90</v>
      </c>
      <c r="I40" s="72"/>
      <c r="J40" s="70">
        <f>ROUNDUP((G40*0.25)*(0.5/3),0)</f>
        <v>47</v>
      </c>
      <c r="K40" s="73" t="s">
        <v>1</v>
      </c>
      <c r="L40" s="30"/>
      <c r="M40" s="30"/>
    </row>
    <row r="41" spans="1:13" ht="15" customHeight="1" x14ac:dyDescent="0.2">
      <c r="B41" s="43"/>
      <c r="C41" s="43"/>
      <c r="D41" s="40"/>
      <c r="E41" s="43"/>
      <c r="F41" s="44"/>
      <c r="G41" s="35"/>
      <c r="H41" s="35"/>
      <c r="I41" s="36"/>
      <c r="J41" s="45"/>
      <c r="K41" s="38"/>
      <c r="L41" s="30"/>
      <c r="M41" s="30"/>
    </row>
    <row r="42" spans="1:13" ht="15" customHeight="1" x14ac:dyDescent="0.2">
      <c r="B42" s="43"/>
      <c r="C42" s="43"/>
      <c r="D42" s="40"/>
      <c r="E42" s="43"/>
      <c r="F42" s="44"/>
      <c r="G42" s="35"/>
      <c r="H42" s="35"/>
      <c r="I42" s="36"/>
      <c r="J42" s="45"/>
      <c r="K42" s="38"/>
      <c r="L42" s="30"/>
      <c r="M42" s="30"/>
    </row>
    <row r="43" spans="1:13" ht="15" customHeight="1" x14ac:dyDescent="0.2">
      <c r="B43" s="43"/>
      <c r="C43" s="43"/>
      <c r="D43" s="40"/>
      <c r="E43" s="43"/>
      <c r="F43" s="44"/>
      <c r="G43" s="35"/>
      <c r="H43" s="35"/>
      <c r="I43" s="36"/>
      <c r="J43" s="45"/>
      <c r="K43" s="38"/>
      <c r="L43" s="30"/>
      <c r="M43" s="30"/>
    </row>
    <row r="44" spans="1:13" ht="15" customHeight="1" x14ac:dyDescent="0.2">
      <c r="B44" s="43"/>
      <c r="C44" s="43"/>
      <c r="D44" s="40"/>
      <c r="E44" s="43"/>
      <c r="F44" s="44"/>
      <c r="G44" s="35"/>
      <c r="H44" s="35"/>
      <c r="I44" s="36"/>
      <c r="J44" s="45"/>
      <c r="K44" s="38"/>
      <c r="L44" s="30"/>
      <c r="M44" s="30"/>
    </row>
    <row r="45" spans="1:13" ht="15" customHeight="1" x14ac:dyDescent="0.2">
      <c r="A45" s="62" t="s">
        <v>91</v>
      </c>
      <c r="B45" s="43"/>
      <c r="C45" s="43"/>
      <c r="D45" s="40"/>
      <c r="E45" s="43"/>
      <c r="F45" s="44"/>
      <c r="G45" s="35"/>
      <c r="H45" s="35"/>
      <c r="I45" s="36"/>
      <c r="J45" s="37"/>
      <c r="K45" s="38"/>
      <c r="L45" s="30"/>
      <c r="M45" s="30"/>
    </row>
    <row r="46" spans="1:13" ht="15" customHeight="1" x14ac:dyDescent="0.2">
      <c r="B46" s="46"/>
      <c r="C46" s="46" t="s">
        <v>92</v>
      </c>
      <c r="D46" s="40"/>
      <c r="E46" s="46"/>
      <c r="F46" s="47"/>
      <c r="I46" s="47"/>
      <c r="J46" s="48"/>
      <c r="K46" s="74">
        <v>70162</v>
      </c>
      <c r="L46" s="30" t="s">
        <v>0</v>
      </c>
      <c r="M46" s="30"/>
    </row>
    <row r="47" spans="1:13" ht="15" customHeight="1" x14ac:dyDescent="0.2">
      <c r="B47" s="46"/>
      <c r="C47" s="46"/>
      <c r="D47" s="40"/>
      <c r="E47" s="47"/>
      <c r="F47" s="46"/>
      <c r="H47" s="36"/>
      <c r="I47" s="48"/>
      <c r="J47" s="49"/>
      <c r="L47" s="47"/>
      <c r="M47" s="30"/>
    </row>
    <row r="48" spans="1:13" ht="15" customHeight="1" x14ac:dyDescent="0.2">
      <c r="B48" s="38">
        <f>K46</f>
        <v>70162</v>
      </c>
      <c r="C48" s="30" t="s">
        <v>0</v>
      </c>
      <c r="D48" s="75" t="s">
        <v>93</v>
      </c>
      <c r="E48" s="47"/>
      <c r="F48" s="30"/>
      <c r="G48" s="50"/>
      <c r="H48" s="51"/>
      <c r="J48" s="70">
        <f>ROUNDUP(K46/2000,0)</f>
        <v>36</v>
      </c>
      <c r="K48" s="70" t="s">
        <v>94</v>
      </c>
      <c r="L48" s="53"/>
      <c r="M48" s="54"/>
    </row>
  </sheetData>
  <pageMargins left="0.75" right="0.75" top="1" bottom="1" header="0.5" footer="0.5"/>
  <pageSetup scale="81" fitToHeight="0" orientation="portrait" r:id="rId1"/>
  <headerFooter alignWithMargins="0"/>
  <rowBreaks count="2" manualBreakCount="2">
    <brk id="29" max="16383" man="1"/>
    <brk id="4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9"/>
  <sheetViews>
    <sheetView view="pageBreakPreview" zoomScaleNormal="100" zoomScaleSheetLayoutView="100" workbookViewId="0">
      <selection activeCell="E4" sqref="E4"/>
    </sheetView>
  </sheetViews>
  <sheetFormatPr defaultRowHeight="12.75" x14ac:dyDescent="0.2"/>
  <cols>
    <col min="4" max="4" width="9.140625" style="1"/>
    <col min="5" max="5" width="9.140625" style="2"/>
    <col min="6" max="6" width="12.42578125" bestFit="1" customWidth="1"/>
    <col min="11" max="11" width="10.28515625" bestFit="1" customWidth="1"/>
  </cols>
  <sheetData>
    <row r="1" spans="2:12" x14ac:dyDescent="0.2">
      <c r="B1" s="5"/>
      <c r="C1" s="5"/>
      <c r="D1" s="6"/>
      <c r="E1" s="8"/>
      <c r="F1" s="7"/>
      <c r="G1" s="5"/>
    </row>
    <row r="2" spans="2:12" x14ac:dyDescent="0.2">
      <c r="B2" s="5"/>
      <c r="C2" s="9"/>
      <c r="D2" s="6"/>
      <c r="E2" s="3"/>
      <c r="F2" s="10"/>
      <c r="G2" s="5"/>
    </row>
    <row r="3" spans="2:12" x14ac:dyDescent="0.2">
      <c r="E3" s="3"/>
      <c r="F3" s="10"/>
    </row>
    <row r="4" spans="2:12" x14ac:dyDescent="0.2">
      <c r="D4" s="1" t="s">
        <v>2</v>
      </c>
      <c r="E4" s="3">
        <v>490100</v>
      </c>
      <c r="F4" s="9"/>
      <c r="K4" t="s">
        <v>21</v>
      </c>
      <c r="L4" t="s">
        <v>22</v>
      </c>
    </row>
    <row r="5" spans="2:12" x14ac:dyDescent="0.2">
      <c r="E5" s="3"/>
      <c r="F5" s="9"/>
      <c r="K5" s="18" t="s">
        <v>38</v>
      </c>
      <c r="L5" t="s">
        <v>39</v>
      </c>
    </row>
    <row r="7" spans="2:12" x14ac:dyDescent="0.2">
      <c r="D7" s="12" t="s">
        <v>6</v>
      </c>
      <c r="E7" s="2" t="s">
        <v>23</v>
      </c>
      <c r="K7" s="17" t="s">
        <v>24</v>
      </c>
      <c r="L7" t="s">
        <v>25</v>
      </c>
    </row>
    <row r="8" spans="2:12" x14ac:dyDescent="0.2">
      <c r="D8" s="12" t="s">
        <v>3</v>
      </c>
      <c r="E8" s="2" t="s">
        <v>9</v>
      </c>
      <c r="F8">
        <f>E4/48400</f>
        <v>10.12603305785124</v>
      </c>
      <c r="G8" s="11">
        <f>ROUNDUP(F8,0)</f>
        <v>11</v>
      </c>
      <c r="H8" t="s">
        <v>5</v>
      </c>
      <c r="K8" s="17"/>
    </row>
    <row r="9" spans="2:12" x14ac:dyDescent="0.2">
      <c r="D9" s="12" t="s">
        <v>4</v>
      </c>
      <c r="E9" s="2" t="s">
        <v>9</v>
      </c>
      <c r="F9">
        <f>F11/10000</f>
        <v>5.4401099999999998</v>
      </c>
      <c r="G9" s="11">
        <f>ROUNDUP(F9,0)</f>
        <v>6</v>
      </c>
      <c r="H9" t="s">
        <v>5</v>
      </c>
      <c r="K9" s="17"/>
    </row>
    <row r="10" spans="2:12" x14ac:dyDescent="0.2">
      <c r="K10" s="17"/>
    </row>
    <row r="11" spans="2:12" x14ac:dyDescent="0.2">
      <c r="D11" s="1" t="s">
        <v>7</v>
      </c>
      <c r="E11" s="2" t="s">
        <v>9</v>
      </c>
      <c r="F11">
        <f>E4*(111/1000)</f>
        <v>54401.1</v>
      </c>
      <c r="G11" s="11">
        <f>ROUND(F11,0)</f>
        <v>54401</v>
      </c>
      <c r="H11" t="s">
        <v>1</v>
      </c>
      <c r="K11" s="17" t="s">
        <v>26</v>
      </c>
      <c r="L11" s="9" t="s">
        <v>27</v>
      </c>
    </row>
    <row r="13" spans="2:12" x14ac:dyDescent="0.2">
      <c r="D13" s="12" t="s">
        <v>8</v>
      </c>
      <c r="E13" s="2" t="s">
        <v>9</v>
      </c>
      <c r="F13">
        <f>E4*0.05</f>
        <v>24505</v>
      </c>
      <c r="G13" s="11">
        <f>ROUND(F13,0)</f>
        <v>24505</v>
      </c>
      <c r="H13" t="s">
        <v>0</v>
      </c>
      <c r="K13" s="17" t="s">
        <v>28</v>
      </c>
      <c r="L13" s="9" t="s">
        <v>29</v>
      </c>
    </row>
    <row r="15" spans="2:12" x14ac:dyDescent="0.2">
      <c r="D15" s="12" t="s">
        <v>10</v>
      </c>
      <c r="E15" s="2" t="s">
        <v>9</v>
      </c>
      <c r="F15">
        <f>E4*0.05</f>
        <v>24505</v>
      </c>
      <c r="G15" s="11">
        <f>ROUND(F15,0)</f>
        <v>24505</v>
      </c>
      <c r="H15" t="s">
        <v>0</v>
      </c>
      <c r="K15" s="17" t="s">
        <v>30</v>
      </c>
      <c r="L15" s="9" t="s">
        <v>31</v>
      </c>
    </row>
    <row r="17" spans="4:12" x14ac:dyDescent="0.2">
      <c r="D17" s="12" t="s">
        <v>11</v>
      </c>
      <c r="E17" s="2" t="s">
        <v>9</v>
      </c>
      <c r="F17">
        <f>E4*(1/7410)</f>
        <v>66.140350877192986</v>
      </c>
    </row>
    <row r="18" spans="4:12" x14ac:dyDescent="0.2">
      <c r="E18" s="13" t="s">
        <v>13</v>
      </c>
      <c r="F18" s="4">
        <f>G15*(20/1000)*(9/2000)</f>
        <v>2.2054499999999999</v>
      </c>
    </row>
    <row r="19" spans="4:12" x14ac:dyDescent="0.2">
      <c r="F19">
        <f>SUM(F17:F18)</f>
        <v>68.345800877192985</v>
      </c>
      <c r="G19" s="14">
        <f>ROUND(F19,2)</f>
        <v>68.349999999999994</v>
      </c>
      <c r="H19" t="s">
        <v>12</v>
      </c>
      <c r="K19" s="17" t="s">
        <v>32</v>
      </c>
      <c r="L19" s="9" t="s">
        <v>33</v>
      </c>
    </row>
    <row r="21" spans="4:12" x14ac:dyDescent="0.2">
      <c r="D21" s="12" t="s">
        <v>14</v>
      </c>
      <c r="E21" s="2" t="s">
        <v>9</v>
      </c>
      <c r="F21">
        <f>E4*9/43560</f>
        <v>101.2603305785124</v>
      </c>
      <c r="G21" s="14">
        <f>ROUND(F21,2)</f>
        <v>101.26</v>
      </c>
      <c r="H21" t="s">
        <v>15</v>
      </c>
      <c r="K21" s="17" t="s">
        <v>34</v>
      </c>
      <c r="L21" s="9" t="s">
        <v>35</v>
      </c>
    </row>
    <row r="23" spans="4:12" x14ac:dyDescent="0.2">
      <c r="D23" s="1" t="s">
        <v>16</v>
      </c>
      <c r="E23" s="2" t="s">
        <v>9</v>
      </c>
      <c r="F23">
        <f>0.0027*E4</f>
        <v>1323.27</v>
      </c>
    </row>
    <row r="24" spans="4:12" x14ac:dyDescent="0.2">
      <c r="E24" s="13" t="s">
        <v>13</v>
      </c>
      <c r="F24">
        <f>0.0027*E4</f>
        <v>1323.27</v>
      </c>
    </row>
    <row r="25" spans="4:12" x14ac:dyDescent="0.2">
      <c r="E25" s="13" t="s">
        <v>13</v>
      </c>
      <c r="F25" s="4">
        <f>0.0027*F15</f>
        <v>66.163499999999999</v>
      </c>
    </row>
    <row r="26" spans="4:12" x14ac:dyDescent="0.2">
      <c r="F26">
        <f>SUM(F23:F25)</f>
        <v>2712.7035000000001</v>
      </c>
      <c r="G26" s="11">
        <f>ROUND(F26,0)</f>
        <v>2713</v>
      </c>
      <c r="H26" t="s">
        <v>17</v>
      </c>
      <c r="K26" s="17" t="s">
        <v>36</v>
      </c>
      <c r="L26" s="9" t="s">
        <v>37</v>
      </c>
    </row>
    <row r="28" spans="4:12" x14ac:dyDescent="0.2">
      <c r="D28" s="1" t="s">
        <v>19</v>
      </c>
      <c r="E28" s="2" t="s">
        <v>9</v>
      </c>
      <c r="F28">
        <f>E4*9*0.25/1000</f>
        <v>1102.7249999999999</v>
      </c>
      <c r="G28" s="15">
        <f>ROUND(F28,2)</f>
        <v>1102.73</v>
      </c>
      <c r="H28" t="s">
        <v>18</v>
      </c>
      <c r="I28" s="16"/>
    </row>
    <row r="29" spans="4:12" x14ac:dyDescent="0.2">
      <c r="D29" t="s">
        <v>20</v>
      </c>
      <c r="E29"/>
    </row>
  </sheetData>
  <printOptions gridLines="1"/>
  <pageMargins left="0.75" right="0.75" top="1" bottom="1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Rumble Strips</vt:lpstr>
      <vt:lpstr>QMS Cover</vt:lpstr>
      <vt:lpstr>Gen Notes</vt:lpstr>
      <vt:lpstr>erosion control</vt:lpstr>
      <vt:lpstr>'erosion control'!Print_Area</vt:lpstr>
      <vt:lpstr>'Gen Notes'!Print_Area</vt:lpstr>
      <vt:lpstr>'QMS Cover'!Print_Area</vt:lpstr>
      <vt:lpstr>'Rumble Strips'!Print_Area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Neider</dc:creator>
  <cp:lastModifiedBy>Neider, Matt</cp:lastModifiedBy>
  <cp:lastPrinted>2024-03-01T14:56:42Z</cp:lastPrinted>
  <dcterms:created xsi:type="dcterms:W3CDTF">2006-03-16T14:41:48Z</dcterms:created>
  <dcterms:modified xsi:type="dcterms:W3CDTF">2025-09-15T16:21:40Z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