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9032" windowHeight="9072" activeTab="0"/>
  </bookViews>
  <sheets>
    <sheet name="CALC2" sheetId="1" r:id="rId1"/>
  </sheets>
  <definedNames>
    <definedName name="_xlnm.Print_Area" localSheetId="0">'CALC2'!$A$1:$AH$76</definedName>
  </definedNames>
  <calcPr fullCalcOnLoad="1"/>
</workbook>
</file>

<file path=xl/sharedStrings.xml><?xml version="1.0" encoding="utf-8"?>
<sst xmlns="http://schemas.openxmlformats.org/spreadsheetml/2006/main" count="98" uniqueCount="52">
  <si>
    <t>STATION TO STATION</t>
  </si>
  <si>
    <t>SIDE</t>
  </si>
  <si>
    <t>LENGTH</t>
  </si>
  <si>
    <t>L</t>
  </si>
  <si>
    <t>AVERAGE</t>
  </si>
  <si>
    <t>WIDTH</t>
  </si>
  <si>
    <t>W</t>
  </si>
  <si>
    <t>SURFACE</t>
  </si>
  <si>
    <t>AREA</t>
  </si>
  <si>
    <t>A</t>
  </si>
  <si>
    <t>AREAS</t>
  </si>
  <si>
    <t>A=LxW</t>
  </si>
  <si>
    <t>FT</t>
  </si>
  <si>
    <t>SF</t>
  </si>
  <si>
    <t>S.R. 57 (WADSWORTH RD.)</t>
  </si>
  <si>
    <t>RESURFACING</t>
  </si>
  <si>
    <t>FULL DEPTH</t>
  </si>
  <si>
    <t>RT</t>
  </si>
  <si>
    <t>LT</t>
  </si>
  <si>
    <t>SEVILLE ROAD (C.R. 16)</t>
  </si>
  <si>
    <t>LT/RT</t>
  </si>
  <si>
    <t>ASPHALT CONCRETE SURFACE COURSE, TYPE 1, (448), PG70-22M</t>
  </si>
  <si>
    <t>CY</t>
  </si>
  <si>
    <t>ASPHALT CONCRETE INTERMEDIATE COURSE, TYPE 2, (448)</t>
  </si>
  <si>
    <t>AGGREGATE BASE</t>
  </si>
  <si>
    <t>NON-TRACKING TACK COAT</t>
  </si>
  <si>
    <t>GAL</t>
  </si>
  <si>
    <t>SUBGRADE COMPACTION</t>
  </si>
  <si>
    <t>SY</t>
  </si>
  <si>
    <t>AGGREGATE DRAINS</t>
  </si>
  <si>
    <t>PREPARING SHOULDER FOR SUBGRADE PAVING</t>
  </si>
  <si>
    <t>STA</t>
  </si>
  <si>
    <t>COMPACTED AGGREGATE</t>
  </si>
  <si>
    <t>AREA FOR 4" BASE EXTENSION</t>
  </si>
  <si>
    <t>AREA FOR 10" BASE EXTENSION</t>
  </si>
  <si>
    <t>AREA FOR 16" BASE EXTENSION</t>
  </si>
  <si>
    <t>HR</t>
  </si>
  <si>
    <t>PROOF ROLLING</t>
  </si>
  <si>
    <t>PAVEMENT PLANING, ASPHALT CONCRETE</t>
  </si>
  <si>
    <t>CURB TYPE 6</t>
  </si>
  <si>
    <t>01000</t>
  </si>
  <si>
    <t>ASPHALT CONCRETE BASE, PG64-22</t>
  </si>
  <si>
    <t>10" NON-REINFORCED CONCRETE PAVEMENT, CLASS QC 1P, AS PER PLAN</t>
  </si>
  <si>
    <t>ROUNDABOUT</t>
  </si>
  <si>
    <t>6" CONCRETE TRAFFIC ISLAND</t>
  </si>
  <si>
    <t>12" EXCAVATION OF SUBGRADE</t>
  </si>
  <si>
    <t>GRANULAR MATERIAL, TYPE B</t>
  </si>
  <si>
    <t>GEOTEXTILE FABRIC</t>
  </si>
  <si>
    <t>TOTALS CARRIED TO GENERAL SUMMARY</t>
  </si>
  <si>
    <t>RT.</t>
  </si>
  <si>
    <t>CURB TYPE 9, AS PER PLAN</t>
  </si>
  <si>
    <t>ACAD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</si>
</sst>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0\+00"/>
    <numFmt numFmtId="167" formatCode="0\+00.00"/>
    <numFmt numFmtId="168" formatCode="0.00000"/>
    <numFmt numFmtId="169" formatCode="0.0000"/>
    <numFmt numFmtId="170" formatCode="0.000"/>
    <numFmt numFmtId="171" formatCode="0.0"/>
    <numFmt numFmtId="172" formatCode="[$-409]dddd\,\ mmmm\ d\,\ yyyy"/>
  </numFmts>
  <fonts count="42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1" fontId="3" fillId="0" borderId="2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 textRotation="90"/>
    </xf>
    <xf numFmtId="165" fontId="1" fillId="0" borderId="32" xfId="0" applyNumberFormat="1" applyFont="1" applyBorder="1" applyAlignment="1">
      <alignment horizontal="center" vertical="center" textRotation="90"/>
    </xf>
    <xf numFmtId="165" fontId="1" fillId="0" borderId="33" xfId="0" applyNumberFormat="1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="85" zoomScaleNormal="85" zoomScalePageLayoutView="40" workbookViewId="0" topLeftCell="A1">
      <pane ySplit="13" topLeftCell="A41" activePane="bottomLeft" state="frozen"/>
      <selection pane="topLeft" activeCell="A1" sqref="A1"/>
      <selection pane="bottomLeft" activeCell="AI68" sqref="AI68"/>
    </sheetView>
  </sheetViews>
  <sheetFormatPr defaultColWidth="9.140625" defaultRowHeight="12.75"/>
  <cols>
    <col min="1" max="2" width="20.00390625" style="0" customWidth="1"/>
    <col min="3" max="3" width="8.421875" style="0" customWidth="1"/>
    <col min="4" max="4" width="5.57421875" style="0" customWidth="1"/>
    <col min="5" max="5" width="7.00390625" style="0" customWidth="1"/>
    <col min="6" max="8" width="4.00390625" style="0" customWidth="1"/>
    <col min="9" max="11" width="3.140625" style="0" customWidth="1"/>
    <col min="12" max="12" width="3.57421875" style="0" customWidth="1"/>
    <col min="13" max="14" width="4.7109375" style="0" customWidth="1"/>
    <col min="15" max="17" width="8.7109375" style="0" customWidth="1"/>
    <col min="18" max="35" width="8.8515625" style="0" customWidth="1"/>
  </cols>
  <sheetData>
    <row r="1" spans="1:35" ht="12.75" customHeight="1">
      <c r="A1" s="36" t="s">
        <v>0</v>
      </c>
      <c r="B1" s="37"/>
      <c r="C1" s="33" t="s">
        <v>1</v>
      </c>
      <c r="D1" s="49" t="s">
        <v>2</v>
      </c>
      <c r="E1" s="47" t="s">
        <v>3</v>
      </c>
      <c r="F1" s="49" t="s">
        <v>4</v>
      </c>
      <c r="G1" s="51" t="s">
        <v>5</v>
      </c>
      <c r="H1" s="47" t="s">
        <v>6</v>
      </c>
      <c r="I1" s="49" t="s">
        <v>7</v>
      </c>
      <c r="J1" s="51" t="s">
        <v>8</v>
      </c>
      <c r="K1" s="51" t="s">
        <v>9</v>
      </c>
      <c r="L1" s="47" t="s">
        <v>11</v>
      </c>
      <c r="M1" s="49" t="s">
        <v>51</v>
      </c>
      <c r="N1" s="47" t="s">
        <v>10</v>
      </c>
      <c r="O1" s="53" t="s">
        <v>33</v>
      </c>
      <c r="P1" s="53" t="s">
        <v>34</v>
      </c>
      <c r="Q1" s="53" t="s">
        <v>35</v>
      </c>
      <c r="R1" s="6">
        <v>204</v>
      </c>
      <c r="S1" s="6">
        <v>204</v>
      </c>
      <c r="T1" s="6">
        <v>204</v>
      </c>
      <c r="U1" s="6">
        <v>204</v>
      </c>
      <c r="V1" s="6">
        <v>204</v>
      </c>
      <c r="W1" s="6">
        <v>209</v>
      </c>
      <c r="X1" s="6">
        <v>254</v>
      </c>
      <c r="Y1" s="6">
        <v>301</v>
      </c>
      <c r="Z1" s="6">
        <v>304</v>
      </c>
      <c r="AA1" s="6">
        <v>407</v>
      </c>
      <c r="AB1" s="6">
        <v>441</v>
      </c>
      <c r="AC1" s="6">
        <v>441</v>
      </c>
      <c r="AD1" s="6">
        <v>452</v>
      </c>
      <c r="AE1" s="6">
        <v>605</v>
      </c>
      <c r="AF1" s="6">
        <v>609</v>
      </c>
      <c r="AG1" s="6">
        <v>609</v>
      </c>
      <c r="AH1" s="6">
        <v>609</v>
      </c>
      <c r="AI1" s="6">
        <v>617</v>
      </c>
    </row>
    <row r="2" spans="1:35" ht="12.75" customHeight="1">
      <c r="A2" s="38"/>
      <c r="B2" s="39"/>
      <c r="C2" s="34"/>
      <c r="D2" s="50"/>
      <c r="E2" s="48"/>
      <c r="F2" s="50"/>
      <c r="G2" s="52"/>
      <c r="H2" s="48"/>
      <c r="I2" s="50"/>
      <c r="J2" s="52"/>
      <c r="K2" s="52"/>
      <c r="L2" s="48"/>
      <c r="M2" s="50"/>
      <c r="N2" s="48"/>
      <c r="O2" s="54"/>
      <c r="P2" s="54"/>
      <c r="Q2" s="54"/>
      <c r="R2" s="15" t="s">
        <v>27</v>
      </c>
      <c r="S2" s="15" t="s">
        <v>45</v>
      </c>
      <c r="T2" s="15" t="s">
        <v>46</v>
      </c>
      <c r="U2" s="15" t="s">
        <v>37</v>
      </c>
      <c r="V2" s="15" t="s">
        <v>47</v>
      </c>
      <c r="W2" s="15" t="s">
        <v>30</v>
      </c>
      <c r="X2" s="15" t="s">
        <v>38</v>
      </c>
      <c r="Y2" s="15" t="s">
        <v>41</v>
      </c>
      <c r="Z2" s="15" t="s">
        <v>24</v>
      </c>
      <c r="AA2" s="15" t="s">
        <v>25</v>
      </c>
      <c r="AB2" s="15" t="s">
        <v>21</v>
      </c>
      <c r="AC2" s="15" t="s">
        <v>23</v>
      </c>
      <c r="AD2" s="15" t="s">
        <v>42</v>
      </c>
      <c r="AE2" s="15" t="s">
        <v>29</v>
      </c>
      <c r="AF2" s="15" t="s">
        <v>50</v>
      </c>
      <c r="AG2" s="15" t="s">
        <v>39</v>
      </c>
      <c r="AH2" s="15" t="s">
        <v>44</v>
      </c>
      <c r="AI2" s="15" t="s">
        <v>32</v>
      </c>
    </row>
    <row r="3" spans="1:35" ht="12.75" customHeight="1">
      <c r="A3" s="38"/>
      <c r="B3" s="39"/>
      <c r="C3" s="34"/>
      <c r="D3" s="50"/>
      <c r="E3" s="48"/>
      <c r="F3" s="50"/>
      <c r="G3" s="52"/>
      <c r="H3" s="48"/>
      <c r="I3" s="50"/>
      <c r="J3" s="52"/>
      <c r="K3" s="52"/>
      <c r="L3" s="48"/>
      <c r="M3" s="50"/>
      <c r="N3" s="48"/>
      <c r="O3" s="54"/>
      <c r="P3" s="54"/>
      <c r="Q3" s="54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2.75" customHeight="1">
      <c r="A4" s="38"/>
      <c r="B4" s="39"/>
      <c r="C4" s="34"/>
      <c r="D4" s="50"/>
      <c r="E4" s="48"/>
      <c r="F4" s="50"/>
      <c r="G4" s="52"/>
      <c r="H4" s="48"/>
      <c r="I4" s="50"/>
      <c r="J4" s="52"/>
      <c r="K4" s="52"/>
      <c r="L4" s="48"/>
      <c r="M4" s="50"/>
      <c r="N4" s="48"/>
      <c r="O4" s="54"/>
      <c r="P4" s="54"/>
      <c r="Q4" s="54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2.75" customHeight="1">
      <c r="A5" s="38"/>
      <c r="B5" s="39"/>
      <c r="C5" s="34"/>
      <c r="D5" s="50"/>
      <c r="E5" s="48"/>
      <c r="F5" s="50"/>
      <c r="G5" s="52"/>
      <c r="H5" s="48"/>
      <c r="I5" s="50"/>
      <c r="J5" s="52"/>
      <c r="K5" s="52"/>
      <c r="L5" s="48"/>
      <c r="M5" s="50"/>
      <c r="N5" s="48"/>
      <c r="O5" s="54"/>
      <c r="P5" s="54"/>
      <c r="Q5" s="54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2.75" customHeight="1">
      <c r="A6" s="38"/>
      <c r="B6" s="39"/>
      <c r="C6" s="34"/>
      <c r="D6" s="50"/>
      <c r="E6" s="48"/>
      <c r="F6" s="50"/>
      <c r="G6" s="52"/>
      <c r="H6" s="48"/>
      <c r="I6" s="50"/>
      <c r="J6" s="52"/>
      <c r="K6" s="52"/>
      <c r="L6" s="48"/>
      <c r="M6" s="50"/>
      <c r="N6" s="48"/>
      <c r="O6" s="54"/>
      <c r="P6" s="54"/>
      <c r="Q6" s="54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 customHeight="1">
      <c r="A7" s="38"/>
      <c r="B7" s="39"/>
      <c r="C7" s="34"/>
      <c r="D7" s="50"/>
      <c r="E7" s="48"/>
      <c r="F7" s="50"/>
      <c r="G7" s="52"/>
      <c r="H7" s="48"/>
      <c r="I7" s="50"/>
      <c r="J7" s="52"/>
      <c r="K7" s="52"/>
      <c r="L7" s="48"/>
      <c r="M7" s="50"/>
      <c r="N7" s="48"/>
      <c r="O7" s="54"/>
      <c r="P7" s="54"/>
      <c r="Q7" s="54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2.75" customHeight="1">
      <c r="A8" s="38"/>
      <c r="B8" s="39"/>
      <c r="C8" s="34"/>
      <c r="D8" s="50"/>
      <c r="E8" s="48"/>
      <c r="F8" s="50"/>
      <c r="G8" s="52"/>
      <c r="H8" s="48"/>
      <c r="I8" s="50"/>
      <c r="J8" s="52"/>
      <c r="K8" s="52"/>
      <c r="L8" s="48"/>
      <c r="M8" s="50"/>
      <c r="N8" s="48"/>
      <c r="O8" s="54"/>
      <c r="P8" s="54"/>
      <c r="Q8" s="54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2.75" customHeight="1">
      <c r="A9" s="38"/>
      <c r="B9" s="39"/>
      <c r="C9" s="34"/>
      <c r="D9" s="50"/>
      <c r="E9" s="48"/>
      <c r="F9" s="50"/>
      <c r="G9" s="52"/>
      <c r="H9" s="48"/>
      <c r="I9" s="50"/>
      <c r="J9" s="52"/>
      <c r="K9" s="52"/>
      <c r="L9" s="48"/>
      <c r="M9" s="50"/>
      <c r="N9" s="48"/>
      <c r="O9" s="54"/>
      <c r="P9" s="54"/>
      <c r="Q9" s="54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2.75" customHeight="1">
      <c r="A10" s="38"/>
      <c r="B10" s="39"/>
      <c r="C10" s="34"/>
      <c r="D10" s="50"/>
      <c r="E10" s="48"/>
      <c r="F10" s="50"/>
      <c r="G10" s="52"/>
      <c r="H10" s="48"/>
      <c r="I10" s="50"/>
      <c r="J10" s="52"/>
      <c r="K10" s="52"/>
      <c r="L10" s="48"/>
      <c r="M10" s="50"/>
      <c r="N10" s="48"/>
      <c r="O10" s="54"/>
      <c r="P10" s="54"/>
      <c r="Q10" s="5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2.75" customHeight="1">
      <c r="A11" s="38"/>
      <c r="B11" s="39"/>
      <c r="C11" s="34"/>
      <c r="D11" s="50"/>
      <c r="E11" s="48"/>
      <c r="F11" s="50"/>
      <c r="G11" s="52"/>
      <c r="H11" s="48"/>
      <c r="I11" s="50"/>
      <c r="J11" s="52"/>
      <c r="K11" s="52"/>
      <c r="L11" s="48"/>
      <c r="M11" s="50"/>
      <c r="N11" s="48"/>
      <c r="O11" s="54"/>
      <c r="P11" s="54"/>
      <c r="Q11" s="54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3.5" customHeight="1">
      <c r="A12" s="38"/>
      <c r="B12" s="39"/>
      <c r="C12" s="34"/>
      <c r="D12" s="50"/>
      <c r="E12" s="48"/>
      <c r="F12" s="50"/>
      <c r="G12" s="52"/>
      <c r="H12" s="48"/>
      <c r="I12" s="50"/>
      <c r="J12" s="52"/>
      <c r="K12" s="52"/>
      <c r="L12" s="48"/>
      <c r="M12" s="50"/>
      <c r="N12" s="48"/>
      <c r="O12" s="54"/>
      <c r="P12" s="54"/>
      <c r="Q12" s="55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12.75" customHeight="1" thickBot="1">
      <c r="A13" s="40"/>
      <c r="B13" s="41"/>
      <c r="C13" s="35"/>
      <c r="D13" s="42" t="s">
        <v>12</v>
      </c>
      <c r="E13" s="43"/>
      <c r="F13" s="44" t="s">
        <v>12</v>
      </c>
      <c r="G13" s="45"/>
      <c r="H13" s="46"/>
      <c r="I13" s="44" t="s">
        <v>13</v>
      </c>
      <c r="J13" s="45"/>
      <c r="K13" s="45"/>
      <c r="L13" s="46"/>
      <c r="M13" s="44" t="s">
        <v>13</v>
      </c>
      <c r="N13" s="46"/>
      <c r="O13" s="4" t="s">
        <v>13</v>
      </c>
      <c r="P13" s="4" t="s">
        <v>13</v>
      </c>
      <c r="Q13" s="4" t="s">
        <v>13</v>
      </c>
      <c r="R13" s="4" t="s">
        <v>28</v>
      </c>
      <c r="S13" s="4" t="s">
        <v>22</v>
      </c>
      <c r="T13" s="4" t="s">
        <v>22</v>
      </c>
      <c r="U13" s="4" t="s">
        <v>36</v>
      </c>
      <c r="V13" s="4" t="s">
        <v>28</v>
      </c>
      <c r="W13" s="4" t="s">
        <v>31</v>
      </c>
      <c r="X13" s="4" t="s">
        <v>28</v>
      </c>
      <c r="Y13" s="4" t="s">
        <v>22</v>
      </c>
      <c r="Z13" s="4" t="s">
        <v>22</v>
      </c>
      <c r="AA13" s="4" t="s">
        <v>26</v>
      </c>
      <c r="AB13" s="4" t="s">
        <v>22</v>
      </c>
      <c r="AC13" s="4" t="s">
        <v>22</v>
      </c>
      <c r="AD13" s="4" t="s">
        <v>28</v>
      </c>
      <c r="AE13" s="4" t="s">
        <v>12</v>
      </c>
      <c r="AF13" s="4" t="s">
        <v>12</v>
      </c>
      <c r="AG13" s="4" t="s">
        <v>12</v>
      </c>
      <c r="AH13" s="4" t="s">
        <v>28</v>
      </c>
      <c r="AI13" s="4" t="s">
        <v>22</v>
      </c>
    </row>
    <row r="14" spans="1:35" s="1" customFormat="1" ht="12.75" customHeight="1">
      <c r="A14" s="27" t="s">
        <v>14</v>
      </c>
      <c r="B14" s="28"/>
      <c r="C14" s="5"/>
      <c r="D14" s="27"/>
      <c r="E14" s="28"/>
      <c r="F14" s="27"/>
      <c r="G14" s="31"/>
      <c r="H14" s="28"/>
      <c r="I14" s="27"/>
      <c r="J14" s="31"/>
      <c r="K14" s="31"/>
      <c r="L14" s="28"/>
      <c r="M14" s="27"/>
      <c r="N14" s="2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7"/>
      <c r="AF14" s="6"/>
      <c r="AG14" s="6"/>
      <c r="AH14" s="6"/>
      <c r="AI14" s="6"/>
    </row>
    <row r="15" spans="1:35" s="1" customFormat="1" ht="12.75" customHeight="1">
      <c r="A15" s="29" t="s">
        <v>15</v>
      </c>
      <c r="B15" s="30"/>
      <c r="C15" s="8"/>
      <c r="D15" s="29"/>
      <c r="E15" s="30"/>
      <c r="F15" s="29"/>
      <c r="G15" s="32"/>
      <c r="H15" s="30"/>
      <c r="I15" s="29"/>
      <c r="J15" s="32"/>
      <c r="K15" s="32"/>
      <c r="L15" s="30"/>
      <c r="M15" s="29"/>
      <c r="N15" s="3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"/>
      <c r="AF15" s="2"/>
      <c r="AG15" s="2"/>
      <c r="AH15" s="2"/>
      <c r="AI15" s="2"/>
    </row>
    <row r="16" spans="1:35" s="1" customFormat="1" ht="12.75" customHeight="1">
      <c r="A16" s="9">
        <v>137007.98</v>
      </c>
      <c r="B16" s="10">
        <v>137057.98</v>
      </c>
      <c r="C16" s="11" t="s">
        <v>17</v>
      </c>
      <c r="D16" s="20">
        <f>B16-A16</f>
        <v>50</v>
      </c>
      <c r="E16" s="21"/>
      <c r="F16" s="20">
        <v>15.52</v>
      </c>
      <c r="G16" s="22"/>
      <c r="H16" s="21"/>
      <c r="I16" s="20">
        <f>F16*D16</f>
        <v>776</v>
      </c>
      <c r="J16" s="22"/>
      <c r="K16" s="22"/>
      <c r="L16" s="21"/>
      <c r="M16" s="20"/>
      <c r="N16" s="21"/>
      <c r="O16" s="12"/>
      <c r="P16" s="12"/>
      <c r="Q16" s="12"/>
      <c r="R16" s="12"/>
      <c r="S16" s="12"/>
      <c r="T16" s="12"/>
      <c r="U16" s="12"/>
      <c r="V16" s="12"/>
      <c r="W16" s="12"/>
      <c r="X16" s="12">
        <f>I16/$X$77</f>
        <v>86.22222222222223</v>
      </c>
      <c r="Y16" s="12"/>
      <c r="Z16" s="12"/>
      <c r="AA16" s="12">
        <f>(($I16/9)*AA$78)</f>
        <v>12.071111111111113</v>
      </c>
      <c r="AB16" s="12">
        <f>($I16*AB$77)/AB$78</f>
        <v>2.9938271604938276</v>
      </c>
      <c r="AC16" s="12">
        <f>($I16*AC$77)/AC$78</f>
        <v>4.191358024691358</v>
      </c>
      <c r="AD16" s="12"/>
      <c r="AE16" s="12"/>
      <c r="AF16" s="12"/>
      <c r="AG16" s="12"/>
      <c r="AH16" s="12"/>
      <c r="AI16" s="12"/>
    </row>
    <row r="17" spans="1:35" s="1" customFormat="1" ht="12.75" customHeight="1">
      <c r="A17" s="9">
        <v>137007.98</v>
      </c>
      <c r="B17" s="10">
        <v>137057.98</v>
      </c>
      <c r="C17" s="11" t="s">
        <v>18</v>
      </c>
      <c r="D17" s="20">
        <f>B17-A17</f>
        <v>50</v>
      </c>
      <c r="E17" s="21"/>
      <c r="F17" s="20">
        <v>16</v>
      </c>
      <c r="G17" s="22"/>
      <c r="H17" s="21"/>
      <c r="I17" s="20">
        <f>F17*D17</f>
        <v>800</v>
      </c>
      <c r="J17" s="22"/>
      <c r="K17" s="22"/>
      <c r="L17" s="21"/>
      <c r="M17" s="20"/>
      <c r="N17" s="21"/>
      <c r="O17" s="12"/>
      <c r="P17" s="12"/>
      <c r="Q17" s="12"/>
      <c r="R17" s="12"/>
      <c r="S17" s="12"/>
      <c r="T17" s="12"/>
      <c r="U17" s="12"/>
      <c r="V17" s="12"/>
      <c r="W17" s="12"/>
      <c r="X17" s="12">
        <f>I17/$X$77</f>
        <v>88.88888888888889</v>
      </c>
      <c r="Y17" s="12"/>
      <c r="Z17" s="12"/>
      <c r="AA17" s="12">
        <f>(($I17/9)*AA$78)</f>
        <v>12.444444444444445</v>
      </c>
      <c r="AB17" s="12">
        <f>($I17*AB$77)/AB$78</f>
        <v>3.08641975308642</v>
      </c>
      <c r="AC17" s="12">
        <f>($I17*AC$77)/AC$78</f>
        <v>4.320987654320988</v>
      </c>
      <c r="AD17" s="12"/>
      <c r="AE17" s="12"/>
      <c r="AF17" s="12"/>
      <c r="AG17" s="12"/>
      <c r="AH17" s="12"/>
      <c r="AI17" s="12"/>
    </row>
    <row r="18" spans="1:35" s="1" customFormat="1" ht="12.75" customHeight="1">
      <c r="A18" s="9"/>
      <c r="B18" s="10"/>
      <c r="C18" s="11"/>
      <c r="D18" s="20"/>
      <c r="E18" s="21"/>
      <c r="F18" s="20"/>
      <c r="G18" s="22"/>
      <c r="H18" s="21"/>
      <c r="I18" s="20"/>
      <c r="J18" s="22"/>
      <c r="K18" s="22"/>
      <c r="L18" s="21"/>
      <c r="M18" s="20"/>
      <c r="N18" s="2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s="1" customFormat="1" ht="12.75" customHeight="1">
      <c r="A19" s="9">
        <v>138469.2</v>
      </c>
      <c r="B19" s="10">
        <v>138519.2</v>
      </c>
      <c r="C19" s="11" t="s">
        <v>17</v>
      </c>
      <c r="D19" s="20">
        <f>B19-A19</f>
        <v>50</v>
      </c>
      <c r="E19" s="21"/>
      <c r="F19" s="20">
        <v>16.08</v>
      </c>
      <c r="G19" s="22"/>
      <c r="H19" s="21"/>
      <c r="I19" s="20">
        <f>F19*D19</f>
        <v>803.9999999999999</v>
      </c>
      <c r="J19" s="22"/>
      <c r="K19" s="22"/>
      <c r="L19" s="21"/>
      <c r="M19" s="20"/>
      <c r="N19" s="21"/>
      <c r="O19" s="12"/>
      <c r="P19" s="12"/>
      <c r="Q19" s="12"/>
      <c r="R19" s="12"/>
      <c r="S19" s="12"/>
      <c r="T19" s="12"/>
      <c r="U19" s="12"/>
      <c r="V19" s="12"/>
      <c r="W19" s="12"/>
      <c r="X19" s="12">
        <f>I19/$X$77</f>
        <v>89.33333333333331</v>
      </c>
      <c r="Y19" s="12"/>
      <c r="Z19" s="12"/>
      <c r="AA19" s="12">
        <f>(($I19/9)*AA$78)</f>
        <v>12.506666666666666</v>
      </c>
      <c r="AB19" s="12">
        <f>($I19*AB$77)/AB$78</f>
        <v>3.101851851851851</v>
      </c>
      <c r="AC19" s="12">
        <f>($I19*AC$77)/AC$78</f>
        <v>4.342592592592592</v>
      </c>
      <c r="AD19" s="12"/>
      <c r="AE19" s="12"/>
      <c r="AF19" s="12"/>
      <c r="AG19" s="12"/>
      <c r="AH19" s="12"/>
      <c r="AI19" s="12"/>
    </row>
    <row r="20" spans="1:35" s="1" customFormat="1" ht="12.75" customHeight="1">
      <c r="A20" s="9">
        <v>138469.2</v>
      </c>
      <c r="B20" s="10">
        <v>138519.2</v>
      </c>
      <c r="C20" s="11" t="s">
        <v>18</v>
      </c>
      <c r="D20" s="20">
        <f>B20-A20</f>
        <v>50</v>
      </c>
      <c r="E20" s="21"/>
      <c r="F20" s="20">
        <v>17.28</v>
      </c>
      <c r="G20" s="22"/>
      <c r="H20" s="21"/>
      <c r="I20" s="20">
        <f>F20*D20</f>
        <v>864</v>
      </c>
      <c r="J20" s="22"/>
      <c r="K20" s="22"/>
      <c r="L20" s="21"/>
      <c r="M20" s="20"/>
      <c r="N20" s="21"/>
      <c r="O20" s="12"/>
      <c r="P20" s="12"/>
      <c r="Q20" s="12"/>
      <c r="R20" s="12"/>
      <c r="S20" s="12"/>
      <c r="T20" s="12"/>
      <c r="U20" s="12"/>
      <c r="V20" s="12"/>
      <c r="W20" s="12"/>
      <c r="X20" s="12">
        <f>I20/$X$77</f>
        <v>96</v>
      </c>
      <c r="Y20" s="12"/>
      <c r="Z20" s="12"/>
      <c r="AA20" s="12">
        <f>(($I20/9)*AA$78)</f>
        <v>13.440000000000001</v>
      </c>
      <c r="AB20" s="12">
        <f>($I20*AB$77)/AB$78</f>
        <v>3.3333333333333335</v>
      </c>
      <c r="AC20" s="12">
        <f>($I20*AC$77)/AC$78</f>
        <v>4.666666666666667</v>
      </c>
      <c r="AD20" s="12"/>
      <c r="AE20" s="12"/>
      <c r="AF20" s="12"/>
      <c r="AG20" s="12"/>
      <c r="AH20" s="12"/>
      <c r="AI20" s="12"/>
    </row>
    <row r="21" spans="1:35" s="1" customFormat="1" ht="12.75" customHeight="1">
      <c r="A21" s="9"/>
      <c r="B21" s="10"/>
      <c r="C21" s="11"/>
      <c r="D21" s="20"/>
      <c r="E21" s="21"/>
      <c r="F21" s="20"/>
      <c r="G21" s="22"/>
      <c r="H21" s="21"/>
      <c r="I21" s="20"/>
      <c r="J21" s="22"/>
      <c r="K21" s="22"/>
      <c r="L21" s="21"/>
      <c r="M21" s="20"/>
      <c r="N21" s="2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s="1" customFormat="1" ht="12.75" customHeight="1">
      <c r="A22" s="29" t="s">
        <v>16</v>
      </c>
      <c r="B22" s="30"/>
      <c r="C22" s="11"/>
      <c r="D22" s="20"/>
      <c r="E22" s="21"/>
      <c r="F22" s="20"/>
      <c r="G22" s="22"/>
      <c r="H22" s="21"/>
      <c r="I22" s="20"/>
      <c r="J22" s="22"/>
      <c r="K22" s="22"/>
      <c r="L22" s="21"/>
      <c r="M22" s="20"/>
      <c r="N22" s="2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1" customFormat="1" ht="12.75" customHeight="1">
      <c r="A23" s="9">
        <v>137057.98</v>
      </c>
      <c r="B23" s="10">
        <v>137344.94</v>
      </c>
      <c r="C23" s="11" t="s">
        <v>17</v>
      </c>
      <c r="D23" s="20">
        <f>B23-A23</f>
        <v>286.95999999999185</v>
      </c>
      <c r="E23" s="21"/>
      <c r="F23" s="20">
        <v>18.32</v>
      </c>
      <c r="G23" s="22"/>
      <c r="H23" s="21"/>
      <c r="I23" s="20">
        <f>F23*D23</f>
        <v>5257.107199999851</v>
      </c>
      <c r="J23" s="22"/>
      <c r="K23" s="22"/>
      <c r="L23" s="21"/>
      <c r="M23" s="20"/>
      <c r="N23" s="21"/>
      <c r="O23" s="12">
        <f>D23*(4/12)</f>
        <v>95.65333333333061</v>
      </c>
      <c r="P23" s="12">
        <f>D23*(10/12)</f>
        <v>239.13333333332656</v>
      </c>
      <c r="Q23" s="12"/>
      <c r="R23" s="12">
        <f>($I23+$P23)/R$77</f>
        <v>610.6933925925754</v>
      </c>
      <c r="S23" s="12">
        <f>(($I23+$P23)/S$78)-(16+19)</f>
        <v>168.56446419752513</v>
      </c>
      <c r="T23" s="12">
        <f>($I23+$P23)/T$78</f>
        <v>203.56446419752513</v>
      </c>
      <c r="U23" s="12">
        <f>(($I23+$P23)/9)/U$77</f>
        <v>0.3053466962962877</v>
      </c>
      <c r="V23" s="12">
        <f>($I23+$P23)/V$77</f>
        <v>610.6933925925754</v>
      </c>
      <c r="W23" s="12">
        <f>($D23)/100</f>
        <v>2.8695999999999184</v>
      </c>
      <c r="X23" s="12"/>
      <c r="Y23" s="12">
        <f>(($I23+O23)*Y$77)/Y$78</f>
        <v>99.12519506172559</v>
      </c>
      <c r="Z23" s="12">
        <f>(($I23+P23)*Z$77)/Z$78</f>
        <v>101.78223209876256</v>
      </c>
      <c r="AA23" s="12">
        <f>(($I23/9)*AA$77)</f>
        <v>64.25353244444263</v>
      </c>
      <c r="AB23" s="12">
        <f>($I23*AB$77)/AB$78</f>
        <v>20.282049382715474</v>
      </c>
      <c r="AC23" s="12">
        <f>($I23*AC$77)/AC$78</f>
        <v>28.394869135801667</v>
      </c>
      <c r="AD23" s="12"/>
      <c r="AE23" s="12"/>
      <c r="AF23" s="12"/>
      <c r="AG23" s="12"/>
      <c r="AH23" s="12"/>
      <c r="AI23" s="12">
        <v>3.54</v>
      </c>
    </row>
    <row r="24" spans="1:35" s="1" customFormat="1" ht="12.75" customHeight="1">
      <c r="A24" s="9">
        <v>137057.98</v>
      </c>
      <c r="B24" s="10">
        <v>137344.94</v>
      </c>
      <c r="C24" s="11" t="s">
        <v>18</v>
      </c>
      <c r="D24" s="20">
        <f>B24-A24</f>
        <v>286.95999999999185</v>
      </c>
      <c r="E24" s="21"/>
      <c r="F24" s="20">
        <v>18.6</v>
      </c>
      <c r="G24" s="22"/>
      <c r="H24" s="21"/>
      <c r="I24" s="20">
        <f>F24*D24</f>
        <v>5337.455999999849</v>
      </c>
      <c r="J24" s="22"/>
      <c r="K24" s="22"/>
      <c r="L24" s="21"/>
      <c r="M24" s="20"/>
      <c r="N24" s="21"/>
      <c r="O24" s="12">
        <f>D24*(4/12)</f>
        <v>95.65333333333061</v>
      </c>
      <c r="P24" s="12">
        <f>D24*(10/12)</f>
        <v>239.13333333332656</v>
      </c>
      <c r="Q24" s="12"/>
      <c r="R24" s="12">
        <f>($I24+$P24)/R$77</f>
        <v>619.6210370370195</v>
      </c>
      <c r="S24" s="12">
        <f>($I24+$P24)/S$78</f>
        <v>206.54034567900652</v>
      </c>
      <c r="T24" s="12">
        <f>($I24+$P24)/T$78</f>
        <v>206.54034567900652</v>
      </c>
      <c r="U24" s="12">
        <f>(($I24+$P24)/9)/U$77</f>
        <v>0.30981051851850977</v>
      </c>
      <c r="V24" s="12">
        <f>($I24+$P24)/V$77</f>
        <v>619.6210370370195</v>
      </c>
      <c r="W24" s="12">
        <f>($D24)/100</f>
        <v>2.8695999999999184</v>
      </c>
      <c r="X24" s="12"/>
      <c r="Y24" s="12">
        <f>(($I24+O24)*Y$77)/Y$78</f>
        <v>100.6131358024663</v>
      </c>
      <c r="Z24" s="12">
        <f>(($I24+P24)*Z$77)/Z$78</f>
        <v>103.27017283950326</v>
      </c>
      <c r="AA24" s="12">
        <f>(($I24/9)*AA$77)</f>
        <v>65.23557333333149</v>
      </c>
      <c r="AB24" s="12">
        <f>($I24*AB$77)/AB$78</f>
        <v>20.592037037036455</v>
      </c>
      <c r="AC24" s="12">
        <f>($I24*AC$77)/AC$78</f>
        <v>28.82885185185104</v>
      </c>
      <c r="AD24" s="12"/>
      <c r="AE24" s="12">
        <v>120</v>
      </c>
      <c r="AF24" s="12"/>
      <c r="AG24" s="12"/>
      <c r="AH24" s="12"/>
      <c r="AI24" s="12">
        <v>3.54</v>
      </c>
    </row>
    <row r="25" spans="1:35" s="1" customFormat="1" ht="12.75" customHeight="1">
      <c r="A25" s="9"/>
      <c r="B25" s="10"/>
      <c r="C25" s="11"/>
      <c r="D25" s="20"/>
      <c r="E25" s="21"/>
      <c r="F25" s="20"/>
      <c r="G25" s="22"/>
      <c r="H25" s="21"/>
      <c r="I25" s="20"/>
      <c r="J25" s="22"/>
      <c r="K25" s="22"/>
      <c r="L25" s="21"/>
      <c r="M25" s="20"/>
      <c r="N25" s="21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1" customFormat="1" ht="12.75" customHeight="1">
      <c r="A26" s="9">
        <v>137344.94</v>
      </c>
      <c r="B26" s="10">
        <v>137356.94</v>
      </c>
      <c r="C26" s="11" t="s">
        <v>17</v>
      </c>
      <c r="D26" s="20">
        <f>B26-A26</f>
        <v>12</v>
      </c>
      <c r="E26" s="21"/>
      <c r="F26" s="20">
        <v>21.69</v>
      </c>
      <c r="G26" s="22"/>
      <c r="H26" s="21"/>
      <c r="I26" s="20">
        <f>F26*D26</f>
        <v>260.28000000000003</v>
      </c>
      <c r="J26" s="22"/>
      <c r="K26" s="22"/>
      <c r="L26" s="21"/>
      <c r="M26" s="20"/>
      <c r="N26" s="21"/>
      <c r="O26" s="12"/>
      <c r="P26" s="12"/>
      <c r="Q26" s="12">
        <f>(D26*(16/12))</f>
        <v>16</v>
      </c>
      <c r="R26" s="12">
        <f>($I26+$P26)/R$77</f>
        <v>28.92</v>
      </c>
      <c r="S26" s="12">
        <f>($I26+$P26)/S$78</f>
        <v>9.64</v>
      </c>
      <c r="T26" s="12">
        <f>($I26+$P26)/T$78</f>
        <v>9.64</v>
      </c>
      <c r="U26" s="12">
        <f>(($I26+$P26)/9)/U$77</f>
        <v>0.01446</v>
      </c>
      <c r="V26" s="12">
        <f>($I26+$P26)/V$77</f>
        <v>28.92</v>
      </c>
      <c r="W26" s="12"/>
      <c r="X26" s="12"/>
      <c r="Y26" s="12">
        <f>(($I26+O26)*Y$77)/Y$78</f>
        <v>4.82</v>
      </c>
      <c r="Z26" s="12">
        <f>(($I26+P26)*Z$77)/Z$78</f>
        <v>4.82</v>
      </c>
      <c r="AA26" s="12">
        <f>(($I26/9)*AA$77)</f>
        <v>3.1812</v>
      </c>
      <c r="AB26" s="12">
        <f>($I26*AB$77)/AB$78</f>
        <v>1.0041666666666669</v>
      </c>
      <c r="AC26" s="12">
        <f>($I26*AC$77)/AC$78</f>
        <v>1.4058333333333337</v>
      </c>
      <c r="AD26" s="12"/>
      <c r="AE26" s="12">
        <v>10</v>
      </c>
      <c r="AF26" s="12"/>
      <c r="AG26" s="12">
        <v>12.53</v>
      </c>
      <c r="AH26" s="12"/>
      <c r="AI26" s="12"/>
    </row>
    <row r="27" spans="1:35" s="1" customFormat="1" ht="12.75" customHeight="1">
      <c r="A27" s="9">
        <v>137344.94</v>
      </c>
      <c r="B27" s="10">
        <v>137356.94</v>
      </c>
      <c r="C27" s="11" t="s">
        <v>18</v>
      </c>
      <c r="D27" s="20">
        <f>B27-A27</f>
        <v>12</v>
      </c>
      <c r="E27" s="21"/>
      <c r="F27" s="20">
        <v>21.75</v>
      </c>
      <c r="G27" s="22"/>
      <c r="H27" s="21"/>
      <c r="I27" s="20">
        <f>F27*D27</f>
        <v>261</v>
      </c>
      <c r="J27" s="22"/>
      <c r="K27" s="22"/>
      <c r="L27" s="21"/>
      <c r="M27" s="20"/>
      <c r="N27" s="21"/>
      <c r="O27" s="12"/>
      <c r="P27" s="12"/>
      <c r="Q27" s="12">
        <f>(D27*(16/12))</f>
        <v>16</v>
      </c>
      <c r="R27" s="12">
        <f>($I27+$P27)/R$77</f>
        <v>29</v>
      </c>
      <c r="S27" s="12">
        <f>($I27+$P27)/S$78</f>
        <v>9.666666666666666</v>
      </c>
      <c r="T27" s="12">
        <f>($I27+$P27)/T$78</f>
        <v>9.666666666666666</v>
      </c>
      <c r="U27" s="12">
        <f>(($I27+$P27)/9)/U$77</f>
        <v>0.0145</v>
      </c>
      <c r="V27" s="12">
        <f>($I27+$P27)/V$77</f>
        <v>29</v>
      </c>
      <c r="W27" s="12"/>
      <c r="X27" s="12"/>
      <c r="Y27" s="12">
        <f>(($I27+O27)*Y$77)/Y$78</f>
        <v>4.833333333333333</v>
      </c>
      <c r="Z27" s="12">
        <f>(($I27+P27)*Z$77)/Z$78</f>
        <v>4.833333333333333</v>
      </c>
      <c r="AA27" s="12">
        <f>(($I27/9)*AA$77)</f>
        <v>3.19</v>
      </c>
      <c r="AB27" s="12">
        <f>($I27*AB$77)/AB$78</f>
        <v>1.0069444444444444</v>
      </c>
      <c r="AC27" s="12">
        <f>($I27*AC$77)/AC$78</f>
        <v>1.4097222222222223</v>
      </c>
      <c r="AD27" s="12"/>
      <c r="AE27" s="12">
        <v>10</v>
      </c>
      <c r="AF27" s="12"/>
      <c r="AG27" s="12">
        <v>12.53</v>
      </c>
      <c r="AH27" s="12"/>
      <c r="AI27" s="12"/>
    </row>
    <row r="28" spans="1:35" s="1" customFormat="1" ht="12.75" customHeight="1">
      <c r="A28" s="9"/>
      <c r="B28" s="10"/>
      <c r="C28" s="11"/>
      <c r="D28" s="20"/>
      <c r="E28" s="21"/>
      <c r="F28" s="20"/>
      <c r="G28" s="22"/>
      <c r="H28" s="21"/>
      <c r="I28" s="20"/>
      <c r="J28" s="22"/>
      <c r="K28" s="22"/>
      <c r="L28" s="21"/>
      <c r="M28" s="20"/>
      <c r="N28" s="2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1" customFormat="1" ht="12.75" customHeight="1">
      <c r="A29" s="9">
        <v>137356.94</v>
      </c>
      <c r="B29" s="10">
        <v>137669.85</v>
      </c>
      <c r="C29" s="11" t="s">
        <v>17</v>
      </c>
      <c r="D29" s="20">
        <f>B29-A29</f>
        <v>312.9100000000035</v>
      </c>
      <c r="E29" s="21"/>
      <c r="F29" s="20">
        <v>15.72</v>
      </c>
      <c r="G29" s="22"/>
      <c r="H29" s="21"/>
      <c r="I29" s="20">
        <f>F29*D29</f>
        <v>4918.945200000055</v>
      </c>
      <c r="J29" s="22"/>
      <c r="K29" s="22"/>
      <c r="L29" s="21"/>
      <c r="M29" s="20"/>
      <c r="N29" s="21"/>
      <c r="O29" s="12"/>
      <c r="P29" s="12"/>
      <c r="Q29" s="12">
        <f>(D29*(16/12))*2</f>
        <v>834.4266666666759</v>
      </c>
      <c r="R29" s="12">
        <f>($I29+Q29)/R$77</f>
        <v>639.2635407407479</v>
      </c>
      <c r="S29" s="12">
        <f>($I29+$Q29)/S$78</f>
        <v>213.08784691358264</v>
      </c>
      <c r="T29" s="12">
        <f>($I29+$Q29)/T$78</f>
        <v>213.08784691358264</v>
      </c>
      <c r="U29" s="12">
        <f>(($I29+$Q29)/9)/U$77</f>
        <v>0.31963177037037394</v>
      </c>
      <c r="V29" s="12">
        <f>($I29+$Q29)/V$77</f>
        <v>639.2635407407479</v>
      </c>
      <c r="W29" s="12"/>
      <c r="X29" s="12"/>
      <c r="Y29" s="12">
        <f>(($I29)*Y$77)/Y$78</f>
        <v>91.0915777777788</v>
      </c>
      <c r="Z29" s="12">
        <f>(($I29+Q29)*Z$77)/Z$78</f>
        <v>106.54392345679132</v>
      </c>
      <c r="AA29" s="12">
        <f>(($I29/9)*AA$77)</f>
        <v>60.120441333334</v>
      </c>
      <c r="AB29" s="12">
        <f>($I29*AB$77)/AB$78</f>
        <v>18.977412037037247</v>
      </c>
      <c r="AC29" s="12">
        <f>($I29*AC$77)/AC$78</f>
        <v>26.568376851852147</v>
      </c>
      <c r="AD29" s="12"/>
      <c r="AE29" s="12"/>
      <c r="AF29" s="12"/>
      <c r="AG29" s="12">
        <v>635.33</v>
      </c>
      <c r="AH29" s="12">
        <v>40.04</v>
      </c>
      <c r="AI29" s="12"/>
    </row>
    <row r="30" spans="1:35" s="1" customFormat="1" ht="12.75" customHeight="1">
      <c r="A30" s="9">
        <v>137356.94</v>
      </c>
      <c r="B30" s="10">
        <v>137669.85</v>
      </c>
      <c r="C30" s="11" t="s">
        <v>18</v>
      </c>
      <c r="D30" s="20">
        <f>B30-A30</f>
        <v>312.9100000000035</v>
      </c>
      <c r="E30" s="21"/>
      <c r="F30" s="20">
        <v>17.37</v>
      </c>
      <c r="G30" s="22"/>
      <c r="H30" s="21"/>
      <c r="I30" s="20">
        <f>F30*D30</f>
        <v>5435.246700000061</v>
      </c>
      <c r="J30" s="22"/>
      <c r="K30" s="22"/>
      <c r="L30" s="21"/>
      <c r="M30" s="20"/>
      <c r="N30" s="21"/>
      <c r="O30" s="12"/>
      <c r="P30" s="12"/>
      <c r="Q30" s="12">
        <f>(D30*(16/12))*2</f>
        <v>834.4266666666759</v>
      </c>
      <c r="R30" s="12">
        <f>($I30+Q30)/R$77</f>
        <v>696.6303740740818</v>
      </c>
      <c r="S30" s="12">
        <f>($I30+$Q30)/S$78</f>
        <v>232.21012469136062</v>
      </c>
      <c r="T30" s="12">
        <f>($I30+$Q30)/T$78</f>
        <v>232.21012469136062</v>
      </c>
      <c r="U30" s="12">
        <f>(($I30+$Q30)/9)/U$77</f>
        <v>0.3483151870370409</v>
      </c>
      <c r="V30" s="12">
        <f>($I30+$Q30)/V$77</f>
        <v>696.6303740740818</v>
      </c>
      <c r="W30" s="12"/>
      <c r="X30" s="12"/>
      <c r="Y30" s="12">
        <f>(($I30)*Y$77)/Y$78</f>
        <v>100.65271666666779</v>
      </c>
      <c r="Z30" s="12">
        <f>(($I30+Q30)*Z$77)/Z$78</f>
        <v>116.10506234568031</v>
      </c>
      <c r="AA30" s="12">
        <f>(($I30/9)*AA$77)</f>
        <v>66.43079300000073</v>
      </c>
      <c r="AB30" s="12">
        <f>($I30*AB$77)/AB$78</f>
        <v>20.969315972222457</v>
      </c>
      <c r="AC30" s="12">
        <f>($I30*AC$77)/AC$78</f>
        <v>29.35704236111144</v>
      </c>
      <c r="AD30" s="12"/>
      <c r="AE30" s="12"/>
      <c r="AF30" s="12"/>
      <c r="AG30" s="12">
        <v>661.69</v>
      </c>
      <c r="AH30" s="12">
        <v>36.28</v>
      </c>
      <c r="AI30" s="12"/>
    </row>
    <row r="31" spans="1:35" s="1" customFormat="1" ht="12.75" customHeight="1">
      <c r="A31" s="9"/>
      <c r="B31" s="10"/>
      <c r="C31" s="11"/>
      <c r="D31" s="20"/>
      <c r="E31" s="21"/>
      <c r="F31" s="20"/>
      <c r="G31" s="22"/>
      <c r="H31" s="21"/>
      <c r="I31" s="20"/>
      <c r="J31" s="22"/>
      <c r="K31" s="22"/>
      <c r="L31" s="21"/>
      <c r="M31" s="20"/>
      <c r="N31" s="2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s="1" customFormat="1" ht="12.75" customHeight="1">
      <c r="A32" s="9">
        <v>137827.71</v>
      </c>
      <c r="B32" s="10">
        <v>138196.21</v>
      </c>
      <c r="C32" s="11" t="s">
        <v>17</v>
      </c>
      <c r="D32" s="20">
        <f>B32-A32</f>
        <v>368.5</v>
      </c>
      <c r="E32" s="21"/>
      <c r="F32" s="20">
        <v>16.94</v>
      </c>
      <c r="G32" s="22"/>
      <c r="H32" s="21"/>
      <c r="I32" s="20">
        <f>F32*D32</f>
        <v>6242.39</v>
      </c>
      <c r="J32" s="22"/>
      <c r="K32" s="22"/>
      <c r="L32" s="21"/>
      <c r="M32" s="20"/>
      <c r="N32" s="21"/>
      <c r="O32" s="12"/>
      <c r="P32" s="12"/>
      <c r="Q32" s="12">
        <f>(D32*(16/12))*2</f>
        <v>982.6666666666666</v>
      </c>
      <c r="R32" s="12">
        <f>($I32+Q32)/R$77</f>
        <v>802.7840740740742</v>
      </c>
      <c r="S32" s="12">
        <f>($I32+$Q32)/S$78</f>
        <v>267.5946913580247</v>
      </c>
      <c r="T32" s="12">
        <f>($I32+$Q32)/T$78</f>
        <v>267.5946913580247</v>
      </c>
      <c r="U32" s="12">
        <f>(($I32+$Q32)/9)/U$77</f>
        <v>0.4013920370370371</v>
      </c>
      <c r="V32" s="12">
        <f>($I32+$Q32)/V$77</f>
        <v>802.7840740740742</v>
      </c>
      <c r="W32" s="12"/>
      <c r="X32" s="12"/>
      <c r="Y32" s="12">
        <f>(($I32)*Y$77)/Y$78</f>
        <v>115.59981481481482</v>
      </c>
      <c r="Z32" s="12">
        <f>(($I32+Q32)*Z$77)/Z$78</f>
        <v>133.79734567901235</v>
      </c>
      <c r="AA32" s="12">
        <f>(($I32/9)*AA$77)</f>
        <v>76.29587777777779</v>
      </c>
      <c r="AB32" s="12">
        <f>($I32*AB$77)/AB$78</f>
        <v>24.08329475308642</v>
      </c>
      <c r="AC32" s="12">
        <f>($I32*AC$77)/AC$78</f>
        <v>33.71661265432099</v>
      </c>
      <c r="AD32" s="12"/>
      <c r="AE32" s="12"/>
      <c r="AF32" s="12"/>
      <c r="AG32" s="12">
        <v>768.91</v>
      </c>
      <c r="AH32" s="12">
        <v>34.33</v>
      </c>
      <c r="AI32" s="12"/>
    </row>
    <row r="33" spans="1:35" s="1" customFormat="1" ht="12.75" customHeight="1">
      <c r="A33" s="9">
        <v>137827.71</v>
      </c>
      <c r="B33" s="10">
        <v>138196.21</v>
      </c>
      <c r="C33" s="11" t="s">
        <v>18</v>
      </c>
      <c r="D33" s="20">
        <f>B33-A33</f>
        <v>368.5</v>
      </c>
      <c r="E33" s="21"/>
      <c r="F33" s="20">
        <v>15.79</v>
      </c>
      <c r="G33" s="22"/>
      <c r="H33" s="21"/>
      <c r="I33" s="20">
        <f>F33*D33</f>
        <v>5818.615</v>
      </c>
      <c r="J33" s="22"/>
      <c r="K33" s="22"/>
      <c r="L33" s="21"/>
      <c r="M33" s="20"/>
      <c r="N33" s="21"/>
      <c r="O33" s="12"/>
      <c r="P33" s="12"/>
      <c r="Q33" s="12">
        <f>(D33*(16/12))*2</f>
        <v>982.6666666666666</v>
      </c>
      <c r="R33" s="12">
        <f>($I33+Q33)/R$77</f>
        <v>755.697962962963</v>
      </c>
      <c r="S33" s="12">
        <f>($I33+$Q33)/S$78</f>
        <v>251.89932098765433</v>
      </c>
      <c r="T33" s="12">
        <f>($I33+$Q33)/T$78</f>
        <v>251.89932098765433</v>
      </c>
      <c r="U33" s="12">
        <f>(($I33+$Q33)/9)/U$77</f>
        <v>0.3778489814814815</v>
      </c>
      <c r="V33" s="12">
        <f>($I33+$Q33)/V$77</f>
        <v>755.697962962963</v>
      </c>
      <c r="W33" s="12"/>
      <c r="X33" s="12"/>
      <c r="Y33" s="12">
        <f>(($I33)*Y$77)/Y$78</f>
        <v>107.75212962962962</v>
      </c>
      <c r="Z33" s="12">
        <f>(($I33+Q33)*Z$77)/Z$78</f>
        <v>125.94966049382717</v>
      </c>
      <c r="AA33" s="12">
        <f>(($I33/9)*AA$77)</f>
        <v>71.11640555555554</v>
      </c>
      <c r="AB33" s="12">
        <f>($I33*AB$77)/AB$78</f>
        <v>22.448360339506173</v>
      </c>
      <c r="AC33" s="12">
        <f>($I33*AC$77)/AC$78</f>
        <v>31.42770447530864</v>
      </c>
      <c r="AD33" s="12"/>
      <c r="AE33" s="12"/>
      <c r="AF33" s="12"/>
      <c r="AG33" s="12">
        <v>749.42</v>
      </c>
      <c r="AH33" s="12">
        <v>43.03</v>
      </c>
      <c r="AI33" s="12"/>
    </row>
    <row r="34" spans="1:35" s="1" customFormat="1" ht="12.75" customHeight="1">
      <c r="A34" s="9"/>
      <c r="B34" s="10"/>
      <c r="C34" s="11"/>
      <c r="D34" s="20"/>
      <c r="E34" s="21"/>
      <c r="F34" s="20"/>
      <c r="G34" s="22"/>
      <c r="H34" s="21"/>
      <c r="I34" s="20"/>
      <c r="J34" s="22"/>
      <c r="K34" s="22"/>
      <c r="L34" s="21"/>
      <c r="M34" s="20"/>
      <c r="N34" s="2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s="1" customFormat="1" ht="12.75" customHeight="1">
      <c r="A35" s="9">
        <v>138196.21</v>
      </c>
      <c r="B35" s="10">
        <v>138208.21</v>
      </c>
      <c r="C35" s="11" t="s">
        <v>17</v>
      </c>
      <c r="D35" s="20">
        <f>B35-A35</f>
        <v>12</v>
      </c>
      <c r="E35" s="21"/>
      <c r="F35" s="20">
        <v>22.91</v>
      </c>
      <c r="G35" s="22"/>
      <c r="H35" s="21"/>
      <c r="I35" s="20">
        <f>F35*D35</f>
        <v>274.92</v>
      </c>
      <c r="J35" s="22"/>
      <c r="K35" s="22"/>
      <c r="L35" s="21"/>
      <c r="M35" s="20"/>
      <c r="N35" s="21"/>
      <c r="O35" s="12"/>
      <c r="P35" s="12"/>
      <c r="Q35" s="12">
        <f>D35*(16/12)</f>
        <v>16</v>
      </c>
      <c r="R35" s="12">
        <f>($I35+Q35)/R$77</f>
        <v>32.324444444444445</v>
      </c>
      <c r="S35" s="12">
        <f>($I35+$Q35)/S$78</f>
        <v>10.774814814814816</v>
      </c>
      <c r="T35" s="12">
        <f>($I35+$Q35)/T$78</f>
        <v>10.774814814814816</v>
      </c>
      <c r="U35" s="12">
        <f>(($I35+$Q35)/9)/U$77</f>
        <v>0.016162222222222224</v>
      </c>
      <c r="V35" s="12">
        <f>($I35+$Q35)/V$77</f>
        <v>32.324444444444445</v>
      </c>
      <c r="W35" s="12"/>
      <c r="X35" s="12"/>
      <c r="Y35" s="12">
        <f>(($I35)*Y$77)/Y$78</f>
        <v>5.091111111111111</v>
      </c>
      <c r="Z35" s="12">
        <f>(($I35+Q35)*Z$77)/Z$78</f>
        <v>5.387407407407408</v>
      </c>
      <c r="AA35" s="12">
        <f>(($I35/9)*AA$77)</f>
        <v>3.360133333333333</v>
      </c>
      <c r="AB35" s="12">
        <f>($I35*AB$77)/AB$78</f>
        <v>1.0606481481481482</v>
      </c>
      <c r="AC35" s="12">
        <f>($I35*AC$77)/AC$78</f>
        <v>1.4849074074074078</v>
      </c>
      <c r="AD35" s="12"/>
      <c r="AE35" s="12"/>
      <c r="AF35" s="12"/>
      <c r="AG35" s="12">
        <v>12.11</v>
      </c>
      <c r="AH35" s="12"/>
      <c r="AI35" s="12"/>
    </row>
    <row r="36" spans="1:35" s="1" customFormat="1" ht="12.75" customHeight="1">
      <c r="A36" s="9">
        <v>138196.21</v>
      </c>
      <c r="B36" s="10">
        <v>138208.21</v>
      </c>
      <c r="C36" s="11" t="s">
        <v>18</v>
      </c>
      <c r="D36" s="20">
        <f>B36-A36</f>
        <v>12</v>
      </c>
      <c r="E36" s="21"/>
      <c r="F36" s="20">
        <v>23.75</v>
      </c>
      <c r="G36" s="22"/>
      <c r="H36" s="21"/>
      <c r="I36" s="20">
        <f>F36*D36</f>
        <v>285</v>
      </c>
      <c r="J36" s="22"/>
      <c r="K36" s="22"/>
      <c r="L36" s="21"/>
      <c r="M36" s="20"/>
      <c r="N36" s="21"/>
      <c r="O36" s="12"/>
      <c r="P36" s="12"/>
      <c r="Q36" s="12">
        <f>D36*(16/12)</f>
        <v>16</v>
      </c>
      <c r="R36" s="12">
        <f>($I36+Q36)/R$77</f>
        <v>33.44444444444444</v>
      </c>
      <c r="S36" s="12">
        <f>($I36+$Q36)/S$78</f>
        <v>11.148148148148149</v>
      </c>
      <c r="T36" s="12">
        <f>($I36+$Q36)/T$78</f>
        <v>11.148148148148149</v>
      </c>
      <c r="U36" s="12">
        <f>(($I36+$Q36)/9)/U$77</f>
        <v>0.01672222222222222</v>
      </c>
      <c r="V36" s="12">
        <f>($I36+$Q36)/V$77</f>
        <v>33.44444444444444</v>
      </c>
      <c r="W36" s="12"/>
      <c r="X36" s="12"/>
      <c r="Y36" s="12">
        <f>(($I36)*Y$77)/Y$78</f>
        <v>5.277777777777778</v>
      </c>
      <c r="Z36" s="12">
        <f>(($I36+Q36)*Z$77)/Z$78</f>
        <v>5.574074074074074</v>
      </c>
      <c r="AA36" s="12">
        <f>(($I36/9)*AA$77)</f>
        <v>3.4833333333333334</v>
      </c>
      <c r="AB36" s="12">
        <f>($I36*AB$77)/AB$78</f>
        <v>1.099537037037037</v>
      </c>
      <c r="AC36" s="12">
        <f>($I36*AC$77)/AC$78</f>
        <v>1.5393518518518519</v>
      </c>
      <c r="AD36" s="12"/>
      <c r="AE36" s="12"/>
      <c r="AF36" s="12"/>
      <c r="AG36" s="12">
        <v>12.11</v>
      </c>
      <c r="AH36" s="12"/>
      <c r="AI36" s="12"/>
    </row>
    <row r="37" spans="1:35" s="1" customFormat="1" ht="12.75" customHeight="1">
      <c r="A37" s="9"/>
      <c r="B37" s="10"/>
      <c r="C37" s="11"/>
      <c r="D37" s="20"/>
      <c r="E37" s="21"/>
      <c r="F37" s="20"/>
      <c r="G37" s="22"/>
      <c r="H37" s="21"/>
      <c r="I37" s="20"/>
      <c r="J37" s="22"/>
      <c r="K37" s="22"/>
      <c r="L37" s="21"/>
      <c r="M37" s="20"/>
      <c r="N37" s="2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1" customFormat="1" ht="12.75" customHeight="1">
      <c r="A38" s="9">
        <v>138208.21</v>
      </c>
      <c r="B38" s="10">
        <v>138469.2</v>
      </c>
      <c r="C38" s="11" t="s">
        <v>17</v>
      </c>
      <c r="D38" s="20">
        <f>B38-A38</f>
        <v>260.9900000000198</v>
      </c>
      <c r="E38" s="21"/>
      <c r="F38" s="20">
        <v>17.74</v>
      </c>
      <c r="G38" s="22"/>
      <c r="H38" s="21"/>
      <c r="I38" s="20">
        <f>F38*D38</f>
        <v>4629.962600000351</v>
      </c>
      <c r="J38" s="22"/>
      <c r="K38" s="22"/>
      <c r="L38" s="21"/>
      <c r="M38" s="20"/>
      <c r="N38" s="21"/>
      <c r="O38" s="12">
        <f>D38*(4/12)</f>
        <v>86.99666666667326</v>
      </c>
      <c r="P38" s="12">
        <f>D38*(10/12)</f>
        <v>217.49166666668316</v>
      </c>
      <c r="Q38" s="12"/>
      <c r="R38" s="12">
        <f>($I38+$P38)/R$77</f>
        <v>538.6060296296705</v>
      </c>
      <c r="S38" s="12">
        <f>($I38+$P38)/S$78</f>
        <v>179.53534320989016</v>
      </c>
      <c r="T38" s="12">
        <f>($I38+$P38)/T$78</f>
        <v>179.53534320989016</v>
      </c>
      <c r="U38" s="12">
        <f>(($I38+$P38)/9)/U$77</f>
        <v>0.26930301481483526</v>
      </c>
      <c r="V38" s="12">
        <f>($I38+$P38)/V$77</f>
        <v>538.6060296296705</v>
      </c>
      <c r="W38" s="12">
        <f>($D38)/100</f>
        <v>2.6099000000001977</v>
      </c>
      <c r="X38" s="12"/>
      <c r="Y38" s="12">
        <f>(($I38+O38)*Y$77)/Y$78</f>
        <v>87.35109753087082</v>
      </c>
      <c r="Z38" s="12">
        <f>(($I38+P38)*Z$77)/Z$78</f>
        <v>89.76767160494508</v>
      </c>
      <c r="AA38" s="12">
        <f>(($I38/9)*AA$77)</f>
        <v>56.58843177778206</v>
      </c>
      <c r="AB38" s="12">
        <f>($I38*AB$77)/AB$78</f>
        <v>17.86251003086555</v>
      </c>
      <c r="AC38" s="12">
        <f>($I38*AC$77)/AC$78</f>
        <v>25.007514043211774</v>
      </c>
      <c r="AD38" s="12"/>
      <c r="AE38" s="12">
        <v>110</v>
      </c>
      <c r="AF38" s="12"/>
      <c r="AG38" s="12"/>
      <c r="AH38" s="12"/>
      <c r="AI38" s="12">
        <f>(((($D38-49.9)*2))*$AI$77)/$AI$78</f>
        <v>2.6060493827162934</v>
      </c>
    </row>
    <row r="39" spans="1:35" s="1" customFormat="1" ht="12.75" customHeight="1">
      <c r="A39" s="9">
        <v>138208.21</v>
      </c>
      <c r="B39" s="10">
        <v>138469.2</v>
      </c>
      <c r="C39" s="11" t="s">
        <v>18</v>
      </c>
      <c r="D39" s="20">
        <f>B39-A39</f>
        <v>260.9900000000198</v>
      </c>
      <c r="E39" s="21"/>
      <c r="F39" s="20">
        <v>18.49</v>
      </c>
      <c r="G39" s="22"/>
      <c r="H39" s="21"/>
      <c r="I39" s="20">
        <f>F39*D39</f>
        <v>4825.705100000366</v>
      </c>
      <c r="J39" s="22"/>
      <c r="K39" s="22"/>
      <c r="L39" s="21"/>
      <c r="M39" s="20"/>
      <c r="N39" s="21"/>
      <c r="O39" s="12">
        <f>D39*(4/12)</f>
        <v>86.99666666667326</v>
      </c>
      <c r="P39" s="12">
        <f>D39*(10/12)</f>
        <v>217.49166666668316</v>
      </c>
      <c r="Q39" s="12"/>
      <c r="R39" s="12">
        <f>($I39+$P39)/R$77</f>
        <v>560.3551962963388</v>
      </c>
      <c r="S39" s="12">
        <f>($I39+$P39)/S$78</f>
        <v>186.78506543211293</v>
      </c>
      <c r="T39" s="12">
        <f>($I39+$P39)/T$78</f>
        <v>186.78506543211293</v>
      </c>
      <c r="U39" s="12">
        <f>(($I39+$P39)/9)/U$77</f>
        <v>0.2801775981481694</v>
      </c>
      <c r="V39" s="12">
        <f>($I39+$P39)/V$77</f>
        <v>560.3551962963388</v>
      </c>
      <c r="W39" s="12">
        <f>($D39)/100</f>
        <v>2.6099000000001977</v>
      </c>
      <c r="X39" s="12"/>
      <c r="Y39" s="12">
        <f>(($I39+O39)*Y$77)/Y$78</f>
        <v>90.9759586419822</v>
      </c>
      <c r="Z39" s="12">
        <f>(($I39+P39)*Z$77)/Z$78</f>
        <v>93.39253271605646</v>
      </c>
      <c r="AA39" s="12">
        <f>(($I39/9)*AA$77)</f>
        <v>58.980840111115576</v>
      </c>
      <c r="AB39" s="12">
        <f>($I39*AB$77)/AB$78</f>
        <v>18.61768942901376</v>
      </c>
      <c r="AC39" s="12">
        <f>($I39*AC$77)/AC$78</f>
        <v>26.064765200619263</v>
      </c>
      <c r="AD39" s="12"/>
      <c r="AE39" s="12">
        <v>110</v>
      </c>
      <c r="AF39" s="12"/>
      <c r="AG39" s="12"/>
      <c r="AH39" s="12"/>
      <c r="AI39" s="12">
        <f>(((($D39-52.1)*2))*$AI$77)/$AI$78</f>
        <v>2.578888888889133</v>
      </c>
    </row>
    <row r="40" spans="1:35" s="1" customFormat="1" ht="12.75" customHeight="1">
      <c r="A40" s="9"/>
      <c r="B40" s="10"/>
      <c r="C40" s="11"/>
      <c r="D40" s="20"/>
      <c r="E40" s="21"/>
      <c r="F40" s="20"/>
      <c r="G40" s="22"/>
      <c r="H40" s="21"/>
      <c r="I40" s="20"/>
      <c r="J40" s="22"/>
      <c r="K40" s="22"/>
      <c r="L40" s="21"/>
      <c r="M40" s="20"/>
      <c r="N40" s="21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1" customFormat="1" ht="12.75" customHeight="1">
      <c r="A41" s="9"/>
      <c r="B41" s="10"/>
      <c r="C41" s="11"/>
      <c r="D41" s="20"/>
      <c r="E41" s="21"/>
      <c r="F41" s="20"/>
      <c r="G41" s="22"/>
      <c r="H41" s="21"/>
      <c r="I41" s="20"/>
      <c r="J41" s="22"/>
      <c r="K41" s="22"/>
      <c r="L41" s="21"/>
      <c r="M41" s="20"/>
      <c r="N41" s="21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1" customFormat="1" ht="12.75" customHeight="1">
      <c r="A42" s="9"/>
      <c r="B42" s="10"/>
      <c r="C42" s="11"/>
      <c r="D42" s="20"/>
      <c r="E42" s="21"/>
      <c r="F42" s="20"/>
      <c r="G42" s="22"/>
      <c r="H42" s="21"/>
      <c r="I42" s="20"/>
      <c r="J42" s="22"/>
      <c r="K42" s="22"/>
      <c r="L42" s="21"/>
      <c r="M42" s="20"/>
      <c r="N42" s="2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1" customFormat="1" ht="12.75" customHeight="1">
      <c r="A43" s="9"/>
      <c r="B43" s="10"/>
      <c r="C43" s="11"/>
      <c r="D43" s="20"/>
      <c r="E43" s="21"/>
      <c r="F43" s="20"/>
      <c r="G43" s="22"/>
      <c r="H43" s="21"/>
      <c r="I43" s="20"/>
      <c r="J43" s="22"/>
      <c r="K43" s="22"/>
      <c r="L43" s="21"/>
      <c r="M43" s="20"/>
      <c r="N43" s="21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1" customFormat="1" ht="12.75" customHeight="1">
      <c r="A44" s="9"/>
      <c r="B44" s="10"/>
      <c r="C44" s="11"/>
      <c r="D44" s="20"/>
      <c r="E44" s="21"/>
      <c r="F44" s="20"/>
      <c r="G44" s="22"/>
      <c r="H44" s="21"/>
      <c r="I44" s="20"/>
      <c r="J44" s="22"/>
      <c r="K44" s="22"/>
      <c r="L44" s="21"/>
      <c r="M44" s="20"/>
      <c r="N44" s="21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1" customFormat="1" ht="12.75" customHeight="1">
      <c r="A45" s="29" t="s">
        <v>19</v>
      </c>
      <c r="B45" s="30"/>
      <c r="C45" s="11"/>
      <c r="D45" s="20"/>
      <c r="E45" s="21"/>
      <c r="F45" s="20"/>
      <c r="G45" s="22"/>
      <c r="H45" s="21"/>
      <c r="I45" s="20"/>
      <c r="J45" s="22"/>
      <c r="K45" s="22"/>
      <c r="L45" s="21"/>
      <c r="M45" s="20"/>
      <c r="N45" s="21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1" customFormat="1" ht="12.75" customHeight="1">
      <c r="A46" s="29" t="s">
        <v>15</v>
      </c>
      <c r="B46" s="30"/>
      <c r="C46" s="11"/>
      <c r="D46" s="20"/>
      <c r="E46" s="21"/>
      <c r="F46" s="20"/>
      <c r="G46" s="22"/>
      <c r="H46" s="21"/>
      <c r="I46" s="20"/>
      <c r="J46" s="22"/>
      <c r="K46" s="22"/>
      <c r="L46" s="21"/>
      <c r="M46" s="20"/>
      <c r="N46" s="21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1" customFormat="1" ht="12.75" customHeight="1">
      <c r="A47" s="9">
        <f>B47-25</f>
        <v>1572</v>
      </c>
      <c r="B47" s="10">
        <v>1597</v>
      </c>
      <c r="C47" s="11" t="s">
        <v>20</v>
      </c>
      <c r="D47" s="20">
        <f>B47-A47</f>
        <v>25</v>
      </c>
      <c r="E47" s="21"/>
      <c r="F47" s="20">
        <v>22.75</v>
      </c>
      <c r="G47" s="22"/>
      <c r="H47" s="21"/>
      <c r="I47" s="20">
        <f>F47*D47</f>
        <v>568.75</v>
      </c>
      <c r="J47" s="22"/>
      <c r="K47" s="22"/>
      <c r="L47" s="21"/>
      <c r="M47" s="20"/>
      <c r="N47" s="21"/>
      <c r="O47" s="12"/>
      <c r="P47" s="12"/>
      <c r="Q47" s="12"/>
      <c r="R47" s="12"/>
      <c r="S47" s="12"/>
      <c r="T47" s="12"/>
      <c r="U47" s="12"/>
      <c r="V47" s="12"/>
      <c r="W47" s="12"/>
      <c r="X47" s="12">
        <f>I47/$X$77</f>
        <v>63.19444444444444</v>
      </c>
      <c r="Y47" s="12"/>
      <c r="Z47" s="12"/>
      <c r="AA47" s="12">
        <f>(($I47/9)*AA$78)</f>
        <v>8.847222222222223</v>
      </c>
      <c r="AB47" s="12">
        <f>($I47*AB$77)/AB$78</f>
        <v>2.1942515432098766</v>
      </c>
      <c r="AC47" s="12">
        <f>($I47*AC$77)/AC$78</f>
        <v>3.0719521604938276</v>
      </c>
      <c r="AD47" s="12"/>
      <c r="AE47" s="12"/>
      <c r="AF47" s="12"/>
      <c r="AG47" s="12"/>
      <c r="AH47" s="12"/>
      <c r="AI47" s="12"/>
    </row>
    <row r="48" spans="1:35" s="1" customFormat="1" ht="12.75" customHeight="1">
      <c r="A48" s="9"/>
      <c r="B48" s="10"/>
      <c r="C48" s="11"/>
      <c r="D48" s="20"/>
      <c r="E48" s="21"/>
      <c r="F48" s="20"/>
      <c r="G48" s="22"/>
      <c r="H48" s="21"/>
      <c r="I48" s="20"/>
      <c r="J48" s="22"/>
      <c r="K48" s="22"/>
      <c r="L48" s="21"/>
      <c r="M48" s="20"/>
      <c r="N48" s="21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1" customFormat="1" ht="12.75" customHeight="1">
      <c r="A49" s="29" t="s">
        <v>16</v>
      </c>
      <c r="B49" s="30"/>
      <c r="C49" s="11"/>
      <c r="D49" s="20"/>
      <c r="E49" s="21"/>
      <c r="F49" s="20"/>
      <c r="G49" s="22"/>
      <c r="H49" s="21"/>
      <c r="I49" s="20"/>
      <c r="J49" s="22"/>
      <c r="K49" s="22"/>
      <c r="L49" s="21"/>
      <c r="M49" s="20"/>
      <c r="N49" s="21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1" customFormat="1" ht="12.75" customHeight="1">
      <c r="A50" s="9">
        <v>1597</v>
      </c>
      <c r="B50" s="10">
        <v>1769.61</v>
      </c>
      <c r="C50" s="11" t="s">
        <v>17</v>
      </c>
      <c r="D50" s="20">
        <f>B50-A50</f>
        <v>172.6099999999999</v>
      </c>
      <c r="E50" s="21"/>
      <c r="F50" s="20">
        <v>18.35</v>
      </c>
      <c r="G50" s="22"/>
      <c r="H50" s="21"/>
      <c r="I50" s="20">
        <f>F50*D50</f>
        <v>3167.3934999999983</v>
      </c>
      <c r="J50" s="22"/>
      <c r="K50" s="22"/>
      <c r="L50" s="21"/>
      <c r="M50" s="20"/>
      <c r="N50" s="21"/>
      <c r="O50" s="12">
        <f>D50*(4/12)</f>
        <v>57.53666666666663</v>
      </c>
      <c r="P50" s="12">
        <f>D50*(10/12)</f>
        <v>143.84166666666658</v>
      </c>
      <c r="Q50" s="12"/>
      <c r="R50" s="12">
        <f>($I50+$P50)/R$77</f>
        <v>367.9150185185183</v>
      </c>
      <c r="S50" s="12">
        <f>($I50+$P50)/S$78</f>
        <v>122.63833950617278</v>
      </c>
      <c r="T50" s="12">
        <f>($I50+$P50)/T$78</f>
        <v>122.63833950617278</v>
      </c>
      <c r="U50" s="12">
        <f>(($I50+$P50)/9)/U$77</f>
        <v>0.18395750925925916</v>
      </c>
      <c r="V50" s="12">
        <f>($I50+$P50)/V$77</f>
        <v>367.9150185185183</v>
      </c>
      <c r="W50" s="12">
        <v>1.37</v>
      </c>
      <c r="X50" s="12"/>
      <c r="Y50" s="12">
        <f>(($I50+O50)*Y$77)/Y$78</f>
        <v>59.72092901234565</v>
      </c>
      <c r="Z50" s="12">
        <f>(($I50+P50)*Z$77)/Z$78</f>
        <v>61.31916975308639</v>
      </c>
      <c r="AA50" s="12">
        <f>(($I50/9)*AA$77)</f>
        <v>38.712587222222204</v>
      </c>
      <c r="AB50" s="12">
        <f>($I50*AB$77)/AB$78</f>
        <v>12.219882330246909</v>
      </c>
      <c r="AC50" s="12">
        <f>($I50*AC$77)/AC$78</f>
        <v>17.10783526234567</v>
      </c>
      <c r="AD50" s="12"/>
      <c r="AE50" s="12">
        <v>70</v>
      </c>
      <c r="AF50" s="12"/>
      <c r="AG50" s="12"/>
      <c r="AH50" s="12"/>
      <c r="AI50" s="12">
        <v>1.69</v>
      </c>
    </row>
    <row r="51" spans="1:35" s="1" customFormat="1" ht="12.75" customHeight="1">
      <c r="A51" s="9">
        <v>1597</v>
      </c>
      <c r="B51" s="10">
        <v>1769.61</v>
      </c>
      <c r="C51" s="11" t="s">
        <v>18</v>
      </c>
      <c r="D51" s="20">
        <f>B51-A51</f>
        <v>172.6099999999999</v>
      </c>
      <c r="E51" s="21"/>
      <c r="F51" s="20">
        <v>17.2</v>
      </c>
      <c r="G51" s="22"/>
      <c r="H51" s="21"/>
      <c r="I51" s="20">
        <f>F51*D51</f>
        <v>2968.891999999998</v>
      </c>
      <c r="J51" s="22"/>
      <c r="K51" s="22"/>
      <c r="L51" s="21"/>
      <c r="M51" s="20"/>
      <c r="N51" s="21"/>
      <c r="O51" s="12">
        <f>D51*(4/12)</f>
        <v>57.53666666666663</v>
      </c>
      <c r="P51" s="12">
        <f>D51*(10/12)</f>
        <v>143.84166666666658</v>
      </c>
      <c r="Q51" s="12"/>
      <c r="R51" s="12">
        <f>($I51+$P51)/R$77</f>
        <v>345.85929629629607</v>
      </c>
      <c r="S51" s="12">
        <f>($I51+$P51)/S$78</f>
        <v>115.28643209876536</v>
      </c>
      <c r="T51" s="12">
        <f>($I51+$P51)/T$78</f>
        <v>115.28643209876536</v>
      </c>
      <c r="U51" s="12">
        <f>(($I51+$P51)/9)/U$77</f>
        <v>0.17292964814814804</v>
      </c>
      <c r="V51" s="12">
        <f>($I51+$P51)/V$77</f>
        <v>345.85929629629607</v>
      </c>
      <c r="W51" s="12">
        <v>1.12</v>
      </c>
      <c r="X51" s="12"/>
      <c r="Y51" s="12">
        <f>(($I51+O51)*Y$77)/Y$78</f>
        <v>56.044975308641945</v>
      </c>
      <c r="Z51" s="12">
        <f>(($I51+P51)*Z$77)/Z$78</f>
        <v>57.64321604938268</v>
      </c>
      <c r="AA51" s="12">
        <f>(($I51/9)*AA$77)</f>
        <v>36.286457777777755</v>
      </c>
      <c r="AB51" s="12">
        <f>($I51*AB$77)/AB$78</f>
        <v>11.454058641975301</v>
      </c>
      <c r="AC51" s="12">
        <f>($I51*AC$77)/AC$78</f>
        <v>16.03568209876542</v>
      </c>
      <c r="AD51" s="12"/>
      <c r="AE51" s="12">
        <v>70</v>
      </c>
      <c r="AF51" s="12"/>
      <c r="AG51" s="12"/>
      <c r="AH51" s="12"/>
      <c r="AI51" s="12">
        <v>1.38</v>
      </c>
    </row>
    <row r="52" spans="1:35" s="1" customFormat="1" ht="12.75" customHeight="1">
      <c r="A52" s="9"/>
      <c r="B52" s="10"/>
      <c r="C52" s="11"/>
      <c r="D52" s="20"/>
      <c r="E52" s="21"/>
      <c r="F52" s="20"/>
      <c r="G52" s="22"/>
      <c r="H52" s="21"/>
      <c r="I52" s="20"/>
      <c r="J52" s="22"/>
      <c r="K52" s="22"/>
      <c r="L52" s="21"/>
      <c r="M52" s="20"/>
      <c r="N52" s="21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1" customFormat="1" ht="12.75" customHeight="1">
      <c r="A53" s="9">
        <v>1769.61</v>
      </c>
      <c r="B53" s="10">
        <v>1777.52</v>
      </c>
      <c r="C53" s="11" t="s">
        <v>49</v>
      </c>
      <c r="D53" s="20">
        <f>B53-A53</f>
        <v>7.910000000000082</v>
      </c>
      <c r="E53" s="21"/>
      <c r="F53" s="20">
        <v>21.6</v>
      </c>
      <c r="G53" s="22"/>
      <c r="H53" s="21"/>
      <c r="I53" s="20">
        <f>F53*D53</f>
        <v>170.85600000000179</v>
      </c>
      <c r="J53" s="22"/>
      <c r="K53" s="22"/>
      <c r="L53" s="21"/>
      <c r="M53" s="20"/>
      <c r="N53" s="21"/>
      <c r="O53" s="12"/>
      <c r="P53" s="12"/>
      <c r="Q53" s="12">
        <f>D53*(16/12)</f>
        <v>10.546666666666775</v>
      </c>
      <c r="R53" s="12">
        <f>($I53+Q53)/R$77</f>
        <v>20.155851851852063</v>
      </c>
      <c r="S53" s="12">
        <f aca="true" t="shared" si="0" ref="S53:T56">($I53+$Q53)/S$78</f>
        <v>6.718617283950687</v>
      </c>
      <c r="T53" s="12">
        <f t="shared" si="0"/>
        <v>6.718617283950687</v>
      </c>
      <c r="U53" s="12">
        <f>(($I53+$Q53)/9)/U$77</f>
        <v>0.010077925925926032</v>
      </c>
      <c r="V53" s="12">
        <f>($I53+$Q53)/V$77</f>
        <v>20.155851851852063</v>
      </c>
      <c r="W53" s="12"/>
      <c r="X53" s="12"/>
      <c r="Y53" s="12">
        <f>(($I53)*Y$77)/Y$78</f>
        <v>3.164000000000033</v>
      </c>
      <c r="Z53" s="12">
        <f>(($I53+Q53)*Z$77)/Z$78</f>
        <v>3.3593086419753435</v>
      </c>
      <c r="AA53" s="12">
        <f>(($I53/9)*AA$77)</f>
        <v>2.0882400000000216</v>
      </c>
      <c r="AB53" s="12">
        <f aca="true" t="shared" si="1" ref="AB53:AC56">($I53*AB$77)/AB$78</f>
        <v>0.6591666666666737</v>
      </c>
      <c r="AC53" s="12">
        <f t="shared" si="1"/>
        <v>0.922833333333343</v>
      </c>
      <c r="AD53" s="12"/>
      <c r="AE53" s="12"/>
      <c r="AF53" s="12"/>
      <c r="AG53" s="12"/>
      <c r="AH53" s="12"/>
      <c r="AI53" s="12"/>
    </row>
    <row r="54" spans="1:35" s="1" customFormat="1" ht="12.75" customHeight="1">
      <c r="A54" s="9">
        <v>1769.61</v>
      </c>
      <c r="B54" s="10">
        <v>1777.9</v>
      </c>
      <c r="C54" s="11" t="s">
        <v>18</v>
      </c>
      <c r="D54" s="20">
        <f>B54-A54</f>
        <v>8.290000000000191</v>
      </c>
      <c r="E54" s="21"/>
      <c r="F54" s="20">
        <v>22.38</v>
      </c>
      <c r="G54" s="22"/>
      <c r="H54" s="21"/>
      <c r="I54" s="20">
        <f>F54*D54</f>
        <v>185.53020000000427</v>
      </c>
      <c r="J54" s="22"/>
      <c r="K54" s="22"/>
      <c r="L54" s="21"/>
      <c r="M54" s="20"/>
      <c r="N54" s="21"/>
      <c r="O54" s="12"/>
      <c r="P54" s="12"/>
      <c r="Q54" s="12">
        <f>D54*(16/12)</f>
        <v>11.053333333333587</v>
      </c>
      <c r="R54" s="12">
        <f>($I54+Q54)/R$77</f>
        <v>21.84261481481532</v>
      </c>
      <c r="S54" s="12">
        <f t="shared" si="0"/>
        <v>7.280871604938439</v>
      </c>
      <c r="T54" s="12">
        <f t="shared" si="0"/>
        <v>7.280871604938439</v>
      </c>
      <c r="U54" s="12">
        <f>(($I54+$Q54)/9)/U$77</f>
        <v>0.01092130740740766</v>
      </c>
      <c r="V54" s="12">
        <f>($I54+$Q54)/V$77</f>
        <v>21.84261481481532</v>
      </c>
      <c r="W54" s="12"/>
      <c r="X54" s="12"/>
      <c r="Y54" s="12">
        <f>(($I54)*Y$77)/Y$78</f>
        <v>3.4357444444445235</v>
      </c>
      <c r="Z54" s="12">
        <f>(($I54+Q54)*Z$77)/Z$78</f>
        <v>3.6404358024692196</v>
      </c>
      <c r="AA54" s="12">
        <f>(($I54/9)*AA$77)</f>
        <v>2.2675913333333857</v>
      </c>
      <c r="AB54" s="12">
        <f t="shared" si="1"/>
        <v>0.7157800925926091</v>
      </c>
      <c r="AC54" s="12">
        <f t="shared" si="1"/>
        <v>1.0020921296296528</v>
      </c>
      <c r="AD54" s="12"/>
      <c r="AE54" s="12"/>
      <c r="AF54" s="12"/>
      <c r="AG54" s="12"/>
      <c r="AH54" s="12"/>
      <c r="AI54" s="12"/>
    </row>
    <row r="55" spans="1:35" s="1" customFormat="1" ht="12.75" customHeight="1">
      <c r="A55" s="9">
        <v>1777.52</v>
      </c>
      <c r="B55" s="10">
        <v>1880.65</v>
      </c>
      <c r="C55" s="11" t="s">
        <v>17</v>
      </c>
      <c r="D55" s="20">
        <f>B55-A55</f>
        <v>103.13000000000011</v>
      </c>
      <c r="E55" s="21"/>
      <c r="F55" s="20">
        <v>16.42</v>
      </c>
      <c r="G55" s="22"/>
      <c r="H55" s="21"/>
      <c r="I55" s="20">
        <f>F55*D55</f>
        <v>1693.394600000002</v>
      </c>
      <c r="J55" s="22"/>
      <c r="K55" s="22"/>
      <c r="L55" s="21"/>
      <c r="M55" s="20"/>
      <c r="N55" s="21"/>
      <c r="O55" s="12"/>
      <c r="P55" s="12"/>
      <c r="Q55" s="12">
        <f>(D55*(16/12))*2</f>
        <v>275.0133333333336</v>
      </c>
      <c r="R55" s="12">
        <f>($I55+Q55)/R$77</f>
        <v>218.71199259259282</v>
      </c>
      <c r="S55" s="12">
        <f t="shared" si="0"/>
        <v>72.90399753086427</v>
      </c>
      <c r="T55" s="12">
        <f t="shared" si="0"/>
        <v>72.90399753086427</v>
      </c>
      <c r="U55" s="12">
        <f>(($I55+$Q55)/9)/U$77</f>
        <v>0.10935599629629641</v>
      </c>
      <c r="V55" s="12">
        <f>($I55+$Q55)/V$77</f>
        <v>218.71199259259282</v>
      </c>
      <c r="W55" s="12"/>
      <c r="X55" s="12"/>
      <c r="Y55" s="12">
        <f>(($I55)*Y$77)/Y$78</f>
        <v>31.359159259259293</v>
      </c>
      <c r="Z55" s="12">
        <f>(($I55+Q55)*Z$77)/Z$78</f>
        <v>36.45199876543214</v>
      </c>
      <c r="AA55" s="12">
        <f>(($I55/9)*AA$77)</f>
        <v>20.697045111111134</v>
      </c>
      <c r="AB55" s="12">
        <f t="shared" si="1"/>
        <v>6.533158179012354</v>
      </c>
      <c r="AC55" s="12">
        <f t="shared" si="1"/>
        <v>9.146421450617295</v>
      </c>
      <c r="AD55" s="12"/>
      <c r="AE55" s="12"/>
      <c r="AF55" s="12"/>
      <c r="AG55" s="12">
        <f>125.84+115.67</f>
        <v>241.51</v>
      </c>
      <c r="AH55" s="12">
        <v>43.87</v>
      </c>
      <c r="AI55" s="12"/>
    </row>
    <row r="56" spans="1:35" s="1" customFormat="1" ht="12.75" customHeight="1">
      <c r="A56" s="9">
        <v>1777.9</v>
      </c>
      <c r="B56" s="10">
        <v>1880.65</v>
      </c>
      <c r="C56" s="11" t="s">
        <v>18</v>
      </c>
      <c r="D56" s="20">
        <f>B56-A56</f>
        <v>102.75</v>
      </c>
      <c r="E56" s="21"/>
      <c r="F56" s="20">
        <v>18.03</v>
      </c>
      <c r="G56" s="22"/>
      <c r="H56" s="21"/>
      <c r="I56" s="20">
        <f>F56*D56</f>
        <v>1852.5825000000002</v>
      </c>
      <c r="J56" s="22"/>
      <c r="K56" s="22"/>
      <c r="L56" s="21"/>
      <c r="M56" s="20"/>
      <c r="N56" s="21"/>
      <c r="O56" s="12"/>
      <c r="P56" s="12"/>
      <c r="Q56" s="12">
        <f>(D56*(16/12))*2</f>
        <v>274</v>
      </c>
      <c r="R56" s="12">
        <f>($I56+Q56)/R$77</f>
        <v>236.2869444444445</v>
      </c>
      <c r="S56" s="12">
        <f t="shared" si="0"/>
        <v>78.76231481481483</v>
      </c>
      <c r="T56" s="12">
        <f t="shared" si="0"/>
        <v>78.76231481481483</v>
      </c>
      <c r="U56" s="12">
        <f>(($I56+$Q56)/9)/U$77</f>
        <v>0.11814347222222224</v>
      </c>
      <c r="V56" s="12">
        <f>($I56+$Q56)/V$77</f>
        <v>236.2869444444445</v>
      </c>
      <c r="W56" s="12"/>
      <c r="X56" s="12"/>
      <c r="Y56" s="12">
        <f>(($I56)*Y$77)/Y$78</f>
        <v>34.30708333333334</v>
      </c>
      <c r="Z56" s="12">
        <f>(($I56+Q56)*Z$77)/Z$78</f>
        <v>39.381157407407414</v>
      </c>
      <c r="AA56" s="12">
        <f>(($I56/9)*AA$77)</f>
        <v>22.642675000000004</v>
      </c>
      <c r="AB56" s="12">
        <f t="shared" si="1"/>
        <v>7.147309027777778</v>
      </c>
      <c r="AC56" s="12">
        <f t="shared" si="1"/>
        <v>10.006232638888891</v>
      </c>
      <c r="AD56" s="12"/>
      <c r="AE56" s="12"/>
      <c r="AF56" s="12"/>
      <c r="AG56" s="12">
        <f>127.83+111.88</f>
        <v>239.70999999999998</v>
      </c>
      <c r="AH56" s="12">
        <v>43.2</v>
      </c>
      <c r="AI56" s="12"/>
    </row>
    <row r="57" spans="1:35" s="1" customFormat="1" ht="12.75" customHeight="1">
      <c r="A57" s="9"/>
      <c r="B57" s="10"/>
      <c r="C57" s="11"/>
      <c r="D57" s="20"/>
      <c r="E57" s="21"/>
      <c r="F57" s="20"/>
      <c r="G57" s="22"/>
      <c r="H57" s="21"/>
      <c r="I57" s="20"/>
      <c r="J57" s="22"/>
      <c r="K57" s="22"/>
      <c r="L57" s="21"/>
      <c r="M57" s="20"/>
      <c r="N57" s="2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1" customFormat="1" ht="12.75" customHeight="1">
      <c r="A58" s="9">
        <v>2039.78</v>
      </c>
      <c r="B58" s="10">
        <v>2169.9</v>
      </c>
      <c r="C58" s="11" t="s">
        <v>17</v>
      </c>
      <c r="D58" s="20">
        <f>B58-A58</f>
        <v>130.12000000000012</v>
      </c>
      <c r="E58" s="21"/>
      <c r="F58" s="20">
        <v>21.58</v>
      </c>
      <c r="G58" s="22"/>
      <c r="H58" s="21"/>
      <c r="I58" s="20">
        <f>F58*D58</f>
        <v>2807.989600000002</v>
      </c>
      <c r="J58" s="22"/>
      <c r="K58" s="22"/>
      <c r="L58" s="21"/>
      <c r="M58" s="20"/>
      <c r="N58" s="21"/>
      <c r="O58" s="12"/>
      <c r="P58" s="12"/>
      <c r="Q58" s="12">
        <f>(D58*(16/12))*2</f>
        <v>346.98666666666696</v>
      </c>
      <c r="R58" s="12">
        <f>($I58+Q58)/R$77</f>
        <v>350.5529185185188</v>
      </c>
      <c r="S58" s="12">
        <f>($I58+$Q58)/S$78</f>
        <v>116.85097283950627</v>
      </c>
      <c r="T58" s="12">
        <f>($I58+$Q58)/T$78</f>
        <v>116.85097283950627</v>
      </c>
      <c r="U58" s="12">
        <f>(($I58+$Q58)/9)/U$77</f>
        <v>0.17527645925925942</v>
      </c>
      <c r="V58" s="12">
        <f>($I58+$Q58)/V$77</f>
        <v>350.5529185185188</v>
      </c>
      <c r="W58" s="12"/>
      <c r="X58" s="12"/>
      <c r="Y58" s="12">
        <f>(($I58)*Y$77)/Y$78</f>
        <v>51.999807407407445</v>
      </c>
      <c r="Z58" s="12">
        <f>(($I58+Q58)*Z$77)/Z$78</f>
        <v>58.425486419753135</v>
      </c>
      <c r="AA58" s="12">
        <f>(($I58/9)*AA$77)</f>
        <v>34.319872888888916</v>
      </c>
      <c r="AB58" s="12">
        <f>($I58*AB$77)/AB$78</f>
        <v>10.833293209876551</v>
      </c>
      <c r="AC58" s="12">
        <f>($I58*AC$77)/AC$78</f>
        <v>15.166610493827173</v>
      </c>
      <c r="AD58" s="12"/>
      <c r="AE58" s="12"/>
      <c r="AF58" s="12"/>
      <c r="AG58" s="12">
        <f>124.85+113.07</f>
        <v>237.92</v>
      </c>
      <c r="AH58" s="12">
        <v>40.69</v>
      </c>
      <c r="AI58" s="12"/>
    </row>
    <row r="59" spans="1:35" s="1" customFormat="1" ht="12.75" customHeight="1">
      <c r="A59" s="9">
        <v>2039.78</v>
      </c>
      <c r="B59" s="10">
        <v>2170.4</v>
      </c>
      <c r="C59" s="11" t="s">
        <v>18</v>
      </c>
      <c r="D59" s="20">
        <f>B59-A59</f>
        <v>130.62000000000012</v>
      </c>
      <c r="E59" s="21"/>
      <c r="F59" s="20">
        <v>18.17</v>
      </c>
      <c r="G59" s="22"/>
      <c r="H59" s="21"/>
      <c r="I59" s="20">
        <f>F59*D59</f>
        <v>2373.3654000000024</v>
      </c>
      <c r="J59" s="22"/>
      <c r="K59" s="22"/>
      <c r="L59" s="21"/>
      <c r="M59" s="20"/>
      <c r="N59" s="21"/>
      <c r="O59" s="12"/>
      <c r="P59" s="12"/>
      <c r="Q59" s="12">
        <f>(D59*(16/12))*2</f>
        <v>348.3200000000003</v>
      </c>
      <c r="R59" s="12">
        <f>($I59+Q59)/R$77</f>
        <v>302.4094888888892</v>
      </c>
      <c r="S59" s="12">
        <f>($I59+$Q59)/S$78</f>
        <v>100.80316296296306</v>
      </c>
      <c r="T59" s="12">
        <f>($I59+$Q59)/T$78</f>
        <v>100.80316296296306</v>
      </c>
      <c r="U59" s="12">
        <f>(($I59+$Q59)/9)/U$77</f>
        <v>0.1512047444444446</v>
      </c>
      <c r="V59" s="12">
        <f>($I59+$Q59)/V$77</f>
        <v>302.4094888888892</v>
      </c>
      <c r="W59" s="12"/>
      <c r="X59" s="12"/>
      <c r="Y59" s="12">
        <f>(($I59)*Y$77)/Y$78</f>
        <v>43.95121111111116</v>
      </c>
      <c r="Z59" s="12">
        <f>(($I59+Q59)*Z$77)/Z$78</f>
        <v>50.40158148148153</v>
      </c>
      <c r="AA59" s="12">
        <f>(($I59/9)*AA$77)</f>
        <v>29.007799333333367</v>
      </c>
      <c r="AB59" s="12">
        <f>($I59*AB$77)/AB$78</f>
        <v>9.156502314814825</v>
      </c>
      <c r="AC59" s="12">
        <f>($I59*AC$77)/AC$78</f>
        <v>12.819103240740754</v>
      </c>
      <c r="AD59" s="12"/>
      <c r="AE59" s="12"/>
      <c r="AF59" s="12"/>
      <c r="AG59" s="12">
        <f>126.13+112.91</f>
        <v>239.04</v>
      </c>
      <c r="AH59" s="12">
        <v>40.88</v>
      </c>
      <c r="AI59" s="12"/>
    </row>
    <row r="60" spans="1:35" s="1" customFormat="1" ht="12.75" customHeight="1">
      <c r="A60" s="9"/>
      <c r="B60" s="10"/>
      <c r="C60" s="11"/>
      <c r="D60" s="20"/>
      <c r="E60" s="21"/>
      <c r="F60" s="20"/>
      <c r="G60" s="22"/>
      <c r="H60" s="21"/>
      <c r="I60" s="20"/>
      <c r="J60" s="22"/>
      <c r="K60" s="22"/>
      <c r="L60" s="21"/>
      <c r="M60" s="20"/>
      <c r="N60" s="21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1" customFormat="1" ht="12.75" customHeight="1">
      <c r="A61" s="9">
        <v>2169.9</v>
      </c>
      <c r="B61" s="10">
        <v>2180</v>
      </c>
      <c r="C61" s="11" t="s">
        <v>17</v>
      </c>
      <c r="D61" s="20">
        <f>B61-A61</f>
        <v>10.099999999999909</v>
      </c>
      <c r="E61" s="21"/>
      <c r="F61" s="20">
        <v>22.88</v>
      </c>
      <c r="G61" s="22"/>
      <c r="H61" s="21"/>
      <c r="I61" s="20">
        <f>F61*D61</f>
        <v>231.08799999999792</v>
      </c>
      <c r="J61" s="22"/>
      <c r="K61" s="22"/>
      <c r="L61" s="21"/>
      <c r="M61" s="20"/>
      <c r="N61" s="21"/>
      <c r="O61" s="12"/>
      <c r="P61" s="12"/>
      <c r="Q61" s="12">
        <f>D61*(16/12)</f>
        <v>13.466666666666544</v>
      </c>
      <c r="R61" s="12">
        <f>($I61+Q61)/R$77</f>
        <v>27.172740740740498</v>
      </c>
      <c r="S61" s="12">
        <f>($I61+$Q61)/S$78</f>
        <v>9.0575802469135</v>
      </c>
      <c r="T61" s="12">
        <f>($I61+$Q61)/T$78</f>
        <v>9.0575802469135</v>
      </c>
      <c r="U61" s="12">
        <f>(($I61+$Q61)/9)/U$77</f>
        <v>0.013586370370370249</v>
      </c>
      <c r="V61" s="12">
        <f>($I61+$Q61)/V$77</f>
        <v>27.172740740740498</v>
      </c>
      <c r="W61" s="12"/>
      <c r="X61" s="12"/>
      <c r="Y61" s="12">
        <f>(($I61)*Y$77)/Y$78</f>
        <v>4.279407407407369</v>
      </c>
      <c r="Z61" s="12">
        <f>(($I61+Q61)*Z$77)/Z$78</f>
        <v>4.52879012345675</v>
      </c>
      <c r="AA61" s="12">
        <f>(($I61/9)*AA$77)</f>
        <v>2.8244088888888634</v>
      </c>
      <c r="AB61" s="12">
        <f>($I61*AB$77)/AB$78</f>
        <v>0.8915432098765352</v>
      </c>
      <c r="AC61" s="12">
        <f>($I61*AC$77)/AC$78</f>
        <v>1.2481604938271493</v>
      </c>
      <c r="AD61" s="12"/>
      <c r="AE61" s="12"/>
      <c r="AF61" s="12"/>
      <c r="AG61" s="12">
        <v>29.16</v>
      </c>
      <c r="AH61" s="12"/>
      <c r="AI61" s="12"/>
    </row>
    <row r="62" spans="1:35" s="1" customFormat="1" ht="12.75" customHeight="1">
      <c r="A62" s="9">
        <v>2170.4</v>
      </c>
      <c r="B62" s="10">
        <v>2180</v>
      </c>
      <c r="C62" s="11" t="s">
        <v>18</v>
      </c>
      <c r="D62" s="20">
        <f>B62-A62</f>
        <v>9.599999999999909</v>
      </c>
      <c r="E62" s="21"/>
      <c r="F62" s="20">
        <v>21.08</v>
      </c>
      <c r="G62" s="22"/>
      <c r="H62" s="21"/>
      <c r="I62" s="20">
        <f>F62*D62</f>
        <v>202.36799999999806</v>
      </c>
      <c r="J62" s="22"/>
      <c r="K62" s="22"/>
      <c r="L62" s="21"/>
      <c r="M62" s="20"/>
      <c r="N62" s="21"/>
      <c r="O62" s="12"/>
      <c r="P62" s="12"/>
      <c r="Q62" s="12">
        <f>D62*(16/12)</f>
        <v>12.799999999999878</v>
      </c>
      <c r="R62" s="12">
        <f>($I62+Q62)/R$77</f>
        <v>23.907555555555327</v>
      </c>
      <c r="S62" s="12">
        <f>($I62+$Q62)/S$78</f>
        <v>7.9691851851851085</v>
      </c>
      <c r="T62" s="12">
        <f>($I62+$Q62)/T$78</f>
        <v>7.9691851851851085</v>
      </c>
      <c r="U62" s="12">
        <f>(($I62+$Q62)/9)/U$77</f>
        <v>0.011953777777777664</v>
      </c>
      <c r="V62" s="12">
        <f>($I62+$Q62)/V$77</f>
        <v>23.907555555555327</v>
      </c>
      <c r="W62" s="12"/>
      <c r="X62" s="12"/>
      <c r="Y62" s="12">
        <f>(($I62)*Y$77)/Y$78</f>
        <v>3.7475555555555196</v>
      </c>
      <c r="Z62" s="12">
        <f>(($I62+Q62)*Z$77)/Z$78</f>
        <v>3.9845925925925543</v>
      </c>
      <c r="AA62" s="12">
        <f>(($I62/9)*AA$77)</f>
        <v>2.473386666666643</v>
      </c>
      <c r="AB62" s="12">
        <f>($I62*AB$77)/AB$78</f>
        <v>0.7807407407407333</v>
      </c>
      <c r="AC62" s="12">
        <f>($I62*AC$77)/AC$78</f>
        <v>1.0930370370370266</v>
      </c>
      <c r="AD62" s="12"/>
      <c r="AE62" s="12"/>
      <c r="AF62" s="12"/>
      <c r="AG62" s="12">
        <v>30.07</v>
      </c>
      <c r="AH62" s="12"/>
      <c r="AI62" s="12"/>
    </row>
    <row r="63" spans="1:35" s="1" customFormat="1" ht="12.75" customHeight="1">
      <c r="A63" s="9"/>
      <c r="B63" s="10"/>
      <c r="C63" s="11"/>
      <c r="D63" s="20"/>
      <c r="E63" s="21"/>
      <c r="F63" s="20"/>
      <c r="G63" s="22"/>
      <c r="H63" s="21"/>
      <c r="I63" s="20"/>
      <c r="J63" s="22"/>
      <c r="K63" s="22"/>
      <c r="L63" s="21"/>
      <c r="M63" s="20"/>
      <c r="N63" s="21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1" customFormat="1" ht="12.75" customHeight="1">
      <c r="A64" s="9">
        <v>2180</v>
      </c>
      <c r="B64" s="10">
        <v>2435.45</v>
      </c>
      <c r="C64" s="11" t="s">
        <v>17</v>
      </c>
      <c r="D64" s="20">
        <f>B64-A64</f>
        <v>255.44999999999982</v>
      </c>
      <c r="E64" s="21"/>
      <c r="F64" s="20">
        <v>20.04</v>
      </c>
      <c r="G64" s="22"/>
      <c r="H64" s="21"/>
      <c r="I64" s="20">
        <f>F64*D64</f>
        <v>5119.217999999996</v>
      </c>
      <c r="J64" s="22"/>
      <c r="K64" s="22"/>
      <c r="L64" s="21"/>
      <c r="M64" s="20"/>
      <c r="N64" s="21"/>
      <c r="O64" s="12">
        <f>D64*(4/12)</f>
        <v>85.14999999999993</v>
      </c>
      <c r="P64" s="12">
        <f>D64*(10/12)</f>
        <v>212.87499999999986</v>
      </c>
      <c r="Q64" s="12"/>
      <c r="R64" s="12">
        <f>($I64+$P64)/R$77</f>
        <v>592.4547777777774</v>
      </c>
      <c r="S64" s="12">
        <f>($I64+$P64)/S$78</f>
        <v>197.48492592592578</v>
      </c>
      <c r="T64" s="12">
        <f>($I64+$P64)/T$78</f>
        <v>197.48492592592578</v>
      </c>
      <c r="U64" s="12">
        <f>(($I64+$P64)/9)/U$77</f>
        <v>0.2962273888888887</v>
      </c>
      <c r="V64" s="12">
        <f>($I64+$P64)/V$77</f>
        <v>592.4547777777774</v>
      </c>
      <c r="W64" s="12">
        <f>($D64-32.8)/100</f>
        <v>2.226499999999998</v>
      </c>
      <c r="X64" s="12"/>
      <c r="Y64" s="12">
        <f>(($I64+O64)*Y$77)/Y$78</f>
        <v>96.37718518518511</v>
      </c>
      <c r="Z64" s="12">
        <f>(($I64+P64)*Z$77)/Z$78</f>
        <v>98.74246296296289</v>
      </c>
      <c r="AA64" s="12">
        <f>(($I64/9)*AA$77)</f>
        <v>62.568219999999954</v>
      </c>
      <c r="AB64" s="12">
        <f>($I64*AB$77)/AB$78</f>
        <v>19.750069444444428</v>
      </c>
      <c r="AC64" s="12">
        <f>($I64*AC$77)/AC$78</f>
        <v>27.650097222222204</v>
      </c>
      <c r="AD64" s="12"/>
      <c r="AE64" s="12">
        <v>100</v>
      </c>
      <c r="AF64" s="12"/>
      <c r="AG64" s="12"/>
      <c r="AH64" s="12"/>
      <c r="AI64" s="12">
        <v>2.75</v>
      </c>
    </row>
    <row r="65" spans="1:35" s="1" customFormat="1" ht="12.75" customHeight="1">
      <c r="A65" s="9">
        <v>2180</v>
      </c>
      <c r="B65" s="10">
        <v>2435.45</v>
      </c>
      <c r="C65" s="11" t="s">
        <v>18</v>
      </c>
      <c r="D65" s="20">
        <f>B65-A65</f>
        <v>255.44999999999982</v>
      </c>
      <c r="E65" s="21"/>
      <c r="F65" s="20">
        <v>20.03</v>
      </c>
      <c r="G65" s="22"/>
      <c r="H65" s="21"/>
      <c r="I65" s="20">
        <f>F65*D65</f>
        <v>5116.663499999997</v>
      </c>
      <c r="J65" s="22"/>
      <c r="K65" s="22"/>
      <c r="L65" s="21"/>
      <c r="M65" s="20"/>
      <c r="N65" s="21"/>
      <c r="O65" s="12">
        <f>D65*(4/12)</f>
        <v>85.14999999999993</v>
      </c>
      <c r="P65" s="12">
        <f>D65*(10/12)</f>
        <v>212.87499999999986</v>
      </c>
      <c r="Q65" s="12"/>
      <c r="R65" s="12">
        <f>($I65+$P65)/R$77</f>
        <v>592.1709444444441</v>
      </c>
      <c r="S65" s="12">
        <f>($I65+$P65)/S$78</f>
        <v>197.3903148148147</v>
      </c>
      <c r="T65" s="12">
        <f>($I65+$P65)/T$78</f>
        <v>197.3903148148147</v>
      </c>
      <c r="U65" s="12">
        <f>(($I65+$P65)/9)/U$77</f>
        <v>0.29608547222222203</v>
      </c>
      <c r="V65" s="12">
        <f>($I65+$P65)/V$77</f>
        <v>592.1709444444441</v>
      </c>
      <c r="W65" s="12">
        <f>($D65-32.8)/100</f>
        <v>2.226499999999998</v>
      </c>
      <c r="X65" s="12"/>
      <c r="Y65" s="12">
        <f>(($I65+O65)*Y$77)/Y$78</f>
        <v>96.32987962962956</v>
      </c>
      <c r="Z65" s="12">
        <f>(($I65+P65)*Z$77)/Z$78</f>
        <v>98.69515740740735</v>
      </c>
      <c r="AA65" s="12">
        <f>(($I65/9)*AA$77)</f>
        <v>62.536998333333294</v>
      </c>
      <c r="AB65" s="12">
        <f>($I65*AB$77)/AB$78</f>
        <v>19.74021412037036</v>
      </c>
      <c r="AC65" s="12">
        <f>($I65*AC$77)/AC$78</f>
        <v>27.636299768518505</v>
      </c>
      <c r="AD65" s="12"/>
      <c r="AE65" s="12">
        <v>100</v>
      </c>
      <c r="AF65" s="12"/>
      <c r="AG65" s="12"/>
      <c r="AH65" s="12"/>
      <c r="AI65" s="12">
        <v>2.75</v>
      </c>
    </row>
    <row r="66" spans="1:35" s="1" customFormat="1" ht="12.75" customHeight="1">
      <c r="A66" s="9"/>
      <c r="B66" s="10"/>
      <c r="C66" s="11"/>
      <c r="D66" s="20"/>
      <c r="E66" s="21"/>
      <c r="F66" s="20"/>
      <c r="G66" s="22"/>
      <c r="H66" s="21"/>
      <c r="I66" s="20"/>
      <c r="J66" s="22"/>
      <c r="K66" s="22"/>
      <c r="L66" s="21"/>
      <c r="M66" s="20"/>
      <c r="N66" s="21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1" customFormat="1" ht="12.75" customHeight="1">
      <c r="A67" s="9">
        <v>2473.61</v>
      </c>
      <c r="B67" s="10">
        <v>2595.45</v>
      </c>
      <c r="C67" s="11" t="s">
        <v>18</v>
      </c>
      <c r="D67" s="20">
        <f>B67-A67</f>
        <v>121.83999999999969</v>
      </c>
      <c r="E67" s="21"/>
      <c r="F67" s="20"/>
      <c r="G67" s="22"/>
      <c r="H67" s="21"/>
      <c r="I67" s="20"/>
      <c r="J67" s="22"/>
      <c r="K67" s="22"/>
      <c r="L67" s="21"/>
      <c r="M67" s="20">
        <v>562.77</v>
      </c>
      <c r="N67" s="21"/>
      <c r="O67" s="12">
        <f>D67*(4/12)</f>
        <v>40.61333333333323</v>
      </c>
      <c r="P67" s="12">
        <f>D67*(10/12)</f>
        <v>101.53333333333308</v>
      </c>
      <c r="Q67" s="12"/>
      <c r="R67" s="12">
        <f>($M67+$P67)/R$77</f>
        <v>73.81148148148145</v>
      </c>
      <c r="S67" s="12">
        <f>($I67+$P67)/S$78</f>
        <v>3.7604938271604844</v>
      </c>
      <c r="T67" s="12">
        <f>($I67+$P67)/T$78</f>
        <v>3.7604938271604844</v>
      </c>
      <c r="U67" s="12">
        <f>(($M67+$P67)/9)/U$77</f>
        <v>0.036905740740740725</v>
      </c>
      <c r="V67" s="12">
        <f>($M67+$P67)/V$77</f>
        <v>73.81148148148145</v>
      </c>
      <c r="W67" s="12"/>
      <c r="X67" s="12"/>
      <c r="Y67" s="12">
        <f>(($M67+O67)*Y$77)/Y$78</f>
        <v>11.173765432098763</v>
      </c>
      <c r="Z67" s="12">
        <f>(($M67+P67)*Z$77)/Z$78</f>
        <v>12.301913580246909</v>
      </c>
      <c r="AA67" s="12">
        <f>(($M67/9)*AA$77)</f>
        <v>6.8783</v>
      </c>
      <c r="AB67" s="12">
        <f>($M67*AB$77)/AB$78</f>
        <v>2.1711805555555554</v>
      </c>
      <c r="AC67" s="12">
        <f>($M67*AC$77)/AC$78</f>
        <v>3.039652777777778</v>
      </c>
      <c r="AD67" s="12"/>
      <c r="AE67" s="12"/>
      <c r="AF67" s="12"/>
      <c r="AG67" s="12"/>
      <c r="AH67" s="12"/>
      <c r="AI67" s="12"/>
    </row>
    <row r="68" spans="1:35" s="1" customFormat="1" ht="12.75" customHeight="1">
      <c r="A68" s="9"/>
      <c r="B68" s="10"/>
      <c r="C68" s="11"/>
      <c r="D68" s="20"/>
      <c r="E68" s="21"/>
      <c r="F68" s="20"/>
      <c r="G68" s="22"/>
      <c r="H68" s="21"/>
      <c r="I68" s="20"/>
      <c r="J68" s="22"/>
      <c r="K68" s="22"/>
      <c r="L68" s="21"/>
      <c r="M68" s="20"/>
      <c r="N68" s="21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1" customFormat="1" ht="12.75" customHeight="1">
      <c r="A69" s="29" t="s">
        <v>43</v>
      </c>
      <c r="B69" s="30"/>
      <c r="C69" s="11"/>
      <c r="D69" s="20"/>
      <c r="E69" s="21"/>
      <c r="F69" s="20"/>
      <c r="G69" s="22"/>
      <c r="H69" s="21"/>
      <c r="I69" s="20"/>
      <c r="J69" s="22"/>
      <c r="K69" s="22"/>
      <c r="L69" s="21"/>
      <c r="M69" s="20">
        <v>12151.46</v>
      </c>
      <c r="N69" s="21"/>
      <c r="O69" s="12"/>
      <c r="P69" s="12"/>
      <c r="Q69" s="12">
        <f>AG69*(16/12)</f>
        <v>648.4266666666665</v>
      </c>
      <c r="R69" s="12">
        <f>($M69+Q69)/R$77</f>
        <v>1422.2096296296295</v>
      </c>
      <c r="S69" s="12">
        <f>($M69+$Q69)/S$78</f>
        <v>474.06987654320983</v>
      </c>
      <c r="T69" s="12">
        <f>($M69+$Q69)/T$78</f>
        <v>474.06987654320983</v>
      </c>
      <c r="U69" s="12">
        <f>(($M69+$Q69)/9)/U$77</f>
        <v>0.7111048148148147</v>
      </c>
      <c r="V69" s="12">
        <f>($M69+$Q69)/V$77</f>
        <v>1422.2096296296295</v>
      </c>
      <c r="W69" s="12"/>
      <c r="X69" s="12"/>
      <c r="Y69" s="12">
        <f>(($M69)*Y$77)/Y$78</f>
        <v>225.02703703703702</v>
      </c>
      <c r="Z69" s="12">
        <f>(($M69+Q69)*Z$77)/Z$78</f>
        <v>237.03493827160491</v>
      </c>
      <c r="AA69" s="12">
        <f>(($M69/9)*AA$77)</f>
        <v>148.51784444444445</v>
      </c>
      <c r="AB69" s="12">
        <f>($M69*AB$77)/AB$78</f>
        <v>46.880632716049384</v>
      </c>
      <c r="AC69" s="12">
        <f>($M69*AC$77)/AC$78</f>
        <v>65.63288580246913</v>
      </c>
      <c r="AD69" s="12">
        <v>387.38</v>
      </c>
      <c r="AE69" s="12"/>
      <c r="AF69" s="12">
        <v>345.57</v>
      </c>
      <c r="AG69" s="12">
        <f>267.03+219.29</f>
        <v>486.31999999999994</v>
      </c>
      <c r="AH69" s="12"/>
      <c r="AI69" s="12"/>
    </row>
    <row r="70" spans="1:35" s="1" customFormat="1" ht="12.75" customHeight="1">
      <c r="A70" s="9"/>
      <c r="B70" s="10"/>
      <c r="C70" s="11"/>
      <c r="D70" s="20"/>
      <c r="E70" s="21"/>
      <c r="F70" s="20"/>
      <c r="G70" s="22"/>
      <c r="H70" s="21"/>
      <c r="I70" s="20"/>
      <c r="J70" s="22"/>
      <c r="K70" s="22"/>
      <c r="L70" s="21"/>
      <c r="M70" s="20"/>
      <c r="N70" s="21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1" customFormat="1" ht="12.75" customHeight="1">
      <c r="A71" s="9"/>
      <c r="B71" s="10"/>
      <c r="C71" s="11"/>
      <c r="D71" s="20"/>
      <c r="E71" s="21"/>
      <c r="F71" s="20"/>
      <c r="G71" s="22"/>
      <c r="H71" s="21"/>
      <c r="I71" s="20"/>
      <c r="J71" s="22"/>
      <c r="K71" s="22"/>
      <c r="L71" s="21"/>
      <c r="M71" s="20"/>
      <c r="N71" s="21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1" customFormat="1" ht="12.75" customHeight="1">
      <c r="A72" s="9"/>
      <c r="B72" s="10"/>
      <c r="C72" s="11"/>
      <c r="D72" s="20"/>
      <c r="E72" s="21"/>
      <c r="F72" s="20"/>
      <c r="G72" s="22"/>
      <c r="H72" s="21"/>
      <c r="I72" s="20"/>
      <c r="J72" s="22"/>
      <c r="K72" s="22"/>
      <c r="L72" s="21"/>
      <c r="M72" s="20"/>
      <c r="N72" s="21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1" customFormat="1" ht="12.75" customHeight="1">
      <c r="A73" s="9"/>
      <c r="B73" s="10"/>
      <c r="C73" s="11"/>
      <c r="D73" s="20"/>
      <c r="E73" s="21"/>
      <c r="F73" s="20"/>
      <c r="G73" s="22"/>
      <c r="H73" s="21"/>
      <c r="I73" s="20"/>
      <c r="J73" s="22"/>
      <c r="K73" s="22"/>
      <c r="L73" s="21"/>
      <c r="M73" s="20"/>
      <c r="N73" s="2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1" customFormat="1" ht="12.75" customHeight="1" thickBot="1">
      <c r="A74" s="9"/>
      <c r="B74" s="10"/>
      <c r="C74" s="11"/>
      <c r="D74" s="20"/>
      <c r="E74" s="21"/>
      <c r="F74" s="20"/>
      <c r="G74" s="22"/>
      <c r="H74" s="21"/>
      <c r="I74" s="20"/>
      <c r="J74" s="22"/>
      <c r="K74" s="22"/>
      <c r="L74" s="21"/>
      <c r="M74" s="20"/>
      <c r="N74" s="21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4.25" customHeight="1">
      <c r="A75" s="23" t="s">
        <v>48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18">
        <f aca="true" t="shared" si="2" ref="R75:AI75">IF(SUM(R14:R74)&gt;0,ROUNDUP((SUM(R14:R74)),0),"")</f>
        <v>9943</v>
      </c>
      <c r="S75" s="18">
        <f t="shared" si="2"/>
        <v>3259</v>
      </c>
      <c r="T75" s="18">
        <f t="shared" si="2"/>
        <v>3294</v>
      </c>
      <c r="U75" s="18">
        <f t="shared" si="2"/>
        <v>5</v>
      </c>
      <c r="V75" s="18">
        <f t="shared" si="2"/>
        <v>9943</v>
      </c>
      <c r="W75" s="18">
        <f>IF(SUM(W14:W74)&gt;0,ROUNDUP((SUM(W14:W74)),0),"")</f>
        <v>18</v>
      </c>
      <c r="X75" s="18">
        <f t="shared" si="2"/>
        <v>424</v>
      </c>
      <c r="Y75" s="18">
        <f t="shared" si="2"/>
        <v>1535</v>
      </c>
      <c r="Z75" s="18">
        <f t="shared" si="2"/>
        <v>1658</v>
      </c>
      <c r="AA75" s="18">
        <f t="shared" si="2"/>
        <v>1064</v>
      </c>
      <c r="AB75" s="18">
        <f t="shared" si="2"/>
        <v>332</v>
      </c>
      <c r="AC75" s="18">
        <f t="shared" si="2"/>
        <v>465</v>
      </c>
      <c r="AD75" s="18">
        <f>IF(SUM(AD14:AD74)&gt;0,ROUNDUP((SUM(AD14:AD74)),0),"")</f>
        <v>388</v>
      </c>
      <c r="AE75" s="18">
        <f t="shared" si="2"/>
        <v>700</v>
      </c>
      <c r="AF75" s="18">
        <f t="shared" si="2"/>
        <v>346</v>
      </c>
      <c r="AG75" s="18">
        <f t="shared" si="2"/>
        <v>4369</v>
      </c>
      <c r="AH75" s="18">
        <f t="shared" si="2"/>
        <v>323</v>
      </c>
      <c r="AI75" s="18">
        <f t="shared" si="2"/>
        <v>21</v>
      </c>
    </row>
    <row r="76" spans="1:35" ht="16.5" customHeight="1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8:35" ht="12.75">
      <c r="R77">
        <v>9</v>
      </c>
      <c r="U77">
        <v>2000</v>
      </c>
      <c r="V77">
        <v>9</v>
      </c>
      <c r="W77">
        <v>100</v>
      </c>
      <c r="X77">
        <v>9</v>
      </c>
      <c r="Y77">
        <f>6/12</f>
        <v>0.5</v>
      </c>
      <c r="Z77">
        <f>6/12</f>
        <v>0.5</v>
      </c>
      <c r="AA77">
        <f>0.055*2</f>
        <v>0.11</v>
      </c>
      <c r="AB77">
        <f>1.25/12</f>
        <v>0.10416666666666667</v>
      </c>
      <c r="AC77">
        <f>1.75/12</f>
        <v>0.14583333333333334</v>
      </c>
      <c r="AD77">
        <v>9</v>
      </c>
      <c r="AH77">
        <f>2*(2/12)</f>
        <v>0.3333333333333333</v>
      </c>
      <c r="AI77">
        <f>(2/12)</f>
        <v>0.16666666666666666</v>
      </c>
    </row>
    <row r="78" spans="19:35" ht="12.75">
      <c r="S78">
        <v>27</v>
      </c>
      <c r="T78">
        <v>27</v>
      </c>
      <c r="Y78">
        <v>27</v>
      </c>
      <c r="Z78">
        <v>27</v>
      </c>
      <c r="AA78">
        <f>0.085+0.055</f>
        <v>0.14</v>
      </c>
      <c r="AB78">
        <v>27</v>
      </c>
      <c r="AC78">
        <v>27</v>
      </c>
      <c r="AH78">
        <v>9</v>
      </c>
      <c r="AI78">
        <v>27</v>
      </c>
    </row>
    <row r="79" spans="18:35" ht="12.75">
      <c r="R79">
        <v>10000</v>
      </c>
      <c r="S79">
        <v>13000</v>
      </c>
      <c r="T79">
        <v>35110</v>
      </c>
      <c r="U79">
        <v>45000</v>
      </c>
      <c r="V79">
        <v>50000</v>
      </c>
      <c r="W79">
        <v>72000</v>
      </c>
      <c r="X79" s="13" t="s">
        <v>40</v>
      </c>
      <c r="Y79">
        <v>46000</v>
      </c>
      <c r="Z79">
        <v>20000</v>
      </c>
      <c r="AA79">
        <v>20000</v>
      </c>
      <c r="AB79">
        <v>10100</v>
      </c>
      <c r="AC79">
        <v>10200</v>
      </c>
      <c r="AD79">
        <v>14010</v>
      </c>
      <c r="AE79">
        <v>31100</v>
      </c>
      <c r="AF79">
        <v>22001</v>
      </c>
      <c r="AG79">
        <v>26000</v>
      </c>
      <c r="AH79">
        <v>54000</v>
      </c>
      <c r="AI79">
        <v>10100</v>
      </c>
    </row>
    <row r="81" spans="18:35" ht="12.75"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</sheetData>
  <sheetProtection/>
  <mergeCells count="308">
    <mergeCell ref="T2:T12"/>
    <mergeCell ref="T75:T76"/>
    <mergeCell ref="V2:V12"/>
    <mergeCell ref="V75:V76"/>
    <mergeCell ref="P1:P12"/>
    <mergeCell ref="Q1:Q12"/>
    <mergeCell ref="M69:N69"/>
    <mergeCell ref="A69:B69"/>
    <mergeCell ref="AI2:AI12"/>
    <mergeCell ref="AI75:AI76"/>
    <mergeCell ref="U2:U12"/>
    <mergeCell ref="U75:U76"/>
    <mergeCell ref="J1:J12"/>
    <mergeCell ref="I1:I12"/>
    <mergeCell ref="O1:O12"/>
    <mergeCell ref="S75:S76"/>
    <mergeCell ref="A45:B45"/>
    <mergeCell ref="A46:B46"/>
    <mergeCell ref="A49:B49"/>
    <mergeCell ref="F62:H62"/>
    <mergeCell ref="I62:L62"/>
    <mergeCell ref="M62:N62"/>
    <mergeCell ref="D62:E62"/>
    <mergeCell ref="I52:L52"/>
    <mergeCell ref="D46:E46"/>
    <mergeCell ref="I47:L47"/>
    <mergeCell ref="G1:G12"/>
    <mergeCell ref="F48:H48"/>
    <mergeCell ref="F29:H29"/>
    <mergeCell ref="F45:H45"/>
    <mergeCell ref="F21:H21"/>
    <mergeCell ref="F27:H27"/>
    <mergeCell ref="F14:H14"/>
    <mergeCell ref="F16:H16"/>
    <mergeCell ref="I13:L13"/>
    <mergeCell ref="I45:L45"/>
    <mergeCell ref="M45:N45"/>
    <mergeCell ref="I56:L56"/>
    <mergeCell ref="L1:L12"/>
    <mergeCell ref="N1:N12"/>
    <mergeCell ref="E1:E12"/>
    <mergeCell ref="H1:H12"/>
    <mergeCell ref="D1:D12"/>
    <mergeCell ref="M1:M12"/>
    <mergeCell ref="F1:F12"/>
    <mergeCell ref="F41:H41"/>
    <mergeCell ref="F36:H36"/>
    <mergeCell ref="F31:H31"/>
    <mergeCell ref="F38:H38"/>
    <mergeCell ref="K1:K12"/>
    <mergeCell ref="M66:N66"/>
    <mergeCell ref="D58:E58"/>
    <mergeCell ref="F13:H13"/>
    <mergeCell ref="I65:L65"/>
    <mergeCell ref="M13:N13"/>
    <mergeCell ref="M65:N65"/>
    <mergeCell ref="F30:H30"/>
    <mergeCell ref="F22:H22"/>
    <mergeCell ref="F23:H23"/>
    <mergeCell ref="M48:N48"/>
    <mergeCell ref="AF75:AF76"/>
    <mergeCell ref="AE75:AE76"/>
    <mergeCell ref="AA75:AA76"/>
    <mergeCell ref="R75:R76"/>
    <mergeCell ref="AD75:AD76"/>
    <mergeCell ref="D61:E61"/>
    <mergeCell ref="D70:E70"/>
    <mergeCell ref="F70:H70"/>
    <mergeCell ref="I70:L70"/>
    <mergeCell ref="M70:N70"/>
    <mergeCell ref="W75:W76"/>
    <mergeCell ref="AB2:AB12"/>
    <mergeCell ref="Y2:Y12"/>
    <mergeCell ref="Z2:Z12"/>
    <mergeCell ref="X75:X76"/>
    <mergeCell ref="AB75:AB76"/>
    <mergeCell ref="AE2:AE12"/>
    <mergeCell ref="AG2:AG12"/>
    <mergeCell ref="AA2:AA12"/>
    <mergeCell ref="R2:R12"/>
    <mergeCell ref="AD2:AD12"/>
    <mergeCell ref="AC2:AC12"/>
    <mergeCell ref="AF2:AF12"/>
    <mergeCell ref="X2:X12"/>
    <mergeCell ref="W2:W12"/>
    <mergeCell ref="S2:S12"/>
    <mergeCell ref="A14:B14"/>
    <mergeCell ref="D14:E14"/>
    <mergeCell ref="D15:E15"/>
    <mergeCell ref="D22:E22"/>
    <mergeCell ref="C1:C13"/>
    <mergeCell ref="A1:B13"/>
    <mergeCell ref="A15:B15"/>
    <mergeCell ref="A22:B22"/>
    <mergeCell ref="D21:E21"/>
    <mergeCell ref="D13:E13"/>
    <mergeCell ref="D16:E16"/>
    <mergeCell ref="I46:L46"/>
    <mergeCell ref="F15:H15"/>
    <mergeCell ref="F35:H35"/>
    <mergeCell ref="F37:H37"/>
    <mergeCell ref="F46:H46"/>
    <mergeCell ref="I41:L41"/>
    <mergeCell ref="F32:H32"/>
    <mergeCell ref="F28:H28"/>
    <mergeCell ref="I16:L16"/>
    <mergeCell ref="F47:H47"/>
    <mergeCell ref="M47:N47"/>
    <mergeCell ref="I48:L48"/>
    <mergeCell ref="M55:N55"/>
    <mergeCell ref="I55:L55"/>
    <mergeCell ref="M49:N49"/>
    <mergeCell ref="F59:H59"/>
    <mergeCell ref="F64:H64"/>
    <mergeCell ref="M56:N56"/>
    <mergeCell ref="F49:H49"/>
    <mergeCell ref="F51:H51"/>
    <mergeCell ref="F50:H50"/>
    <mergeCell ref="M61:N61"/>
    <mergeCell ref="M60:N60"/>
    <mergeCell ref="I58:L58"/>
    <mergeCell ref="M58:N58"/>
    <mergeCell ref="I50:L50"/>
    <mergeCell ref="F33:H33"/>
    <mergeCell ref="F43:H43"/>
    <mergeCell ref="I39:L39"/>
    <mergeCell ref="F72:H72"/>
    <mergeCell ref="F66:H66"/>
    <mergeCell ref="F57:H57"/>
    <mergeCell ref="F68:H68"/>
    <mergeCell ref="F69:H69"/>
    <mergeCell ref="F58:H58"/>
    <mergeCell ref="F55:H55"/>
    <mergeCell ref="F54:H54"/>
    <mergeCell ref="F65:H65"/>
    <mergeCell ref="F71:H71"/>
    <mergeCell ref="I14:L14"/>
    <mergeCell ref="I15:L15"/>
    <mergeCell ref="I22:L22"/>
    <mergeCell ref="I23:L23"/>
    <mergeCell ref="I51:L51"/>
    <mergeCell ref="F17:H17"/>
    <mergeCell ref="F18:H18"/>
    <mergeCell ref="F26:H26"/>
    <mergeCell ref="F20:H20"/>
    <mergeCell ref="F44:H44"/>
    <mergeCell ref="F73:H73"/>
    <mergeCell ref="F74:H74"/>
    <mergeCell ref="F19:H19"/>
    <mergeCell ref="F67:H67"/>
    <mergeCell ref="F24:H24"/>
    <mergeCell ref="F53:H53"/>
    <mergeCell ref="F56:H56"/>
    <mergeCell ref="I64:L64"/>
    <mergeCell ref="I61:L61"/>
    <mergeCell ref="F60:H60"/>
    <mergeCell ref="F61:H61"/>
    <mergeCell ref="I34:L34"/>
    <mergeCell ref="I36:L36"/>
    <mergeCell ref="I59:L59"/>
    <mergeCell ref="I49:L49"/>
    <mergeCell ref="I44:L44"/>
    <mergeCell ref="M59:N59"/>
    <mergeCell ref="M46:N46"/>
    <mergeCell ref="D52:E52"/>
    <mergeCell ref="M52:N52"/>
    <mergeCell ref="I43:L43"/>
    <mergeCell ref="D59:E59"/>
    <mergeCell ref="M51:N51"/>
    <mergeCell ref="D50:E50"/>
    <mergeCell ref="M50:N50"/>
    <mergeCell ref="D55:E55"/>
    <mergeCell ref="D69:E69"/>
    <mergeCell ref="D32:E32"/>
    <mergeCell ref="I67:L67"/>
    <mergeCell ref="I63:L63"/>
    <mergeCell ref="I42:L42"/>
    <mergeCell ref="D57:E57"/>
    <mergeCell ref="D33:E33"/>
    <mergeCell ref="D63:E63"/>
    <mergeCell ref="F63:H63"/>
    <mergeCell ref="I60:L60"/>
    <mergeCell ref="D68:E68"/>
    <mergeCell ref="I68:L68"/>
    <mergeCell ref="I28:L28"/>
    <mergeCell ref="I35:L35"/>
    <mergeCell ref="I24:L24"/>
    <mergeCell ref="I53:L53"/>
    <mergeCell ref="D27:E27"/>
    <mergeCell ref="D29:E29"/>
    <mergeCell ref="D28:E28"/>
    <mergeCell ref="I57:L57"/>
    <mergeCell ref="I71:L71"/>
    <mergeCell ref="I72:L72"/>
    <mergeCell ref="I37:L37"/>
    <mergeCell ref="I38:L38"/>
    <mergeCell ref="I69:L69"/>
    <mergeCell ref="I21:L21"/>
    <mergeCell ref="I27:L27"/>
    <mergeCell ref="I29:L29"/>
    <mergeCell ref="I66:L66"/>
    <mergeCell ref="I32:L32"/>
    <mergeCell ref="D37:E37"/>
    <mergeCell ref="I54:L54"/>
    <mergeCell ref="I25:L25"/>
    <mergeCell ref="I18:L18"/>
    <mergeCell ref="I26:L26"/>
    <mergeCell ref="D23:E23"/>
    <mergeCell ref="D20:E20"/>
    <mergeCell ref="D26:E26"/>
    <mergeCell ref="I33:L33"/>
    <mergeCell ref="I30:L30"/>
    <mergeCell ref="I17:L17"/>
    <mergeCell ref="I19:L19"/>
    <mergeCell ref="F42:H42"/>
    <mergeCell ref="D43:E43"/>
    <mergeCell ref="D44:E44"/>
    <mergeCell ref="D56:E56"/>
    <mergeCell ref="D47:E47"/>
    <mergeCell ref="D49:E49"/>
    <mergeCell ref="D51:E51"/>
    <mergeCell ref="D48:E48"/>
    <mergeCell ref="D71:E71"/>
    <mergeCell ref="D72:E72"/>
    <mergeCell ref="D64:E64"/>
    <mergeCell ref="M14:N14"/>
    <mergeCell ref="M15:N15"/>
    <mergeCell ref="M22:N22"/>
    <mergeCell ref="M23:N23"/>
    <mergeCell ref="M20:N20"/>
    <mergeCell ref="D17:E17"/>
    <mergeCell ref="D19:E19"/>
    <mergeCell ref="D24:E24"/>
    <mergeCell ref="D53:E53"/>
    <mergeCell ref="D54:E54"/>
    <mergeCell ref="D38:E38"/>
    <mergeCell ref="D42:E42"/>
    <mergeCell ref="D60:E60"/>
    <mergeCell ref="D45:E45"/>
    <mergeCell ref="D30:E30"/>
    <mergeCell ref="D41:E41"/>
    <mergeCell ref="D35:E35"/>
    <mergeCell ref="M43:N43"/>
    <mergeCell ref="M27:N27"/>
    <mergeCell ref="M29:N29"/>
    <mergeCell ref="M41:N41"/>
    <mergeCell ref="M39:N39"/>
    <mergeCell ref="D18:E18"/>
    <mergeCell ref="I20:L20"/>
    <mergeCell ref="D39:E39"/>
    <mergeCell ref="D34:E34"/>
    <mergeCell ref="D31:E31"/>
    <mergeCell ref="M16:N16"/>
    <mergeCell ref="M32:N32"/>
    <mergeCell ref="M33:N33"/>
    <mergeCell ref="M28:N28"/>
    <mergeCell ref="M17:N17"/>
    <mergeCell ref="M19:N19"/>
    <mergeCell ref="M67:N67"/>
    <mergeCell ref="M24:N24"/>
    <mergeCell ref="M64:N64"/>
    <mergeCell ref="M21:N21"/>
    <mergeCell ref="M44:N44"/>
    <mergeCell ref="M30:N30"/>
    <mergeCell ref="M63:N63"/>
    <mergeCell ref="M42:N42"/>
    <mergeCell ref="M35:N35"/>
    <mergeCell ref="M37:N37"/>
    <mergeCell ref="I74:L74"/>
    <mergeCell ref="F25:H25"/>
    <mergeCell ref="I73:L73"/>
    <mergeCell ref="F39:H39"/>
    <mergeCell ref="F34:H34"/>
    <mergeCell ref="D25:E25"/>
    <mergeCell ref="D73:E73"/>
    <mergeCell ref="D74:E74"/>
    <mergeCell ref="D66:E66"/>
    <mergeCell ref="D67:E67"/>
    <mergeCell ref="AG75:AG76"/>
    <mergeCell ref="M18:N18"/>
    <mergeCell ref="M26:N26"/>
    <mergeCell ref="F52:H52"/>
    <mergeCell ref="I31:L31"/>
    <mergeCell ref="M31:N31"/>
    <mergeCell ref="M53:N53"/>
    <mergeCell ref="M54:N54"/>
    <mergeCell ref="M25:N25"/>
    <mergeCell ref="M71:N71"/>
    <mergeCell ref="AC75:AC76"/>
    <mergeCell ref="Y75:Y76"/>
    <mergeCell ref="Z75:Z76"/>
    <mergeCell ref="M72:N72"/>
    <mergeCell ref="M57:N57"/>
    <mergeCell ref="M68:N68"/>
    <mergeCell ref="M73:N73"/>
    <mergeCell ref="M74:N74"/>
    <mergeCell ref="A75:Q76"/>
    <mergeCell ref="D65:E65"/>
    <mergeCell ref="AH2:AH12"/>
    <mergeCell ref="AH75:AH76"/>
    <mergeCell ref="D40:E40"/>
    <mergeCell ref="F40:H40"/>
    <mergeCell ref="I40:L40"/>
    <mergeCell ref="M40:N40"/>
    <mergeCell ref="M38:N38"/>
    <mergeCell ref="M34:N34"/>
    <mergeCell ref="M36:N36"/>
    <mergeCell ref="D36:E36"/>
  </mergeCells>
  <printOptions/>
  <pageMargins left="0.75" right="0.75" top="1" bottom="1" header="0.5" footer="0.5"/>
  <pageSetup horizontalDpi="600" verticalDpi="600" orientation="landscape" paperSize="17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Shutler, Zachary</cp:lastModifiedBy>
  <cp:lastPrinted>2007-03-14T17:07:42Z</cp:lastPrinted>
  <dcterms:created xsi:type="dcterms:W3CDTF">2007-01-18T14:43:23Z</dcterms:created>
  <dcterms:modified xsi:type="dcterms:W3CDTF">2021-02-05T17:34:57Z</dcterms:modified>
  <cp:category/>
  <cp:version/>
  <cp:contentType/>
  <cp:contentStatus/>
</cp:coreProperties>
</file>