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9032" windowHeight="6732" activeTab="2"/>
  </bookViews>
  <sheets>
    <sheet name="PAVEMENT" sheetId="1" r:id="rId1"/>
    <sheet name="Wall2" sheetId="2" r:id="rId2"/>
    <sheet name="Wall3" sheetId="3" r:id="rId3"/>
  </sheets>
  <definedNames>
    <definedName name="_xlfn._FV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<sst xmlns="http://schemas.openxmlformats.org/spreadsheetml/2006/main" count="160" uniqueCount="69">
  <si>
    <t>Pavement Calculations</t>
  </si>
  <si>
    <t>C/L Const.</t>
  </si>
  <si>
    <t>Side</t>
  </si>
  <si>
    <t>Length</t>
  </si>
  <si>
    <t>Start Width</t>
  </si>
  <si>
    <t>End Width</t>
  </si>
  <si>
    <t>Average Width</t>
  </si>
  <si>
    <t>Surface Area</t>
  </si>
  <si>
    <t>Planimetered Area</t>
  </si>
  <si>
    <t>Station To Station</t>
  </si>
  <si>
    <t>Unit Factor</t>
  </si>
  <si>
    <t>SUBGRADE COMPACTION</t>
  </si>
  <si>
    <t>SR 725</t>
  </si>
  <si>
    <t>L</t>
  </si>
  <si>
    <t>R</t>
  </si>
  <si>
    <t>REF. NO.</t>
  </si>
  <si>
    <t>NON-TRACKING TACK COAT (0.055 GAL./S.Y.)</t>
  </si>
  <si>
    <t>AGGREGATE BASE (T = 6")</t>
  </si>
  <si>
    <t>PAVT</t>
  </si>
  <si>
    <t>P-21</t>
  </si>
  <si>
    <t>P-22</t>
  </si>
  <si>
    <t>P-23</t>
  </si>
  <si>
    <t>P-24</t>
  </si>
  <si>
    <t>P-25</t>
  </si>
  <si>
    <t>P-26</t>
  </si>
  <si>
    <t>P-27</t>
  </si>
  <si>
    <t>Totals Carried to General Summary</t>
  </si>
  <si>
    <t>9" NON-REINFORCED CONCRETE PAVEMENT, CLASS QC 1P</t>
  </si>
  <si>
    <t>ASPHALT CONCRETE INTERMEDIATE COURSE, 19 MM, TYPE A (446) (T = 1.75")</t>
  </si>
  <si>
    <t>ASPHALT CONCRETE SURFACE COURSE, 12.5 MM, TYPE A (446) (T = 1.5")</t>
  </si>
  <si>
    <t>ASPHALT CONCRETE BASE, PG64-22, (449) (T = 6")</t>
  </si>
  <si>
    <t>lb</t>
  </si>
  <si>
    <t>FROM REINFORCING SCHEDULE</t>
  </si>
  <si>
    <t>panel 1</t>
  </si>
  <si>
    <t>ft</t>
  </si>
  <si>
    <t>length</t>
  </si>
  <si>
    <t>height</t>
  </si>
  <si>
    <t>sf</t>
  </si>
  <si>
    <t>subtotal</t>
  </si>
  <si>
    <t>panel 2</t>
  </si>
  <si>
    <t>panel 3</t>
  </si>
  <si>
    <t>panel 4</t>
  </si>
  <si>
    <t>panel 5</t>
  </si>
  <si>
    <t>width</t>
  </si>
  <si>
    <t>footing</t>
  </si>
  <si>
    <t>thickness</t>
  </si>
  <si>
    <t>cy</t>
  </si>
  <si>
    <t>RETAINING WALL CONCRETE TOTAL</t>
  </si>
  <si>
    <t>front face of wall above prop ground (flooded from microstation)</t>
  </si>
  <si>
    <t>top of wall</t>
  </si>
  <si>
    <t>behind wall to prop ground (flooded from microstation)</t>
  </si>
  <si>
    <t>sy</t>
  </si>
  <si>
    <t>SEALING TOTAL</t>
  </si>
  <si>
    <t>10000</t>
  </si>
  <si>
    <t>LB</t>
  </si>
  <si>
    <t>EPOXY COATED STEEL REINFORCEMENT</t>
  </si>
  <si>
    <t>CY</t>
  </si>
  <si>
    <t>CLASS QC1 CONCRETE, RETAINING WALL NOT INCLUDING FOOTING</t>
  </si>
  <si>
    <t>SY</t>
  </si>
  <si>
    <t>SEALING OF CONCRETE SURFACES (EPOXY-URETHANE)</t>
  </si>
  <si>
    <t>TYPE 2 WATERPROOFING</t>
  </si>
  <si>
    <t>TYPE 2 WATERPROOFING TOTAL</t>
  </si>
  <si>
    <t>SF</t>
  </si>
  <si>
    <t>1" PREFORMED EXPANSION JOINT FILLER</t>
  </si>
  <si>
    <t>depth</t>
  </si>
  <si>
    <t>1" PEJF TOTAL</t>
  </si>
  <si>
    <t>Sealing Top and Back of wall</t>
  </si>
  <si>
    <t>top width</t>
  </si>
  <si>
    <t>average back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</si>
</sst>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\+00.00"/>
    <numFmt numFmtId="167" formatCode="0.0"/>
    <numFmt numFmtId="168" formatCode="0.000000000000"/>
    <numFmt numFmtId="169" formatCode="000\+00.00"/>
    <numFmt numFmtId="170" formatCode="0.000"/>
    <numFmt numFmtId="171" formatCode="0.0000000000000"/>
    <numFmt numFmtId="172" formatCode="0.0000"/>
    <numFmt numFmtId="173" formatCode="0\ &quot;SQ. YD.&quot;"/>
    <numFmt numFmtId="174" formatCode="00\+0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  <numFmt numFmtId="180" formatCode="0.000000"/>
  </numFmts>
  <fonts count="56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69" fontId="3" fillId="0" borderId="0" xfId="58" applyNumberFormat="1" applyFont="1" applyAlignment="1">
      <alignment horizontal="left" vertical="center"/>
      <protection/>
    </xf>
    <xf numFmtId="169" fontId="0" fillId="0" borderId="0" xfId="58" applyNumberFormat="1" applyFont="1" applyAlignment="1">
      <alignment horizontal="center" vertical="center"/>
      <protection/>
    </xf>
    <xf numFmtId="0" fontId="0" fillId="0" borderId="0" xfId="58" applyFont="1" applyAlignment="1">
      <alignment horizontal="left" vertical="center"/>
      <protection/>
    </xf>
    <xf numFmtId="0" fontId="0" fillId="0" borderId="0" xfId="58" applyFont="1" applyAlignment="1">
      <alignment horizontal="center" vertical="center"/>
      <protection/>
    </xf>
    <xf numFmtId="170" fontId="0" fillId="0" borderId="0" xfId="58" applyNumberFormat="1" applyFont="1" applyAlignment="1">
      <alignment horizontal="center" vertical="center"/>
      <protection/>
    </xf>
    <xf numFmtId="2" fontId="0" fillId="0" borderId="0" xfId="58" applyNumberFormat="1" applyFont="1" applyAlignment="1">
      <alignment horizontal="center" vertical="center"/>
      <protection/>
    </xf>
    <xf numFmtId="0" fontId="0" fillId="0" borderId="11" xfId="58" applyNumberFormat="1" applyFont="1" applyBorder="1" applyAlignment="1">
      <alignment horizontal="center" vertical="center"/>
      <protection/>
    </xf>
    <xf numFmtId="0" fontId="0" fillId="0" borderId="12" xfId="58" applyNumberFormat="1" applyFont="1" applyBorder="1" applyAlignment="1">
      <alignment horizontal="center" vertical="center"/>
      <protection/>
    </xf>
    <xf numFmtId="2" fontId="0" fillId="0" borderId="13" xfId="58" applyNumberFormat="1" applyFont="1" applyBorder="1" applyAlignment="1">
      <alignment horizontal="center" vertical="center"/>
      <protection/>
    </xf>
    <xf numFmtId="2" fontId="0" fillId="0" borderId="14" xfId="58" applyNumberFormat="1" applyFont="1" applyBorder="1" applyAlignment="1">
      <alignment horizontal="center" vertical="center"/>
      <protection/>
    </xf>
    <xf numFmtId="2" fontId="0" fillId="0" borderId="15" xfId="58" applyNumberFormat="1" applyFont="1" applyBorder="1" applyAlignment="1">
      <alignment horizontal="center" vertical="center"/>
      <protection/>
    </xf>
    <xf numFmtId="169" fontId="2" fillId="0" borderId="14" xfId="58" applyNumberFormat="1" applyFont="1" applyBorder="1" applyAlignment="1">
      <alignment horizontal="left" vertical="center"/>
      <protection/>
    </xf>
    <xf numFmtId="169" fontId="0" fillId="0" borderId="15" xfId="58" applyNumberFormat="1" applyFont="1" applyBorder="1" applyAlignment="1">
      <alignment horizontal="center" vertical="center"/>
      <protection/>
    </xf>
    <xf numFmtId="170" fontId="0" fillId="0" borderId="15" xfId="58" applyNumberFormat="1" applyFont="1" applyBorder="1" applyAlignment="1">
      <alignment horizontal="center" vertical="center"/>
      <protection/>
    </xf>
    <xf numFmtId="2" fontId="0" fillId="0" borderId="16" xfId="58" applyNumberFormat="1" applyFont="1" applyBorder="1" applyAlignment="1">
      <alignment horizontal="center" vertical="center"/>
      <protection/>
    </xf>
    <xf numFmtId="169" fontId="4" fillId="0" borderId="14" xfId="58" applyNumberFormat="1" applyFont="1" applyBorder="1" applyAlignment="1">
      <alignment horizontal="left" vertical="center"/>
      <protection/>
    </xf>
    <xf numFmtId="166" fontId="0" fillId="0" borderId="14" xfId="58" applyNumberFormat="1" applyFont="1" applyBorder="1" applyAlignment="1">
      <alignment horizontal="center" vertical="center"/>
      <protection/>
    </xf>
    <xf numFmtId="166" fontId="0" fillId="0" borderId="15" xfId="58" applyNumberFormat="1" applyFont="1" applyBorder="1" applyAlignment="1">
      <alignment horizontal="center" vertical="center"/>
      <protection/>
    </xf>
    <xf numFmtId="166" fontId="2" fillId="0" borderId="17" xfId="58" applyNumberFormat="1" applyFont="1" applyBorder="1" applyAlignment="1">
      <alignment vertical="center"/>
      <protection/>
    </xf>
    <xf numFmtId="166" fontId="0" fillId="0" borderId="18" xfId="58" applyNumberFormat="1" applyBorder="1" applyAlignment="1">
      <alignment horizontal="center" vertical="center"/>
      <protection/>
    </xf>
    <xf numFmtId="170" fontId="0" fillId="0" borderId="18" xfId="58" applyNumberFormat="1" applyFont="1" applyBorder="1" applyAlignment="1">
      <alignment horizontal="center" vertical="center"/>
      <protection/>
    </xf>
    <xf numFmtId="2" fontId="5" fillId="0" borderId="18" xfId="58" applyNumberFormat="1" applyFont="1" applyBorder="1" applyAlignment="1">
      <alignment horizontal="center" vertical="center"/>
      <protection/>
    </xf>
    <xf numFmtId="167" fontId="5" fillId="0" borderId="18" xfId="58" applyNumberFormat="1" applyFont="1" applyBorder="1" applyAlignment="1">
      <alignment horizontal="center" vertical="center"/>
      <protection/>
    </xf>
    <xf numFmtId="167" fontId="5" fillId="0" borderId="19" xfId="58" applyNumberFormat="1" applyFont="1" applyBorder="1" applyAlignment="1">
      <alignment horizontal="center" vertical="center"/>
      <protection/>
    </xf>
    <xf numFmtId="2" fontId="0" fillId="0" borderId="20" xfId="58" applyNumberFormat="1" applyFont="1" applyBorder="1" applyAlignment="1">
      <alignment horizontal="center" vertical="center"/>
      <protection/>
    </xf>
    <xf numFmtId="2" fontId="0" fillId="0" borderId="21" xfId="58" applyNumberFormat="1" applyFont="1" applyBorder="1" applyAlignment="1" applyProtection="1">
      <alignment horizontal="center" vertical="center"/>
      <protection/>
    </xf>
    <xf numFmtId="0" fontId="0" fillId="0" borderId="22" xfId="58" applyNumberFormat="1" applyFont="1" applyBorder="1" applyAlignment="1">
      <alignment horizontal="center" vertical="center"/>
      <protection/>
    </xf>
    <xf numFmtId="2" fontId="0" fillId="0" borderId="23" xfId="58" applyNumberFormat="1" applyFont="1" applyBorder="1" applyAlignment="1">
      <alignment horizontal="center" vertical="center"/>
      <protection/>
    </xf>
    <xf numFmtId="2" fontId="0" fillId="0" borderId="24" xfId="58" applyNumberFormat="1" applyFont="1" applyBorder="1" applyAlignment="1">
      <alignment horizontal="center" vertical="center"/>
      <protection/>
    </xf>
    <xf numFmtId="2" fontId="0" fillId="0" borderId="25" xfId="58" applyNumberFormat="1" applyFont="1" applyBorder="1" applyAlignment="1">
      <alignment horizontal="center" vertical="center"/>
      <protection/>
    </xf>
    <xf numFmtId="0" fontId="0" fillId="0" borderId="0" xfId="58" applyNumberFormat="1" applyFont="1" applyAlignment="1">
      <alignment horizontal="center" vertical="center"/>
      <protection/>
    </xf>
    <xf numFmtId="174" fontId="0" fillId="0" borderId="14" xfId="58" applyNumberFormat="1" applyFont="1" applyBorder="1" applyAlignment="1">
      <alignment horizontal="left" vertical="center"/>
      <protection/>
    </xf>
    <xf numFmtId="2" fontId="0" fillId="0" borderId="15" xfId="58" applyNumberFormat="1" applyFont="1" applyBorder="1" applyAlignment="1" applyProtection="1">
      <alignment horizontal="center" vertical="center"/>
      <protection/>
    </xf>
    <xf numFmtId="170" fontId="0" fillId="0" borderId="15" xfId="58" applyNumberFormat="1" applyFont="1" applyBorder="1" applyAlignment="1" applyProtection="1">
      <alignment horizontal="center" vertical="center"/>
      <protection/>
    </xf>
    <xf numFmtId="174" fontId="0" fillId="0" borderId="14" xfId="58" applyNumberFormat="1" applyFont="1" applyBorder="1" applyAlignment="1">
      <alignment horizontal="center" vertical="center"/>
      <protection/>
    </xf>
    <xf numFmtId="2" fontId="0" fillId="0" borderId="15" xfId="58" applyNumberFormat="1" applyBorder="1" applyAlignment="1">
      <alignment horizontal="center" vertical="center"/>
      <protection/>
    </xf>
    <xf numFmtId="2" fontId="0" fillId="0" borderId="14" xfId="58" applyNumberFormat="1" applyBorder="1" applyAlignment="1">
      <alignment horizontal="center" vertical="center"/>
      <protection/>
    </xf>
    <xf numFmtId="174" fontId="0" fillId="0" borderId="15" xfId="58" applyNumberFormat="1" applyBorder="1" applyAlignment="1">
      <alignment horizontal="left" vertical="center"/>
      <protection/>
    </xf>
    <xf numFmtId="170" fontId="0" fillId="0" borderId="15" xfId="58" applyNumberFormat="1" applyBorder="1" applyAlignment="1">
      <alignment horizontal="center" vertical="center"/>
      <protection/>
    </xf>
    <xf numFmtId="2" fontId="0" fillId="0" borderId="23" xfId="58" applyNumberFormat="1" applyBorder="1" applyAlignment="1">
      <alignment horizontal="center" vertical="center"/>
      <protection/>
    </xf>
    <xf numFmtId="2" fontId="0" fillId="0" borderId="24" xfId="58" applyNumberFormat="1" applyBorder="1" applyAlignment="1">
      <alignment horizontal="center" vertical="center"/>
      <protection/>
    </xf>
    <xf numFmtId="2" fontId="0" fillId="0" borderId="25" xfId="58" applyNumberFormat="1" applyBorder="1" applyAlignment="1">
      <alignment horizontal="center" vertical="center"/>
      <protection/>
    </xf>
    <xf numFmtId="2" fontId="0" fillId="0" borderId="20" xfId="58" applyNumberFormat="1" applyBorder="1" applyAlignment="1">
      <alignment horizontal="center" vertical="center"/>
      <protection/>
    </xf>
    <xf numFmtId="2" fontId="0" fillId="0" borderId="26" xfId="58" applyNumberFormat="1" applyFont="1" applyBorder="1" applyAlignment="1">
      <alignment horizontal="center" vertical="center"/>
      <protection/>
    </xf>
    <xf numFmtId="169" fontId="0" fillId="0" borderId="14" xfId="58" applyNumberFormat="1" applyFont="1" applyBorder="1" applyAlignment="1">
      <alignment horizontal="left" vertical="center"/>
      <protection/>
    </xf>
    <xf numFmtId="2" fontId="0" fillId="33" borderId="15" xfId="58" applyNumberFormat="1" applyFont="1" applyFill="1" applyBorder="1" applyAlignment="1">
      <alignment horizontal="center" vertical="center" textRotation="90" wrapText="1"/>
      <protection/>
    </xf>
    <xf numFmtId="2" fontId="0" fillId="33" borderId="20" xfId="58" applyNumberFormat="1" applyFont="1" applyFill="1" applyBorder="1" applyAlignment="1">
      <alignment horizontal="center" vertical="center" textRotation="90" wrapText="1"/>
      <protection/>
    </xf>
    <xf numFmtId="2" fontId="0" fillId="0" borderId="16" xfId="58" applyNumberFormat="1" applyBorder="1" applyAlignment="1">
      <alignment horizontal="center" vertical="center"/>
      <protection/>
    </xf>
    <xf numFmtId="2" fontId="0" fillId="0" borderId="16" xfId="58" applyNumberFormat="1" applyFont="1" applyBorder="1" applyAlignment="1">
      <alignment horizontal="right" vertical="center" shrinkToFit="1"/>
      <protection/>
    </xf>
    <xf numFmtId="0" fontId="0" fillId="0" borderId="27" xfId="58" applyFont="1" applyBorder="1" applyAlignment="1">
      <alignment vertical="center" shrinkToFit="1"/>
      <protection/>
    </xf>
    <xf numFmtId="2" fontId="0" fillId="0" borderId="24" xfId="58" applyNumberFormat="1" applyFont="1" applyBorder="1" applyAlignment="1" applyProtection="1">
      <alignment horizontal="center" vertical="center"/>
      <protection/>
    </xf>
    <xf numFmtId="170" fontId="0" fillId="0" borderId="24" xfId="58" applyNumberFormat="1" applyFont="1" applyBorder="1" applyAlignment="1" applyProtection="1">
      <alignment horizontal="center" vertical="center"/>
      <protection/>
    </xf>
    <xf numFmtId="169" fontId="0" fillId="0" borderId="14" xfId="58" applyNumberFormat="1" applyFont="1" applyBorder="1" applyAlignment="1">
      <alignment horizontal="center" vertical="center"/>
      <protection/>
    </xf>
    <xf numFmtId="0" fontId="0" fillId="0" borderId="28" xfId="58" applyNumberFormat="1" applyFont="1" applyBorder="1" applyAlignment="1">
      <alignment horizontal="center" vertical="center"/>
      <protection/>
    </xf>
    <xf numFmtId="2" fontId="0" fillId="33" borderId="29" xfId="58" applyNumberFormat="1" applyFont="1" applyFill="1" applyBorder="1" applyAlignment="1">
      <alignment horizontal="center" vertical="center" textRotation="90" wrapText="1"/>
      <protection/>
    </xf>
    <xf numFmtId="2" fontId="0" fillId="33" borderId="30" xfId="58" applyNumberFormat="1" applyFont="1" applyFill="1" applyBorder="1" applyAlignment="1">
      <alignment horizontal="center" vertical="center" textRotation="90" wrapText="1"/>
      <protection/>
    </xf>
    <xf numFmtId="2" fontId="0" fillId="0" borderId="29" xfId="58" applyNumberFormat="1" applyFont="1" applyBorder="1" applyAlignment="1" applyProtection="1">
      <alignment horizontal="center" vertical="center"/>
      <protection/>
    </xf>
    <xf numFmtId="2" fontId="0" fillId="0" borderId="31" xfId="58" applyNumberFormat="1" applyFont="1" applyBorder="1" applyAlignment="1" applyProtection="1">
      <alignment horizontal="center" vertical="center"/>
      <protection/>
    </xf>
    <xf numFmtId="2" fontId="0" fillId="0" borderId="32" xfId="58" applyNumberFormat="1" applyFont="1" applyBorder="1" applyAlignment="1">
      <alignment horizontal="center" vertical="center"/>
      <protection/>
    </xf>
    <xf numFmtId="2" fontId="0" fillId="0" borderId="29" xfId="58" applyNumberFormat="1" applyBorder="1" applyAlignment="1">
      <alignment horizontal="center" vertical="center"/>
      <protection/>
    </xf>
    <xf numFmtId="2" fontId="0" fillId="0" borderId="33" xfId="58" applyNumberFormat="1" applyFont="1" applyBorder="1" applyAlignment="1">
      <alignment horizontal="center" vertical="center"/>
      <protection/>
    </xf>
    <xf numFmtId="2" fontId="0" fillId="0" borderId="33" xfId="58" applyNumberFormat="1" applyBorder="1" applyAlignment="1">
      <alignment horizontal="center" vertical="center"/>
      <protection/>
    </xf>
    <xf numFmtId="2" fontId="0" fillId="0" borderId="34" xfId="58" applyNumberFormat="1" applyFont="1" applyBorder="1" applyAlignment="1">
      <alignment horizontal="center" vertical="center"/>
      <protection/>
    </xf>
    <xf numFmtId="2" fontId="0" fillId="0" borderId="35" xfId="58" applyNumberFormat="1" applyFont="1" applyBorder="1" applyAlignment="1">
      <alignment horizontal="center" vertical="center"/>
      <protection/>
    </xf>
    <xf numFmtId="2" fontId="0" fillId="0" borderId="36" xfId="58" applyNumberFormat="1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" fontId="0" fillId="0" borderId="38" xfId="58" applyNumberFormat="1" applyFont="1" applyBorder="1" applyAlignment="1">
      <alignment horizontal="center" vertical="center"/>
      <protection/>
    </xf>
    <xf numFmtId="2" fontId="0" fillId="0" borderId="30" xfId="58" applyNumberFormat="1" applyFont="1" applyBorder="1" applyAlignment="1">
      <alignment horizontal="right" vertical="center"/>
      <protection/>
    </xf>
    <xf numFmtId="166" fontId="0" fillId="0" borderId="39" xfId="58" applyNumberFormat="1" applyFont="1" applyBorder="1" applyAlignment="1">
      <alignment horizontal="center" vertical="center"/>
      <protection/>
    </xf>
    <xf numFmtId="166" fontId="0" fillId="0" borderId="13" xfId="58" applyNumberFormat="1" applyFont="1" applyBorder="1" applyAlignment="1">
      <alignment horizontal="center" vertical="center"/>
      <protection/>
    </xf>
    <xf numFmtId="170" fontId="0" fillId="0" borderId="13" xfId="58" applyNumberFormat="1" applyFont="1" applyBorder="1" applyAlignment="1">
      <alignment horizontal="center" vertical="center"/>
      <protection/>
    </xf>
    <xf numFmtId="170" fontId="0" fillId="0" borderId="25" xfId="58" applyNumberFormat="1" applyFont="1" applyBorder="1" applyAlignment="1">
      <alignment horizontal="center" vertical="center"/>
      <protection/>
    </xf>
    <xf numFmtId="170" fontId="0" fillId="0" borderId="25" xfId="58" applyNumberFormat="1" applyBorder="1" applyAlignment="1">
      <alignment horizontal="center" vertical="center"/>
      <protection/>
    </xf>
    <xf numFmtId="170" fontId="0" fillId="0" borderId="35" xfId="58" applyNumberFormat="1" applyFont="1" applyBorder="1" applyAlignment="1">
      <alignment horizontal="center" vertical="center"/>
      <protection/>
    </xf>
    <xf numFmtId="1" fontId="0" fillId="33" borderId="40" xfId="58" applyNumberFormat="1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58" applyFont="1" applyAlignment="1">
      <alignment horizontal="center" vertical="center"/>
      <protection/>
    </xf>
    <xf numFmtId="2" fontId="52" fillId="0" borderId="0" xfId="58" applyNumberFormat="1" applyFont="1" applyAlignment="1">
      <alignment horizontal="center" vertical="center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55" fillId="0" borderId="0" xfId="58" applyNumberFormat="1" applyFont="1" applyAlignment="1">
      <alignment horizontal="center" vertical="center"/>
      <protection/>
    </xf>
    <xf numFmtId="2" fontId="52" fillId="0" borderId="0" xfId="49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167" fontId="0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0" fillId="0" borderId="41" xfId="58" applyNumberFormat="1" applyFont="1" applyBorder="1" applyAlignment="1">
      <alignment horizontal="center" vertical="center" textRotation="90" wrapText="1"/>
      <protection/>
    </xf>
    <xf numFmtId="2" fontId="0" fillId="0" borderId="25" xfId="58" applyNumberFormat="1" applyFont="1" applyBorder="1" applyAlignment="1">
      <alignment horizontal="center" vertical="center" textRotation="90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2" fontId="0" fillId="0" borderId="44" xfId="58" applyNumberFormat="1" applyFont="1" applyBorder="1" applyAlignment="1">
      <alignment horizontal="center" vertical="center" textRotation="90" wrapText="1"/>
      <protection/>
    </xf>
    <xf numFmtId="2" fontId="0" fillId="0" borderId="33" xfId="58" applyNumberFormat="1" applyFont="1" applyBorder="1" applyAlignment="1">
      <alignment horizontal="center" vertical="center" textRotation="90" wrapText="1"/>
      <protection/>
    </xf>
    <xf numFmtId="169" fontId="0" fillId="0" borderId="29" xfId="58" applyNumberFormat="1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2" fontId="0" fillId="0" borderId="16" xfId="58" applyNumberFormat="1" applyFont="1" applyBorder="1" applyAlignment="1">
      <alignment horizontal="right" vertical="center" shrinkToFit="1"/>
      <protection/>
    </xf>
    <xf numFmtId="0" fontId="0" fillId="0" borderId="27" xfId="58" applyFont="1" applyBorder="1" applyAlignment="1">
      <alignment vertical="center" shrinkToFit="1"/>
      <protection/>
    </xf>
    <xf numFmtId="169" fontId="0" fillId="0" borderId="45" xfId="58" applyNumberFormat="1" applyFont="1" applyBorder="1" applyAlignment="1">
      <alignment horizontal="center" vertical="center" shrinkToFit="1"/>
      <protection/>
    </xf>
    <xf numFmtId="0" fontId="0" fillId="0" borderId="22" xfId="58" applyFont="1" applyBorder="1" applyAlignment="1">
      <alignment horizontal="center" vertical="center" shrinkToFit="1"/>
      <protection/>
    </xf>
    <xf numFmtId="1" fontId="0" fillId="0" borderId="12" xfId="58" applyNumberFormat="1" applyFont="1" applyBorder="1" applyAlignment="1">
      <alignment horizontal="center" vertical="center" textRotation="90" wrapText="1"/>
      <protection/>
    </xf>
    <xf numFmtId="1" fontId="0" fillId="0" borderId="15" xfId="58" applyNumberFormat="1" applyFont="1" applyBorder="1" applyAlignment="1">
      <alignment horizontal="center" vertical="center" textRotation="90" wrapText="1"/>
      <protection/>
    </xf>
    <xf numFmtId="0" fontId="0" fillId="0" borderId="25" xfId="58" applyFont="1" applyBorder="1" applyAlignment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M37" sqref="M37"/>
    </sheetView>
  </sheetViews>
  <sheetFormatPr defaultColWidth="9.140625" defaultRowHeight="12.75"/>
  <cols>
    <col min="1" max="1" width="7.7109375" style="0" customWidth="1"/>
    <col min="2" max="3" width="10.7109375" style="0" customWidth="1"/>
    <col min="4" max="4" width="6.7109375" style="0" customWidth="1"/>
    <col min="10" max="10" width="10.57421875" style="0" bestFit="1" customWidth="1"/>
    <col min="11" max="18" width="10.7109375" style="0" customWidth="1"/>
    <col min="21" max="21" width="12.7109375" style="0" customWidth="1"/>
  </cols>
  <sheetData>
    <row r="1" spans="1:22" ht="17.25" customHeight="1">
      <c r="A1" s="4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7.25">
      <c r="A2" s="4"/>
      <c r="B2" s="2" t="s">
        <v>12</v>
      </c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3.5" customHeight="1" thickBot="1">
      <c r="A3" s="7"/>
      <c r="B3" s="3"/>
      <c r="C3" s="3"/>
      <c r="D3" s="6"/>
      <c r="E3" s="7"/>
      <c r="F3" s="7"/>
      <c r="G3" s="7"/>
      <c r="H3" s="7"/>
      <c r="I3" s="7"/>
      <c r="J3" s="7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2.75" customHeight="1">
      <c r="A4" s="113" t="s">
        <v>15</v>
      </c>
      <c r="B4" s="121" t="s">
        <v>1</v>
      </c>
      <c r="C4" s="122"/>
      <c r="D4" s="123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5" t="s">
        <v>8</v>
      </c>
      <c r="K4" s="8">
        <v>442</v>
      </c>
      <c r="L4" s="28">
        <v>442</v>
      </c>
      <c r="M4" s="28">
        <v>407</v>
      </c>
      <c r="N4" s="28">
        <v>301</v>
      </c>
      <c r="O4" s="9">
        <v>304</v>
      </c>
      <c r="P4" s="9"/>
      <c r="Q4" s="9">
        <v>204</v>
      </c>
      <c r="R4" s="9"/>
      <c r="S4" s="9"/>
      <c r="T4" s="9"/>
      <c r="U4" s="9"/>
      <c r="V4" s="55">
        <v>452</v>
      </c>
    </row>
    <row r="5" spans="1:22" ht="173.25">
      <c r="A5" s="114"/>
      <c r="B5" s="117" t="s">
        <v>9</v>
      </c>
      <c r="C5" s="118"/>
      <c r="D5" s="124"/>
      <c r="E5" s="125"/>
      <c r="F5" s="112"/>
      <c r="G5" s="112"/>
      <c r="H5" s="112"/>
      <c r="I5" s="112"/>
      <c r="J5" s="116"/>
      <c r="K5" s="56" t="s">
        <v>29</v>
      </c>
      <c r="L5" s="47" t="s">
        <v>28</v>
      </c>
      <c r="M5" s="48" t="s">
        <v>16</v>
      </c>
      <c r="N5" s="48" t="s">
        <v>30</v>
      </c>
      <c r="O5" s="48" t="s">
        <v>17</v>
      </c>
      <c r="P5" s="48"/>
      <c r="Q5" s="48" t="s">
        <v>11</v>
      </c>
      <c r="R5" s="48"/>
      <c r="S5" s="48"/>
      <c r="T5" s="48"/>
      <c r="U5" s="47"/>
      <c r="V5" s="57" t="s">
        <v>27</v>
      </c>
    </row>
    <row r="6" spans="1:22" ht="12.75">
      <c r="A6" s="67"/>
      <c r="B6" s="13"/>
      <c r="C6" s="14"/>
      <c r="D6" s="15"/>
      <c r="E6" s="12"/>
      <c r="F6" s="12"/>
      <c r="G6" s="12"/>
      <c r="H6" s="119" t="s">
        <v>10</v>
      </c>
      <c r="I6" s="120"/>
      <c r="J6" s="71"/>
      <c r="K6" s="58">
        <v>1.5</v>
      </c>
      <c r="L6" s="34">
        <v>1.75</v>
      </c>
      <c r="M6" s="35">
        <v>0.055</v>
      </c>
      <c r="N6" s="27">
        <v>6</v>
      </c>
      <c r="O6" s="27">
        <v>6</v>
      </c>
      <c r="P6" s="27"/>
      <c r="Q6" s="27">
        <v>1</v>
      </c>
      <c r="R6" s="27"/>
      <c r="S6" s="27"/>
      <c r="T6" s="35"/>
      <c r="U6" s="27"/>
      <c r="V6" s="59">
        <v>1</v>
      </c>
    </row>
    <row r="7" spans="1:22" ht="12.75">
      <c r="A7" s="67"/>
      <c r="B7" s="17" t="s">
        <v>12</v>
      </c>
      <c r="C7" s="14"/>
      <c r="D7" s="15"/>
      <c r="E7" s="12"/>
      <c r="F7" s="12"/>
      <c r="G7" s="12"/>
      <c r="H7" s="50"/>
      <c r="I7" s="51"/>
      <c r="J7" s="71"/>
      <c r="K7" s="58"/>
      <c r="L7" s="52"/>
      <c r="M7" s="53"/>
      <c r="N7" s="27"/>
      <c r="O7" s="27"/>
      <c r="P7" s="27"/>
      <c r="Q7" s="27"/>
      <c r="R7" s="27"/>
      <c r="S7" s="27"/>
      <c r="T7" s="35"/>
      <c r="U7" s="27"/>
      <c r="V7" s="59"/>
    </row>
    <row r="8" spans="1:22" ht="12.75">
      <c r="A8" s="67" t="s">
        <v>19</v>
      </c>
      <c r="B8" s="13" t="s">
        <v>18</v>
      </c>
      <c r="C8" s="14"/>
      <c r="D8" s="15"/>
      <c r="E8" s="12"/>
      <c r="F8" s="12"/>
      <c r="G8" s="12"/>
      <c r="H8" s="12"/>
      <c r="I8" s="16"/>
      <c r="J8" s="60"/>
      <c r="K8" s="11"/>
      <c r="L8" s="30"/>
      <c r="M8" s="30"/>
      <c r="N8" s="26"/>
      <c r="O8" s="12"/>
      <c r="P8" s="12"/>
      <c r="Q8" s="12"/>
      <c r="R8" s="12"/>
      <c r="S8" s="12"/>
      <c r="T8" s="12"/>
      <c r="U8" s="12"/>
      <c r="V8" s="60"/>
    </row>
    <row r="9" spans="1:22" ht="12.75">
      <c r="A9" s="67"/>
      <c r="B9" s="54">
        <v>75305.82</v>
      </c>
      <c r="C9" s="14">
        <v>75354.51</v>
      </c>
      <c r="D9" s="15" t="s">
        <v>14</v>
      </c>
      <c r="E9" s="12"/>
      <c r="F9" s="12"/>
      <c r="G9" s="12"/>
      <c r="H9" s="37"/>
      <c r="I9" s="37"/>
      <c r="J9" s="60">
        <f>205.9204/9</f>
        <v>22.880044444444444</v>
      </c>
      <c r="K9" s="38">
        <f>(J9*K$6/12/3)</f>
        <v>0.953335185185185</v>
      </c>
      <c r="L9" s="37">
        <f>(J9*L$6/12/3)</f>
        <v>1.1122243827160492</v>
      </c>
      <c r="M9" s="37">
        <f>J9*M$6</f>
        <v>1.2584024444444444</v>
      </c>
      <c r="N9" s="37">
        <f>(J9*N$6/12/3)</f>
        <v>3.81334074074074</v>
      </c>
      <c r="O9" s="12"/>
      <c r="P9" s="12"/>
      <c r="Q9" s="12"/>
      <c r="R9" s="12"/>
      <c r="S9" s="12"/>
      <c r="T9" s="12"/>
      <c r="U9" s="12"/>
      <c r="V9" s="60"/>
    </row>
    <row r="10" spans="1:22" ht="12.75">
      <c r="A10" s="67"/>
      <c r="B10" s="54"/>
      <c r="C10" s="14"/>
      <c r="D10" s="15"/>
      <c r="E10" s="12"/>
      <c r="F10" s="12"/>
      <c r="G10" s="12"/>
      <c r="H10" s="37"/>
      <c r="I10" s="37"/>
      <c r="J10" s="60">
        <f>236.0077/9</f>
        <v>26.223077777777778</v>
      </c>
      <c r="K10" s="38"/>
      <c r="L10" s="37"/>
      <c r="M10" s="37"/>
      <c r="N10" s="44"/>
      <c r="O10" s="37">
        <f>(J10*O$6/36)</f>
        <v>4.370512962962963</v>
      </c>
      <c r="P10" s="12"/>
      <c r="Q10" s="12"/>
      <c r="R10" s="12"/>
      <c r="S10" s="12"/>
      <c r="T10" s="12"/>
      <c r="U10" s="12"/>
      <c r="V10" s="60"/>
    </row>
    <row r="11" spans="1:22" ht="12.75">
      <c r="A11" s="67"/>
      <c r="B11" s="54"/>
      <c r="C11" s="14"/>
      <c r="D11" s="15"/>
      <c r="E11" s="12"/>
      <c r="F11" s="12"/>
      <c r="G11" s="12"/>
      <c r="H11" s="37"/>
      <c r="I11" s="37"/>
      <c r="J11" s="60">
        <f>295.1045/9</f>
        <v>32.78938888888889</v>
      </c>
      <c r="K11" s="38"/>
      <c r="L11" s="37"/>
      <c r="M11" s="37"/>
      <c r="N11" s="44"/>
      <c r="O11" s="12"/>
      <c r="P11" s="12"/>
      <c r="Q11" s="12">
        <f>J11</f>
        <v>32.78938888888889</v>
      </c>
      <c r="R11" s="40"/>
      <c r="S11" s="12"/>
      <c r="T11" s="12"/>
      <c r="U11" s="12"/>
      <c r="V11" s="60"/>
    </row>
    <row r="12" spans="1:22" ht="12.75">
      <c r="A12" s="67"/>
      <c r="B12" s="54"/>
      <c r="C12" s="14"/>
      <c r="D12" s="15"/>
      <c r="E12" s="12"/>
      <c r="F12" s="12"/>
      <c r="G12" s="12"/>
      <c r="H12" s="37"/>
      <c r="I12" s="37"/>
      <c r="J12" s="60"/>
      <c r="K12" s="38"/>
      <c r="L12" s="37"/>
      <c r="M12" s="37"/>
      <c r="N12" s="26"/>
      <c r="O12" s="12"/>
      <c r="P12" s="12"/>
      <c r="Q12" s="12"/>
      <c r="R12" s="12"/>
      <c r="S12" s="12"/>
      <c r="T12" s="12"/>
      <c r="U12" s="12"/>
      <c r="V12" s="60"/>
    </row>
    <row r="13" spans="1:22" ht="12.75">
      <c r="A13" s="67" t="s">
        <v>20</v>
      </c>
      <c r="B13" s="54">
        <v>75720.06</v>
      </c>
      <c r="C13" s="14">
        <v>75760.64</v>
      </c>
      <c r="D13" s="15" t="s">
        <v>14</v>
      </c>
      <c r="E13" s="12"/>
      <c r="F13" s="12"/>
      <c r="G13" s="12"/>
      <c r="H13" s="37"/>
      <c r="I13" s="37"/>
      <c r="J13" s="60">
        <f>276.0364/9</f>
        <v>30.670711111111114</v>
      </c>
      <c r="K13" s="38">
        <f>(J13*K$6/12/3)</f>
        <v>1.2779462962962964</v>
      </c>
      <c r="L13" s="37">
        <f>(J13*L$6/12/3)</f>
        <v>1.4909373456790125</v>
      </c>
      <c r="M13" s="37">
        <f>J13*M$6</f>
        <v>1.6868891111111113</v>
      </c>
      <c r="N13" s="37">
        <f>(J13*N$6/12/3)</f>
        <v>5.111785185185186</v>
      </c>
      <c r="O13" s="12"/>
      <c r="P13" s="12"/>
      <c r="Q13" s="12"/>
      <c r="R13" s="12"/>
      <c r="S13" s="12"/>
      <c r="T13" s="12"/>
      <c r="U13" s="12"/>
      <c r="V13" s="60"/>
    </row>
    <row r="14" spans="1:22" ht="12.75">
      <c r="A14" s="67"/>
      <c r="B14" s="54"/>
      <c r="C14" s="14"/>
      <c r="D14" s="15"/>
      <c r="E14" s="12"/>
      <c r="F14" s="12"/>
      <c r="G14" s="12"/>
      <c r="H14" s="37"/>
      <c r="I14" s="37"/>
      <c r="J14" s="60">
        <f>299.7962/9</f>
        <v>33.31068888888889</v>
      </c>
      <c r="K14" s="38"/>
      <c r="L14" s="37"/>
      <c r="M14" s="37"/>
      <c r="N14" s="44"/>
      <c r="O14" s="37">
        <f>(J14*O$6/36)</f>
        <v>5.551781481481481</v>
      </c>
      <c r="P14" s="12"/>
      <c r="Q14" s="12"/>
      <c r="R14" s="12"/>
      <c r="S14" s="12"/>
      <c r="T14" s="12"/>
      <c r="U14" s="12"/>
      <c r="V14" s="60"/>
    </row>
    <row r="15" spans="1:22" ht="12.75">
      <c r="A15" s="67"/>
      <c r="B15" s="54"/>
      <c r="C15" s="14"/>
      <c r="D15" s="15"/>
      <c r="E15" s="12"/>
      <c r="F15" s="12"/>
      <c r="G15" s="12"/>
      <c r="H15" s="37"/>
      <c r="I15" s="37"/>
      <c r="J15" s="60">
        <f>346.6179/9</f>
        <v>38.5131</v>
      </c>
      <c r="K15" s="38"/>
      <c r="L15" s="37"/>
      <c r="M15" s="37"/>
      <c r="N15" s="44"/>
      <c r="O15" s="12"/>
      <c r="P15" s="12"/>
      <c r="Q15" s="12">
        <f>J15</f>
        <v>38.5131</v>
      </c>
      <c r="R15" s="40"/>
      <c r="S15" s="12"/>
      <c r="T15" s="12"/>
      <c r="U15" s="12"/>
      <c r="V15" s="60"/>
    </row>
    <row r="16" spans="1:22" ht="12.75">
      <c r="A16" s="67"/>
      <c r="B16" s="54"/>
      <c r="C16" s="14"/>
      <c r="D16" s="15"/>
      <c r="E16" s="12"/>
      <c r="F16" s="12"/>
      <c r="G16" s="12"/>
      <c r="H16" s="37"/>
      <c r="I16" s="37"/>
      <c r="J16" s="60"/>
      <c r="K16" s="38"/>
      <c r="L16" s="37"/>
      <c r="M16" s="37"/>
      <c r="N16" s="26"/>
      <c r="O16" s="12"/>
      <c r="P16" s="12"/>
      <c r="Q16" s="12"/>
      <c r="R16" s="12"/>
      <c r="S16" s="12"/>
      <c r="T16" s="12"/>
      <c r="U16" s="12"/>
      <c r="V16" s="60"/>
    </row>
    <row r="17" spans="1:22" ht="12.75">
      <c r="A17" s="67" t="s">
        <v>21</v>
      </c>
      <c r="B17" s="54">
        <v>75786.04</v>
      </c>
      <c r="C17" s="14">
        <v>75793.11</v>
      </c>
      <c r="D17" s="15" t="s">
        <v>14</v>
      </c>
      <c r="E17" s="12"/>
      <c r="F17" s="12"/>
      <c r="G17" s="12"/>
      <c r="H17" s="37"/>
      <c r="I17" s="37"/>
      <c r="J17" s="60">
        <f>131.4577/9</f>
        <v>14.60641111111111</v>
      </c>
      <c r="K17" s="38">
        <f>(J17*K$6/12/3)</f>
        <v>0.6086004629629629</v>
      </c>
      <c r="L17" s="37">
        <f>(J17*L$6/12/3)</f>
        <v>0.71003387345679</v>
      </c>
      <c r="M17" s="37">
        <f>J17*M$6</f>
        <v>0.803352611111111</v>
      </c>
      <c r="N17" s="37">
        <f>(J17*N$6/12/3)</f>
        <v>2.4344018518518515</v>
      </c>
      <c r="O17" s="12"/>
      <c r="P17" s="12"/>
      <c r="Q17" s="12"/>
      <c r="R17" s="12"/>
      <c r="S17" s="12"/>
      <c r="T17" s="12"/>
      <c r="U17" s="12"/>
      <c r="V17" s="60"/>
    </row>
    <row r="18" spans="1:22" ht="12.75">
      <c r="A18" s="67"/>
      <c r="B18" s="54"/>
      <c r="C18" s="14"/>
      <c r="D18" s="15"/>
      <c r="E18" s="12"/>
      <c r="F18" s="12"/>
      <c r="G18" s="12"/>
      <c r="H18" s="37"/>
      <c r="I18" s="37"/>
      <c r="J18" s="60">
        <f>146.7989/9</f>
        <v>16.31098888888889</v>
      </c>
      <c r="K18" s="38"/>
      <c r="L18" s="37"/>
      <c r="M18" s="37"/>
      <c r="N18" s="44"/>
      <c r="O18" s="37">
        <f>(J18*O$6/36)</f>
        <v>2.7184981481481483</v>
      </c>
      <c r="P18" s="12"/>
      <c r="Q18" s="12"/>
      <c r="R18" s="12"/>
      <c r="S18" s="12"/>
      <c r="T18" s="12"/>
      <c r="U18" s="12"/>
      <c r="V18" s="60"/>
    </row>
    <row r="19" spans="1:22" ht="12.75">
      <c r="A19" s="67"/>
      <c r="B19" s="54"/>
      <c r="C19" s="14"/>
      <c r="D19" s="15"/>
      <c r="E19" s="12"/>
      <c r="F19" s="12"/>
      <c r="G19" s="12"/>
      <c r="H19" s="37"/>
      <c r="I19" s="49"/>
      <c r="J19" s="60">
        <f>176.2852/9</f>
        <v>19.587244444444444</v>
      </c>
      <c r="K19" s="38"/>
      <c r="L19" s="37"/>
      <c r="M19" s="37"/>
      <c r="N19" s="44"/>
      <c r="O19" s="12"/>
      <c r="P19" s="12"/>
      <c r="Q19" s="12">
        <f>J19</f>
        <v>19.587244444444444</v>
      </c>
      <c r="R19" s="40"/>
      <c r="S19" s="12"/>
      <c r="T19" s="12"/>
      <c r="U19" s="12"/>
      <c r="V19" s="60"/>
    </row>
    <row r="20" spans="1:22" ht="12.75">
      <c r="A20" s="67"/>
      <c r="B20" s="54"/>
      <c r="C20" s="14"/>
      <c r="D20" s="15"/>
      <c r="E20" s="12"/>
      <c r="F20" s="12"/>
      <c r="G20" s="12"/>
      <c r="H20" s="37"/>
      <c r="I20" s="49"/>
      <c r="J20" s="60"/>
      <c r="K20" s="38"/>
      <c r="L20" s="37"/>
      <c r="M20" s="37"/>
      <c r="N20" s="44"/>
      <c r="O20" s="37"/>
      <c r="P20" s="12"/>
      <c r="Q20" s="37"/>
      <c r="R20" s="40"/>
      <c r="S20" s="12"/>
      <c r="T20" s="12"/>
      <c r="U20" s="12"/>
      <c r="V20" s="60"/>
    </row>
    <row r="21" spans="1:22" ht="12.75">
      <c r="A21" s="67" t="s">
        <v>22</v>
      </c>
      <c r="B21" s="54">
        <v>76088</v>
      </c>
      <c r="C21" s="14">
        <v>76147.45</v>
      </c>
      <c r="D21" s="15" t="s">
        <v>14</v>
      </c>
      <c r="E21" s="12">
        <f>C21-B21</f>
        <v>59.44999999999709</v>
      </c>
      <c r="F21" s="12">
        <v>2.37</v>
      </c>
      <c r="G21" s="12">
        <v>4.618</v>
      </c>
      <c r="H21" s="12">
        <f aca="true" t="shared" si="0" ref="H21:H26">ROUND((F21+G21)/2,2)</f>
        <v>3.49</v>
      </c>
      <c r="I21" s="37">
        <f aca="true" t="shared" si="1" ref="I21:I26">E21*H21/9</f>
        <v>23.053388888887763</v>
      </c>
      <c r="J21" s="60"/>
      <c r="K21" s="38">
        <f>(I21*K$6/12/3)</f>
        <v>0.9605578703703235</v>
      </c>
      <c r="L21" s="37">
        <f>(I21*L$6/12/3)</f>
        <v>1.1206508487653775</v>
      </c>
      <c r="M21" s="37">
        <f>I21*M$6*2</f>
        <v>2.535872777777654</v>
      </c>
      <c r="N21" s="37">
        <f>(I21*N$6/12/3)</f>
        <v>3.842231481481294</v>
      </c>
      <c r="O21" s="37"/>
      <c r="P21" s="12"/>
      <c r="Q21" s="37"/>
      <c r="R21" s="40"/>
      <c r="S21" s="12"/>
      <c r="T21" s="12"/>
      <c r="U21" s="12"/>
      <c r="V21" s="60"/>
    </row>
    <row r="22" spans="1:22" ht="12.75">
      <c r="A22" s="67"/>
      <c r="B22" s="54"/>
      <c r="C22" s="14"/>
      <c r="D22" s="15"/>
      <c r="E22" s="12">
        <f>E21</f>
        <v>59.44999999999709</v>
      </c>
      <c r="F22" s="12">
        <f>F21+1.5</f>
        <v>3.87</v>
      </c>
      <c r="G22" s="12">
        <f>G21+1.5</f>
        <v>6.118</v>
      </c>
      <c r="H22" s="12">
        <f t="shared" si="0"/>
        <v>4.99</v>
      </c>
      <c r="I22" s="37">
        <f t="shared" si="1"/>
        <v>32.96172222222061</v>
      </c>
      <c r="J22" s="60"/>
      <c r="K22" s="38"/>
      <c r="L22" s="37"/>
      <c r="M22" s="37"/>
      <c r="N22" s="37"/>
      <c r="O22" s="37">
        <f>(I22*O$6/36)</f>
        <v>5.493620370370102</v>
      </c>
      <c r="P22" s="12"/>
      <c r="Q22" s="37">
        <f>I22</f>
        <v>32.96172222222061</v>
      </c>
      <c r="R22" s="40"/>
      <c r="S22" s="12"/>
      <c r="T22" s="12"/>
      <c r="U22" s="12"/>
      <c r="V22" s="60"/>
    </row>
    <row r="23" spans="1:22" ht="12.75">
      <c r="A23" s="67"/>
      <c r="B23" s="54">
        <f>C21</f>
        <v>76147.45</v>
      </c>
      <c r="C23" s="14">
        <v>76472.11</v>
      </c>
      <c r="D23" s="15" t="s">
        <v>14</v>
      </c>
      <c r="E23" s="12">
        <f>C23-B23</f>
        <v>324.6600000000035</v>
      </c>
      <c r="F23" s="12">
        <v>4.6172</v>
      </c>
      <c r="G23" s="12">
        <v>4.6172</v>
      </c>
      <c r="H23" s="12">
        <f t="shared" si="0"/>
        <v>4.62</v>
      </c>
      <c r="I23" s="37">
        <f t="shared" si="1"/>
        <v>166.6588000000018</v>
      </c>
      <c r="J23" s="60"/>
      <c r="K23" s="38">
        <f>(I23*K$6/12/3)</f>
        <v>6.9441166666667415</v>
      </c>
      <c r="L23" s="37"/>
      <c r="M23" s="37">
        <f>I23*M$6</f>
        <v>9.166234000000099</v>
      </c>
      <c r="N23" s="44"/>
      <c r="O23" s="37"/>
      <c r="P23" s="12"/>
      <c r="Q23" s="37"/>
      <c r="R23" s="40"/>
      <c r="S23" s="12"/>
      <c r="T23" s="12"/>
      <c r="U23" s="12"/>
      <c r="V23" s="60"/>
    </row>
    <row r="24" spans="1:22" ht="12.75">
      <c r="A24" s="67"/>
      <c r="B24" s="54"/>
      <c r="C24" s="14"/>
      <c r="D24" s="15"/>
      <c r="E24" s="12">
        <f>E23</f>
        <v>324.6600000000035</v>
      </c>
      <c r="F24" s="12">
        <v>6.2839</v>
      </c>
      <c r="G24" s="12">
        <v>6.2839</v>
      </c>
      <c r="H24" s="12">
        <f t="shared" si="0"/>
        <v>6.28</v>
      </c>
      <c r="I24" s="37">
        <f t="shared" si="1"/>
        <v>226.5405333333358</v>
      </c>
      <c r="J24" s="60"/>
      <c r="K24" s="38"/>
      <c r="L24" s="37">
        <f>(I24*L$6/12/3)</f>
        <v>11.012387037037156</v>
      </c>
      <c r="M24" s="37">
        <f>I24*M$6</f>
        <v>12.459729333333469</v>
      </c>
      <c r="N24" s="37">
        <f>(I24*N$6/12/3)</f>
        <v>37.75675555555596</v>
      </c>
      <c r="O24" s="37">
        <f>(I24*O$6/36)</f>
        <v>37.75675555555596</v>
      </c>
      <c r="P24" s="12"/>
      <c r="Q24" s="37">
        <f>I24</f>
        <v>226.5405333333358</v>
      </c>
      <c r="R24" s="40"/>
      <c r="S24" s="12"/>
      <c r="T24" s="12"/>
      <c r="U24" s="12"/>
      <c r="V24" s="60"/>
    </row>
    <row r="25" spans="1:22" ht="12.75">
      <c r="A25" s="67"/>
      <c r="B25" s="54">
        <f>C23</f>
        <v>76472.11</v>
      </c>
      <c r="C25" s="14">
        <v>76530</v>
      </c>
      <c r="D25" s="15" t="s">
        <v>14</v>
      </c>
      <c r="E25" s="12">
        <f>C25-B25</f>
        <v>57.88999999999942</v>
      </c>
      <c r="F25" s="12">
        <v>2.37</v>
      </c>
      <c r="G25" s="12">
        <v>4.618</v>
      </c>
      <c r="H25" s="12">
        <f t="shared" si="0"/>
        <v>3.49</v>
      </c>
      <c r="I25" s="37">
        <f t="shared" si="1"/>
        <v>22.44845555555533</v>
      </c>
      <c r="J25" s="60"/>
      <c r="K25" s="38">
        <f>(I25*K$6/12/3)</f>
        <v>0.9353523148148054</v>
      </c>
      <c r="L25" s="37">
        <f>(I25*L$6/12/3)</f>
        <v>1.0912443672839396</v>
      </c>
      <c r="M25" s="37">
        <f>I25*M$6*2</f>
        <v>2.4693301111110864</v>
      </c>
      <c r="N25" s="37">
        <f>(I25*N$6/12/3)</f>
        <v>3.7414092592592216</v>
      </c>
      <c r="O25" s="37"/>
      <c r="P25" s="12"/>
      <c r="Q25" s="37"/>
      <c r="R25" s="40"/>
      <c r="S25" s="12"/>
      <c r="T25" s="12"/>
      <c r="U25" s="12"/>
      <c r="V25" s="60"/>
    </row>
    <row r="26" spans="1:22" ht="12.75">
      <c r="A26" s="67"/>
      <c r="B26" s="54"/>
      <c r="C26" s="14"/>
      <c r="D26" s="15"/>
      <c r="E26" s="12">
        <f>E25</f>
        <v>57.88999999999942</v>
      </c>
      <c r="F26" s="12">
        <f>F25+1.5</f>
        <v>3.87</v>
      </c>
      <c r="G26" s="12">
        <f>G25+1.5</f>
        <v>6.118</v>
      </c>
      <c r="H26" s="12">
        <f t="shared" si="0"/>
        <v>4.99</v>
      </c>
      <c r="I26" s="37">
        <f t="shared" si="1"/>
        <v>32.09678888888857</v>
      </c>
      <c r="J26" s="60"/>
      <c r="K26" s="38"/>
      <c r="L26" s="37"/>
      <c r="M26" s="37"/>
      <c r="N26" s="37"/>
      <c r="O26" s="37">
        <f>(I26*O$6/36)</f>
        <v>5.349464814814762</v>
      </c>
      <c r="P26" s="12"/>
      <c r="Q26" s="37">
        <f>I26</f>
        <v>32.09678888888857</v>
      </c>
      <c r="R26" s="40"/>
      <c r="S26" s="12"/>
      <c r="T26" s="12"/>
      <c r="U26" s="12"/>
      <c r="V26" s="60"/>
    </row>
    <row r="27" spans="1:22" ht="12.75">
      <c r="A27" s="67"/>
      <c r="B27" s="54"/>
      <c r="C27" s="14"/>
      <c r="D27" s="15"/>
      <c r="E27" s="12"/>
      <c r="F27" s="12"/>
      <c r="G27" s="12"/>
      <c r="H27" s="37"/>
      <c r="I27" s="37"/>
      <c r="J27" s="60"/>
      <c r="K27" s="38"/>
      <c r="L27" s="37"/>
      <c r="M27" s="37"/>
      <c r="N27" s="44"/>
      <c r="O27" s="37"/>
      <c r="P27" s="12"/>
      <c r="Q27" s="37"/>
      <c r="R27" s="40"/>
      <c r="S27" s="12"/>
      <c r="T27" s="12"/>
      <c r="U27" s="12"/>
      <c r="V27" s="60"/>
    </row>
    <row r="28" spans="1:22" ht="12.75">
      <c r="A28" s="67" t="s">
        <v>23</v>
      </c>
      <c r="B28" s="54">
        <v>76728.32</v>
      </c>
      <c r="C28" s="14">
        <v>76745.29</v>
      </c>
      <c r="D28" s="15" t="s">
        <v>14</v>
      </c>
      <c r="E28" s="12"/>
      <c r="F28" s="12"/>
      <c r="G28" s="12"/>
      <c r="H28" s="12"/>
      <c r="I28" s="37"/>
      <c r="J28" s="60">
        <f>206.3721/9</f>
        <v>22.930233333333334</v>
      </c>
      <c r="K28" s="38"/>
      <c r="L28" s="37"/>
      <c r="M28" s="37"/>
      <c r="N28" s="37"/>
      <c r="O28" s="12"/>
      <c r="P28" s="12"/>
      <c r="Q28" s="12"/>
      <c r="R28" s="12"/>
      <c r="S28" s="12"/>
      <c r="T28" s="12"/>
      <c r="U28" s="12"/>
      <c r="V28" s="60">
        <f>J28</f>
        <v>22.930233333333334</v>
      </c>
    </row>
    <row r="29" spans="1:22" ht="12.75">
      <c r="A29" s="67"/>
      <c r="B29" s="54"/>
      <c r="C29" s="14"/>
      <c r="D29" s="15"/>
      <c r="E29" s="12"/>
      <c r="F29" s="12"/>
      <c r="G29" s="12"/>
      <c r="H29" s="12"/>
      <c r="I29" s="37"/>
      <c r="J29" s="60">
        <f>240.7694/9</f>
        <v>26.752155555555554</v>
      </c>
      <c r="K29" s="38"/>
      <c r="L29" s="37"/>
      <c r="M29" s="37"/>
      <c r="N29" s="44"/>
      <c r="O29" s="37">
        <f>(J29*O$6/36)</f>
        <v>4.458692592592592</v>
      </c>
      <c r="P29" s="12"/>
      <c r="Q29" s="12">
        <f>J29</f>
        <v>26.752155555555554</v>
      </c>
      <c r="R29" s="40"/>
      <c r="S29" s="12"/>
      <c r="T29" s="12"/>
      <c r="U29" s="12"/>
      <c r="V29" s="60"/>
    </row>
    <row r="30" spans="1:22" ht="12.75">
      <c r="A30" s="67"/>
      <c r="B30" s="54"/>
      <c r="C30" s="14"/>
      <c r="D30" s="15"/>
      <c r="E30" s="12"/>
      <c r="F30" s="12"/>
      <c r="G30" s="12"/>
      <c r="H30" s="12"/>
      <c r="I30" s="16"/>
      <c r="J30" s="60"/>
      <c r="K30" s="38"/>
      <c r="L30" s="42"/>
      <c r="M30" s="42"/>
      <c r="N30" s="44"/>
      <c r="O30" s="37"/>
      <c r="P30" s="37"/>
      <c r="Q30" s="37"/>
      <c r="R30" s="40"/>
      <c r="S30" s="12"/>
      <c r="T30" s="12"/>
      <c r="U30" s="12"/>
      <c r="V30" s="60"/>
    </row>
    <row r="31" spans="1:22" ht="12.75">
      <c r="A31" s="67" t="s">
        <v>24</v>
      </c>
      <c r="B31" s="46">
        <v>76789.44</v>
      </c>
      <c r="C31" s="14">
        <v>76866.05</v>
      </c>
      <c r="D31" s="15" t="s">
        <v>14</v>
      </c>
      <c r="E31" s="12"/>
      <c r="F31" s="12"/>
      <c r="G31" s="12"/>
      <c r="H31" s="12"/>
      <c r="I31" s="16"/>
      <c r="J31" s="60">
        <f>591.4761/9</f>
        <v>65.71956666666667</v>
      </c>
      <c r="K31" s="38"/>
      <c r="L31" s="42"/>
      <c r="M31" s="42"/>
      <c r="N31" s="44"/>
      <c r="O31" s="37"/>
      <c r="P31" s="37"/>
      <c r="Q31" s="37"/>
      <c r="R31" s="40"/>
      <c r="S31" s="12"/>
      <c r="T31" s="12"/>
      <c r="U31" s="12"/>
      <c r="V31" s="60">
        <f>J31</f>
        <v>65.71956666666667</v>
      </c>
    </row>
    <row r="32" spans="1:22" ht="12.75">
      <c r="A32" s="67"/>
      <c r="B32" s="54"/>
      <c r="C32" s="14"/>
      <c r="D32" s="15"/>
      <c r="E32" s="12"/>
      <c r="F32" s="12"/>
      <c r="G32" s="12"/>
      <c r="H32" s="12"/>
      <c r="I32" s="37"/>
      <c r="J32" s="60">
        <f>677.83/9</f>
        <v>75.31444444444445</v>
      </c>
      <c r="K32" s="38"/>
      <c r="L32" s="37"/>
      <c r="M32" s="37"/>
      <c r="N32" s="37"/>
      <c r="O32" s="37">
        <f>(J32*O$6/36)</f>
        <v>12.552407407407408</v>
      </c>
      <c r="P32" s="12"/>
      <c r="Q32" s="12">
        <f>J32</f>
        <v>75.31444444444445</v>
      </c>
      <c r="R32" s="40"/>
      <c r="S32" s="12"/>
      <c r="T32" s="12"/>
      <c r="U32" s="12"/>
      <c r="V32" s="60"/>
    </row>
    <row r="33" spans="1:22" ht="12.75">
      <c r="A33" s="67"/>
      <c r="B33" s="54">
        <f>C31</f>
        <v>76866.05</v>
      </c>
      <c r="C33" s="14">
        <v>77348.16</v>
      </c>
      <c r="D33" s="15" t="s">
        <v>14</v>
      </c>
      <c r="E33" s="12">
        <f>C33-B33</f>
        <v>482.1100000000006</v>
      </c>
      <c r="F33" s="12">
        <v>3</v>
      </c>
      <c r="G33" s="12">
        <v>3</v>
      </c>
      <c r="H33" s="12">
        <f>ROUND((F33+G33)/2,2)</f>
        <v>3</v>
      </c>
      <c r="I33" s="37">
        <f>E33*H33/9</f>
        <v>160.70333333333352</v>
      </c>
      <c r="J33" s="60"/>
      <c r="K33" s="38">
        <f>(I33*K$6/12/3)</f>
        <v>6.69597222222223</v>
      </c>
      <c r="L33" s="37">
        <f>(I33*L$6/12/3)</f>
        <v>7.811967592592601</v>
      </c>
      <c r="M33" s="37">
        <f>I33*M$6*2</f>
        <v>17.677366666666686</v>
      </c>
      <c r="N33" s="37">
        <f>(I33*N$6/12/3)</f>
        <v>26.78388888888892</v>
      </c>
      <c r="O33" s="37"/>
      <c r="P33" s="12"/>
      <c r="Q33" s="37"/>
      <c r="R33" s="40"/>
      <c r="S33" s="12"/>
      <c r="T33" s="12"/>
      <c r="U33" s="12"/>
      <c r="V33" s="60"/>
    </row>
    <row r="34" spans="1:22" ht="12.75">
      <c r="A34" s="67"/>
      <c r="B34" s="54"/>
      <c r="C34" s="14"/>
      <c r="D34" s="15"/>
      <c r="E34" s="12">
        <f>E33</f>
        <v>482.1100000000006</v>
      </c>
      <c r="F34" s="12">
        <f>F33+1.5</f>
        <v>4.5</v>
      </c>
      <c r="G34" s="12">
        <f>G33+1.5</f>
        <v>4.5</v>
      </c>
      <c r="H34" s="12">
        <f>ROUND((F34+G34)/2,2)</f>
        <v>4.5</v>
      </c>
      <c r="I34" s="37">
        <f>E34*H34/9</f>
        <v>241.0550000000003</v>
      </c>
      <c r="J34" s="60"/>
      <c r="K34" s="38"/>
      <c r="L34" s="37"/>
      <c r="M34" s="37"/>
      <c r="N34" s="37"/>
      <c r="O34" s="37">
        <f>(I34*O$6/36)</f>
        <v>40.17583333333338</v>
      </c>
      <c r="P34" s="12"/>
      <c r="Q34" s="37">
        <f>I34</f>
        <v>241.0550000000003</v>
      </c>
      <c r="R34" s="40"/>
      <c r="S34" s="12"/>
      <c r="T34" s="12"/>
      <c r="U34" s="12"/>
      <c r="V34" s="60"/>
    </row>
    <row r="35" spans="1:22" ht="12.75">
      <c r="A35" s="67"/>
      <c r="B35" s="54">
        <f>C33</f>
        <v>77348.16</v>
      </c>
      <c r="C35" s="14">
        <v>77393.96</v>
      </c>
      <c r="D35" s="15" t="s">
        <v>14</v>
      </c>
      <c r="E35" s="12"/>
      <c r="F35" s="12"/>
      <c r="G35" s="12"/>
      <c r="H35" s="37"/>
      <c r="I35" s="37"/>
      <c r="J35" s="60">
        <f>161.2394/9</f>
        <v>17.915488888888888</v>
      </c>
      <c r="K35" s="38">
        <f>(J35*K$6/12/3)</f>
        <v>0.7464787037037036</v>
      </c>
      <c r="L35" s="37">
        <f>(J35*L$6/12/3)</f>
        <v>0.8708918209876543</v>
      </c>
      <c r="M35" s="37">
        <f>J35*M$6</f>
        <v>0.9853518888888888</v>
      </c>
      <c r="N35" s="37">
        <f>(J35*N$6/12/3)</f>
        <v>2.9859148148148145</v>
      </c>
      <c r="O35" s="37"/>
      <c r="P35" s="12"/>
      <c r="Q35" s="37"/>
      <c r="R35" s="40"/>
      <c r="S35" s="12"/>
      <c r="T35" s="12"/>
      <c r="U35" s="12"/>
      <c r="V35" s="60"/>
    </row>
    <row r="36" spans="1:22" ht="12.75">
      <c r="A36" s="67"/>
      <c r="B36" s="54"/>
      <c r="C36" s="14"/>
      <c r="D36" s="15"/>
      <c r="E36" s="12"/>
      <c r="F36" s="12"/>
      <c r="G36" s="12"/>
      <c r="H36" s="12"/>
      <c r="I36" s="37"/>
      <c r="J36" s="60">
        <f>238.3368/9</f>
        <v>26.48186666666667</v>
      </c>
      <c r="K36" s="38"/>
      <c r="L36" s="37"/>
      <c r="M36" s="37"/>
      <c r="N36" s="37"/>
      <c r="O36" s="37">
        <f>(J36*O$6/36)</f>
        <v>4.413644444444445</v>
      </c>
      <c r="P36" s="12"/>
      <c r="Q36" s="12">
        <f>J36</f>
        <v>26.48186666666667</v>
      </c>
      <c r="R36" s="40"/>
      <c r="S36" s="12"/>
      <c r="T36" s="12"/>
      <c r="U36" s="12"/>
      <c r="V36" s="60"/>
    </row>
    <row r="37" spans="1:22" ht="12.75">
      <c r="A37" s="67"/>
      <c r="B37" s="54"/>
      <c r="C37" s="14"/>
      <c r="D37" s="15"/>
      <c r="E37" s="12"/>
      <c r="F37" s="12"/>
      <c r="G37" s="12"/>
      <c r="H37" s="12"/>
      <c r="I37" s="37"/>
      <c r="J37" s="60"/>
      <c r="K37" s="38"/>
      <c r="L37" s="37"/>
      <c r="M37" s="37"/>
      <c r="N37" s="26"/>
      <c r="O37" s="12"/>
      <c r="P37" s="12"/>
      <c r="Q37" s="12"/>
      <c r="R37" s="15"/>
      <c r="S37" s="12"/>
      <c r="T37" s="12"/>
      <c r="U37" s="12"/>
      <c r="V37" s="60"/>
    </row>
    <row r="38" spans="1:22" ht="12.75">
      <c r="A38" s="67" t="s">
        <v>25</v>
      </c>
      <c r="B38" s="54">
        <v>77414.58</v>
      </c>
      <c r="C38" s="14">
        <v>77480.4</v>
      </c>
      <c r="D38" s="15" t="s">
        <v>13</v>
      </c>
      <c r="E38" s="12">
        <f aca="true" t="shared" si="2" ref="E38:E47">C38-B38</f>
        <v>65.81999999999243</v>
      </c>
      <c r="F38" s="12"/>
      <c r="G38" s="12"/>
      <c r="H38" s="12"/>
      <c r="I38" s="12"/>
      <c r="J38" s="60">
        <f>663.15/9</f>
        <v>73.68333333333334</v>
      </c>
      <c r="K38" s="11">
        <f>(J38*K$6/12/3)</f>
        <v>3.070138888888889</v>
      </c>
      <c r="L38" s="12">
        <f>(J38*L$6/12/3)</f>
        <v>3.5818287037037035</v>
      </c>
      <c r="M38" s="37">
        <f>J38*M$6*2</f>
        <v>8.105166666666667</v>
      </c>
      <c r="N38" s="37">
        <f>(J38*N$6/12/3)</f>
        <v>12.280555555555557</v>
      </c>
      <c r="O38" s="12"/>
      <c r="P38" s="12"/>
      <c r="Q38" s="12"/>
      <c r="R38" s="15"/>
      <c r="S38" s="12"/>
      <c r="T38" s="12"/>
      <c r="U38" s="12"/>
      <c r="V38" s="60"/>
    </row>
    <row r="39" spans="1:22" ht="12.75">
      <c r="A39" s="67"/>
      <c r="B39" s="54"/>
      <c r="C39" s="14"/>
      <c r="D39" s="15"/>
      <c r="E39" s="12"/>
      <c r="F39" s="12"/>
      <c r="G39" s="12"/>
      <c r="H39" s="12"/>
      <c r="I39" s="12"/>
      <c r="J39" s="60">
        <f>785.19/9</f>
        <v>87.24333333333334</v>
      </c>
      <c r="K39" s="11"/>
      <c r="L39" s="12"/>
      <c r="M39" s="12"/>
      <c r="N39" s="12"/>
      <c r="O39" s="37">
        <f>(J39*O$6/36)</f>
        <v>14.540555555555557</v>
      </c>
      <c r="P39" s="12"/>
      <c r="Q39" s="12"/>
      <c r="R39" s="15"/>
      <c r="S39" s="12"/>
      <c r="T39" s="12"/>
      <c r="U39" s="12"/>
      <c r="V39" s="60"/>
    </row>
    <row r="40" spans="1:22" ht="12.75">
      <c r="A40" s="67"/>
      <c r="B40" s="54"/>
      <c r="C40" s="14"/>
      <c r="D40" s="15"/>
      <c r="E40" s="12"/>
      <c r="F40" s="12"/>
      <c r="G40" s="12"/>
      <c r="H40" s="12"/>
      <c r="I40" s="12"/>
      <c r="J40" s="60">
        <f>845.64/9</f>
        <v>93.96</v>
      </c>
      <c r="K40" s="11"/>
      <c r="L40" s="12"/>
      <c r="M40" s="12"/>
      <c r="N40" s="12"/>
      <c r="O40" s="12"/>
      <c r="P40" s="12"/>
      <c r="Q40" s="37">
        <f>J40</f>
        <v>93.96</v>
      </c>
      <c r="R40" s="40"/>
      <c r="S40" s="12"/>
      <c r="T40" s="12"/>
      <c r="U40" s="12"/>
      <c r="V40" s="60"/>
    </row>
    <row r="41" spans="1:22" ht="12.75">
      <c r="A41" s="67"/>
      <c r="B41" s="54">
        <f>C38</f>
        <v>77480.4</v>
      </c>
      <c r="C41" s="14">
        <v>77650</v>
      </c>
      <c r="D41" s="15" t="s">
        <v>13</v>
      </c>
      <c r="E41" s="12">
        <f t="shared" si="2"/>
        <v>169.60000000000582</v>
      </c>
      <c r="F41" s="12">
        <v>3</v>
      </c>
      <c r="G41" s="12">
        <v>3</v>
      </c>
      <c r="H41" s="37">
        <f aca="true" t="shared" si="3" ref="H41:H48">ROUND((F41+G41)/2,2)</f>
        <v>3</v>
      </c>
      <c r="I41" s="37">
        <f aca="true" t="shared" si="4" ref="I41:I48">E41*H41/9</f>
        <v>56.53333333333527</v>
      </c>
      <c r="J41" s="60"/>
      <c r="K41" s="38">
        <f>(I41*K$6/12/3)</f>
        <v>2.3555555555556364</v>
      </c>
      <c r="L41" s="37">
        <f>(I41*L$6/12/3)</f>
        <v>2.748148148148242</v>
      </c>
      <c r="M41" s="37">
        <f>I41*M$6*2</f>
        <v>6.21866666666688</v>
      </c>
      <c r="N41" s="37">
        <f>(I41*N$6/12/3)</f>
        <v>9.422222222222546</v>
      </c>
      <c r="O41" s="37"/>
      <c r="P41" s="37"/>
      <c r="Q41" s="12"/>
      <c r="R41" s="15"/>
      <c r="S41" s="12"/>
      <c r="T41" s="12"/>
      <c r="U41" s="12"/>
      <c r="V41" s="60"/>
    </row>
    <row r="42" spans="1:22" ht="12.75">
      <c r="A42" s="67"/>
      <c r="B42" s="54"/>
      <c r="C42" s="14"/>
      <c r="D42" s="15"/>
      <c r="E42" s="12">
        <f>E41</f>
        <v>169.60000000000582</v>
      </c>
      <c r="F42" s="12">
        <f>F41+1.5</f>
        <v>4.5</v>
      </c>
      <c r="G42" s="12">
        <f>G41+1.5</f>
        <v>4.5</v>
      </c>
      <c r="H42" s="37">
        <f t="shared" si="3"/>
        <v>4.5</v>
      </c>
      <c r="I42" s="37">
        <f t="shared" si="4"/>
        <v>84.80000000000291</v>
      </c>
      <c r="J42" s="60"/>
      <c r="K42" s="38"/>
      <c r="L42" s="37"/>
      <c r="M42" s="37"/>
      <c r="N42" s="37"/>
      <c r="O42" s="37">
        <f>(I42*O$6/36)</f>
        <v>14.133333333333818</v>
      </c>
      <c r="P42" s="37"/>
      <c r="Q42" s="37">
        <f>I42</f>
        <v>84.80000000000291</v>
      </c>
      <c r="R42" s="40"/>
      <c r="S42" s="12"/>
      <c r="T42" s="12"/>
      <c r="U42" s="12"/>
      <c r="V42" s="60"/>
    </row>
    <row r="43" spans="1:22" ht="12.75">
      <c r="A43" s="67"/>
      <c r="B43" s="54">
        <f>C41</f>
        <v>77650</v>
      </c>
      <c r="C43" s="14">
        <v>77750</v>
      </c>
      <c r="D43" s="15" t="s">
        <v>13</v>
      </c>
      <c r="E43" s="12">
        <f t="shared" si="2"/>
        <v>100</v>
      </c>
      <c r="F43" s="12">
        <v>3</v>
      </c>
      <c r="G43" s="12">
        <v>11</v>
      </c>
      <c r="H43" s="12">
        <f t="shared" si="3"/>
        <v>7</v>
      </c>
      <c r="I43" s="12">
        <f t="shared" si="4"/>
        <v>77.77777777777777</v>
      </c>
      <c r="J43" s="60"/>
      <c r="K43" s="38">
        <f>(I43*K$6/12/3)</f>
        <v>3.2407407407407405</v>
      </c>
      <c r="L43" s="37">
        <f>(I43*L$6/12/3)</f>
        <v>3.7808641975308634</v>
      </c>
      <c r="M43" s="37">
        <f>I43*M$6*2</f>
        <v>8.555555555555555</v>
      </c>
      <c r="N43" s="37">
        <f>(I43*N$6/12/3)</f>
        <v>12.962962962962962</v>
      </c>
      <c r="O43" s="12"/>
      <c r="P43" s="12"/>
      <c r="Q43" s="12"/>
      <c r="R43" s="15"/>
      <c r="S43" s="12"/>
      <c r="T43" s="12"/>
      <c r="U43" s="12"/>
      <c r="V43" s="60"/>
    </row>
    <row r="44" spans="1:22" ht="12.75">
      <c r="A44" s="67"/>
      <c r="B44" s="54"/>
      <c r="C44" s="14"/>
      <c r="D44" s="15"/>
      <c r="E44" s="12">
        <f>E43</f>
        <v>100</v>
      </c>
      <c r="F44" s="12">
        <f>F43+1.5</f>
        <v>4.5</v>
      </c>
      <c r="G44" s="12">
        <f>G43+1.5</f>
        <v>12.5</v>
      </c>
      <c r="H44" s="37">
        <f t="shared" si="3"/>
        <v>8.5</v>
      </c>
      <c r="I44" s="37">
        <f t="shared" si="4"/>
        <v>94.44444444444444</v>
      </c>
      <c r="J44" s="60"/>
      <c r="K44" s="38"/>
      <c r="L44" s="37"/>
      <c r="M44" s="37"/>
      <c r="N44" s="37"/>
      <c r="O44" s="37">
        <f>(I44*O$6/36)</f>
        <v>15.74074074074074</v>
      </c>
      <c r="P44" s="37"/>
      <c r="Q44" s="37">
        <f>I44</f>
        <v>94.44444444444444</v>
      </c>
      <c r="R44" s="40"/>
      <c r="S44" s="12"/>
      <c r="T44" s="12"/>
      <c r="U44" s="12"/>
      <c r="V44" s="60"/>
    </row>
    <row r="45" spans="1:22" ht="12.75">
      <c r="A45" s="67"/>
      <c r="B45" s="54">
        <f>C43</f>
        <v>77750</v>
      </c>
      <c r="C45" s="14">
        <v>77850.22</v>
      </c>
      <c r="D45" s="15" t="s">
        <v>13</v>
      </c>
      <c r="E45" s="12">
        <f t="shared" si="2"/>
        <v>100.22000000000116</v>
      </c>
      <c r="F45" s="12">
        <v>11</v>
      </c>
      <c r="G45" s="12">
        <v>11</v>
      </c>
      <c r="H45" s="12">
        <f t="shared" si="3"/>
        <v>11</v>
      </c>
      <c r="I45" s="12">
        <f t="shared" si="4"/>
        <v>122.49111111111253</v>
      </c>
      <c r="J45" s="60"/>
      <c r="K45" s="38">
        <f>(I45*K$6/12/3)</f>
        <v>5.103796296296355</v>
      </c>
      <c r="L45" s="37">
        <f>(I45*L$6/12/3)</f>
        <v>5.954429012345748</v>
      </c>
      <c r="M45" s="37">
        <f>I45*M$6*2</f>
        <v>13.474022222222379</v>
      </c>
      <c r="N45" s="37">
        <f>(I45*N$6/12/3)</f>
        <v>20.41518518518542</v>
      </c>
      <c r="O45" s="12"/>
      <c r="P45" s="12"/>
      <c r="Q45" s="12"/>
      <c r="R45" s="15"/>
      <c r="S45" s="12"/>
      <c r="T45" s="12"/>
      <c r="U45" s="12"/>
      <c r="V45" s="60"/>
    </row>
    <row r="46" spans="1:22" ht="12.75">
      <c r="A46" s="67"/>
      <c r="B46" s="54"/>
      <c r="C46" s="14"/>
      <c r="D46" s="15"/>
      <c r="E46" s="12">
        <f>E45</f>
        <v>100.22000000000116</v>
      </c>
      <c r="F46" s="12">
        <f>F45+1.5</f>
        <v>12.5</v>
      </c>
      <c r="G46" s="12">
        <f>G45+1.5</f>
        <v>12.5</v>
      </c>
      <c r="H46" s="37">
        <f t="shared" si="3"/>
        <v>12.5</v>
      </c>
      <c r="I46" s="37">
        <f t="shared" si="4"/>
        <v>139.19444444444605</v>
      </c>
      <c r="J46" s="60"/>
      <c r="K46" s="38"/>
      <c r="L46" s="37"/>
      <c r="M46" s="37"/>
      <c r="N46" s="37"/>
      <c r="O46" s="37">
        <f>(I46*O$6/36)</f>
        <v>23.199074074074343</v>
      </c>
      <c r="P46" s="37"/>
      <c r="Q46" s="37">
        <f>I46</f>
        <v>139.19444444444605</v>
      </c>
      <c r="R46" s="40"/>
      <c r="S46" s="12"/>
      <c r="T46" s="12"/>
      <c r="U46" s="12"/>
      <c r="V46" s="60"/>
    </row>
    <row r="47" spans="1:22" ht="12.75">
      <c r="A47" s="67"/>
      <c r="B47" s="36">
        <f>C45</f>
        <v>77850.22</v>
      </c>
      <c r="C47" s="19">
        <v>77891.42</v>
      </c>
      <c r="D47" s="15" t="s">
        <v>13</v>
      </c>
      <c r="E47" s="12">
        <f t="shared" si="2"/>
        <v>41.19999999999709</v>
      </c>
      <c r="F47" s="12">
        <v>11</v>
      </c>
      <c r="G47" s="12">
        <v>2</v>
      </c>
      <c r="H47" s="12">
        <f t="shared" si="3"/>
        <v>6.5</v>
      </c>
      <c r="I47" s="12">
        <f t="shared" si="4"/>
        <v>29.755555555553453</v>
      </c>
      <c r="J47" s="60"/>
      <c r="K47" s="38">
        <f>(I47*K$6/12/3)</f>
        <v>1.2398148148147272</v>
      </c>
      <c r="L47" s="37">
        <f>(I47*L$6/12/3)</f>
        <v>1.4464506172838485</v>
      </c>
      <c r="M47" s="37">
        <f>I47*M$6*2</f>
        <v>3.2731111111108797</v>
      </c>
      <c r="N47" s="37">
        <f>(I47*N$6/12/3)</f>
        <v>4.959259259258909</v>
      </c>
      <c r="O47" s="12"/>
      <c r="P47" s="12"/>
      <c r="Q47" s="12"/>
      <c r="R47" s="15"/>
      <c r="S47" s="12"/>
      <c r="T47" s="12"/>
      <c r="U47" s="12"/>
      <c r="V47" s="60"/>
    </row>
    <row r="48" spans="1:22" ht="12.75">
      <c r="A48" s="67"/>
      <c r="B48" s="36"/>
      <c r="C48" s="19"/>
      <c r="D48" s="15"/>
      <c r="E48" s="12">
        <f>E47</f>
        <v>41.19999999999709</v>
      </c>
      <c r="F48" s="12">
        <f>F47+1.5</f>
        <v>12.5</v>
      </c>
      <c r="G48" s="12">
        <f>G47+1.5</f>
        <v>3.5</v>
      </c>
      <c r="H48" s="37">
        <f t="shared" si="3"/>
        <v>8</v>
      </c>
      <c r="I48" s="37">
        <f t="shared" si="4"/>
        <v>36.622222222219634</v>
      </c>
      <c r="J48" s="60"/>
      <c r="K48" s="38"/>
      <c r="L48" s="37"/>
      <c r="M48" s="37"/>
      <c r="N48" s="37"/>
      <c r="O48" s="37">
        <f>(I48*O$6/36)</f>
        <v>6.103703703703272</v>
      </c>
      <c r="P48" s="37"/>
      <c r="Q48" s="37">
        <f>I48</f>
        <v>36.622222222219634</v>
      </c>
      <c r="R48" s="40"/>
      <c r="S48" s="12"/>
      <c r="T48" s="12"/>
      <c r="U48" s="12"/>
      <c r="V48" s="60"/>
    </row>
    <row r="49" spans="1:22" ht="12.75">
      <c r="A49" s="67"/>
      <c r="B49" s="18"/>
      <c r="C49" s="19"/>
      <c r="D49" s="15"/>
      <c r="E49" s="12"/>
      <c r="F49" s="12"/>
      <c r="G49" s="12"/>
      <c r="H49" s="12"/>
      <c r="I49" s="12"/>
      <c r="J49" s="60"/>
      <c r="K49" s="61"/>
      <c r="L49" s="37"/>
      <c r="M49" s="37"/>
      <c r="N49" s="44"/>
      <c r="O49" s="37"/>
      <c r="P49" s="37"/>
      <c r="Q49" s="37"/>
      <c r="R49" s="40"/>
      <c r="S49" s="12"/>
      <c r="T49" s="12"/>
      <c r="U49" s="12"/>
      <c r="V49" s="60"/>
    </row>
    <row r="50" spans="1:22" ht="12.75">
      <c r="A50" s="68"/>
      <c r="B50" s="18"/>
      <c r="C50" s="19"/>
      <c r="D50" s="15"/>
      <c r="E50" s="12"/>
      <c r="F50" s="12"/>
      <c r="G50" s="12"/>
      <c r="H50" s="12"/>
      <c r="I50" s="12"/>
      <c r="J50" s="60"/>
      <c r="K50" s="38"/>
      <c r="L50" s="37"/>
      <c r="M50" s="37"/>
      <c r="N50" s="37"/>
      <c r="O50" s="37"/>
      <c r="P50" s="37"/>
      <c r="Q50" s="37"/>
      <c r="R50" s="40"/>
      <c r="S50" s="12"/>
      <c r="T50" s="12"/>
      <c r="U50" s="12"/>
      <c r="V50" s="60"/>
    </row>
    <row r="51" spans="1:22" ht="12.75">
      <c r="A51" s="67"/>
      <c r="B51" s="36"/>
      <c r="C51" s="19"/>
      <c r="D51" s="40"/>
      <c r="E51" s="12"/>
      <c r="F51" s="12"/>
      <c r="G51" s="12"/>
      <c r="H51" s="37"/>
      <c r="I51" s="37"/>
      <c r="J51" s="60"/>
      <c r="K51" s="38"/>
      <c r="L51" s="37"/>
      <c r="M51" s="37"/>
      <c r="N51" s="37"/>
      <c r="O51" s="37"/>
      <c r="P51" s="37"/>
      <c r="Q51" s="37"/>
      <c r="R51" s="76"/>
      <c r="S51" s="43"/>
      <c r="T51" s="43"/>
      <c r="U51" s="43"/>
      <c r="V51" s="63"/>
    </row>
    <row r="52" spans="1:22" ht="12.75">
      <c r="A52" s="67"/>
      <c r="B52" s="18"/>
      <c r="C52" s="39"/>
      <c r="D52" s="40"/>
      <c r="E52" s="12"/>
      <c r="F52" s="12"/>
      <c r="G52" s="12"/>
      <c r="H52" s="37"/>
      <c r="I52" s="37"/>
      <c r="J52" s="60"/>
      <c r="K52" s="41"/>
      <c r="L52" s="42"/>
      <c r="M52" s="42"/>
      <c r="N52" s="42"/>
      <c r="O52" s="42"/>
      <c r="P52" s="42"/>
      <c r="Q52" s="43"/>
      <c r="R52" s="76"/>
      <c r="S52" s="43"/>
      <c r="T52" s="43"/>
      <c r="U52" s="43"/>
      <c r="V52" s="63"/>
    </row>
    <row r="53" spans="1:22" ht="12.75">
      <c r="A53" s="67"/>
      <c r="B53" s="33"/>
      <c r="C53" s="19"/>
      <c r="D53" s="40"/>
      <c r="E53" s="12"/>
      <c r="F53" s="12"/>
      <c r="G53" s="12"/>
      <c r="H53" s="37"/>
      <c r="I53" s="37"/>
      <c r="J53" s="60"/>
      <c r="K53" s="38"/>
      <c r="L53" s="37"/>
      <c r="M53" s="37"/>
      <c r="N53" s="37"/>
      <c r="O53" s="37"/>
      <c r="P53" s="37"/>
      <c r="Q53" s="37"/>
      <c r="R53" s="76"/>
      <c r="S53" s="43"/>
      <c r="T53" s="43"/>
      <c r="U53" s="43"/>
      <c r="V53" s="63"/>
    </row>
    <row r="54" spans="1:22" ht="12.75">
      <c r="A54" s="67"/>
      <c r="B54" s="33"/>
      <c r="C54" s="19"/>
      <c r="D54" s="15"/>
      <c r="E54" s="12"/>
      <c r="F54" s="12"/>
      <c r="G54" s="12"/>
      <c r="H54" s="12"/>
      <c r="I54" s="12"/>
      <c r="J54" s="60"/>
      <c r="K54" s="29"/>
      <c r="L54" s="30"/>
      <c r="M54" s="30"/>
      <c r="N54" s="30"/>
      <c r="O54" s="31"/>
      <c r="P54" s="31"/>
      <c r="Q54" s="31"/>
      <c r="R54" s="75"/>
      <c r="S54" s="31"/>
      <c r="T54" s="31"/>
      <c r="U54" s="31"/>
      <c r="V54" s="62"/>
    </row>
    <row r="55" spans="1:22" ht="12.75">
      <c r="A55" s="67"/>
      <c r="B55" s="33"/>
      <c r="C55" s="19"/>
      <c r="D55" s="15"/>
      <c r="E55" s="12"/>
      <c r="F55" s="12"/>
      <c r="G55" s="12"/>
      <c r="H55" s="37"/>
      <c r="I55" s="37"/>
      <c r="J55" s="60"/>
      <c r="K55" s="29"/>
      <c r="L55" s="30"/>
      <c r="M55" s="30"/>
      <c r="N55" s="30"/>
      <c r="O55" s="43"/>
      <c r="P55" s="31"/>
      <c r="Q55" s="43"/>
      <c r="R55" s="76"/>
      <c r="S55" s="31"/>
      <c r="T55" s="31"/>
      <c r="U55" s="31"/>
      <c r="V55" s="62"/>
    </row>
    <row r="56" spans="1:22" ht="12.75">
      <c r="A56" s="67"/>
      <c r="B56" s="33"/>
      <c r="C56" s="19"/>
      <c r="D56" s="15"/>
      <c r="E56" s="12"/>
      <c r="F56" s="12"/>
      <c r="G56" s="12"/>
      <c r="H56" s="12"/>
      <c r="I56" s="12"/>
      <c r="J56" s="60"/>
      <c r="K56" s="29"/>
      <c r="L56" s="30"/>
      <c r="M56" s="30"/>
      <c r="N56" s="30"/>
      <c r="O56" s="31"/>
      <c r="P56" s="31"/>
      <c r="Q56" s="31"/>
      <c r="R56" s="75"/>
      <c r="S56" s="31"/>
      <c r="T56" s="31"/>
      <c r="U56" s="31"/>
      <c r="V56" s="62"/>
    </row>
    <row r="57" spans="1:22" ht="12.75">
      <c r="A57" s="67"/>
      <c r="B57" s="33"/>
      <c r="C57" s="19"/>
      <c r="D57" s="40"/>
      <c r="E57" s="12"/>
      <c r="F57" s="12"/>
      <c r="G57" s="12"/>
      <c r="H57" s="37"/>
      <c r="I57" s="37"/>
      <c r="J57" s="60"/>
      <c r="K57" s="38"/>
      <c r="L57" s="37"/>
      <c r="M57" s="37"/>
      <c r="N57" s="37"/>
      <c r="O57" s="37"/>
      <c r="P57" s="37"/>
      <c r="Q57" s="37"/>
      <c r="R57" s="40"/>
      <c r="S57" s="12"/>
      <c r="T57" s="12"/>
      <c r="U57" s="12"/>
      <c r="V57" s="63"/>
    </row>
    <row r="58" spans="1:22" ht="13.5" thickBot="1">
      <c r="A58" s="69"/>
      <c r="B58" s="72"/>
      <c r="C58" s="73"/>
      <c r="D58" s="74"/>
      <c r="E58" s="10"/>
      <c r="F58" s="10"/>
      <c r="G58" s="10"/>
      <c r="H58" s="10"/>
      <c r="I58" s="10"/>
      <c r="J58" s="70"/>
      <c r="K58" s="45"/>
      <c r="L58" s="64"/>
      <c r="M58" s="64"/>
      <c r="N58" s="64"/>
      <c r="O58" s="65"/>
      <c r="P58" s="65"/>
      <c r="Q58" s="65"/>
      <c r="R58" s="77"/>
      <c r="S58" s="65"/>
      <c r="T58" s="65"/>
      <c r="U58" s="65"/>
      <c r="V58" s="66"/>
    </row>
    <row r="59" spans="1:22" ht="13.5" thickBot="1">
      <c r="A59" s="1"/>
      <c r="B59" s="20" t="s">
        <v>26</v>
      </c>
      <c r="C59" s="21"/>
      <c r="D59" s="22"/>
      <c r="E59" s="23"/>
      <c r="F59" s="23"/>
      <c r="G59" s="23"/>
      <c r="H59" s="23"/>
      <c r="I59" s="24"/>
      <c r="J59" s="25"/>
      <c r="K59" s="78">
        <f>SUM(K8:K58)</f>
        <v>34.132406018518594</v>
      </c>
      <c r="L59" s="78">
        <f>SUM(L8:L58)</f>
        <v>42.73205794753099</v>
      </c>
      <c r="M59" s="78">
        <f>SUM(M8:M58)</f>
        <v>88.66905116666689</v>
      </c>
      <c r="N59" s="78">
        <f>SUM(N8:N58)</f>
        <v>146.50991296296337</v>
      </c>
      <c r="O59" s="78">
        <f>SUM(O8:O58)</f>
        <v>196.55861851851895</v>
      </c>
      <c r="P59" s="78"/>
      <c r="Q59" s="78">
        <f>SUM(Q8:Q58)</f>
        <v>1201.113355555558</v>
      </c>
      <c r="R59" s="78"/>
      <c r="S59" s="78"/>
      <c r="T59" s="78"/>
      <c r="U59" s="78"/>
      <c r="V59" s="78">
        <f>SUM(V8:V58)</f>
        <v>88.6498</v>
      </c>
    </row>
  </sheetData>
  <sheetProtection/>
  <mergeCells count="11">
    <mergeCell ref="H6:I6"/>
    <mergeCell ref="B4:C4"/>
    <mergeCell ref="D4:D5"/>
    <mergeCell ref="E4:E5"/>
    <mergeCell ref="F4:F5"/>
    <mergeCell ref="G4:G5"/>
    <mergeCell ref="H4:H5"/>
    <mergeCell ref="A4:A5"/>
    <mergeCell ref="I4:I5"/>
    <mergeCell ref="J4:J5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37">
      <selection activeCell="B70" sqref="B70"/>
    </sheetView>
  </sheetViews>
  <sheetFormatPr defaultColWidth="9.140625" defaultRowHeight="12.75"/>
  <sheetData>
    <row r="1" spans="1:8" ht="12.75">
      <c r="A1" s="104">
        <v>509</v>
      </c>
      <c r="B1" s="104" t="s">
        <v>53</v>
      </c>
      <c r="C1" s="104">
        <v>2918</v>
      </c>
      <c r="D1" s="104" t="s">
        <v>54</v>
      </c>
      <c r="E1" s="104" t="s">
        <v>55</v>
      </c>
      <c r="F1" s="104"/>
      <c r="G1" s="104"/>
      <c r="H1" s="104"/>
    </row>
    <row r="2" spans="3:5" ht="12.75">
      <c r="C2">
        <v>2918</v>
      </c>
      <c r="D2" t="s">
        <v>31</v>
      </c>
      <c r="E2" t="s">
        <v>32</v>
      </c>
    </row>
    <row r="4" spans="1:11" ht="12.75">
      <c r="A4" s="104">
        <v>511</v>
      </c>
      <c r="B4" s="104">
        <v>46010</v>
      </c>
      <c r="C4" s="105">
        <f>C33</f>
        <v>40</v>
      </c>
      <c r="D4" s="104" t="s">
        <v>56</v>
      </c>
      <c r="E4" s="104" t="s">
        <v>57</v>
      </c>
      <c r="F4" s="104"/>
      <c r="G4" s="104"/>
      <c r="H4" s="104"/>
      <c r="I4" s="104"/>
      <c r="J4" s="104"/>
      <c r="K4" s="104"/>
    </row>
    <row r="5" spans="2:5" ht="12.75">
      <c r="B5" s="88" t="s">
        <v>33</v>
      </c>
      <c r="C5" s="92">
        <v>15</v>
      </c>
      <c r="D5" s="93" t="s">
        <v>34</v>
      </c>
      <c r="E5" s="94" t="s">
        <v>35</v>
      </c>
    </row>
    <row r="6" spans="2:5" ht="12.75">
      <c r="B6" s="88"/>
      <c r="C6" s="95">
        <v>4.5</v>
      </c>
      <c r="D6" s="93" t="s">
        <v>34</v>
      </c>
      <c r="E6" s="94" t="s">
        <v>36</v>
      </c>
    </row>
    <row r="7" spans="2:5" ht="12.75">
      <c r="B7" s="88"/>
      <c r="C7" s="95">
        <f>C5*C6</f>
        <v>67.5</v>
      </c>
      <c r="D7" s="93" t="s">
        <v>37</v>
      </c>
      <c r="E7" s="94" t="s">
        <v>38</v>
      </c>
    </row>
    <row r="8" spans="2:5" ht="12.75">
      <c r="B8" s="88"/>
      <c r="C8" s="95"/>
      <c r="D8" s="93"/>
      <c r="E8" s="94"/>
    </row>
    <row r="9" spans="2:5" ht="12.75">
      <c r="B9" s="88" t="s">
        <v>39</v>
      </c>
      <c r="C9" s="92">
        <v>14.65</v>
      </c>
      <c r="D9" s="93" t="s">
        <v>34</v>
      </c>
      <c r="E9" s="94" t="s">
        <v>35</v>
      </c>
    </row>
    <row r="10" spans="2:5" ht="12.75">
      <c r="B10" s="88"/>
      <c r="C10" s="95">
        <v>4.77</v>
      </c>
      <c r="D10" s="93" t="s">
        <v>34</v>
      </c>
      <c r="E10" s="94" t="s">
        <v>36</v>
      </c>
    </row>
    <row r="11" spans="2:5" ht="12.75">
      <c r="B11" s="88"/>
      <c r="C11" s="95">
        <f>C9*C10</f>
        <v>69.8805</v>
      </c>
      <c r="D11" s="93" t="s">
        <v>37</v>
      </c>
      <c r="E11" s="94" t="s">
        <v>38</v>
      </c>
    </row>
    <row r="12" spans="2:5" ht="12.75">
      <c r="B12" s="88"/>
      <c r="C12" s="95"/>
      <c r="D12" s="93"/>
      <c r="E12" s="94"/>
    </row>
    <row r="13" spans="2:5" ht="12.75">
      <c r="B13" s="88" t="s">
        <v>40</v>
      </c>
      <c r="C13" s="92">
        <v>20.48</v>
      </c>
      <c r="D13" s="93" t="s">
        <v>34</v>
      </c>
      <c r="E13" s="94" t="s">
        <v>35</v>
      </c>
    </row>
    <row r="14" spans="2:5" ht="12.75">
      <c r="B14" s="88"/>
      <c r="C14" s="95">
        <v>5.54</v>
      </c>
      <c r="D14" s="93" t="s">
        <v>34</v>
      </c>
      <c r="E14" s="94" t="s">
        <v>36</v>
      </c>
    </row>
    <row r="15" spans="2:5" ht="12.75">
      <c r="B15" s="88"/>
      <c r="C15" s="95">
        <f>C13*C14</f>
        <v>113.45920000000001</v>
      </c>
      <c r="D15" s="93" t="s">
        <v>37</v>
      </c>
      <c r="E15" s="94" t="s">
        <v>38</v>
      </c>
    </row>
    <row r="16" spans="2:5" ht="12.75">
      <c r="B16" s="88"/>
      <c r="C16" s="95"/>
      <c r="D16" s="93"/>
      <c r="E16" s="94"/>
    </row>
    <row r="17" spans="2:5" ht="12.75">
      <c r="B17" s="88" t="s">
        <v>41</v>
      </c>
      <c r="C17" s="92">
        <v>12.09</v>
      </c>
      <c r="D17" s="93" t="s">
        <v>34</v>
      </c>
      <c r="E17" s="94" t="s">
        <v>35</v>
      </c>
    </row>
    <row r="18" spans="2:5" ht="12.75">
      <c r="B18" s="88"/>
      <c r="C18" s="95">
        <v>5.43</v>
      </c>
      <c r="D18" s="93" t="s">
        <v>34</v>
      </c>
      <c r="E18" s="94" t="s">
        <v>36</v>
      </c>
    </row>
    <row r="19" spans="2:5" ht="12.75">
      <c r="B19" s="88"/>
      <c r="C19" s="95">
        <f>C17*C18</f>
        <v>65.64869999999999</v>
      </c>
      <c r="D19" s="93" t="s">
        <v>37</v>
      </c>
      <c r="E19" s="94" t="s">
        <v>38</v>
      </c>
    </row>
    <row r="20" spans="2:5" ht="12.75">
      <c r="B20" s="88" t="s">
        <v>42</v>
      </c>
      <c r="C20" s="92">
        <v>14.5</v>
      </c>
      <c r="D20" s="93" t="s">
        <v>34</v>
      </c>
      <c r="E20" s="94" t="s">
        <v>35</v>
      </c>
    </row>
    <row r="21" spans="2:5" ht="12.75">
      <c r="B21" s="88"/>
      <c r="C21" s="95">
        <v>4.5</v>
      </c>
      <c r="D21" s="93" t="s">
        <v>34</v>
      </c>
      <c r="E21" s="94" t="s">
        <v>36</v>
      </c>
    </row>
    <row r="22" spans="2:5" ht="12.75">
      <c r="B22" s="88"/>
      <c r="C22" s="95">
        <f>C20*C21</f>
        <v>65.25</v>
      </c>
      <c r="D22" s="93" t="s">
        <v>37</v>
      </c>
      <c r="E22" s="94" t="s">
        <v>38</v>
      </c>
    </row>
    <row r="23" spans="2:5" ht="12.75">
      <c r="B23" s="88"/>
      <c r="C23" s="95">
        <f>C21*C22</f>
        <v>293.625</v>
      </c>
      <c r="D23" s="93" t="s">
        <v>37</v>
      </c>
      <c r="E23" s="94" t="s">
        <v>38</v>
      </c>
    </row>
    <row r="24" spans="2:5" ht="12.75">
      <c r="B24" s="88"/>
      <c r="C24" s="95"/>
      <c r="D24" s="93"/>
      <c r="E24" s="94"/>
    </row>
    <row r="25" spans="2:5" ht="12.75">
      <c r="B25" s="88"/>
      <c r="C25" s="95"/>
      <c r="D25" s="93"/>
      <c r="E25" s="94"/>
    </row>
    <row r="26" spans="2:5" ht="12.75">
      <c r="B26" s="88"/>
      <c r="C26" s="92">
        <v>1</v>
      </c>
      <c r="D26" s="93" t="s">
        <v>34</v>
      </c>
      <c r="E26" s="94" t="s">
        <v>43</v>
      </c>
    </row>
    <row r="27" spans="2:5" ht="12.75">
      <c r="B27" s="88"/>
      <c r="C27" s="92"/>
      <c r="D27" s="93"/>
      <c r="E27" s="94"/>
    </row>
    <row r="28" spans="2:5" ht="12.75">
      <c r="B28" s="88" t="s">
        <v>44</v>
      </c>
      <c r="C28" s="92">
        <f>C5+C9+C13+C17+C20</f>
        <v>76.72</v>
      </c>
      <c r="D28" s="93" t="s">
        <v>34</v>
      </c>
      <c r="E28" s="94" t="s">
        <v>35</v>
      </c>
    </row>
    <row r="29" spans="2:5" ht="12.75">
      <c r="B29" s="88"/>
      <c r="C29" s="92">
        <v>4</v>
      </c>
      <c r="D29" s="93" t="s">
        <v>34</v>
      </c>
      <c r="E29" s="94" t="s">
        <v>43</v>
      </c>
    </row>
    <row r="30" spans="2:5" ht="12.75">
      <c r="B30" s="88"/>
      <c r="C30" s="92">
        <v>1.5</v>
      </c>
      <c r="D30" s="93" t="s">
        <v>34</v>
      </c>
      <c r="E30" s="94" t="s">
        <v>45</v>
      </c>
    </row>
    <row r="31" spans="2:5" ht="12.75">
      <c r="B31" s="88"/>
      <c r="C31" s="92"/>
      <c r="D31" s="93"/>
      <c r="E31" s="94"/>
    </row>
    <row r="32" spans="2:5" ht="12.75">
      <c r="B32" s="88"/>
      <c r="C32" s="95"/>
      <c r="D32" s="93"/>
      <c r="E32" s="94"/>
    </row>
    <row r="33" spans="2:5" ht="12.75">
      <c r="B33" s="88"/>
      <c r="C33" s="89">
        <f>ROUNDUP((((C7+C11+C15+C19+C23)*C26)+(C28*C29*C30))/27,0)</f>
        <v>40</v>
      </c>
      <c r="D33" s="90" t="s">
        <v>46</v>
      </c>
      <c r="E33" s="91" t="s">
        <v>47</v>
      </c>
    </row>
    <row r="35" spans="1:10" ht="12.75">
      <c r="A35" s="104">
        <v>512</v>
      </c>
      <c r="B35" s="104">
        <v>10100</v>
      </c>
      <c r="C35" s="104">
        <f>C40</f>
        <v>32</v>
      </c>
      <c r="D35" s="104" t="s">
        <v>58</v>
      </c>
      <c r="E35" s="104" t="s">
        <v>59</v>
      </c>
      <c r="F35" s="104"/>
      <c r="G35" s="104"/>
      <c r="H35" s="104"/>
      <c r="I35" s="104"/>
      <c r="J35" s="104"/>
    </row>
    <row r="36" spans="3:5" ht="12.75">
      <c r="C36" s="97">
        <v>172</v>
      </c>
      <c r="D36" s="93" t="s">
        <v>37</v>
      </c>
      <c r="E36" s="85" t="s">
        <v>48</v>
      </c>
    </row>
    <row r="37" spans="3:5" ht="12.75">
      <c r="C37" s="92">
        <v>77</v>
      </c>
      <c r="D37" s="93" t="s">
        <v>37</v>
      </c>
      <c r="E37" s="99" t="s">
        <v>49</v>
      </c>
    </row>
    <row r="38" spans="3:5" ht="12.75">
      <c r="C38" s="97">
        <v>38</v>
      </c>
      <c r="D38" s="93" t="s">
        <v>37</v>
      </c>
      <c r="E38" s="85" t="s">
        <v>50</v>
      </c>
    </row>
    <row r="39" spans="3:5" ht="12.75">
      <c r="C39" s="98"/>
      <c r="D39" s="98"/>
      <c r="E39" s="101"/>
    </row>
    <row r="40" spans="3:5" ht="12.75">
      <c r="C40" s="90">
        <f>ROUNDUP((C36+C37+C38)/9,0)</f>
        <v>32</v>
      </c>
      <c r="D40" s="90" t="s">
        <v>51</v>
      </c>
      <c r="E40" s="91" t="s">
        <v>52</v>
      </c>
    </row>
    <row r="41" spans="3:5" ht="12.75">
      <c r="C41" s="102"/>
      <c r="D41" s="102"/>
      <c r="E41" s="102"/>
    </row>
    <row r="42" spans="1:7" ht="12.75">
      <c r="A42" s="104">
        <v>512</v>
      </c>
      <c r="B42" s="104">
        <v>33001</v>
      </c>
      <c r="C42" s="105">
        <f>C59</f>
        <v>7</v>
      </c>
      <c r="D42" s="104" t="s">
        <v>58</v>
      </c>
      <c r="E42" s="104" t="s">
        <v>60</v>
      </c>
      <c r="F42" s="104"/>
      <c r="G42" s="104"/>
    </row>
    <row r="43" spans="1:5" ht="12.75">
      <c r="A43" s="100"/>
      <c r="B43" s="85" t="s">
        <v>33</v>
      </c>
      <c r="C43" s="95">
        <f>C6</f>
        <v>4.5</v>
      </c>
      <c r="D43" s="93" t="s">
        <v>34</v>
      </c>
      <c r="E43" s="85" t="s">
        <v>36</v>
      </c>
    </row>
    <row r="44" spans="1:5" ht="12.75">
      <c r="A44" s="100"/>
      <c r="B44" s="102"/>
      <c r="C44" s="92">
        <v>3</v>
      </c>
      <c r="D44" s="93" t="s">
        <v>34</v>
      </c>
      <c r="E44" s="85" t="s">
        <v>43</v>
      </c>
    </row>
    <row r="45" spans="1:5" ht="12.75">
      <c r="A45" s="100"/>
      <c r="B45" s="102"/>
      <c r="C45" s="103">
        <f>(C43*C44)/9</f>
        <v>1.5</v>
      </c>
      <c r="D45" s="93" t="s">
        <v>51</v>
      </c>
      <c r="E45" s="85" t="s">
        <v>38</v>
      </c>
    </row>
    <row r="46" spans="1:5" ht="12.75">
      <c r="A46" s="100"/>
      <c r="B46" s="102"/>
      <c r="C46" s="102"/>
      <c r="D46" s="102"/>
      <c r="E46" s="102"/>
    </row>
    <row r="47" spans="1:5" ht="12.75">
      <c r="A47" s="100"/>
      <c r="B47" s="85" t="s">
        <v>39</v>
      </c>
      <c r="C47" s="92">
        <f>C10</f>
        <v>4.77</v>
      </c>
      <c r="D47" s="93" t="s">
        <v>34</v>
      </c>
      <c r="E47" s="85" t="s">
        <v>36</v>
      </c>
    </row>
    <row r="48" spans="1:5" ht="12.75">
      <c r="A48" s="100"/>
      <c r="B48" s="102"/>
      <c r="C48" s="95">
        <v>3</v>
      </c>
      <c r="D48" s="93" t="s">
        <v>34</v>
      </c>
      <c r="E48" s="85" t="s">
        <v>43</v>
      </c>
    </row>
    <row r="49" spans="1:5" ht="12.75">
      <c r="A49" s="100"/>
      <c r="B49" s="102"/>
      <c r="C49" s="103">
        <f>(C47*C48)/9</f>
        <v>1.5899999999999999</v>
      </c>
      <c r="D49" s="93" t="s">
        <v>51</v>
      </c>
      <c r="E49" s="85" t="s">
        <v>38</v>
      </c>
    </row>
    <row r="50" spans="1:5" ht="12.75">
      <c r="A50" s="100"/>
      <c r="B50" s="102"/>
      <c r="C50" s="102"/>
      <c r="D50" s="102"/>
      <c r="E50" s="102"/>
    </row>
    <row r="51" spans="1:5" ht="12.75">
      <c r="A51" s="100"/>
      <c r="B51" s="85" t="s">
        <v>40</v>
      </c>
      <c r="C51" s="95">
        <f>C14</f>
        <v>5.54</v>
      </c>
      <c r="D51" s="93" t="s">
        <v>34</v>
      </c>
      <c r="E51" s="85" t="s">
        <v>36</v>
      </c>
    </row>
    <row r="52" spans="1:5" ht="12.75">
      <c r="A52" s="100"/>
      <c r="B52" s="102"/>
      <c r="C52" s="92">
        <v>3</v>
      </c>
      <c r="D52" s="93" t="s">
        <v>34</v>
      </c>
      <c r="E52" s="85" t="s">
        <v>43</v>
      </c>
    </row>
    <row r="53" spans="1:5" ht="12.75">
      <c r="A53" s="100"/>
      <c r="B53" s="102"/>
      <c r="C53" s="103">
        <f>(C51*C52)/9</f>
        <v>1.8466666666666667</v>
      </c>
      <c r="D53" s="93" t="s">
        <v>51</v>
      </c>
      <c r="E53" s="85" t="s">
        <v>38</v>
      </c>
    </row>
    <row r="54" spans="1:5" ht="12.75">
      <c r="A54" s="100"/>
      <c r="B54" s="102"/>
      <c r="C54" s="102"/>
      <c r="D54" s="102"/>
      <c r="E54" s="102"/>
    </row>
    <row r="55" spans="1:5" ht="12.75">
      <c r="A55" s="100"/>
      <c r="B55" s="85"/>
      <c r="C55" s="95"/>
      <c r="D55" s="93"/>
      <c r="E55" s="85"/>
    </row>
    <row r="56" spans="1:5" ht="12.75">
      <c r="A56" s="100"/>
      <c r="B56" s="85" t="s">
        <v>41</v>
      </c>
      <c r="C56" s="95">
        <f>C21</f>
        <v>4.5</v>
      </c>
      <c r="D56" s="93" t="s">
        <v>34</v>
      </c>
      <c r="E56" s="85" t="s">
        <v>36</v>
      </c>
    </row>
    <row r="57" spans="1:5" ht="12.75">
      <c r="A57" s="100"/>
      <c r="B57" s="102"/>
      <c r="C57" s="92">
        <v>3</v>
      </c>
      <c r="D57" s="93" t="s">
        <v>34</v>
      </c>
      <c r="E57" s="85" t="s">
        <v>43</v>
      </c>
    </row>
    <row r="58" spans="1:5" ht="12.75">
      <c r="A58" s="100"/>
      <c r="B58" s="102"/>
      <c r="C58" s="103">
        <f>(C56*C57)/9</f>
        <v>1.5</v>
      </c>
      <c r="D58" s="93" t="s">
        <v>51</v>
      </c>
      <c r="E58" s="85" t="s">
        <v>38</v>
      </c>
    </row>
    <row r="59" spans="1:5" ht="12.75">
      <c r="A59" s="100"/>
      <c r="B59" s="102"/>
      <c r="C59" s="106">
        <f>ROUNDUP(C45+C49+C53+C58,0)</f>
        <v>7</v>
      </c>
      <c r="D59" s="90" t="s">
        <v>51</v>
      </c>
      <c r="E59" s="91" t="s">
        <v>61</v>
      </c>
    </row>
    <row r="61" spans="1:19" s="85" customFormat="1" ht="11.25" customHeight="1">
      <c r="A61" s="79">
        <v>516</v>
      </c>
      <c r="B61" s="79">
        <v>13600</v>
      </c>
      <c r="C61" s="80">
        <f>C67</f>
        <v>21</v>
      </c>
      <c r="D61" s="79" t="s">
        <v>62</v>
      </c>
      <c r="E61" s="81" t="s">
        <v>63</v>
      </c>
      <c r="F61" s="82"/>
      <c r="G61" s="83"/>
      <c r="H61" s="83"/>
      <c r="I61" s="83"/>
      <c r="J61" s="83"/>
      <c r="K61" s="83"/>
      <c r="L61" s="84"/>
      <c r="N61" s="86"/>
      <c r="O61" s="87"/>
      <c r="P61" s="86"/>
      <c r="Q61" s="86"/>
      <c r="R61" s="86"/>
      <c r="S61" s="87"/>
    </row>
    <row r="62" spans="1:5" ht="12.75">
      <c r="A62" s="93"/>
      <c r="B62" s="93"/>
      <c r="C62" s="107">
        <f>C6</f>
        <v>4.5</v>
      </c>
      <c r="D62" s="96" t="s">
        <v>34</v>
      </c>
      <c r="E62" s="108" t="s">
        <v>36</v>
      </c>
    </row>
    <row r="63" spans="1:5" ht="12.75">
      <c r="A63" s="93"/>
      <c r="B63" s="93"/>
      <c r="C63" s="107">
        <f>C10</f>
        <v>4.77</v>
      </c>
      <c r="D63" s="96" t="s">
        <v>34</v>
      </c>
      <c r="E63" s="108" t="s">
        <v>36</v>
      </c>
    </row>
    <row r="64" spans="1:5" ht="12.75">
      <c r="A64" s="93"/>
      <c r="B64" s="93"/>
      <c r="C64" s="107">
        <f>C14</f>
        <v>5.54</v>
      </c>
      <c r="D64" s="96" t="s">
        <v>34</v>
      </c>
      <c r="E64" s="108" t="s">
        <v>36</v>
      </c>
    </row>
    <row r="65" spans="1:5" ht="12.75">
      <c r="A65" s="93"/>
      <c r="B65" s="93"/>
      <c r="C65" s="107">
        <f>C18</f>
        <v>5.43</v>
      </c>
      <c r="D65" s="96" t="s">
        <v>34</v>
      </c>
      <c r="E65" s="108" t="s">
        <v>36</v>
      </c>
    </row>
    <row r="66" spans="1:5" ht="12.75">
      <c r="A66" s="100"/>
      <c r="B66" s="85"/>
      <c r="C66" s="109">
        <v>1</v>
      </c>
      <c r="D66" s="96" t="s">
        <v>34</v>
      </c>
      <c r="E66" s="108" t="s">
        <v>64</v>
      </c>
    </row>
    <row r="67" spans="1:5" ht="12.75">
      <c r="A67" s="100"/>
      <c r="B67" s="93"/>
      <c r="C67" s="89">
        <f>ROUNDUP(SUM(C62:C65)*C66,0)</f>
        <v>21</v>
      </c>
      <c r="D67" s="90" t="s">
        <v>37</v>
      </c>
      <c r="E67" s="11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3" max="3" width="16.8515625" style="0" customWidth="1"/>
  </cols>
  <sheetData>
    <row r="1" ht="12.75">
      <c r="A1" t="s">
        <v>66</v>
      </c>
    </row>
    <row r="2" spans="2:3" ht="12.75">
      <c r="B2">
        <v>450</v>
      </c>
      <c r="C2" t="s">
        <v>35</v>
      </c>
    </row>
    <row r="3" spans="2:3" ht="12.75">
      <c r="B3">
        <v>1.18</v>
      </c>
      <c r="C3" t="s">
        <v>67</v>
      </c>
    </row>
    <row r="4" spans="2:3" ht="12.75">
      <c r="B4">
        <v>0.85</v>
      </c>
      <c r="C4" t="s">
        <v>68</v>
      </c>
    </row>
    <row r="5" ht="12.75">
      <c r="B5" s="104">
        <f>B2*(B3+B4)/9</f>
        <v>101.49999999999999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Mcclellan, Randy</cp:lastModifiedBy>
  <cp:lastPrinted>2018-08-09T16:22:51Z</cp:lastPrinted>
  <dcterms:created xsi:type="dcterms:W3CDTF">2007-01-18T14:43:23Z</dcterms:created>
  <dcterms:modified xsi:type="dcterms:W3CDTF">2024-02-05T20:30:13Z</dcterms:modified>
  <cp:category/>
  <cp:version/>
  <cp:contentType/>
  <cp:contentStatus/>
</cp:coreProperties>
</file>