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P:\PIK\TR\PIKTR0026_Germany\99204\structures\WALL_001\spreadsheets\GDJ\"/>
    </mc:Choice>
  </mc:AlternateContent>
  <xr:revisionPtr revIDLastSave="0" documentId="10_ncr:100000_{ACD47DF5-35C3-4E4B-9C25-3716ED4306A6}" xr6:coauthVersionLast="31" xr6:coauthVersionMax="31" xr10:uidLastSave="{00000000-0000-0000-0000-000000000000}"/>
  <bookViews>
    <workbookView xWindow="0" yWindow="0" windowWidth="28800" windowHeight="14025" activeTab="1" xr2:uid="{455217F4-1E12-4E3C-B3C3-B2071F84D564}"/>
  </bookViews>
  <sheets>
    <sheet name="Wall 1" sheetId="20" r:id="rId1"/>
    <sheet name="Wall 2" sheetId="19" r:id="rId2"/>
    <sheet name="bar data" sheetId="3" r:id="rId3"/>
  </sheets>
  <definedNames>
    <definedName name="_xlnm.Print_Area" localSheetId="0">'Wall 1'!$B$1:$M$49</definedName>
    <definedName name="_xlnm.Print_Area" localSheetId="1">'Wall 2'!$B$1:$M$57</definedName>
  </definedNames>
  <calcPr calcId="179017"/>
</workbook>
</file>

<file path=xl/calcChain.xml><?xml version="1.0" encoding="utf-8"?>
<calcChain xmlns="http://schemas.openxmlformats.org/spreadsheetml/2006/main">
  <c r="C7" i="19" l="1"/>
  <c r="E29" i="20" l="1"/>
  <c r="C28" i="19"/>
  <c r="N28" i="20"/>
  <c r="E28" i="20"/>
  <c r="C20" i="20"/>
  <c r="N21" i="20"/>
  <c r="N35" i="19"/>
  <c r="C33" i="19"/>
  <c r="O31" i="19"/>
  <c r="C31" i="19"/>
  <c r="C8" i="19"/>
  <c r="C27" i="19"/>
  <c r="C20" i="19"/>
  <c r="N18" i="19"/>
  <c r="N13" i="19"/>
  <c r="C10" i="19"/>
  <c r="N26" i="20" l="1"/>
  <c r="C26" i="20"/>
  <c r="N27" i="20"/>
  <c r="N25" i="20"/>
  <c r="N23" i="20"/>
  <c r="N17" i="20"/>
  <c r="C15" i="20"/>
  <c r="N14" i="20"/>
  <c r="N13" i="20"/>
  <c r="N12" i="20"/>
  <c r="D18" i="20"/>
  <c r="D20" i="20"/>
  <c r="C7" i="20"/>
  <c r="C6" i="20"/>
  <c r="G8" i="20"/>
  <c r="I31" i="19"/>
  <c r="H31" i="19"/>
  <c r="N31" i="19"/>
  <c r="C21" i="19"/>
  <c r="C5" i="19"/>
  <c r="G5" i="19"/>
  <c r="I7" i="19"/>
  <c r="O7" i="19"/>
  <c r="C6" i="19"/>
  <c r="C34" i="19"/>
  <c r="N34" i="19"/>
  <c r="E34" i="19"/>
  <c r="N33" i="19"/>
  <c r="E33" i="19"/>
  <c r="N32" i="19"/>
  <c r="E32" i="19"/>
  <c r="C32" i="19"/>
  <c r="E31" i="19"/>
  <c r="S10" i="19"/>
  <c r="N30" i="19"/>
  <c r="C30" i="19"/>
  <c r="E30" i="19" s="1"/>
  <c r="R10" i="19"/>
  <c r="N28" i="19"/>
  <c r="E28" i="19"/>
  <c r="N29" i="19"/>
  <c r="C29" i="19"/>
  <c r="E29" i="19" s="1"/>
  <c r="Q10" i="19"/>
  <c r="N26" i="19"/>
  <c r="C26" i="19"/>
  <c r="N25" i="19"/>
  <c r="C25" i="19"/>
  <c r="N24" i="19"/>
  <c r="C24" i="19"/>
  <c r="C16" i="19"/>
  <c r="N22" i="19"/>
  <c r="C22" i="19"/>
  <c r="P10" i="19"/>
  <c r="N21" i="19"/>
  <c r="N23" i="19"/>
  <c r="C23" i="19"/>
  <c r="C14" i="19"/>
  <c r="N20" i="19"/>
  <c r="N19" i="19"/>
  <c r="N17" i="19"/>
  <c r="N16" i="19"/>
  <c r="O10" i="19"/>
  <c r="N10" i="19"/>
  <c r="N15" i="19"/>
  <c r="N14" i="19"/>
  <c r="N12" i="19"/>
  <c r="N11" i="19"/>
  <c r="C11" i="19"/>
  <c r="C35" i="19"/>
  <c r="E35" i="19" s="1"/>
  <c r="N9" i="19"/>
  <c r="C9" i="19"/>
  <c r="E8" i="19"/>
  <c r="E27" i="20" l="1"/>
  <c r="E26" i="20"/>
  <c r="E25" i="20"/>
  <c r="E24" i="20"/>
  <c r="C24" i="20"/>
  <c r="E23" i="20"/>
  <c r="C23" i="20"/>
  <c r="N22" i="20"/>
  <c r="E22" i="20"/>
  <c r="E21" i="20"/>
  <c r="C21" i="20"/>
  <c r="E20" i="20"/>
  <c r="N19" i="20"/>
  <c r="C19" i="20"/>
  <c r="E19" i="20" s="1"/>
  <c r="E18" i="20"/>
  <c r="C18" i="20"/>
  <c r="C17" i="20"/>
  <c r="E17" i="20" s="1"/>
  <c r="N16" i="20"/>
  <c r="C16" i="20"/>
  <c r="E16" i="20" s="1"/>
  <c r="N15" i="20"/>
  <c r="E15" i="20"/>
  <c r="C14" i="20"/>
  <c r="E14" i="20" s="1"/>
  <c r="E13" i="20"/>
  <c r="C13" i="20"/>
  <c r="E12" i="20"/>
  <c r="C12" i="20"/>
  <c r="N11" i="20"/>
  <c r="E11" i="20"/>
  <c r="D10" i="20"/>
  <c r="E10" i="20" s="1"/>
  <c r="C10" i="20"/>
  <c r="N9" i="20"/>
  <c r="E9" i="20"/>
  <c r="C9" i="20"/>
  <c r="I8" i="20"/>
  <c r="C8" i="20"/>
  <c r="E8" i="20" s="1"/>
  <c r="O7" i="20"/>
  <c r="N7" i="20"/>
  <c r="I7" i="20"/>
  <c r="E7" i="20"/>
  <c r="E6" i="20"/>
  <c r="G5" i="20"/>
  <c r="C5" i="20"/>
  <c r="E5" i="20" s="1"/>
  <c r="E24" i="19" l="1"/>
  <c r="E22" i="19"/>
  <c r="E25" i="19"/>
  <c r="E26" i="19"/>
  <c r="E15" i="19"/>
  <c r="E17" i="19"/>
  <c r="E19" i="19"/>
  <c r="E27" i="19"/>
  <c r="E14" i="19"/>
  <c r="E21" i="19"/>
  <c r="E23" i="19"/>
  <c r="E16" i="19"/>
  <c r="E13" i="19"/>
  <c r="N7" i="19"/>
  <c r="E12" i="19"/>
  <c r="E18" i="19" l="1"/>
  <c r="E20" i="19"/>
  <c r="E7" i="19" l="1"/>
  <c r="E11" i="19"/>
  <c r="E10" i="19"/>
  <c r="E9" i="19"/>
  <c r="E6" i="19"/>
  <c r="E5" i="19"/>
  <c r="E37" i="19" l="1"/>
</calcChain>
</file>

<file path=xl/sharedStrings.xml><?xml version="1.0" encoding="utf-8"?>
<sst xmlns="http://schemas.openxmlformats.org/spreadsheetml/2006/main" count="134" uniqueCount="53">
  <si>
    <t>STR</t>
  </si>
  <si>
    <t>GDJ</t>
  </si>
  <si>
    <t>bar</t>
  </si>
  <si>
    <t>diameter (in)</t>
  </si>
  <si>
    <t>area</t>
  </si>
  <si>
    <t>weight</t>
  </si>
  <si>
    <t>TOTAL</t>
  </si>
  <si>
    <t>LENGTH</t>
  </si>
  <si>
    <t>WT</t>
  </si>
  <si>
    <t>BEND</t>
  </si>
  <si>
    <t>A</t>
  </si>
  <si>
    <t>B</t>
  </si>
  <si>
    <t>C</t>
  </si>
  <si>
    <t>D</t>
  </si>
  <si>
    <t>E</t>
  </si>
  <si>
    <t>INC.</t>
  </si>
  <si>
    <t>R</t>
  </si>
  <si>
    <t>WALL 1</t>
  </si>
  <si>
    <t>W501</t>
  </si>
  <si>
    <t>W502</t>
  </si>
  <si>
    <t>W503</t>
  </si>
  <si>
    <t>W504</t>
  </si>
  <si>
    <t>W505</t>
  </si>
  <si>
    <t>W506</t>
  </si>
  <si>
    <t>W507</t>
  </si>
  <si>
    <t>W516</t>
  </si>
  <si>
    <t>W514</t>
  </si>
  <si>
    <t>W508</t>
  </si>
  <si>
    <t>W509</t>
  </si>
  <si>
    <t>W511</t>
  </si>
  <si>
    <t>W510</t>
  </si>
  <si>
    <t>W512</t>
  </si>
  <si>
    <t>W513</t>
  </si>
  <si>
    <t>W515</t>
  </si>
  <si>
    <t>W519</t>
  </si>
  <si>
    <t>W517</t>
  </si>
  <si>
    <t>W523</t>
  </si>
  <si>
    <t>W522</t>
  </si>
  <si>
    <t>W521</t>
  </si>
  <si>
    <t>W518</t>
  </si>
  <si>
    <t>W520</t>
  </si>
  <si>
    <t>BAR No.</t>
  </si>
  <si>
    <t xml:space="preserve">Wall 1 Total = </t>
  </si>
  <si>
    <t>PIK-CR66-3.95</t>
  </si>
  <si>
    <t>WALL 2</t>
  </si>
  <si>
    <t>W531</t>
  </si>
  <si>
    <t>W525</t>
  </si>
  <si>
    <t>W524</t>
  </si>
  <si>
    <t>W526</t>
  </si>
  <si>
    <t>W527</t>
  </si>
  <si>
    <t>W528</t>
  </si>
  <si>
    <t>W529</t>
  </si>
  <si>
    <t>W530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</si>
</sst>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0"/>
    <numFmt numFmtId="165" formatCode="0.00_)"/>
    <numFmt numFmtId="166" formatCode="0_)"/>
    <numFmt numFmtId="167" formatCode="0.000_)"/>
  </numFmts>
  <fonts count="8" x14ac:knownFonts="1">
    <font>
      <sz val="10"/>
      <name val="Arial"/>
    </font>
    <font>
      <sz val="10"/>
      <name val="Arial"/>
      <family val="2"/>
    </font>
    <font>
      <sz val="12"/>
      <name val="Courier"/>
      <family val="3"/>
    </font>
    <font>
      <sz val="12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b/>
      <u/>
      <sz val="10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65" fontId="2" fillId="0" borderId="0"/>
  </cellStyleXfs>
  <cellXfs count="54">
    <xf numFmtId="0" fontId="0" fillId="0" borderId="0" xfId="0"/>
    <xf numFmtId="0" fontId="1" fillId="0" borderId="0" xfId="0" applyFont="1" applyFill="1" applyAlignment="1">
      <alignment horizontal="center" vertical="center"/>
    </xf>
    <xf numFmtId="165" fontId="3" fillId="0" borderId="0" xfId="2" applyFont="1" applyAlignment="1">
      <alignment horizontal="center"/>
    </xf>
    <xf numFmtId="2" fontId="3" fillId="0" borderId="0" xfId="2" applyNumberFormat="1" applyFont="1" applyAlignment="1">
      <alignment horizontal="center"/>
    </xf>
    <xf numFmtId="0" fontId="1" fillId="0" borderId="0" xfId="1"/>
    <xf numFmtId="166" fontId="3" fillId="0" borderId="0" xfId="2" applyNumberFormat="1" applyFont="1" applyAlignment="1">
      <alignment horizontal="center"/>
    </xf>
    <xf numFmtId="164" fontId="3" fillId="0" borderId="0" xfId="2" applyNumberFormat="1" applyFont="1" applyAlignment="1">
      <alignment horizontal="center"/>
    </xf>
    <xf numFmtId="2" fontId="3" fillId="0" borderId="0" xfId="2" applyNumberFormat="1" applyFont="1"/>
    <xf numFmtId="167" fontId="3" fillId="0" borderId="0" xfId="2" applyNumberFormat="1" applyFont="1" applyAlignment="1">
      <alignment horizontal="center"/>
    </xf>
    <xf numFmtId="0" fontId="1" fillId="0" borderId="3" xfId="0" applyFont="1" applyFill="1" applyBorder="1" applyAlignment="1">
      <alignment horizontal="center" vertical="center"/>
    </xf>
    <xf numFmtId="3" fontId="0" fillId="0" borderId="0" xfId="0" applyNumberFormat="1" applyFill="1" applyBorder="1" applyAlignment="1">
      <alignment horizontal="center" vertical="center"/>
    </xf>
    <xf numFmtId="2" fontId="0" fillId="0" borderId="0" xfId="0" applyNumberForma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14" fontId="0" fillId="0" borderId="0" xfId="0" applyNumberFormat="1" applyFill="1" applyBorder="1" applyAlignment="1">
      <alignment horizontal="center" vertical="center"/>
    </xf>
    <xf numFmtId="3" fontId="0" fillId="0" borderId="0" xfId="0" applyNumberFormat="1" applyFill="1" applyAlignment="1">
      <alignment horizontal="center" vertical="center"/>
    </xf>
    <xf numFmtId="2" fontId="0" fillId="0" borderId="1" xfId="0" applyNumberFormat="1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2" fontId="0" fillId="0" borderId="10" xfId="0" applyNumberForma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3" fontId="0" fillId="0" borderId="10" xfId="0" applyNumberFormat="1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2" fontId="0" fillId="0" borderId="11" xfId="0" applyNumberForma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3" fontId="0" fillId="0" borderId="1" xfId="0" applyNumberForma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2" fontId="0" fillId="0" borderId="4" xfId="0" applyNumberForma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14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14" fontId="0" fillId="0" borderId="12" xfId="0" applyNumberForma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2" fontId="0" fillId="2" borderId="1" xfId="0" applyNumberFormat="1" applyFill="1" applyBorder="1" applyAlignment="1">
      <alignment horizontal="center" vertical="center"/>
    </xf>
    <xf numFmtId="3" fontId="0" fillId="2" borderId="1" xfId="0" applyNumberForma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3" fontId="0" fillId="2" borderId="10" xfId="0" applyNumberForma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</cellXfs>
  <cellStyles count="3">
    <cellStyle name="Normal" xfId="0" builtinId="0"/>
    <cellStyle name="Normal 2" xfId="1" xr:uid="{00000000-0005-0000-0000-000001000000}"/>
    <cellStyle name="Normal_Retaining wall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699D6C-350A-4061-AE2D-904AB6DE8012}">
  <sheetPr>
    <pageSetUpPr fitToPage="1"/>
  </sheetPr>
  <dimension ref="A1:O49"/>
  <sheetViews>
    <sheetView workbookViewId="0">
      <selection activeCell="C52" sqref="C52"/>
    </sheetView>
  </sheetViews>
  <sheetFormatPr defaultRowHeight="12.75" x14ac:dyDescent="0.2"/>
  <cols>
    <col min="1" max="1" width="9.140625" style="12"/>
    <col min="2" max="2" width="11.28515625" style="12" customWidth="1"/>
    <col min="3" max="3" width="11" style="12" customWidth="1"/>
    <col min="4" max="4" width="18.7109375" style="12" customWidth="1"/>
    <col min="5" max="5" width="9.28515625" style="12" customWidth="1"/>
    <col min="6" max="6" width="7.7109375" style="12" customWidth="1"/>
    <col min="7" max="7" width="12.28515625" style="12" customWidth="1"/>
    <col min="8" max="11" width="10.5703125" style="12" customWidth="1"/>
    <col min="12" max="13" width="8" style="12" customWidth="1"/>
    <col min="14" max="14" width="9.140625" style="31"/>
    <col min="15" max="16384" width="9.140625" style="12"/>
  </cols>
  <sheetData>
    <row r="1" spans="1:15" x14ac:dyDescent="0.2">
      <c r="B1" s="13" t="s">
        <v>1</v>
      </c>
      <c r="C1" s="34">
        <v>43403</v>
      </c>
      <c r="D1" s="35" t="s">
        <v>43</v>
      </c>
      <c r="E1" s="36"/>
      <c r="F1" s="36"/>
      <c r="G1" s="31"/>
      <c r="H1" s="31"/>
      <c r="I1" s="31"/>
      <c r="J1" s="31"/>
      <c r="K1" s="31"/>
      <c r="L1" s="31"/>
      <c r="M1" s="31"/>
    </row>
    <row r="2" spans="1:15" ht="13.5" thickBot="1" x14ac:dyDescent="0.25">
      <c r="B2" s="37"/>
      <c r="C2" s="38"/>
      <c r="D2" s="37"/>
      <c r="E2" s="39"/>
      <c r="F2" s="39"/>
      <c r="G2" s="37"/>
      <c r="H2" s="37"/>
      <c r="I2" s="37"/>
      <c r="J2" s="37"/>
      <c r="K2" s="37"/>
      <c r="L2" s="37"/>
      <c r="M2" s="37"/>
    </row>
    <row r="3" spans="1:15" ht="18" x14ac:dyDescent="0.2">
      <c r="B3" s="48" t="s">
        <v>17</v>
      </c>
      <c r="C3" s="49"/>
      <c r="D3" s="49"/>
      <c r="E3" s="49"/>
      <c r="F3" s="49"/>
      <c r="G3" s="49"/>
      <c r="H3" s="49"/>
      <c r="I3" s="49"/>
      <c r="J3" s="49"/>
      <c r="K3" s="49"/>
      <c r="L3" s="49"/>
      <c r="M3" s="50"/>
    </row>
    <row r="4" spans="1:15" ht="15" x14ac:dyDescent="0.2">
      <c r="B4" s="32" t="s">
        <v>41</v>
      </c>
      <c r="C4" s="30" t="s">
        <v>6</v>
      </c>
      <c r="D4" s="29" t="s">
        <v>7</v>
      </c>
      <c r="E4" s="30" t="s">
        <v>8</v>
      </c>
      <c r="F4" s="30" t="s">
        <v>9</v>
      </c>
      <c r="G4" s="30" t="s">
        <v>10</v>
      </c>
      <c r="H4" s="30" t="s">
        <v>11</v>
      </c>
      <c r="I4" s="30" t="s">
        <v>12</v>
      </c>
      <c r="J4" s="30" t="s">
        <v>13</v>
      </c>
      <c r="K4" s="30" t="s">
        <v>14</v>
      </c>
      <c r="L4" s="30" t="s">
        <v>16</v>
      </c>
      <c r="M4" s="24" t="s">
        <v>15</v>
      </c>
    </row>
    <row r="5" spans="1:15" x14ac:dyDescent="0.2">
      <c r="A5" s="12">
        <v>5</v>
      </c>
      <c r="B5" s="9" t="s">
        <v>18</v>
      </c>
      <c r="C5" s="25">
        <f>6*(29)</f>
        <v>174</v>
      </c>
      <c r="D5" s="25">
        <v>5.3333000000000004</v>
      </c>
      <c r="E5" s="26">
        <f>ROUNDUP(VLOOKUP(A5,'bar data'!$A$2:$D$12,2,0)*C5*D5,0)</f>
        <v>968</v>
      </c>
      <c r="F5" s="27">
        <v>1</v>
      </c>
      <c r="G5" s="16">
        <f>3.16667+1.3333</f>
        <v>4.4999699999999994</v>
      </c>
      <c r="H5" s="16">
        <v>1</v>
      </c>
      <c r="I5" s="16"/>
      <c r="J5" s="16"/>
      <c r="K5" s="16"/>
      <c r="L5" s="16"/>
      <c r="M5" s="28"/>
      <c r="N5" s="13"/>
    </row>
    <row r="6" spans="1:15" x14ac:dyDescent="0.2">
      <c r="A6" s="12">
        <v>5</v>
      </c>
      <c r="B6" s="9" t="s">
        <v>19</v>
      </c>
      <c r="C6" s="45">
        <f>28+23+28+23+18</f>
        <v>120</v>
      </c>
      <c r="D6" s="25">
        <v>30</v>
      </c>
      <c r="E6" s="26">
        <f>ROUNDUP(VLOOKUP(A6,'bar data'!$A$2:$D$12,2,0)*C6*D6,0)</f>
        <v>3755</v>
      </c>
      <c r="F6" s="27" t="s">
        <v>0</v>
      </c>
      <c r="G6" s="16"/>
      <c r="H6" s="16"/>
      <c r="I6" s="16"/>
      <c r="J6" s="16"/>
      <c r="K6" s="16"/>
      <c r="L6" s="16"/>
      <c r="M6" s="28"/>
    </row>
    <row r="7" spans="1:15" x14ac:dyDescent="0.2">
      <c r="A7" s="12">
        <v>5</v>
      </c>
      <c r="B7" s="9" t="s">
        <v>20</v>
      </c>
      <c r="C7" s="25">
        <f>184+180+184+180+180</f>
        <v>908</v>
      </c>
      <c r="D7" s="25">
        <v>5.75</v>
      </c>
      <c r="E7" s="26">
        <f>ROUNDUP(VLOOKUP(A7,'bar data'!$A$2:$D$12,2,0)*C7*D7,0)</f>
        <v>5446</v>
      </c>
      <c r="F7" s="27">
        <v>2</v>
      </c>
      <c r="G7" s="16">
        <v>1.6667000000000001</v>
      </c>
      <c r="H7" s="16">
        <v>2.6667000000000001</v>
      </c>
      <c r="I7" s="16">
        <f>G7</f>
        <v>1.6667000000000001</v>
      </c>
      <c r="J7" s="16"/>
      <c r="K7" s="16"/>
      <c r="L7" s="16"/>
      <c r="M7" s="28"/>
      <c r="N7" s="17">
        <f>2-0.16667*2</f>
        <v>1.66666</v>
      </c>
      <c r="O7" s="31">
        <f>3-0.16667*2</f>
        <v>2.6666599999999998</v>
      </c>
    </row>
    <row r="8" spans="1:15" x14ac:dyDescent="0.2">
      <c r="A8" s="12">
        <v>5</v>
      </c>
      <c r="B8" s="9" t="s">
        <v>21</v>
      </c>
      <c r="C8" s="25">
        <f>3*19</f>
        <v>57</v>
      </c>
      <c r="D8" s="25">
        <v>6.9166670000000003</v>
      </c>
      <c r="E8" s="26">
        <f>ROUNDUP(VLOOKUP(A8,'bar data'!$A$2:$D$12,2,0)*C8*D8,0)</f>
        <v>412</v>
      </c>
      <c r="F8" s="27">
        <v>8</v>
      </c>
      <c r="G8" s="16">
        <f>37/12</f>
        <v>3.0833333333333335</v>
      </c>
      <c r="H8" s="16">
        <v>1</v>
      </c>
      <c r="I8" s="16">
        <f>G8</f>
        <v>3.0833333333333335</v>
      </c>
      <c r="J8" s="16"/>
      <c r="K8" s="16"/>
      <c r="L8" s="16"/>
      <c r="M8" s="28"/>
      <c r="N8" s="17"/>
      <c r="O8" s="31"/>
    </row>
    <row r="9" spans="1:15" x14ac:dyDescent="0.2">
      <c r="A9" s="12">
        <v>5</v>
      </c>
      <c r="B9" s="9" t="s">
        <v>22</v>
      </c>
      <c r="C9" s="25">
        <f>3+2</f>
        <v>5</v>
      </c>
      <c r="D9" s="25">
        <v>7.4166670000000003</v>
      </c>
      <c r="E9" s="26">
        <f>ROUNDUP(VLOOKUP(A9,'bar data'!$A$2:$D$12,2,0)*C9*D9,0)</f>
        <v>39</v>
      </c>
      <c r="F9" s="27" t="s">
        <v>0</v>
      </c>
      <c r="G9" s="16"/>
      <c r="H9" s="16"/>
      <c r="I9" s="16"/>
      <c r="J9" s="16"/>
      <c r="K9" s="16"/>
      <c r="L9" s="16"/>
      <c r="M9" s="28"/>
      <c r="N9" s="17">
        <f>((28.5+30+30-0.5/12)-0.16667*2)-30*3+37/12*3</f>
        <v>7.3749933333333217</v>
      </c>
      <c r="O9" s="31"/>
    </row>
    <row r="10" spans="1:15" x14ac:dyDescent="0.2">
      <c r="A10" s="12">
        <v>5</v>
      </c>
      <c r="B10" s="9" t="s">
        <v>23</v>
      </c>
      <c r="C10" s="25">
        <f>3</f>
        <v>3</v>
      </c>
      <c r="D10" s="25">
        <f>27-0.16667*2</f>
        <v>26.66666</v>
      </c>
      <c r="E10" s="26">
        <f>ROUNDUP(VLOOKUP(A10,'bar data'!$A$2:$D$12,2,0)*C10*D10,0)</f>
        <v>84</v>
      </c>
      <c r="F10" s="27" t="s">
        <v>0</v>
      </c>
      <c r="G10" s="16"/>
      <c r="H10" s="16"/>
      <c r="I10" s="16"/>
      <c r="J10" s="16"/>
      <c r="K10" s="16"/>
      <c r="L10" s="16"/>
      <c r="M10" s="28"/>
      <c r="N10" s="17"/>
      <c r="O10" s="31"/>
    </row>
    <row r="11" spans="1:15" x14ac:dyDescent="0.2">
      <c r="A11" s="12">
        <v>5</v>
      </c>
      <c r="B11" s="9" t="s">
        <v>24</v>
      </c>
      <c r="C11" s="25">
        <v>3</v>
      </c>
      <c r="D11" s="25">
        <v>20.58333</v>
      </c>
      <c r="E11" s="26">
        <f>ROUNDUP(VLOOKUP(A11,'bar data'!$A$2:$D$12,2,0)*C11*D11,0)</f>
        <v>65</v>
      </c>
      <c r="F11" s="27" t="s">
        <v>0</v>
      </c>
      <c r="G11" s="16"/>
      <c r="H11" s="16"/>
      <c r="I11" s="16"/>
      <c r="J11" s="16"/>
      <c r="K11" s="16"/>
      <c r="L11" s="16"/>
      <c r="M11" s="28"/>
      <c r="N11" s="17">
        <f>20.958333-0.16667*2</f>
        <v>20.624993</v>
      </c>
      <c r="O11" s="11"/>
    </row>
    <row r="12" spans="1:15" x14ac:dyDescent="0.2">
      <c r="A12" s="12">
        <v>5</v>
      </c>
      <c r="B12" s="9" t="s">
        <v>27</v>
      </c>
      <c r="C12" s="25">
        <f>3</f>
        <v>3</v>
      </c>
      <c r="D12" s="25">
        <v>9</v>
      </c>
      <c r="E12" s="26">
        <f>ROUNDUP(VLOOKUP(A12,'bar data'!$A$2:$D$12,2,0)*C12*D12,0)</f>
        <v>29</v>
      </c>
      <c r="F12" s="27" t="s">
        <v>0</v>
      </c>
      <c r="G12" s="16"/>
      <c r="H12" s="16"/>
      <c r="I12" s="16"/>
      <c r="J12" s="16"/>
      <c r="K12" s="16"/>
      <c r="L12" s="16"/>
      <c r="M12" s="28"/>
      <c r="N12" s="17">
        <f>8.9583-0.16667+0.16667</f>
        <v>8.9582999999999995</v>
      </c>
      <c r="O12" s="11"/>
    </row>
    <row r="13" spans="1:15" x14ac:dyDescent="0.2">
      <c r="A13" s="12">
        <v>5</v>
      </c>
      <c r="B13" s="9" t="s">
        <v>28</v>
      </c>
      <c r="C13" s="25">
        <f>3</f>
        <v>3</v>
      </c>
      <c r="D13" s="25">
        <v>15.08333</v>
      </c>
      <c r="E13" s="26">
        <f>ROUNDUP(VLOOKUP(A13,'bar data'!$A$2:$D$12,2,0)*C13*D13,0)</f>
        <v>48</v>
      </c>
      <c r="F13" s="27" t="s">
        <v>0</v>
      </c>
      <c r="G13" s="16"/>
      <c r="H13" s="16"/>
      <c r="I13" s="16"/>
      <c r="J13" s="16"/>
      <c r="K13" s="16"/>
      <c r="L13" s="16"/>
      <c r="M13" s="28"/>
      <c r="N13" s="17">
        <f>42-0.16667+0.16667-30+37/12</f>
        <v>15.083333333333334</v>
      </c>
      <c r="O13" s="11"/>
    </row>
    <row r="14" spans="1:15" x14ac:dyDescent="0.2">
      <c r="A14" s="12">
        <v>5</v>
      </c>
      <c r="B14" s="9" t="s">
        <v>30</v>
      </c>
      <c r="C14" s="25">
        <f>3+3</f>
        <v>6</v>
      </c>
      <c r="D14" s="25">
        <v>27</v>
      </c>
      <c r="E14" s="26">
        <f>ROUNDUP(VLOOKUP(A14,'bar data'!$A$2:$D$12,2,0)*C14*D14,0)</f>
        <v>169</v>
      </c>
      <c r="F14" s="27" t="s">
        <v>0</v>
      </c>
      <c r="G14" s="16"/>
      <c r="H14" s="16"/>
      <c r="I14" s="16"/>
      <c r="J14" s="16"/>
      <c r="K14" s="16"/>
      <c r="L14" s="16"/>
      <c r="M14" s="28"/>
      <c r="N14" s="17">
        <f>26.958333-0.16667+0.166667</f>
        <v>26.95833</v>
      </c>
      <c r="O14" s="11"/>
    </row>
    <row r="15" spans="1:15" x14ac:dyDescent="0.2">
      <c r="A15" s="12">
        <v>5</v>
      </c>
      <c r="B15" s="9" t="s">
        <v>29</v>
      </c>
      <c r="C15" s="25">
        <f>0+10+5+5+10</f>
        <v>30</v>
      </c>
      <c r="D15" s="25">
        <v>8.8332999999999995</v>
      </c>
      <c r="E15" s="26">
        <f>ROUNDUP(VLOOKUP(A15,'bar data'!$A$2:$D$12,2,0)*C15*D15,0)</f>
        <v>277</v>
      </c>
      <c r="F15" s="27" t="s">
        <v>0</v>
      </c>
      <c r="G15" s="16"/>
      <c r="H15" s="16"/>
      <c r="I15" s="16"/>
      <c r="J15" s="16"/>
      <c r="K15" s="16"/>
      <c r="L15" s="16"/>
      <c r="M15" s="28"/>
      <c r="N15" s="17">
        <f>((89.916667)-0.16667*2)-30*3+37/12*3</f>
        <v>8.833326999999997</v>
      </c>
      <c r="O15" s="31"/>
    </row>
    <row r="16" spans="1:15" x14ac:dyDescent="0.2">
      <c r="A16" s="12">
        <v>5</v>
      </c>
      <c r="B16" s="9" t="s">
        <v>31</v>
      </c>
      <c r="C16" s="25">
        <f>3</f>
        <v>3</v>
      </c>
      <c r="D16" s="25">
        <v>38.583329999999997</v>
      </c>
      <c r="E16" s="26">
        <f>ROUNDUP(VLOOKUP(A16,'bar data'!$A$2:$D$12,2,0)*C16*D16,0)</f>
        <v>121</v>
      </c>
      <c r="F16" s="27" t="s">
        <v>0</v>
      </c>
      <c r="G16" s="16"/>
      <c r="H16" s="16"/>
      <c r="I16" s="16"/>
      <c r="J16" s="16"/>
      <c r="K16" s="16"/>
      <c r="L16" s="16"/>
      <c r="M16" s="28"/>
      <c r="N16" s="17">
        <f>38.958333-0.16667*2</f>
        <v>38.624993000000003</v>
      </c>
      <c r="O16" s="31"/>
    </row>
    <row r="17" spans="1:15" x14ac:dyDescent="0.2">
      <c r="A17" s="12">
        <v>5</v>
      </c>
      <c r="B17" s="9" t="s">
        <v>32</v>
      </c>
      <c r="C17" s="25">
        <f>3+3+3</f>
        <v>9</v>
      </c>
      <c r="D17" s="25">
        <v>21</v>
      </c>
      <c r="E17" s="26">
        <f>ROUNDUP(VLOOKUP(A17,'bar data'!$A$2:$D$12,2,0)*C17*D17,0)</f>
        <v>198</v>
      </c>
      <c r="F17" s="27" t="s">
        <v>0</v>
      </c>
      <c r="G17" s="16"/>
      <c r="H17" s="16"/>
      <c r="I17" s="16"/>
      <c r="J17" s="16"/>
      <c r="K17" s="16"/>
      <c r="L17" s="16"/>
      <c r="M17" s="28"/>
      <c r="N17" s="17">
        <f>20.95833-0.16667+0.166667</f>
        <v>20.958327000000001</v>
      </c>
      <c r="O17" s="31"/>
    </row>
    <row r="18" spans="1:15" x14ac:dyDescent="0.2">
      <c r="A18" s="12">
        <v>5</v>
      </c>
      <c r="B18" s="9" t="s">
        <v>26</v>
      </c>
      <c r="C18" s="25">
        <f>3</f>
        <v>3</v>
      </c>
      <c r="D18" s="25">
        <f>28.5-0.16667+0.16667</f>
        <v>28.5</v>
      </c>
      <c r="E18" s="26">
        <f>ROUNDUP(VLOOKUP(A18,'bar data'!$A$2:$D$12,2,0)*C18*D18,0)</f>
        <v>90</v>
      </c>
      <c r="F18" s="27" t="s">
        <v>0</v>
      </c>
      <c r="G18" s="16"/>
      <c r="H18" s="16"/>
      <c r="I18" s="16"/>
      <c r="J18" s="16"/>
      <c r="K18" s="16"/>
      <c r="L18" s="16"/>
      <c r="M18" s="28"/>
      <c r="N18" s="17"/>
      <c r="O18" s="11"/>
    </row>
    <row r="19" spans="1:15" x14ac:dyDescent="0.2">
      <c r="A19" s="12">
        <v>5</v>
      </c>
      <c r="B19" s="9" t="s">
        <v>33</v>
      </c>
      <c r="C19" s="25">
        <f>3+3</f>
        <v>6</v>
      </c>
      <c r="D19" s="25">
        <v>8.5833300000000001</v>
      </c>
      <c r="E19" s="26">
        <f>ROUNDUP(VLOOKUP(A19,'bar data'!$A$2:$D$12,2,0)*C19*D19,0)</f>
        <v>54</v>
      </c>
      <c r="F19" s="27" t="s">
        <v>0</v>
      </c>
      <c r="G19" s="16"/>
      <c r="H19" s="16"/>
      <c r="I19" s="16"/>
      <c r="J19" s="16"/>
      <c r="K19" s="16"/>
      <c r="L19" s="16"/>
      <c r="M19" s="28"/>
      <c r="N19" s="17">
        <f>8.9583-0.16667*2</f>
        <v>8.6249599999999997</v>
      </c>
      <c r="O19" s="11"/>
    </row>
    <row r="20" spans="1:15" x14ac:dyDescent="0.2">
      <c r="A20" s="12">
        <v>5</v>
      </c>
      <c r="B20" s="9" t="s">
        <v>25</v>
      </c>
      <c r="C20" s="25">
        <f>3+3</f>
        <v>6</v>
      </c>
      <c r="D20" s="25">
        <f>24-0.16667+0.16667</f>
        <v>24</v>
      </c>
      <c r="E20" s="26">
        <f>ROUNDUP(VLOOKUP(A20,'bar data'!$A$2:$D$12,2,0)*C20*D20,0)</f>
        <v>151</v>
      </c>
      <c r="F20" s="27" t="s">
        <v>0</v>
      </c>
      <c r="G20" s="16"/>
      <c r="H20" s="16"/>
      <c r="I20" s="16"/>
      <c r="J20" s="16"/>
      <c r="K20" s="16"/>
      <c r="L20" s="16"/>
      <c r="M20" s="28"/>
      <c r="N20" s="17"/>
      <c r="O20" s="11"/>
    </row>
    <row r="21" spans="1:15" x14ac:dyDescent="0.2">
      <c r="A21" s="12">
        <v>5</v>
      </c>
      <c r="B21" s="9" t="s">
        <v>35</v>
      </c>
      <c r="C21" s="25">
        <f>3</f>
        <v>3</v>
      </c>
      <c r="D21" s="25">
        <v>31.5</v>
      </c>
      <c r="E21" s="26">
        <f>ROUNDUP(VLOOKUP(A21,'bar data'!$A$2:$D$12,2,0)*C21*D21,0)</f>
        <v>99</v>
      </c>
      <c r="F21" s="27" t="s">
        <v>0</v>
      </c>
      <c r="G21" s="16"/>
      <c r="H21" s="16"/>
      <c r="I21" s="16"/>
      <c r="J21" s="16"/>
      <c r="K21" s="16"/>
      <c r="L21" s="16"/>
      <c r="M21" s="28"/>
      <c r="N21" s="17">
        <f>31.45833-0.16667+0.16667</f>
        <v>31.45833</v>
      </c>
      <c r="O21" s="11"/>
    </row>
    <row r="22" spans="1:15" x14ac:dyDescent="0.2">
      <c r="A22" s="12">
        <v>5</v>
      </c>
      <c r="B22" s="9" t="s">
        <v>39</v>
      </c>
      <c r="C22" s="25">
        <v>3</v>
      </c>
      <c r="D22" s="25">
        <v>12.916667</v>
      </c>
      <c r="E22" s="26">
        <f>ROUNDUP(VLOOKUP(A22,'bar data'!$A$2:$D$12,2,0)*C22*D22,0)</f>
        <v>41</v>
      </c>
      <c r="F22" s="27" t="s">
        <v>0</v>
      </c>
      <c r="G22" s="16"/>
      <c r="H22" s="16"/>
      <c r="I22" s="16"/>
      <c r="J22" s="16"/>
      <c r="K22" s="16"/>
      <c r="L22" s="16"/>
      <c r="M22" s="28"/>
      <c r="N22" s="17">
        <f>13.25-0.166667*2</f>
        <v>12.916665999999999</v>
      </c>
      <c r="O22" s="31"/>
    </row>
    <row r="23" spans="1:15" x14ac:dyDescent="0.2">
      <c r="A23" s="12">
        <v>5</v>
      </c>
      <c r="B23" s="9" t="s">
        <v>34</v>
      </c>
      <c r="C23" s="25">
        <f>3</f>
        <v>3</v>
      </c>
      <c r="D23" s="25">
        <v>32.583329999999997</v>
      </c>
      <c r="E23" s="26">
        <f>ROUNDUP(VLOOKUP(A23,'bar data'!$A$2:$D$12,2,0)*C23*D23,0)</f>
        <v>102</v>
      </c>
      <c r="F23" s="27" t="s">
        <v>0</v>
      </c>
      <c r="G23" s="16"/>
      <c r="H23" s="16"/>
      <c r="I23" s="16"/>
      <c r="J23" s="16"/>
      <c r="K23" s="16"/>
      <c r="L23" s="16"/>
      <c r="M23" s="28"/>
      <c r="N23" s="17">
        <f>32.95833-0.16667*2</f>
        <v>32.624989999999997</v>
      </c>
      <c r="O23" s="11"/>
    </row>
    <row r="24" spans="1:15" x14ac:dyDescent="0.2">
      <c r="A24" s="12">
        <v>5</v>
      </c>
      <c r="B24" s="9" t="s">
        <v>40</v>
      </c>
      <c r="C24" s="25">
        <f>3+2</f>
        <v>5</v>
      </c>
      <c r="D24" s="25">
        <v>27.916667</v>
      </c>
      <c r="E24" s="26">
        <f>ROUNDUP(VLOOKUP(A24,'bar data'!$A$2:$D$12,2,0)*C24*D24,0)</f>
        <v>146</v>
      </c>
      <c r="F24" s="27" t="s">
        <v>0</v>
      </c>
      <c r="G24" s="16"/>
      <c r="H24" s="16"/>
      <c r="I24" s="16"/>
      <c r="J24" s="16"/>
      <c r="K24" s="16"/>
      <c r="L24" s="16"/>
      <c r="M24" s="28"/>
      <c r="N24" s="17"/>
      <c r="O24" s="11"/>
    </row>
    <row r="25" spans="1:15" x14ac:dyDescent="0.2">
      <c r="A25" s="12">
        <v>5</v>
      </c>
      <c r="B25" s="9" t="s">
        <v>38</v>
      </c>
      <c r="C25" s="25">
        <v>3</v>
      </c>
      <c r="D25" s="25">
        <v>15</v>
      </c>
      <c r="E25" s="26">
        <f>ROUNDUP(VLOOKUP(A25,'bar data'!$A$2:$D$12,2,0)*C25*D25,0)</f>
        <v>47</v>
      </c>
      <c r="F25" s="27" t="s">
        <v>0</v>
      </c>
      <c r="G25" s="16"/>
      <c r="H25" s="16"/>
      <c r="I25" s="16"/>
      <c r="J25" s="16"/>
      <c r="K25" s="16"/>
      <c r="L25" s="16"/>
      <c r="M25" s="28"/>
      <c r="N25" s="17">
        <f>14.9583-0.166667+0.166667</f>
        <v>14.958299999999999</v>
      </c>
      <c r="O25" s="31"/>
    </row>
    <row r="26" spans="1:15" x14ac:dyDescent="0.2">
      <c r="A26" s="12">
        <v>5</v>
      </c>
      <c r="B26" s="9" t="s">
        <v>37</v>
      </c>
      <c r="C26" s="25">
        <f>3+3</f>
        <v>6</v>
      </c>
      <c r="D26" s="25">
        <v>18</v>
      </c>
      <c r="E26" s="26">
        <f>ROUNDUP(VLOOKUP(A26,'bar data'!$A$2:$D$12,2,0)*C26*D26,0)</f>
        <v>113</v>
      </c>
      <c r="F26" s="27" t="s">
        <v>0</v>
      </c>
      <c r="G26" s="16"/>
      <c r="H26" s="16"/>
      <c r="I26" s="16"/>
      <c r="J26" s="16"/>
      <c r="K26" s="16"/>
      <c r="L26" s="16"/>
      <c r="M26" s="28"/>
      <c r="N26" s="17">
        <f>18-0.166667+0.16667</f>
        <v>18.000003</v>
      </c>
      <c r="O26" s="31"/>
    </row>
    <row r="27" spans="1:15" x14ac:dyDescent="0.2">
      <c r="A27" s="12">
        <v>5</v>
      </c>
      <c r="B27" s="9" t="s">
        <v>36</v>
      </c>
      <c r="C27" s="25">
        <v>3</v>
      </c>
      <c r="D27" s="25">
        <v>33.083300000000001</v>
      </c>
      <c r="E27" s="26">
        <f>ROUNDUP(VLOOKUP(A27,'bar data'!$A$2:$D$12,2,0)*C27*D27,0)</f>
        <v>104</v>
      </c>
      <c r="F27" s="27" t="s">
        <v>0</v>
      </c>
      <c r="G27" s="16"/>
      <c r="H27" s="16"/>
      <c r="I27" s="16"/>
      <c r="J27" s="16"/>
      <c r="K27" s="16"/>
      <c r="L27" s="16"/>
      <c r="M27" s="28"/>
      <c r="N27" s="17">
        <f>((60)-0.16667+0.16667)-30+37/12</f>
        <v>33.083333333333336</v>
      </c>
      <c r="O27" s="31"/>
    </row>
    <row r="28" spans="1:15" ht="13.5" thickBot="1" x14ac:dyDescent="0.25">
      <c r="A28" s="12">
        <v>5</v>
      </c>
      <c r="B28" s="33" t="s">
        <v>47</v>
      </c>
      <c r="C28" s="22">
        <v>3</v>
      </c>
      <c r="D28" s="22">
        <v>25.5</v>
      </c>
      <c r="E28" s="21">
        <f>ROUNDUP(VLOOKUP(A28,'bar data'!$A$2:$D$12,2,0)*C28*D28,0)</f>
        <v>80</v>
      </c>
      <c r="F28" s="18" t="s">
        <v>0</v>
      </c>
      <c r="G28" s="19"/>
      <c r="H28" s="19"/>
      <c r="I28" s="19"/>
      <c r="J28" s="19"/>
      <c r="K28" s="19"/>
      <c r="L28" s="19"/>
      <c r="M28" s="23"/>
      <c r="N28" s="17">
        <f>25.5-0.16667+0.166667</f>
        <v>25.499997</v>
      </c>
      <c r="O28" s="31"/>
    </row>
    <row r="29" spans="1:15" x14ac:dyDescent="0.2">
      <c r="B29" s="13"/>
      <c r="C29" s="31"/>
      <c r="D29" s="1" t="s">
        <v>42</v>
      </c>
      <c r="E29" s="15">
        <f>SUM(E5:E28)</f>
        <v>12638</v>
      </c>
      <c r="F29" s="13"/>
      <c r="G29" s="11"/>
      <c r="H29" s="11"/>
      <c r="I29" s="11"/>
      <c r="J29" s="11"/>
      <c r="K29" s="11"/>
      <c r="L29" s="11"/>
      <c r="M29" s="11"/>
    </row>
    <row r="30" spans="1:15" x14ac:dyDescent="0.2">
      <c r="B30" s="13"/>
      <c r="C30" s="31"/>
      <c r="F30" s="13"/>
      <c r="G30" s="31"/>
      <c r="H30" s="31"/>
      <c r="I30" s="31"/>
      <c r="J30" s="31"/>
      <c r="K30" s="31"/>
      <c r="L30" s="31"/>
      <c r="M30" s="31"/>
    </row>
    <row r="31" spans="1:15" x14ac:dyDescent="0.2">
      <c r="B31" s="31"/>
      <c r="C31" s="14"/>
      <c r="D31" s="31"/>
      <c r="E31" s="13"/>
      <c r="F31" s="13"/>
      <c r="G31" s="31"/>
      <c r="H31" s="31"/>
      <c r="I31" s="31"/>
      <c r="J31" s="31"/>
      <c r="K31" s="31"/>
      <c r="L31" s="31"/>
      <c r="M31" s="31"/>
    </row>
    <row r="32" spans="1:15" x14ac:dyDescent="0.2">
      <c r="B32" s="31"/>
      <c r="C32" s="14"/>
      <c r="D32" s="31"/>
      <c r="E32" s="13"/>
      <c r="F32" s="13"/>
      <c r="G32" s="31"/>
      <c r="H32" s="31"/>
      <c r="I32" s="31"/>
      <c r="J32" s="31"/>
      <c r="K32" s="31"/>
      <c r="L32" s="31"/>
      <c r="M32" s="31"/>
    </row>
    <row r="33" spans="2:13" x14ac:dyDescent="0.2">
      <c r="B33" s="31"/>
      <c r="C33" s="14"/>
      <c r="D33" s="31"/>
      <c r="E33" s="13"/>
      <c r="F33" s="13"/>
      <c r="G33" s="31"/>
      <c r="H33" s="31"/>
      <c r="I33" s="31"/>
      <c r="J33" s="31"/>
      <c r="K33" s="31"/>
      <c r="L33" s="31"/>
      <c r="M33" s="31"/>
    </row>
    <row r="34" spans="2:13" x14ac:dyDescent="0.2">
      <c r="B34" s="31"/>
      <c r="C34" s="14"/>
      <c r="D34" s="31"/>
      <c r="E34" s="13"/>
      <c r="F34" s="13"/>
      <c r="G34" s="31"/>
      <c r="H34" s="31"/>
      <c r="I34" s="31"/>
      <c r="J34" s="31"/>
      <c r="K34" s="31"/>
      <c r="L34" s="31"/>
      <c r="M34" s="31"/>
    </row>
    <row r="35" spans="2:13" x14ac:dyDescent="0.2">
      <c r="B35" s="31"/>
      <c r="C35" s="14"/>
      <c r="D35" s="31"/>
      <c r="E35" s="13"/>
      <c r="F35" s="13"/>
      <c r="G35" s="31"/>
      <c r="H35" s="31"/>
      <c r="I35" s="31"/>
      <c r="J35" s="31"/>
      <c r="K35" s="31"/>
      <c r="L35" s="31"/>
      <c r="M35" s="31"/>
    </row>
    <row r="36" spans="2:13" x14ac:dyDescent="0.2">
      <c r="B36" s="31"/>
      <c r="C36" s="14"/>
      <c r="D36" s="31"/>
      <c r="E36" s="13"/>
      <c r="F36" s="13"/>
      <c r="G36" s="31"/>
      <c r="H36" s="31"/>
      <c r="I36" s="31"/>
      <c r="J36" s="31"/>
      <c r="K36" s="31"/>
      <c r="L36" s="31"/>
      <c r="M36" s="31"/>
    </row>
    <row r="37" spans="2:13" x14ac:dyDescent="0.2">
      <c r="B37" s="31"/>
      <c r="C37" s="14"/>
      <c r="D37" s="31"/>
      <c r="E37" s="13"/>
      <c r="F37" s="13"/>
      <c r="G37" s="31"/>
      <c r="H37" s="31"/>
      <c r="I37" s="31"/>
      <c r="J37" s="31"/>
      <c r="K37" s="31"/>
      <c r="L37" s="31"/>
      <c r="M37" s="31"/>
    </row>
    <row r="38" spans="2:13" x14ac:dyDescent="0.2">
      <c r="B38" s="31"/>
      <c r="C38" s="14"/>
      <c r="D38" s="31"/>
      <c r="E38" s="13"/>
      <c r="F38" s="13"/>
      <c r="G38" s="31"/>
      <c r="H38" s="31"/>
      <c r="I38" s="31"/>
      <c r="J38" s="31"/>
      <c r="K38" s="31"/>
      <c r="L38" s="31"/>
      <c r="M38" s="31"/>
    </row>
    <row r="39" spans="2:13" x14ac:dyDescent="0.2">
      <c r="B39" s="31"/>
      <c r="C39" s="14"/>
      <c r="D39" s="31"/>
      <c r="E39" s="13"/>
      <c r="F39" s="13"/>
      <c r="G39" s="31"/>
      <c r="H39" s="31"/>
      <c r="I39" s="31"/>
      <c r="J39" s="31"/>
      <c r="K39" s="31"/>
      <c r="L39" s="31"/>
      <c r="M39" s="31"/>
    </row>
    <row r="40" spans="2:13" x14ac:dyDescent="0.2">
      <c r="B40" s="31"/>
      <c r="C40" s="14"/>
      <c r="D40" s="31"/>
      <c r="E40" s="13"/>
      <c r="F40" s="13"/>
      <c r="G40" s="31"/>
      <c r="H40" s="31"/>
      <c r="I40" s="31"/>
      <c r="J40" s="31"/>
      <c r="K40" s="31"/>
      <c r="L40" s="31"/>
      <c r="M40" s="31"/>
    </row>
    <row r="41" spans="2:13" x14ac:dyDescent="0.2">
      <c r="B41" s="31"/>
      <c r="C41" s="14"/>
      <c r="D41" s="31"/>
      <c r="E41" s="13"/>
      <c r="F41" s="13"/>
      <c r="G41" s="31"/>
      <c r="H41" s="31"/>
      <c r="I41" s="31"/>
      <c r="J41" s="31"/>
      <c r="K41" s="31"/>
      <c r="L41" s="31"/>
      <c r="M41" s="31"/>
    </row>
    <row r="42" spans="2:13" x14ac:dyDescent="0.2">
      <c r="B42" s="31"/>
      <c r="C42" s="14"/>
      <c r="D42" s="31"/>
      <c r="E42" s="13"/>
      <c r="F42" s="13"/>
      <c r="G42" s="31"/>
      <c r="H42" s="31"/>
      <c r="I42" s="31"/>
      <c r="J42" s="31"/>
      <c r="K42" s="31"/>
      <c r="L42" s="31"/>
      <c r="M42" s="31"/>
    </row>
    <row r="43" spans="2:13" x14ac:dyDescent="0.2">
      <c r="B43" s="31"/>
      <c r="C43" s="14"/>
      <c r="D43" s="31"/>
      <c r="E43" s="13"/>
      <c r="F43" s="13"/>
      <c r="G43" s="31"/>
      <c r="H43" s="31"/>
      <c r="I43" s="31"/>
      <c r="J43" s="31"/>
      <c r="K43" s="31"/>
      <c r="L43" s="31"/>
      <c r="M43" s="31"/>
    </row>
    <row r="44" spans="2:13" x14ac:dyDescent="0.2">
      <c r="B44" s="31"/>
      <c r="C44" s="14"/>
      <c r="D44" s="31"/>
      <c r="E44" s="13"/>
      <c r="F44" s="13"/>
      <c r="G44" s="31"/>
      <c r="H44" s="31"/>
      <c r="I44" s="31"/>
      <c r="J44" s="31"/>
      <c r="K44" s="31"/>
      <c r="L44" s="31"/>
      <c r="M44" s="31"/>
    </row>
    <row r="45" spans="2:13" x14ac:dyDescent="0.2">
      <c r="B45" s="31"/>
      <c r="C45" s="14"/>
      <c r="D45" s="31"/>
      <c r="E45" s="13"/>
      <c r="F45" s="13"/>
      <c r="G45" s="31"/>
      <c r="H45" s="31"/>
      <c r="I45" s="31"/>
      <c r="J45" s="31"/>
      <c r="K45" s="31"/>
      <c r="L45" s="31"/>
      <c r="M45" s="31"/>
    </row>
    <row r="46" spans="2:13" x14ac:dyDescent="0.2">
      <c r="B46" s="31"/>
      <c r="C46" s="14"/>
      <c r="D46" s="31"/>
      <c r="E46" s="13"/>
      <c r="F46" s="13"/>
      <c r="G46" s="31"/>
      <c r="H46" s="31"/>
      <c r="I46" s="31"/>
      <c r="J46" s="31"/>
      <c r="K46" s="31"/>
      <c r="L46" s="31"/>
      <c r="M46" s="31"/>
    </row>
    <row r="47" spans="2:13" x14ac:dyDescent="0.2">
      <c r="B47" s="31"/>
      <c r="C47" s="14"/>
      <c r="D47" s="31"/>
      <c r="E47" s="13"/>
      <c r="F47" s="13"/>
      <c r="G47" s="31"/>
      <c r="H47" s="31"/>
      <c r="I47" s="31"/>
      <c r="J47" s="31"/>
      <c r="K47" s="31"/>
      <c r="L47" s="31"/>
      <c r="M47" s="31"/>
    </row>
    <row r="48" spans="2:13" x14ac:dyDescent="0.2">
      <c r="B48" s="31"/>
      <c r="C48" s="14"/>
      <c r="D48" s="31"/>
      <c r="E48" s="13"/>
      <c r="F48" s="13"/>
      <c r="G48" s="31"/>
      <c r="H48" s="31"/>
      <c r="I48" s="31"/>
      <c r="J48" s="31"/>
      <c r="K48" s="31"/>
      <c r="L48" s="31"/>
      <c r="M48" s="31"/>
    </row>
    <row r="49" spans="2:13" x14ac:dyDescent="0.2">
      <c r="B49" s="31"/>
      <c r="C49" s="14"/>
      <c r="D49" s="31"/>
      <c r="E49" s="13"/>
      <c r="F49" s="13"/>
      <c r="G49" s="31"/>
      <c r="H49" s="31"/>
      <c r="I49" s="31"/>
      <c r="J49" s="31"/>
      <c r="K49" s="31"/>
      <c r="L49" s="31"/>
      <c r="M49" s="31"/>
    </row>
  </sheetData>
  <mergeCells count="1">
    <mergeCell ref="B3:M3"/>
  </mergeCells>
  <printOptions horizontalCentered="1"/>
  <pageMargins left="0.5" right="0.5" top="0.5" bottom="0.5" header="0.5" footer="0.5"/>
  <pageSetup scale="7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30C6FC-4590-4641-AD01-3C06B8C91974}">
  <sheetPr>
    <pageSetUpPr fitToPage="1"/>
  </sheetPr>
  <dimension ref="A1:S57"/>
  <sheetViews>
    <sheetView tabSelected="1" workbookViewId="0">
      <selection activeCell="C41" sqref="C41"/>
    </sheetView>
  </sheetViews>
  <sheetFormatPr defaultRowHeight="12.75" x14ac:dyDescent="0.2"/>
  <cols>
    <col min="1" max="1" width="9.140625" style="12"/>
    <col min="2" max="2" width="11.28515625" style="12" customWidth="1"/>
    <col min="3" max="3" width="11" style="12" customWidth="1"/>
    <col min="4" max="4" width="18.7109375" style="12" customWidth="1"/>
    <col min="5" max="5" width="9.28515625" style="12" customWidth="1"/>
    <col min="6" max="6" width="7.7109375" style="12" customWidth="1"/>
    <col min="7" max="7" width="12.28515625" style="12" customWidth="1"/>
    <col min="8" max="11" width="10.5703125" style="12" customWidth="1"/>
    <col min="12" max="13" width="8" style="12" customWidth="1"/>
    <col min="14" max="14" width="9.140625" style="20"/>
    <col min="15" max="16384" width="9.140625" style="12"/>
  </cols>
  <sheetData>
    <row r="1" spans="1:19" x14ac:dyDescent="0.2">
      <c r="B1" s="13" t="s">
        <v>1</v>
      </c>
      <c r="C1" s="34">
        <v>43403</v>
      </c>
      <c r="D1" s="13" t="s">
        <v>43</v>
      </c>
      <c r="E1" s="36"/>
      <c r="F1" s="36"/>
      <c r="G1" s="31"/>
      <c r="H1" s="31"/>
      <c r="I1" s="31"/>
      <c r="J1" s="31"/>
      <c r="K1" s="31"/>
      <c r="L1" s="31"/>
      <c r="M1" s="31"/>
    </row>
    <row r="2" spans="1:19" ht="13.5" thickBot="1" x14ac:dyDescent="0.25">
      <c r="B2" s="37"/>
      <c r="C2" s="38"/>
      <c r="D2" s="37"/>
      <c r="E2" s="39"/>
      <c r="F2" s="39"/>
      <c r="G2" s="37"/>
      <c r="H2" s="37"/>
      <c r="I2" s="37"/>
      <c r="J2" s="37"/>
      <c r="K2" s="37"/>
      <c r="L2" s="37"/>
      <c r="M2" s="37"/>
    </row>
    <row r="3" spans="1:19" ht="18" x14ac:dyDescent="0.2">
      <c r="B3" s="51" t="s">
        <v>44</v>
      </c>
      <c r="C3" s="52"/>
      <c r="D3" s="52"/>
      <c r="E3" s="52"/>
      <c r="F3" s="52"/>
      <c r="G3" s="52"/>
      <c r="H3" s="52"/>
      <c r="I3" s="52"/>
      <c r="J3" s="52"/>
      <c r="K3" s="52"/>
      <c r="L3" s="52"/>
      <c r="M3" s="53"/>
    </row>
    <row r="4" spans="1:19" ht="15" x14ac:dyDescent="0.2">
      <c r="B4" s="32" t="s">
        <v>41</v>
      </c>
      <c r="C4" s="30" t="s">
        <v>6</v>
      </c>
      <c r="D4" s="29" t="s">
        <v>7</v>
      </c>
      <c r="E4" s="30" t="s">
        <v>8</v>
      </c>
      <c r="F4" s="30" t="s">
        <v>9</v>
      </c>
      <c r="G4" s="30" t="s">
        <v>10</v>
      </c>
      <c r="H4" s="30" t="s">
        <v>11</v>
      </c>
      <c r="I4" s="30" t="s">
        <v>12</v>
      </c>
      <c r="J4" s="30" t="s">
        <v>13</v>
      </c>
      <c r="K4" s="30" t="s">
        <v>14</v>
      </c>
      <c r="L4" s="30" t="s">
        <v>16</v>
      </c>
      <c r="M4" s="24" t="s">
        <v>15</v>
      </c>
    </row>
    <row r="5" spans="1:19" x14ac:dyDescent="0.2">
      <c r="A5" s="12">
        <v>5</v>
      </c>
      <c r="B5" s="9" t="s">
        <v>18</v>
      </c>
      <c r="C5" s="40">
        <f>(144*6)</f>
        <v>864</v>
      </c>
      <c r="D5" s="40">
        <v>5.3333333300000003</v>
      </c>
      <c r="E5" s="44">
        <f>ROUNDUP(VLOOKUP(A5,'bar data'!$A$2:$D$12,2,0)*C5*D5,0)</f>
        <v>4807</v>
      </c>
      <c r="F5" s="41">
        <v>1</v>
      </c>
      <c r="G5" s="43">
        <f>3.16667+1.3333</f>
        <v>4.4999699999999994</v>
      </c>
      <c r="H5" s="43">
        <v>1</v>
      </c>
      <c r="I5" s="16"/>
      <c r="J5" s="16"/>
      <c r="K5" s="16"/>
      <c r="L5" s="16"/>
      <c r="M5" s="28"/>
      <c r="N5" s="13"/>
    </row>
    <row r="6" spans="1:19" x14ac:dyDescent="0.2">
      <c r="A6" s="12">
        <v>5</v>
      </c>
      <c r="B6" s="9" t="s">
        <v>19</v>
      </c>
      <c r="C6" s="40">
        <f>3+2+3+2+3+3+2+3+3+2+3+3+2+3+3+2+3+3+2+3+3+2+3+3+2+3+3+2+3+3+2+3+2+3+2+3+2+3+2+2+3+3+2+3+2+3+2+3+2</f>
        <v>127</v>
      </c>
      <c r="D6" s="40">
        <v>30</v>
      </c>
      <c r="E6" s="44">
        <f>ROUNDUP(VLOOKUP(A6,'bar data'!$A$2:$D$12,2,0)*C6*D6,0)</f>
        <v>3974</v>
      </c>
      <c r="F6" s="41" t="s">
        <v>0</v>
      </c>
      <c r="G6" s="16"/>
      <c r="H6" s="16"/>
      <c r="I6" s="16"/>
      <c r="J6" s="16"/>
      <c r="K6" s="16"/>
      <c r="L6" s="16"/>
      <c r="M6" s="28"/>
    </row>
    <row r="7" spans="1:19" x14ac:dyDescent="0.2">
      <c r="A7" s="12">
        <v>5</v>
      </c>
      <c r="B7" s="9" t="s">
        <v>20</v>
      </c>
      <c r="C7" s="40">
        <f>212+146+174+162+160+192+50</f>
        <v>1096</v>
      </c>
      <c r="D7" s="40">
        <v>5.25</v>
      </c>
      <c r="E7" s="44">
        <f>ROUNDUP(VLOOKUP(A7,'bar data'!$A$2:$D$12,2,0)*C7*D7,0)</f>
        <v>6002</v>
      </c>
      <c r="F7" s="41">
        <v>2</v>
      </c>
      <c r="G7" s="43">
        <v>1.6667000000000001</v>
      </c>
      <c r="H7" s="43">
        <v>2.1666699999999999</v>
      </c>
      <c r="I7" s="43">
        <f>G7</f>
        <v>1.6667000000000001</v>
      </c>
      <c r="J7" s="16"/>
      <c r="K7" s="16"/>
      <c r="L7" s="16"/>
      <c r="M7" s="28"/>
      <c r="N7" s="31">
        <f>2-0.16667*2</f>
        <v>1.66666</v>
      </c>
      <c r="O7" s="31">
        <f>2.5-0.16667*2</f>
        <v>2.1666599999999998</v>
      </c>
    </row>
    <row r="8" spans="1:19" x14ac:dyDescent="0.2">
      <c r="A8" s="12">
        <v>5</v>
      </c>
      <c r="B8" s="9" t="s">
        <v>21</v>
      </c>
      <c r="C8" s="40">
        <f>3*29</f>
        <v>87</v>
      </c>
      <c r="D8" s="40">
        <v>6.9166670000000003</v>
      </c>
      <c r="E8" s="44">
        <f>ROUNDUP(VLOOKUP(A8,'bar data'!$A$2:$D$12,2,0)*C8*D8,0)</f>
        <v>628</v>
      </c>
      <c r="F8" s="41">
        <v>8</v>
      </c>
      <c r="G8" s="43">
        <v>3.0833300000000001</v>
      </c>
      <c r="H8" s="43">
        <v>1</v>
      </c>
      <c r="I8" s="43">
        <v>3.0832999999999999</v>
      </c>
      <c r="J8" s="16"/>
      <c r="K8" s="16"/>
      <c r="L8" s="16"/>
      <c r="M8" s="28"/>
      <c r="N8" s="31"/>
      <c r="O8" s="31"/>
    </row>
    <row r="9" spans="1:19" x14ac:dyDescent="0.2">
      <c r="A9" s="12">
        <v>5</v>
      </c>
      <c r="B9" s="9" t="s">
        <v>22</v>
      </c>
      <c r="C9" s="40">
        <f>3</f>
        <v>3</v>
      </c>
      <c r="D9" s="40">
        <v>23.66667</v>
      </c>
      <c r="E9" s="44">
        <f>ROUNDUP(VLOOKUP(A9,'bar data'!$A$2:$D$12,2,0)*C9*D9,0)</f>
        <v>75</v>
      </c>
      <c r="F9" s="41" t="s">
        <v>0</v>
      </c>
      <c r="G9" s="16"/>
      <c r="H9" s="16"/>
      <c r="I9" s="16"/>
      <c r="J9" s="16"/>
      <c r="K9" s="16"/>
      <c r="L9" s="16"/>
      <c r="M9" s="28"/>
      <c r="N9" s="31">
        <f>24-0.16667*2</f>
        <v>23.66666</v>
      </c>
      <c r="O9" s="31"/>
    </row>
    <row r="10" spans="1:19" x14ac:dyDescent="0.2">
      <c r="A10" s="12">
        <v>5</v>
      </c>
      <c r="B10" s="9" t="s">
        <v>23</v>
      </c>
      <c r="C10" s="40">
        <f>(3+2)+(3+2)+(3+2)+(3+2)+(3+2)+(3+2)+(3+2)+(3+2)</f>
        <v>40</v>
      </c>
      <c r="D10" s="40">
        <v>36.166670000000003</v>
      </c>
      <c r="E10" s="44">
        <f>ROUNDUP(VLOOKUP(A10,'bar data'!$A$2:$D$12,2,0)*C10*D10,0)</f>
        <v>1509</v>
      </c>
      <c r="F10" s="41" t="s">
        <v>0</v>
      </c>
      <c r="G10" s="16"/>
      <c r="H10" s="16"/>
      <c r="I10" s="16"/>
      <c r="J10" s="16"/>
      <c r="K10" s="16"/>
      <c r="L10" s="16"/>
      <c r="M10" s="28"/>
      <c r="N10" s="31">
        <f>(89.9584-0.16667*2)-30*2+37/12*2</f>
        <v>35.791726666666655</v>
      </c>
      <c r="O10" s="31">
        <f>89.9446-0.16667*2-30*2+37/12*2</f>
        <v>35.777926666666652</v>
      </c>
      <c r="P10" s="31">
        <f>90.0934-0.16667*2-30*2+37/12*2</f>
        <v>35.92672666666666</v>
      </c>
      <c r="Q10" s="31">
        <f>90.2802-0.16667*2-30*2+37/12*2</f>
        <v>36.113526666666651</v>
      </c>
      <c r="R10" s="31">
        <f>90.2415-0.16667*2-30*2+37/12*2</f>
        <v>36.074826666666659</v>
      </c>
      <c r="S10" s="31">
        <f>90.0391-0.16667*2-30*2+37/12*2</f>
        <v>35.872426666666662</v>
      </c>
    </row>
    <row r="11" spans="1:19" x14ac:dyDescent="0.2">
      <c r="A11" s="12">
        <v>5</v>
      </c>
      <c r="B11" s="9" t="s">
        <v>24</v>
      </c>
      <c r="C11" s="40">
        <f>3</f>
        <v>3</v>
      </c>
      <c r="D11" s="40">
        <v>34.5</v>
      </c>
      <c r="E11" s="44">
        <f>ROUNDUP(VLOOKUP(A11,'bar data'!$A$2:$D$12,2,0)*C11*D11,0)</f>
        <v>108</v>
      </c>
      <c r="F11" s="41" t="s">
        <v>0</v>
      </c>
      <c r="G11" s="16"/>
      <c r="H11" s="16"/>
      <c r="I11" s="16"/>
      <c r="J11" s="16"/>
      <c r="K11" s="16"/>
      <c r="L11" s="16"/>
      <c r="M11" s="28"/>
      <c r="N11" s="31">
        <f>34.4583-0.16667+0.16667</f>
        <v>34.458300000000001</v>
      </c>
      <c r="O11" s="11"/>
    </row>
    <row r="12" spans="1:19" x14ac:dyDescent="0.2">
      <c r="A12" s="12">
        <v>5</v>
      </c>
      <c r="B12" s="9" t="s">
        <v>27</v>
      </c>
      <c r="C12" s="40">
        <v>3</v>
      </c>
      <c r="D12" s="40">
        <v>10.916667</v>
      </c>
      <c r="E12" s="44">
        <f>ROUNDUP(VLOOKUP(A12,'bar data'!$A$2:$D$12,2,0)*C12*D12,0)</f>
        <v>35</v>
      </c>
      <c r="F12" s="41">
        <v>8</v>
      </c>
      <c r="G12" s="43">
        <v>7.0833300000000001</v>
      </c>
      <c r="H12" s="43">
        <v>1</v>
      </c>
      <c r="I12" s="43">
        <v>3.0832999999999999</v>
      </c>
      <c r="J12" s="16"/>
      <c r="K12" s="16"/>
      <c r="L12" s="16"/>
      <c r="M12" s="28"/>
      <c r="N12" s="31">
        <f>7.4584-0.16667*2</f>
        <v>7.1250600000000004</v>
      </c>
      <c r="O12" s="11"/>
    </row>
    <row r="13" spans="1:19" x14ac:dyDescent="0.2">
      <c r="A13" s="12">
        <v>5</v>
      </c>
      <c r="B13" s="9" t="s">
        <v>28</v>
      </c>
      <c r="C13" s="40">
        <v>3</v>
      </c>
      <c r="D13" s="40">
        <v>22.5</v>
      </c>
      <c r="E13" s="44">
        <f>ROUNDUP(VLOOKUP(A13,'bar data'!$A$2:$D$12,2,0)*C13*D13,0)</f>
        <v>71</v>
      </c>
      <c r="F13" s="41" t="s">
        <v>0</v>
      </c>
      <c r="G13" s="16"/>
      <c r="H13" s="16"/>
      <c r="I13" s="16"/>
      <c r="J13" s="16"/>
      <c r="K13" s="16"/>
      <c r="L13" s="16"/>
      <c r="M13" s="28"/>
      <c r="N13" s="31">
        <f>22.4583-0.16667+0.16667</f>
        <v>22.458300000000001</v>
      </c>
      <c r="O13" s="11"/>
    </row>
    <row r="14" spans="1:19" x14ac:dyDescent="0.2">
      <c r="A14" s="12">
        <v>5</v>
      </c>
      <c r="B14" s="9" t="s">
        <v>30</v>
      </c>
      <c r="C14" s="40">
        <f>3+3</f>
        <v>6</v>
      </c>
      <c r="D14" s="40">
        <v>10.916667</v>
      </c>
      <c r="E14" s="44">
        <f>ROUNDUP(VLOOKUP(A14,'bar data'!$A$2:$D$12,2,0)*C14*D14,0)</f>
        <v>69</v>
      </c>
      <c r="F14" s="41">
        <v>8</v>
      </c>
      <c r="G14" s="43">
        <v>7.0833300000000001</v>
      </c>
      <c r="H14" s="43">
        <v>1</v>
      </c>
      <c r="I14" s="43">
        <v>3.0833300000000001</v>
      </c>
      <c r="J14" s="16"/>
      <c r="K14" s="16"/>
      <c r="L14" s="16"/>
      <c r="M14" s="28"/>
      <c r="N14" s="31">
        <f>7.4584-0.16667*2</f>
        <v>7.1250600000000004</v>
      </c>
      <c r="O14" s="11"/>
    </row>
    <row r="15" spans="1:19" x14ac:dyDescent="0.2">
      <c r="A15" s="12">
        <v>5</v>
      </c>
      <c r="B15" s="9" t="s">
        <v>29</v>
      </c>
      <c r="C15" s="40">
        <v>3</v>
      </c>
      <c r="D15" s="40">
        <v>21.08333</v>
      </c>
      <c r="E15" s="44">
        <f>ROUNDUP(VLOOKUP(A15,'bar data'!$A$2:$D$12,2,0)*C15*D15,0)</f>
        <v>66</v>
      </c>
      <c r="F15" s="41" t="s">
        <v>0</v>
      </c>
      <c r="G15" s="16"/>
      <c r="H15" s="16"/>
      <c r="I15" s="16"/>
      <c r="J15" s="16"/>
      <c r="K15" s="16"/>
      <c r="L15" s="16"/>
      <c r="M15" s="28"/>
      <c r="N15" s="31">
        <f>48-0.16667+0.16667-30+37/12</f>
        <v>21.083333333333332</v>
      </c>
      <c r="O15" s="31"/>
    </row>
    <row r="16" spans="1:19" x14ac:dyDescent="0.2">
      <c r="A16" s="12">
        <v>5</v>
      </c>
      <c r="B16" s="9" t="s">
        <v>31</v>
      </c>
      <c r="C16" s="40">
        <f>3+3</f>
        <v>6</v>
      </c>
      <c r="D16" s="40">
        <v>8.25</v>
      </c>
      <c r="E16" s="44">
        <f>ROUNDUP(VLOOKUP(A16,'bar data'!$A$2:$D$12,2,0)*C16*D16,0)</f>
        <v>52</v>
      </c>
      <c r="F16" s="41">
        <v>8</v>
      </c>
      <c r="G16" s="43">
        <v>3.0833300000000001</v>
      </c>
      <c r="H16" s="43">
        <v>1</v>
      </c>
      <c r="I16" s="16">
        <v>4.4166670000000003</v>
      </c>
      <c r="J16" s="16"/>
      <c r="K16" s="16"/>
      <c r="L16" s="16"/>
      <c r="M16" s="28"/>
      <c r="N16" s="31">
        <f>4.4583-0.16667+0.16667</f>
        <v>4.4583000000000004</v>
      </c>
      <c r="O16" s="31"/>
    </row>
    <row r="17" spans="1:15" x14ac:dyDescent="0.2">
      <c r="A17" s="12">
        <v>5</v>
      </c>
      <c r="B17" s="9" t="s">
        <v>32</v>
      </c>
      <c r="C17" s="40">
        <v>3</v>
      </c>
      <c r="D17" s="40">
        <v>22.666699999999999</v>
      </c>
      <c r="E17" s="44">
        <f>ROUNDUP(VLOOKUP(A17,'bar data'!$A$2:$D$12,2,0)*C17*D17,0)</f>
        <v>71</v>
      </c>
      <c r="F17" s="41" t="s">
        <v>0</v>
      </c>
      <c r="G17" s="16"/>
      <c r="H17" s="16"/>
      <c r="I17" s="16"/>
      <c r="J17" s="16"/>
      <c r="K17" s="16"/>
      <c r="L17" s="16"/>
      <c r="M17" s="28"/>
      <c r="N17" s="31">
        <f>76.4584-0.16667+0.16667-30*2+37/12*2</f>
        <v>22.625066666666665</v>
      </c>
      <c r="O17" s="31"/>
    </row>
    <row r="18" spans="1:15" x14ac:dyDescent="0.2">
      <c r="A18" s="12">
        <v>5</v>
      </c>
      <c r="B18" s="9" t="s">
        <v>26</v>
      </c>
      <c r="C18" s="40">
        <v>3</v>
      </c>
      <c r="D18" s="40">
        <v>13.08333</v>
      </c>
      <c r="E18" s="44">
        <f>ROUNDUP(VLOOKUP(A18,'bar data'!$A$2:$D$12,2,0)*C18*D18,0)</f>
        <v>41</v>
      </c>
      <c r="F18" s="41" t="s">
        <v>0</v>
      </c>
      <c r="G18" s="16"/>
      <c r="H18" s="16"/>
      <c r="I18" s="16"/>
      <c r="J18" s="16"/>
      <c r="K18" s="16"/>
      <c r="L18" s="16"/>
      <c r="M18" s="28"/>
      <c r="N18" s="31">
        <f>13.45833-0.16667*2</f>
        <v>13.12499</v>
      </c>
      <c r="O18" s="11"/>
    </row>
    <row r="19" spans="1:15" x14ac:dyDescent="0.2">
      <c r="A19" s="12">
        <v>5</v>
      </c>
      <c r="B19" s="9" t="s">
        <v>33</v>
      </c>
      <c r="C19" s="40">
        <v>3</v>
      </c>
      <c r="D19" s="40">
        <v>7.5833300000000001</v>
      </c>
      <c r="E19" s="44">
        <f>ROUNDUP(VLOOKUP(A19,'bar data'!$A$2:$D$12,2,0)*C19*D19,0)</f>
        <v>24</v>
      </c>
      <c r="F19" s="41" t="s">
        <v>0</v>
      </c>
      <c r="G19" s="16"/>
      <c r="H19" s="16"/>
      <c r="I19" s="16"/>
      <c r="J19" s="16"/>
      <c r="K19" s="16"/>
      <c r="L19" s="16"/>
      <c r="M19" s="28"/>
      <c r="N19" s="31">
        <f>34.4584-0.16667+0.16667-30+37/12</f>
        <v>7.5417333333333314</v>
      </c>
      <c r="O19" s="11"/>
    </row>
    <row r="20" spans="1:15" x14ac:dyDescent="0.2">
      <c r="A20" s="12">
        <v>5</v>
      </c>
      <c r="B20" s="9" t="s">
        <v>25</v>
      </c>
      <c r="C20" s="40">
        <f>3+3+3+3+3+3</f>
        <v>18</v>
      </c>
      <c r="D20" s="40">
        <v>18</v>
      </c>
      <c r="E20" s="44">
        <f>ROUNDUP(VLOOKUP(A20,'bar data'!$A$2:$D$12,2,0)*C20*D20,0)</f>
        <v>338</v>
      </c>
      <c r="F20" s="41" t="s">
        <v>0</v>
      </c>
      <c r="G20" s="16"/>
      <c r="H20" s="16"/>
      <c r="I20" s="16"/>
      <c r="J20" s="16"/>
      <c r="K20" s="16"/>
      <c r="L20" s="16"/>
      <c r="M20" s="28"/>
      <c r="N20" s="31">
        <f>18-0.16667+0.16667</f>
        <v>18</v>
      </c>
      <c r="O20" s="11"/>
    </row>
    <row r="21" spans="1:15" x14ac:dyDescent="0.2">
      <c r="A21" s="12">
        <v>5</v>
      </c>
      <c r="B21" s="9" t="s">
        <v>35</v>
      </c>
      <c r="C21" s="40">
        <f>3+3+3+3+3+3+3+3+3+3+3+3</f>
        <v>36</v>
      </c>
      <c r="D21" s="40">
        <v>12</v>
      </c>
      <c r="E21" s="44">
        <f>ROUNDUP(VLOOKUP(A21,'bar data'!$A$2:$D$12,2,0)*C21*D21,0)</f>
        <v>451</v>
      </c>
      <c r="F21" s="41" t="s">
        <v>0</v>
      </c>
      <c r="G21" s="16"/>
      <c r="H21" s="16"/>
      <c r="I21" s="16"/>
      <c r="J21" s="16"/>
      <c r="K21" s="16"/>
      <c r="L21" s="16"/>
      <c r="M21" s="28"/>
      <c r="N21" s="31">
        <f>12-0.16667+0.16667</f>
        <v>12</v>
      </c>
      <c r="O21" s="11"/>
    </row>
    <row r="22" spans="1:15" x14ac:dyDescent="0.2">
      <c r="A22" s="12">
        <v>5</v>
      </c>
      <c r="B22" s="9" t="s">
        <v>39</v>
      </c>
      <c r="C22" s="40">
        <f>3</f>
        <v>3</v>
      </c>
      <c r="D22" s="40">
        <v>13.08333</v>
      </c>
      <c r="E22" s="44">
        <f>ROUNDUP(VLOOKUP(A22,'bar data'!$A$2:$D$12,2,0)*C22*D22,0)</f>
        <v>41</v>
      </c>
      <c r="F22" s="41" t="s">
        <v>0</v>
      </c>
      <c r="G22" s="16"/>
      <c r="H22" s="16"/>
      <c r="I22" s="16"/>
      <c r="J22" s="16"/>
      <c r="K22" s="16"/>
      <c r="L22" s="16"/>
      <c r="M22" s="28"/>
      <c r="N22" s="31">
        <f>13.458333-0.16667*2</f>
        <v>13.124993</v>
      </c>
      <c r="O22" s="31"/>
    </row>
    <row r="23" spans="1:15" x14ac:dyDescent="0.2">
      <c r="A23" s="12">
        <v>5</v>
      </c>
      <c r="B23" s="9" t="s">
        <v>34</v>
      </c>
      <c r="C23" s="40">
        <f>3</f>
        <v>3</v>
      </c>
      <c r="D23" s="40">
        <v>16.5</v>
      </c>
      <c r="E23" s="44">
        <f>ROUNDUP(VLOOKUP(A23,'bar data'!$A$2:$D$12,2,0)*C23*D23,0)</f>
        <v>52</v>
      </c>
      <c r="F23" s="41" t="s">
        <v>0</v>
      </c>
      <c r="G23" s="16"/>
      <c r="H23" s="16"/>
      <c r="I23" s="16"/>
      <c r="J23" s="16"/>
      <c r="K23" s="16"/>
      <c r="L23" s="16"/>
      <c r="M23" s="28"/>
      <c r="N23" s="31">
        <f>16.4584-0.16667+0.16667</f>
        <v>16.458400000000001</v>
      </c>
      <c r="O23" s="11"/>
    </row>
    <row r="24" spans="1:15" x14ac:dyDescent="0.2">
      <c r="A24" s="12">
        <v>5</v>
      </c>
      <c r="B24" s="9" t="s">
        <v>40</v>
      </c>
      <c r="C24" s="40">
        <f>3</f>
        <v>3</v>
      </c>
      <c r="D24" s="40">
        <v>9.8332999999999995</v>
      </c>
      <c r="E24" s="44">
        <f>ROUNDUP(VLOOKUP(A24,'bar data'!$A$2:$D$12,2,0)*C24*D24,0)</f>
        <v>31</v>
      </c>
      <c r="F24" s="41">
        <v>8</v>
      </c>
      <c r="G24" s="43">
        <v>3.0832999999999999</v>
      </c>
      <c r="H24" s="43">
        <v>1</v>
      </c>
      <c r="I24" s="43">
        <v>6</v>
      </c>
      <c r="J24" s="16"/>
      <c r="K24" s="16"/>
      <c r="L24" s="16"/>
      <c r="M24" s="28"/>
      <c r="N24" s="31">
        <f>6-0.16667+0.16667</f>
        <v>6</v>
      </c>
      <c r="O24" s="11"/>
    </row>
    <row r="25" spans="1:15" x14ac:dyDescent="0.2">
      <c r="A25" s="12">
        <v>5</v>
      </c>
      <c r="B25" s="9" t="s">
        <v>38</v>
      </c>
      <c r="C25" s="40">
        <f>3</f>
        <v>3</v>
      </c>
      <c r="D25" s="40">
        <v>9</v>
      </c>
      <c r="E25" s="44">
        <f>ROUNDUP(VLOOKUP(A25,'bar data'!$A$2:$D$12,2,0)*C25*D25,0)</f>
        <v>29</v>
      </c>
      <c r="F25" s="41" t="s">
        <v>0</v>
      </c>
      <c r="G25" s="16"/>
      <c r="H25" s="16"/>
      <c r="I25" s="16"/>
      <c r="J25" s="16"/>
      <c r="K25" s="16"/>
      <c r="L25" s="16"/>
      <c r="M25" s="28"/>
      <c r="N25" s="31">
        <f>9-0.16667+0.16667</f>
        <v>9</v>
      </c>
      <c r="O25" s="31"/>
    </row>
    <row r="26" spans="1:15" x14ac:dyDescent="0.2">
      <c r="A26" s="12">
        <v>5</v>
      </c>
      <c r="B26" s="9" t="s">
        <v>37</v>
      </c>
      <c r="C26" s="40">
        <f>3</f>
        <v>3</v>
      </c>
      <c r="D26" s="40">
        <v>15</v>
      </c>
      <c r="E26" s="44">
        <f>ROUNDUP(VLOOKUP(A26,'bar data'!$A$2:$D$12,2,0)*C26*D26,0)</f>
        <v>47</v>
      </c>
      <c r="F26" s="41" t="s">
        <v>0</v>
      </c>
      <c r="G26" s="16"/>
      <c r="H26" s="16"/>
      <c r="I26" s="16"/>
      <c r="J26" s="16"/>
      <c r="K26" s="16"/>
      <c r="L26" s="16"/>
      <c r="M26" s="28"/>
      <c r="N26" s="31">
        <f>15-0.16667+0.16667</f>
        <v>15</v>
      </c>
      <c r="O26" s="31"/>
    </row>
    <row r="27" spans="1:15" x14ac:dyDescent="0.2">
      <c r="A27" s="12">
        <v>5</v>
      </c>
      <c r="B27" s="9" t="s">
        <v>36</v>
      </c>
      <c r="C27" s="40">
        <f>3+3</f>
        <v>6</v>
      </c>
      <c r="D27" s="40">
        <v>7.9166670000000003</v>
      </c>
      <c r="E27" s="44">
        <f>ROUNDUP(VLOOKUP(A27,'bar data'!$A$2:$D$12,2,0)*C27*D27,0)</f>
        <v>50</v>
      </c>
      <c r="F27" s="41">
        <v>8</v>
      </c>
      <c r="G27" s="43">
        <v>3.0833300000000001</v>
      </c>
      <c r="H27" s="43">
        <v>2</v>
      </c>
      <c r="I27" s="43">
        <v>3.0833300000000001</v>
      </c>
      <c r="J27" s="16"/>
      <c r="K27" s="16"/>
      <c r="L27" s="16"/>
      <c r="M27" s="28"/>
      <c r="N27" s="31"/>
      <c r="O27" s="31"/>
    </row>
    <row r="28" spans="1:15" x14ac:dyDescent="0.2">
      <c r="A28" s="12">
        <v>5</v>
      </c>
      <c r="B28" s="9" t="s">
        <v>47</v>
      </c>
      <c r="C28" s="40">
        <f>3+3+2</f>
        <v>8</v>
      </c>
      <c r="D28" s="40">
        <v>7.0833329999999997</v>
      </c>
      <c r="E28" s="44">
        <f>ROUNDUP(VLOOKUP(A28,'bar data'!$A$2:$D$12,2,0)*C28*D28,0)</f>
        <v>60</v>
      </c>
      <c r="F28" s="41" t="s">
        <v>0</v>
      </c>
      <c r="G28" s="16"/>
      <c r="H28" s="16"/>
      <c r="I28" s="16"/>
      <c r="J28" s="16"/>
      <c r="K28" s="16"/>
      <c r="L28" s="16"/>
      <c r="M28" s="28"/>
      <c r="N28" s="31">
        <f>7.458333-0.16667*2</f>
        <v>7.1249929999999999</v>
      </c>
      <c r="O28" s="31"/>
    </row>
    <row r="29" spans="1:15" x14ac:dyDescent="0.2">
      <c r="A29" s="12">
        <v>5</v>
      </c>
      <c r="B29" s="9" t="s">
        <v>46</v>
      </c>
      <c r="C29" s="40">
        <f>3</f>
        <v>3</v>
      </c>
      <c r="D29" s="40">
        <v>10.5</v>
      </c>
      <c r="E29" s="44">
        <f>ROUNDUP(VLOOKUP(A29,'bar data'!$A$2:$D$12,2,0)*C29*D29,0)</f>
        <v>33</v>
      </c>
      <c r="F29" s="41" t="s">
        <v>0</v>
      </c>
      <c r="G29" s="16"/>
      <c r="H29" s="16"/>
      <c r="I29" s="16"/>
      <c r="J29" s="16"/>
      <c r="K29" s="16"/>
      <c r="L29" s="16"/>
      <c r="M29" s="28"/>
      <c r="N29" s="31">
        <f>10.45844-0.16667+0.16667</f>
        <v>10.45844</v>
      </c>
      <c r="O29" s="31"/>
    </row>
    <row r="30" spans="1:15" x14ac:dyDescent="0.2">
      <c r="A30" s="12">
        <v>5</v>
      </c>
      <c r="B30" s="9" t="s">
        <v>48</v>
      </c>
      <c r="C30" s="40">
        <f>3</f>
        <v>3</v>
      </c>
      <c r="D30" s="40">
        <v>4.5</v>
      </c>
      <c r="E30" s="44">
        <f>ROUNDUP(VLOOKUP(A30,'bar data'!$A$2:$D$12,2,0)*C30*D30,0)</f>
        <v>15</v>
      </c>
      <c r="F30" s="41" t="s">
        <v>0</v>
      </c>
      <c r="G30" s="16"/>
      <c r="H30" s="16"/>
      <c r="I30" s="16"/>
      <c r="J30" s="16"/>
      <c r="K30" s="16"/>
      <c r="L30" s="16"/>
      <c r="M30" s="28"/>
      <c r="N30" s="31">
        <f>4.45844-0.16667+0.16667</f>
        <v>4.4584400000000004</v>
      </c>
      <c r="O30" s="31"/>
    </row>
    <row r="31" spans="1:15" x14ac:dyDescent="0.2">
      <c r="A31" s="12">
        <v>5</v>
      </c>
      <c r="B31" s="9" t="s">
        <v>49</v>
      </c>
      <c r="C31" s="40">
        <f>33*2+6*2</f>
        <v>78</v>
      </c>
      <c r="D31" s="40">
        <v>7.4166670000000003</v>
      </c>
      <c r="E31" s="44">
        <f>ROUNDUP(VLOOKUP(A31,'bar data'!$A$2:$D$12,2,0)*C31*D31,0)</f>
        <v>604</v>
      </c>
      <c r="F31" s="41">
        <v>2</v>
      </c>
      <c r="G31" s="43">
        <v>2.75</v>
      </c>
      <c r="H31" s="43">
        <f>H7</f>
        <v>2.1666699999999999</v>
      </c>
      <c r="I31" s="43">
        <f>G31</f>
        <v>2.75</v>
      </c>
      <c r="J31" s="16"/>
      <c r="K31" s="16"/>
      <c r="L31" s="16"/>
      <c r="M31" s="28"/>
      <c r="N31" s="31">
        <f>(633.14-630)-0.16667*2</f>
        <v>2.8066599999999862</v>
      </c>
      <c r="O31" s="31">
        <f>(646.23-643)-0.16667*2</f>
        <v>2.896660000000018</v>
      </c>
    </row>
    <row r="32" spans="1:15" x14ac:dyDescent="0.2">
      <c r="A32" s="12">
        <v>5</v>
      </c>
      <c r="B32" s="9" t="s">
        <v>50</v>
      </c>
      <c r="C32" s="40">
        <f>3</f>
        <v>3</v>
      </c>
      <c r="D32" s="40">
        <v>31.083300000000001</v>
      </c>
      <c r="E32" s="44">
        <f>ROUNDUP(VLOOKUP(A32,'bar data'!$A$2:$D$12,2,0)*C32*D32,0)</f>
        <v>98</v>
      </c>
      <c r="F32" s="41" t="s">
        <v>0</v>
      </c>
      <c r="G32" s="16"/>
      <c r="H32" s="16"/>
      <c r="I32" s="16"/>
      <c r="J32" s="16"/>
      <c r="K32" s="16"/>
      <c r="L32" s="16"/>
      <c r="M32" s="28"/>
      <c r="N32" s="31">
        <f>31.45833-0.16667*2</f>
        <v>31.12499</v>
      </c>
      <c r="O32" s="31"/>
    </row>
    <row r="33" spans="1:15" x14ac:dyDescent="0.2">
      <c r="A33" s="12">
        <v>5</v>
      </c>
      <c r="B33" s="9" t="s">
        <v>51</v>
      </c>
      <c r="C33" s="40">
        <f>3+2</f>
        <v>5</v>
      </c>
      <c r="D33" s="40">
        <v>25.25</v>
      </c>
      <c r="E33" s="44">
        <f>ROUNDUP(VLOOKUP(A33,'bar data'!$A$2:$D$12,2,0)*C33*D33,0)</f>
        <v>132</v>
      </c>
      <c r="F33" s="41" t="s">
        <v>0</v>
      </c>
      <c r="G33" s="16"/>
      <c r="H33" s="16"/>
      <c r="I33" s="16"/>
      <c r="J33" s="16"/>
      <c r="K33" s="16"/>
      <c r="L33" s="16"/>
      <c r="M33" s="28"/>
      <c r="N33" s="31">
        <f>52.4676-0.16667*2-30+37/12</f>
        <v>25.21759333333333</v>
      </c>
      <c r="O33" s="31"/>
    </row>
    <row r="34" spans="1:15" x14ac:dyDescent="0.2">
      <c r="A34" s="12">
        <v>5</v>
      </c>
      <c r="B34" s="9" t="s">
        <v>52</v>
      </c>
      <c r="C34" s="40">
        <f>3+2</f>
        <v>5</v>
      </c>
      <c r="D34" s="40">
        <v>20.75</v>
      </c>
      <c r="E34" s="44">
        <f>ROUNDUP(VLOOKUP(A34,'bar data'!$A$2:$D$12,2,0)*C34*D34,0)</f>
        <v>109</v>
      </c>
      <c r="F34" s="41" t="s">
        <v>0</v>
      </c>
      <c r="G34" s="16"/>
      <c r="H34" s="16"/>
      <c r="I34" s="16"/>
      <c r="J34" s="16"/>
      <c r="K34" s="16"/>
      <c r="L34" s="16"/>
      <c r="M34" s="28"/>
      <c r="N34" s="31">
        <f>48-0.16667*2-30+37/12</f>
        <v>20.749993333333332</v>
      </c>
      <c r="O34" s="31"/>
    </row>
    <row r="35" spans="1:15" ht="13.5" thickBot="1" x14ac:dyDescent="0.25">
      <c r="A35" s="12">
        <v>5</v>
      </c>
      <c r="B35" s="33" t="s">
        <v>45</v>
      </c>
      <c r="C35" s="46">
        <f>3+2</f>
        <v>5</v>
      </c>
      <c r="D35" s="46">
        <v>34.416666999999997</v>
      </c>
      <c r="E35" s="47">
        <f>ROUNDUP(VLOOKUP(A35,'bar data'!$A$2:$D$12,2,0)*C35*D35,0)</f>
        <v>180</v>
      </c>
      <c r="F35" s="42" t="s">
        <v>0</v>
      </c>
      <c r="G35" s="19"/>
      <c r="H35" s="19"/>
      <c r="I35" s="19"/>
      <c r="J35" s="19"/>
      <c r="K35" s="19"/>
      <c r="L35" s="19"/>
      <c r="M35" s="23"/>
      <c r="N35" s="31">
        <f>((88.5118-0.1667*2)-30*2+37/12*2)</f>
        <v>34.345066666666661</v>
      </c>
      <c r="O35" s="31"/>
    </row>
    <row r="36" spans="1:15" x14ac:dyDescent="0.2">
      <c r="B36" s="13"/>
      <c r="C36" s="20"/>
      <c r="D36" s="20"/>
      <c r="E36" s="10"/>
      <c r="F36" s="13"/>
      <c r="G36" s="11"/>
      <c r="H36" s="11"/>
      <c r="I36" s="11"/>
      <c r="J36" s="11"/>
      <c r="K36" s="11"/>
      <c r="L36" s="11"/>
      <c r="M36" s="11"/>
    </row>
    <row r="37" spans="1:15" x14ac:dyDescent="0.2">
      <c r="B37" s="13"/>
      <c r="C37" s="20"/>
      <c r="D37" s="1" t="s">
        <v>42</v>
      </c>
      <c r="E37" s="15">
        <f>SUM(E5:E35)</f>
        <v>19802</v>
      </c>
      <c r="F37" s="13"/>
      <c r="G37" s="11"/>
      <c r="H37" s="11"/>
      <c r="I37" s="11"/>
      <c r="J37" s="11"/>
      <c r="K37" s="11"/>
      <c r="L37" s="11"/>
      <c r="M37" s="11"/>
    </row>
    <row r="38" spans="1:15" x14ac:dyDescent="0.2">
      <c r="B38" s="13"/>
      <c r="C38" s="20"/>
      <c r="F38" s="13"/>
      <c r="G38" s="20"/>
      <c r="H38" s="20"/>
      <c r="I38" s="20"/>
      <c r="J38" s="20"/>
      <c r="K38" s="20"/>
      <c r="L38" s="20"/>
      <c r="M38" s="20"/>
    </row>
    <row r="39" spans="1:15" x14ac:dyDescent="0.2">
      <c r="B39" s="20"/>
      <c r="C39" s="14"/>
      <c r="D39" s="20"/>
      <c r="E39" s="13"/>
      <c r="F39" s="13"/>
      <c r="G39" s="20"/>
      <c r="H39" s="20"/>
      <c r="I39" s="20"/>
      <c r="J39" s="20"/>
      <c r="K39" s="20"/>
      <c r="L39" s="20"/>
      <c r="M39" s="20"/>
    </row>
    <row r="40" spans="1:15" x14ac:dyDescent="0.2">
      <c r="B40" s="20"/>
      <c r="C40" s="14"/>
      <c r="D40" s="20"/>
      <c r="E40" s="13"/>
      <c r="F40" s="13"/>
      <c r="G40" s="20"/>
      <c r="H40" s="20"/>
      <c r="I40" s="20"/>
      <c r="J40" s="20"/>
      <c r="K40" s="20"/>
      <c r="L40" s="20"/>
      <c r="M40" s="20"/>
    </row>
    <row r="41" spans="1:15" x14ac:dyDescent="0.2">
      <c r="B41" s="20"/>
      <c r="C41" s="14"/>
      <c r="D41" s="20"/>
      <c r="E41" s="13"/>
      <c r="F41" s="13"/>
      <c r="G41" s="20"/>
      <c r="H41" s="20"/>
      <c r="I41" s="20"/>
      <c r="J41" s="20"/>
      <c r="K41" s="20"/>
      <c r="L41" s="20"/>
      <c r="M41" s="20"/>
    </row>
    <row r="42" spans="1:15" x14ac:dyDescent="0.2">
      <c r="B42" s="20"/>
      <c r="C42" s="14"/>
      <c r="D42" s="20"/>
      <c r="E42" s="13"/>
      <c r="F42" s="13"/>
      <c r="G42" s="20"/>
      <c r="H42" s="20"/>
      <c r="I42" s="20"/>
      <c r="J42" s="20"/>
      <c r="K42" s="20"/>
      <c r="L42" s="20"/>
      <c r="M42" s="20"/>
    </row>
    <row r="43" spans="1:15" x14ac:dyDescent="0.2">
      <c r="B43" s="20"/>
      <c r="C43" s="14"/>
      <c r="D43" s="20"/>
      <c r="E43" s="13"/>
      <c r="F43" s="13"/>
      <c r="G43" s="20"/>
      <c r="H43" s="20"/>
      <c r="I43" s="20"/>
      <c r="J43" s="20"/>
      <c r="K43" s="20"/>
      <c r="L43" s="20"/>
      <c r="M43" s="20"/>
    </row>
    <row r="44" spans="1:15" x14ac:dyDescent="0.2">
      <c r="B44" s="20"/>
      <c r="C44" s="14"/>
      <c r="D44" s="20"/>
      <c r="E44" s="13"/>
      <c r="F44" s="13"/>
      <c r="G44" s="20"/>
      <c r="H44" s="20"/>
      <c r="I44" s="20"/>
      <c r="J44" s="20"/>
      <c r="K44" s="20"/>
      <c r="L44" s="20"/>
      <c r="M44" s="20"/>
    </row>
    <row r="45" spans="1:15" x14ac:dyDescent="0.2">
      <c r="B45" s="20"/>
      <c r="C45" s="14"/>
      <c r="D45" s="20"/>
      <c r="E45" s="13"/>
      <c r="F45" s="13"/>
      <c r="G45" s="20"/>
      <c r="H45" s="20"/>
      <c r="I45" s="20"/>
      <c r="J45" s="20"/>
      <c r="K45" s="20"/>
      <c r="L45" s="20"/>
      <c r="M45" s="20"/>
    </row>
    <row r="46" spans="1:15" x14ac:dyDescent="0.2">
      <c r="B46" s="20"/>
      <c r="C46" s="14"/>
      <c r="D46" s="20"/>
      <c r="E46" s="13"/>
      <c r="F46" s="13"/>
      <c r="G46" s="20"/>
      <c r="H46" s="20"/>
      <c r="I46" s="20"/>
      <c r="J46" s="20"/>
      <c r="K46" s="20"/>
      <c r="L46" s="20"/>
      <c r="M46" s="20"/>
    </row>
    <row r="47" spans="1:15" x14ac:dyDescent="0.2">
      <c r="B47" s="20"/>
      <c r="C47" s="14"/>
      <c r="D47" s="20"/>
      <c r="E47" s="13"/>
      <c r="F47" s="13"/>
      <c r="G47" s="20"/>
      <c r="H47" s="20"/>
      <c r="I47" s="20"/>
      <c r="J47" s="20"/>
      <c r="K47" s="20"/>
      <c r="L47" s="20"/>
      <c r="M47" s="20"/>
    </row>
    <row r="48" spans="1:15" x14ac:dyDescent="0.2">
      <c r="B48" s="20"/>
      <c r="C48" s="14"/>
      <c r="D48" s="20"/>
      <c r="E48" s="13"/>
      <c r="F48" s="13"/>
      <c r="G48" s="20"/>
      <c r="H48" s="20"/>
      <c r="I48" s="20"/>
      <c r="J48" s="20"/>
      <c r="K48" s="20"/>
      <c r="L48" s="20"/>
      <c r="M48" s="20"/>
    </row>
    <row r="49" spans="2:13" x14ac:dyDescent="0.2">
      <c r="B49" s="20"/>
      <c r="C49" s="14"/>
      <c r="D49" s="20"/>
      <c r="E49" s="13"/>
      <c r="F49" s="13"/>
      <c r="G49" s="20"/>
      <c r="H49" s="20"/>
      <c r="I49" s="20"/>
      <c r="J49" s="20"/>
      <c r="K49" s="20"/>
      <c r="L49" s="20"/>
      <c r="M49" s="20"/>
    </row>
    <row r="50" spans="2:13" x14ac:dyDescent="0.2">
      <c r="B50" s="20"/>
      <c r="C50" s="14"/>
      <c r="D50" s="20"/>
      <c r="E50" s="13"/>
      <c r="F50" s="13"/>
      <c r="G50" s="20"/>
      <c r="H50" s="20"/>
      <c r="I50" s="20"/>
      <c r="J50" s="20"/>
      <c r="K50" s="20"/>
      <c r="L50" s="20"/>
      <c r="M50" s="20"/>
    </row>
    <row r="51" spans="2:13" x14ac:dyDescent="0.2">
      <c r="B51" s="20"/>
      <c r="C51" s="14"/>
      <c r="D51" s="20"/>
      <c r="E51" s="13"/>
      <c r="F51" s="13"/>
      <c r="G51" s="20"/>
      <c r="H51" s="20"/>
      <c r="I51" s="20"/>
      <c r="J51" s="20"/>
      <c r="K51" s="20"/>
      <c r="L51" s="20"/>
      <c r="M51" s="20"/>
    </row>
    <row r="52" spans="2:13" x14ac:dyDescent="0.2">
      <c r="B52" s="20"/>
      <c r="C52" s="14"/>
      <c r="D52" s="20"/>
      <c r="E52" s="13"/>
      <c r="F52" s="13"/>
      <c r="G52" s="20"/>
      <c r="H52" s="20"/>
      <c r="I52" s="20"/>
      <c r="J52" s="20"/>
      <c r="K52" s="20"/>
      <c r="L52" s="20"/>
      <c r="M52" s="20"/>
    </row>
    <row r="53" spans="2:13" x14ac:dyDescent="0.2">
      <c r="B53" s="20"/>
      <c r="C53" s="14"/>
      <c r="D53" s="20"/>
      <c r="E53" s="13"/>
      <c r="F53" s="13"/>
      <c r="G53" s="20"/>
      <c r="H53" s="20"/>
      <c r="I53" s="20"/>
      <c r="J53" s="20"/>
      <c r="K53" s="20"/>
      <c r="L53" s="20"/>
      <c r="M53" s="20"/>
    </row>
    <row r="54" spans="2:13" x14ac:dyDescent="0.2">
      <c r="B54" s="20"/>
      <c r="C54" s="14"/>
      <c r="D54" s="20"/>
      <c r="E54" s="13"/>
      <c r="F54" s="13"/>
      <c r="G54" s="20"/>
      <c r="H54" s="20"/>
      <c r="I54" s="20"/>
      <c r="J54" s="20"/>
      <c r="K54" s="20"/>
      <c r="L54" s="20"/>
      <c r="M54" s="20"/>
    </row>
    <row r="55" spans="2:13" x14ac:dyDescent="0.2">
      <c r="B55" s="20"/>
      <c r="C55" s="14"/>
      <c r="D55" s="20"/>
      <c r="E55" s="13"/>
      <c r="F55" s="13"/>
      <c r="G55" s="20"/>
      <c r="H55" s="20"/>
      <c r="I55" s="20"/>
      <c r="J55" s="20"/>
      <c r="K55" s="20"/>
      <c r="L55" s="20"/>
      <c r="M55" s="20"/>
    </row>
    <row r="56" spans="2:13" x14ac:dyDescent="0.2">
      <c r="B56" s="20"/>
      <c r="C56" s="14"/>
      <c r="D56" s="20"/>
      <c r="E56" s="13"/>
      <c r="F56" s="13"/>
      <c r="G56" s="20"/>
      <c r="H56" s="20"/>
      <c r="I56" s="20"/>
      <c r="J56" s="20"/>
      <c r="K56" s="20"/>
      <c r="L56" s="20"/>
      <c r="M56" s="20"/>
    </row>
    <row r="57" spans="2:13" x14ac:dyDescent="0.2">
      <c r="B57" s="20"/>
      <c r="C57" s="14"/>
      <c r="D57" s="20"/>
      <c r="E57" s="13"/>
      <c r="F57" s="13"/>
      <c r="G57" s="20"/>
      <c r="H57" s="20"/>
      <c r="I57" s="20"/>
      <c r="J57" s="20"/>
      <c r="K57" s="20"/>
      <c r="L57" s="20"/>
      <c r="M57" s="20"/>
    </row>
  </sheetData>
  <mergeCells count="1">
    <mergeCell ref="B3:M3"/>
  </mergeCells>
  <printOptions horizontalCentered="1"/>
  <pageMargins left="0.5" right="0.5" top="0.5" bottom="0.5" header="0.5" footer="0.5"/>
  <pageSetup scale="7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D12"/>
  <sheetViews>
    <sheetView workbookViewId="0"/>
  </sheetViews>
  <sheetFormatPr defaultRowHeight="12.75" x14ac:dyDescent="0.2"/>
  <cols>
    <col min="1" max="2" width="9.140625" style="4"/>
    <col min="3" max="3" width="14.7109375" style="4" customWidth="1"/>
    <col min="4" max="4" width="13.7109375" style="4" customWidth="1"/>
    <col min="5" max="16384" width="9.140625" style="4"/>
  </cols>
  <sheetData>
    <row r="1" spans="1:4" ht="15" x14ac:dyDescent="0.2">
      <c r="A1" s="2" t="s">
        <v>2</v>
      </c>
      <c r="B1" s="2" t="s">
        <v>5</v>
      </c>
      <c r="C1" s="2" t="s">
        <v>3</v>
      </c>
      <c r="D1" s="3" t="s">
        <v>4</v>
      </c>
    </row>
    <row r="2" spans="1:4" ht="15" x14ac:dyDescent="0.2">
      <c r="A2" s="5">
        <v>3</v>
      </c>
      <c r="B2" s="8">
        <v>0.376</v>
      </c>
      <c r="C2" s="6">
        <v>0.375</v>
      </c>
      <c r="D2" s="7">
        <v>0.11</v>
      </c>
    </row>
    <row r="3" spans="1:4" ht="15" x14ac:dyDescent="0.2">
      <c r="A3" s="5">
        <v>4</v>
      </c>
      <c r="B3" s="8">
        <v>0.66800000000000004</v>
      </c>
      <c r="C3" s="6">
        <v>0.5</v>
      </c>
      <c r="D3" s="7">
        <v>0.2</v>
      </c>
    </row>
    <row r="4" spans="1:4" ht="15" x14ac:dyDescent="0.2">
      <c r="A4" s="5">
        <v>5</v>
      </c>
      <c r="B4" s="8">
        <v>1.0429999999999999</v>
      </c>
      <c r="C4" s="6">
        <v>0.625</v>
      </c>
      <c r="D4" s="7">
        <v>0.31</v>
      </c>
    </row>
    <row r="5" spans="1:4" ht="15" x14ac:dyDescent="0.2">
      <c r="A5" s="5">
        <v>6</v>
      </c>
      <c r="B5" s="8">
        <v>1.502</v>
      </c>
      <c r="C5" s="6">
        <v>0.75</v>
      </c>
      <c r="D5" s="7">
        <v>0.44</v>
      </c>
    </row>
    <row r="6" spans="1:4" ht="15" x14ac:dyDescent="0.2">
      <c r="A6" s="5">
        <v>7</v>
      </c>
      <c r="B6" s="8">
        <v>2.044</v>
      </c>
      <c r="C6" s="6">
        <v>0.875</v>
      </c>
      <c r="D6" s="7">
        <v>0.6</v>
      </c>
    </row>
    <row r="7" spans="1:4" ht="15" x14ac:dyDescent="0.2">
      <c r="A7" s="5">
        <v>8</v>
      </c>
      <c r="B7" s="8">
        <v>2.67</v>
      </c>
      <c r="C7" s="6">
        <v>1</v>
      </c>
      <c r="D7" s="7">
        <v>0.79</v>
      </c>
    </row>
    <row r="8" spans="1:4" ht="15" x14ac:dyDescent="0.2">
      <c r="A8" s="5">
        <v>9</v>
      </c>
      <c r="B8" s="8">
        <v>3.4</v>
      </c>
      <c r="C8" s="6">
        <v>1.1279999999999999</v>
      </c>
      <c r="D8" s="7">
        <v>1</v>
      </c>
    </row>
    <row r="9" spans="1:4" ht="15" x14ac:dyDescent="0.2">
      <c r="A9" s="5">
        <v>10</v>
      </c>
      <c r="B9" s="8">
        <v>4.3029999999999999</v>
      </c>
      <c r="C9" s="6">
        <v>1.27</v>
      </c>
      <c r="D9" s="7">
        <v>1.27</v>
      </c>
    </row>
    <row r="10" spans="1:4" ht="15" x14ac:dyDescent="0.2">
      <c r="A10" s="5">
        <v>11</v>
      </c>
      <c r="B10" s="8">
        <v>5.3129999999999997</v>
      </c>
      <c r="C10" s="6">
        <v>1.41</v>
      </c>
      <c r="D10" s="7">
        <v>1.56</v>
      </c>
    </row>
    <row r="11" spans="1:4" ht="15" x14ac:dyDescent="0.2">
      <c r="A11" s="5">
        <v>14</v>
      </c>
      <c r="B11" s="8">
        <v>7.65</v>
      </c>
      <c r="C11" s="2">
        <v>1.6930000000000001</v>
      </c>
      <c r="D11" s="7">
        <v>2.25</v>
      </c>
    </row>
    <row r="12" spans="1:4" ht="15" x14ac:dyDescent="0.2">
      <c r="A12" s="5">
        <v>18</v>
      </c>
      <c r="B12" s="8">
        <v>13.6</v>
      </c>
      <c r="C12" s="2">
        <v>2.2570000000000001</v>
      </c>
      <c r="D12" s="7">
        <v>4</v>
      </c>
    </row>
  </sheetData>
  <phoneticPr fontId="4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Wall 1</vt:lpstr>
      <vt:lpstr>Wall 2</vt:lpstr>
      <vt:lpstr>bar data</vt:lpstr>
      <vt:lpstr>'Wall 1'!Print_Area</vt:lpstr>
      <vt:lpstr>'Wall 2'!Print_Area</vt:lpstr>
    </vt:vector>
  </TitlesOfParts>
  <Company>WD Partners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Greg Johnson</dc:creator>
  <cp:lastModifiedBy>Greg Johnson</cp:lastModifiedBy>
  <cp:lastPrinted>2018-10-30T11:14:08Z</cp:lastPrinted>
  <dcterms:created xsi:type="dcterms:W3CDTF">2008-04-15T12:06:32Z</dcterms:created>
  <dcterms:modified xsi:type="dcterms:W3CDTF">2018-10-31T18:52:43Z</dcterms:modified>
</cp:coreProperties>
</file>