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\102858\roadway\spreadsheets\"/>
    </mc:Choice>
  </mc:AlternateContent>
  <xr:revisionPtr revIDLastSave="0" documentId="13_ncr:1_{2CE16E0E-BFB4-40A7-89CB-C8C81F3F90AD}" xr6:coauthVersionLast="45" xr6:coauthVersionMax="45" xr10:uidLastSave="{00000000-0000-0000-0000-000000000000}"/>
  <bookViews>
    <workbookView xWindow="-120" yWindow="-120" windowWidth="20640" windowHeight="11160" firstSheet="2" activeTab="2" xr2:uid="{00000000-000D-0000-FFFF-FFFF00000000}"/>
  </bookViews>
  <sheets>
    <sheet name="EROSION CONTROL" sheetId="2" r:id="rId1"/>
    <sheet name="SECTION TOTALS" sheetId="3" r:id="rId2"/>
    <sheet name="SHEET TOTALS" sheetId="4" r:id="rId3"/>
  </sheets>
  <definedNames>
    <definedName name="_xlnm.Print_Area" localSheetId="0">'EROSION CONTROL'!$A$1:$I$22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3" l="1"/>
  <c r="J16" i="3"/>
  <c r="J15" i="3"/>
  <c r="J9" i="3"/>
  <c r="D27" i="3"/>
  <c r="D26" i="3"/>
  <c r="D25" i="3"/>
  <c r="D24" i="3"/>
  <c r="D23" i="3"/>
  <c r="D22" i="3"/>
  <c r="D21" i="3"/>
  <c r="D19" i="3"/>
  <c r="D18" i="3"/>
  <c r="D17" i="3"/>
  <c r="D16" i="3"/>
  <c r="D15" i="3"/>
  <c r="P36" i="3" l="1"/>
  <c r="O36" i="3"/>
  <c r="N36" i="3"/>
  <c r="P33" i="3"/>
  <c r="O33" i="3"/>
  <c r="P29" i="3"/>
  <c r="O29" i="3"/>
  <c r="P25" i="3"/>
  <c r="O25" i="3"/>
  <c r="P23" i="3"/>
  <c r="O23" i="3"/>
  <c r="P21" i="3"/>
  <c r="O21" i="3"/>
  <c r="P18" i="3"/>
  <c r="O18" i="3"/>
  <c r="P16" i="3"/>
  <c r="O16" i="3"/>
  <c r="P14" i="3"/>
  <c r="O14" i="3"/>
  <c r="N14" i="3"/>
  <c r="P11" i="3"/>
  <c r="O11" i="3"/>
  <c r="P8" i="3"/>
  <c r="O8" i="3"/>
  <c r="N8" i="3"/>
  <c r="K35" i="3"/>
  <c r="I35" i="3"/>
  <c r="I30" i="3"/>
  <c r="K30" i="3"/>
  <c r="H30" i="3"/>
  <c r="J30" i="3"/>
  <c r="J35" i="3"/>
  <c r="K33" i="3"/>
  <c r="J33" i="3"/>
  <c r="N33" i="3" s="1"/>
  <c r="K32" i="3"/>
  <c r="J32" i="3"/>
  <c r="K31" i="3"/>
  <c r="J31" i="3"/>
  <c r="K28" i="3"/>
  <c r="J28" i="3"/>
  <c r="J27" i="3"/>
  <c r="K26" i="3"/>
  <c r="J26" i="3"/>
  <c r="K25" i="3"/>
  <c r="J25" i="3"/>
  <c r="K24" i="3"/>
  <c r="J24" i="3"/>
  <c r="K23" i="3"/>
  <c r="J23" i="3"/>
  <c r="K22" i="3"/>
  <c r="J22" i="3"/>
  <c r="K19" i="3"/>
  <c r="J19" i="3"/>
  <c r="N21" i="3" s="1"/>
  <c r="K18" i="3"/>
  <c r="J18" i="3"/>
  <c r="K17" i="3"/>
  <c r="J17" i="3"/>
  <c r="N18" i="3" s="1"/>
  <c r="K16" i="3"/>
  <c r="K15" i="3"/>
  <c r="N16" i="3"/>
  <c r="K13" i="3"/>
  <c r="J13" i="3"/>
  <c r="K12" i="3"/>
  <c r="J12" i="3"/>
  <c r="K11" i="3"/>
  <c r="J11" i="3"/>
  <c r="K10" i="3"/>
  <c r="J10" i="3"/>
  <c r="N11" i="3" s="1"/>
  <c r="K9" i="3"/>
  <c r="K8" i="3"/>
  <c r="J8" i="3"/>
  <c r="K7" i="3"/>
  <c r="J7" i="3"/>
  <c r="K6" i="3"/>
  <c r="J6" i="3"/>
  <c r="E11" i="3"/>
  <c r="E12" i="3"/>
  <c r="E13" i="3"/>
  <c r="E14" i="3"/>
  <c r="E15" i="3"/>
  <c r="E16" i="3"/>
  <c r="E17" i="3"/>
  <c r="E18" i="3"/>
  <c r="E22" i="3"/>
  <c r="E23" i="3"/>
  <c r="E24" i="3"/>
  <c r="E25" i="3"/>
  <c r="E26" i="3"/>
  <c r="E27" i="3"/>
  <c r="N29" i="3" l="1"/>
  <c r="N25" i="3"/>
  <c r="N23" i="3"/>
  <c r="H7" i="2"/>
  <c r="H35" i="3" l="1"/>
  <c r="B35" i="3"/>
  <c r="E30" i="4"/>
  <c r="D30" i="4"/>
  <c r="C30" i="4"/>
  <c r="A30" i="3" l="1"/>
  <c r="A28" i="3"/>
  <c r="A27" i="3"/>
  <c r="A26" i="3"/>
  <c r="A24" i="3"/>
  <c r="A23" i="3"/>
  <c r="A22" i="3"/>
  <c r="A18" i="3"/>
  <c r="A17" i="3"/>
  <c r="A16" i="3"/>
  <c r="B17" i="3" s="1"/>
  <c r="A15" i="3"/>
  <c r="H15" i="3"/>
  <c r="A13" i="3"/>
  <c r="A12" i="3"/>
  <c r="A11" i="3"/>
  <c r="B11" i="3" s="1"/>
  <c r="B6" i="3"/>
  <c r="H17" i="3"/>
  <c r="I15" i="3"/>
  <c r="I11" i="3"/>
  <c r="H11" i="3"/>
  <c r="I17" i="3" l="1"/>
  <c r="I33" i="3"/>
  <c r="H33" i="3"/>
  <c r="B33" i="3"/>
  <c r="H9" i="3"/>
  <c r="B8" i="3"/>
  <c r="I7" i="3"/>
  <c r="H7" i="3"/>
  <c r="B7" i="3"/>
  <c r="I6" i="3"/>
  <c r="H6" i="3"/>
  <c r="I9" i="3" l="1"/>
  <c r="B10" i="3"/>
  <c r="H10" i="3"/>
  <c r="H8" i="3"/>
  <c r="I10" i="3"/>
  <c r="I8" i="3"/>
  <c r="B9" i="3"/>
  <c r="I12" i="3" l="1"/>
  <c r="H12" i="3"/>
  <c r="B12" i="3"/>
  <c r="B13" i="3" l="1"/>
  <c r="I13" i="3"/>
  <c r="H13" i="3"/>
  <c r="I16" i="3" l="1"/>
  <c r="H16" i="3"/>
  <c r="B16" i="3"/>
  <c r="B15" i="3"/>
  <c r="B18" i="3" l="1"/>
  <c r="I18" i="3"/>
  <c r="H18" i="3"/>
  <c r="I19" i="3" l="1"/>
  <c r="B19" i="3"/>
  <c r="H19" i="3"/>
  <c r="I22" i="3" l="1"/>
  <c r="H22" i="3"/>
  <c r="B22" i="3"/>
  <c r="H23" i="3" l="1"/>
  <c r="B23" i="3"/>
  <c r="C24" i="3"/>
  <c r="I23" i="3"/>
  <c r="I25" i="3" l="1"/>
  <c r="B24" i="3"/>
  <c r="H25" i="3"/>
  <c r="B25" i="3"/>
  <c r="C26" i="3"/>
  <c r="I24" i="3"/>
  <c r="H24" i="3"/>
  <c r="H27" i="3" l="1"/>
  <c r="B26" i="3"/>
  <c r="I27" i="3"/>
  <c r="H26" i="3"/>
  <c r="B27" i="3"/>
  <c r="I26" i="3"/>
  <c r="B28" i="3" l="1"/>
  <c r="I28" i="3"/>
  <c r="H28" i="3"/>
  <c r="B30" i="3" l="1"/>
  <c r="B31" i="3" l="1"/>
  <c r="I32" i="3"/>
  <c r="H32" i="3"/>
  <c r="B32" i="3"/>
  <c r="I31" i="3"/>
  <c r="H31" i="3"/>
  <c r="L19" i="2" l="1"/>
  <c r="L20" i="2" s="1"/>
  <c r="L18" i="2"/>
  <c r="L16" i="2"/>
  <c r="L22" i="2" l="1"/>
  <c r="L21" i="2"/>
  <c r="C21" i="2" s="1"/>
  <c r="C19" i="2"/>
  <c r="C18" i="2"/>
  <c r="L17" i="2"/>
  <c r="C17" i="2"/>
  <c r="L15" i="2"/>
  <c r="C16" i="2" l="1"/>
  <c r="C20" i="2"/>
  <c r="C22" i="2"/>
</calcChain>
</file>

<file path=xl/sharedStrings.xml><?xml version="1.0" encoding="utf-8"?>
<sst xmlns="http://schemas.openxmlformats.org/spreadsheetml/2006/main" count="63" uniqueCount="56">
  <si>
    <t>Calc. By:</t>
  </si>
  <si>
    <t>JDC</t>
  </si>
  <si>
    <t>Check By:</t>
  </si>
  <si>
    <t>Permanent Seeded Area:</t>
  </si>
  <si>
    <t>S.Y.</t>
  </si>
  <si>
    <t>Permanent Sodded Area:</t>
  </si>
  <si>
    <t>No. Construction Seasons</t>
  </si>
  <si>
    <t>E101</t>
  </si>
  <si>
    <t>SEEDING AND MULCHING</t>
  </si>
  <si>
    <t>Item No.</t>
  </si>
  <si>
    <t>Description</t>
  </si>
  <si>
    <t>Quantity</t>
  </si>
  <si>
    <t>Formula</t>
  </si>
  <si>
    <t>Soil Analysis Test</t>
  </si>
  <si>
    <t>Topsoil</t>
  </si>
  <si>
    <t>Seeding and Mulching</t>
  </si>
  <si>
    <t>Repair Seeding and Mulching</t>
  </si>
  <si>
    <t>Inter-Seeding</t>
  </si>
  <si>
    <t>Commercial Fertilizer</t>
  </si>
  <si>
    <t>Lime</t>
  </si>
  <si>
    <t>Water</t>
  </si>
  <si>
    <t>EROSION CONTROL QUANTITIES
POR-76-(16.58)</t>
  </si>
  <si>
    <t xml:space="preserve"> </t>
  </si>
  <si>
    <t>End Width</t>
  </si>
  <si>
    <t>SQ yds</t>
  </si>
  <si>
    <t>STATION</t>
  </si>
  <si>
    <t>CUT (SF)</t>
  </si>
  <si>
    <t>FILL (SF)</t>
  </si>
  <si>
    <t>CUT (CY)</t>
  </si>
  <si>
    <t>FILL (CY)</t>
  </si>
  <si>
    <t>ITEM 203 - EXCAVATION/fill</t>
  </si>
  <si>
    <t>CR 137</t>
  </si>
  <si>
    <t>EARTHWORK/SEEDING</t>
  </si>
  <si>
    <t>LOCATION</t>
  </si>
  <si>
    <t>EXCAVATION</t>
  </si>
  <si>
    <t>EMBANKMENT</t>
  </si>
  <si>
    <t>SEEDING AND MULCHING AS PER PLAN</t>
  </si>
  <si>
    <t>SHEET</t>
  </si>
  <si>
    <t>NO.</t>
  </si>
  <si>
    <t>CY</t>
  </si>
  <si>
    <t xml:space="preserve">CY </t>
  </si>
  <si>
    <t>SY</t>
  </si>
  <si>
    <t>$XS001$</t>
  </si>
  <si>
    <t>$XS002$</t>
  </si>
  <si>
    <t>$XS003$</t>
  </si>
  <si>
    <t>$XS004$</t>
  </si>
  <si>
    <t>$XS005$</t>
  </si>
  <si>
    <t>$XS006$</t>
  </si>
  <si>
    <t>$XS007$</t>
  </si>
  <si>
    <t>$XS008$</t>
  </si>
  <si>
    <t>$XS009$</t>
  </si>
  <si>
    <t>$XS010$</t>
  </si>
  <si>
    <t>$XS011$</t>
  </si>
  <si>
    <t>TOTALS</t>
  </si>
  <si>
    <t>VLC</t>
  </si>
  <si>
    <t>WHOLE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</si>
</sst>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\ &quot;SQ. YD.&quot;"/>
    <numFmt numFmtId="165" formatCode="0\+0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2"/>
    <xf numFmtId="0" fontId="2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horizontal="left" vertical="center"/>
    </xf>
    <xf numFmtId="14" fontId="1" fillId="0" borderId="0" xfId="1" applyNumberForma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2" fontId="4" fillId="0" borderId="0" xfId="1" applyNumberFormat="1" applyFont="1" applyBorder="1" applyAlignment="1">
      <alignment horizontal="center" vertical="center"/>
    </xf>
    <xf numFmtId="0" fontId="3" fillId="0" borderId="0" xfId="2" applyBorder="1"/>
    <xf numFmtId="0" fontId="4" fillId="0" borderId="0" xfId="1" applyFont="1" applyBorder="1" applyAlignment="1">
      <alignment horizontal="right" vertical="center"/>
    </xf>
    <xf numFmtId="1" fontId="4" fillId="0" borderId="0" xfId="1" applyNumberFormat="1" applyFont="1" applyBorder="1" applyAlignment="1">
      <alignment horizontal="right" vertical="center"/>
    </xf>
    <xf numFmtId="1" fontId="4" fillId="0" borderId="0" xfId="3" applyNumberFormat="1" applyFont="1" applyBorder="1" applyAlignment="1">
      <alignment horizontal="right" vertical="center"/>
    </xf>
    <xf numFmtId="0" fontId="1" fillId="0" borderId="0" xfId="1" applyBorder="1" applyAlignment="1"/>
    <xf numFmtId="0" fontId="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/>
    </xf>
    <xf numFmtId="2" fontId="4" fillId="0" borderId="0" xfId="3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/>
    <xf numFmtId="0" fontId="7" fillId="0" borderId="0" xfId="1" applyFont="1" applyAlignment="1">
      <alignment horizontal="center" vertical="center"/>
    </xf>
    <xf numFmtId="2" fontId="4" fillId="0" borderId="0" xfId="3" applyNumberFormat="1" applyFont="1" applyBorder="1"/>
    <xf numFmtId="0" fontId="8" fillId="0" borderId="0" xfId="1" applyFont="1" applyAlignment="1">
      <alignment horizontal="center" vertical="center"/>
    </xf>
    <xf numFmtId="1" fontId="4" fillId="0" borderId="0" xfId="1" applyNumberFormat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left" vertical="center"/>
    </xf>
    <xf numFmtId="2" fontId="4" fillId="0" borderId="0" xfId="1" applyNumberFormat="1" applyFont="1" applyBorder="1" applyAlignment="1">
      <alignment horizontal="left" vertical="center"/>
    </xf>
    <xf numFmtId="2" fontId="8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/>
    <xf numFmtId="0" fontId="1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1" fontId="1" fillId="0" borderId="27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4">
    <cellStyle name="Currency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view="pageBreakPreview" zoomScale="85" zoomScaleNormal="100" zoomScaleSheetLayoutView="85" workbookViewId="0">
      <selection activeCell="F14" sqref="F14"/>
    </sheetView>
  </sheetViews>
  <sheetFormatPr defaultRowHeight="15" x14ac:dyDescent="0.25"/>
  <cols>
    <col min="2" max="2" width="28.5703125" bestFit="1" customWidth="1"/>
    <col min="3" max="3" width="88.5703125" bestFit="1" customWidth="1"/>
    <col min="8" max="8" width="10.28515625" bestFit="1" customWidth="1"/>
  </cols>
  <sheetData>
    <row r="1" spans="1:12" x14ac:dyDescent="0.25">
      <c r="A1" s="1"/>
      <c r="B1" s="68" t="s">
        <v>21</v>
      </c>
      <c r="C1" s="69"/>
      <c r="D1" s="69"/>
      <c r="E1" s="69"/>
      <c r="F1" s="69"/>
      <c r="G1" s="69"/>
      <c r="H1" s="2"/>
      <c r="I1" s="2"/>
      <c r="J1" s="3"/>
      <c r="K1" s="3"/>
      <c r="L1" s="3"/>
    </row>
    <row r="2" spans="1:12" x14ac:dyDescent="0.25">
      <c r="A2" s="2"/>
      <c r="B2" s="69"/>
      <c r="C2" s="69"/>
      <c r="D2" s="69"/>
      <c r="E2" s="69"/>
      <c r="F2" s="69"/>
      <c r="G2" s="69"/>
      <c r="H2" s="2"/>
      <c r="I2" s="2"/>
      <c r="J2" s="3"/>
      <c r="K2" s="3"/>
      <c r="L2" s="3"/>
    </row>
    <row r="3" spans="1:12" x14ac:dyDescent="0.25">
      <c r="A3" s="4"/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2" x14ac:dyDescent="0.25">
      <c r="A4" s="4"/>
      <c r="B4" s="2"/>
      <c r="C4" s="2"/>
      <c r="D4" s="2"/>
      <c r="E4" s="2"/>
      <c r="F4" s="5" t="s">
        <v>0</v>
      </c>
      <c r="G4" s="6" t="s">
        <v>54</v>
      </c>
      <c r="H4" s="7">
        <v>43494</v>
      </c>
      <c r="I4" s="2"/>
      <c r="J4" s="3"/>
      <c r="K4" s="3"/>
      <c r="L4" s="3"/>
    </row>
    <row r="5" spans="1:12" x14ac:dyDescent="0.25">
      <c r="A5" s="4"/>
      <c r="B5" s="2"/>
      <c r="C5" s="2"/>
      <c r="D5" s="2"/>
      <c r="E5" s="2"/>
      <c r="F5" s="5" t="s">
        <v>2</v>
      </c>
      <c r="G5" s="8" t="s">
        <v>1</v>
      </c>
      <c r="H5" s="7"/>
      <c r="I5" s="2"/>
      <c r="J5" s="3"/>
      <c r="K5" s="3"/>
      <c r="L5" s="3"/>
    </row>
    <row r="6" spans="1:12" x14ac:dyDescent="0.25">
      <c r="A6" s="9"/>
      <c r="B6" s="10"/>
      <c r="C6" s="11"/>
      <c r="D6" s="11"/>
      <c r="E6" s="12"/>
      <c r="F6" s="11"/>
      <c r="G6" s="13"/>
      <c r="H6" s="13"/>
      <c r="I6" s="11"/>
      <c r="J6" s="3"/>
      <c r="K6" s="3"/>
      <c r="L6" s="3"/>
    </row>
    <row r="7" spans="1:12" x14ac:dyDescent="0.25">
      <c r="A7" s="9"/>
      <c r="B7" s="10"/>
      <c r="C7" s="11"/>
      <c r="D7" s="11"/>
      <c r="E7" s="12"/>
      <c r="F7" s="14"/>
      <c r="G7" s="15" t="s">
        <v>3</v>
      </c>
      <c r="H7" s="16">
        <f>'SHEET TOTALS'!$E$30</f>
        <v>2281</v>
      </c>
      <c r="I7" s="12" t="s">
        <v>4</v>
      </c>
      <c r="J7" s="3"/>
      <c r="K7" s="3"/>
      <c r="L7" s="3"/>
    </row>
    <row r="8" spans="1:12" x14ac:dyDescent="0.25">
      <c r="A8" s="9"/>
      <c r="B8" s="10"/>
      <c r="C8" s="11"/>
      <c r="D8" s="11"/>
      <c r="E8" s="12"/>
      <c r="F8" s="14"/>
      <c r="G8" s="15" t="s">
        <v>5</v>
      </c>
      <c r="H8" s="17">
        <v>0</v>
      </c>
      <c r="I8" s="12" t="s">
        <v>4</v>
      </c>
      <c r="J8" s="3"/>
      <c r="K8" s="3"/>
      <c r="L8" s="3"/>
    </row>
    <row r="9" spans="1:12" x14ac:dyDescent="0.25">
      <c r="A9" s="9"/>
      <c r="B9" s="10"/>
      <c r="C9" s="11"/>
      <c r="D9" s="11"/>
      <c r="E9" s="12"/>
      <c r="F9" s="14"/>
      <c r="G9" s="15" t="s">
        <v>6</v>
      </c>
      <c r="H9" s="17">
        <v>1</v>
      </c>
      <c r="I9" s="12"/>
      <c r="J9" s="3"/>
      <c r="K9" s="3"/>
      <c r="L9" s="3"/>
    </row>
    <row r="10" spans="1:12" x14ac:dyDescent="0.25">
      <c r="A10" s="9"/>
      <c r="B10" s="10"/>
      <c r="C10" s="11"/>
      <c r="D10" s="11"/>
      <c r="E10" s="12"/>
      <c r="F10" s="15"/>
      <c r="G10" s="18"/>
      <c r="H10" s="17"/>
      <c r="I10" s="12"/>
      <c r="J10" s="3"/>
      <c r="K10" s="3"/>
      <c r="L10" s="3"/>
    </row>
    <row r="11" spans="1:12" x14ac:dyDescent="0.25">
      <c r="A11" s="19" t="s">
        <v>7</v>
      </c>
      <c r="B11" s="20" t="s">
        <v>8</v>
      </c>
      <c r="C11" s="11"/>
      <c r="D11" s="11"/>
      <c r="E11" s="12"/>
      <c r="F11" s="15"/>
      <c r="G11" s="18"/>
      <c r="H11" s="17"/>
      <c r="I11" s="12"/>
      <c r="J11" s="3"/>
      <c r="K11" s="3"/>
      <c r="L11" s="3"/>
    </row>
    <row r="12" spans="1:12" x14ac:dyDescent="0.25">
      <c r="A12" s="9"/>
      <c r="B12" s="10"/>
      <c r="C12" s="11"/>
      <c r="D12" s="11"/>
      <c r="E12" s="12"/>
      <c r="F12" s="12"/>
      <c r="G12" s="21"/>
      <c r="H12" s="17"/>
      <c r="I12" s="12"/>
      <c r="J12" s="3"/>
      <c r="K12" s="3"/>
      <c r="L12" s="3"/>
    </row>
    <row r="13" spans="1:12" x14ac:dyDescent="0.25">
      <c r="A13" s="22" t="s">
        <v>9</v>
      </c>
      <c r="B13" s="23" t="s">
        <v>10</v>
      </c>
      <c r="C13" s="24" t="s">
        <v>11</v>
      </c>
      <c r="D13" s="14"/>
      <c r="E13" s="24"/>
      <c r="F13" s="12"/>
      <c r="G13" s="21"/>
      <c r="H13" s="21"/>
      <c r="I13" s="25"/>
      <c r="J13" s="3"/>
      <c r="K13" s="3"/>
      <c r="L13" s="26" t="s">
        <v>12</v>
      </c>
    </row>
    <row r="14" spans="1:12" x14ac:dyDescent="0.25">
      <c r="A14" s="9"/>
      <c r="B14" s="10"/>
      <c r="C14" s="11"/>
      <c r="D14" s="14"/>
      <c r="E14" s="11"/>
      <c r="F14" s="25"/>
      <c r="G14" s="27"/>
      <c r="H14" s="27"/>
      <c r="I14" s="25"/>
      <c r="J14" s="3"/>
      <c r="K14" s="3"/>
      <c r="L14" s="28"/>
    </row>
    <row r="15" spans="1:12" x14ac:dyDescent="0.25">
      <c r="A15" s="9">
        <v>659</v>
      </c>
      <c r="B15" s="10" t="s">
        <v>13</v>
      </c>
      <c r="C15" s="29">
        <v>0</v>
      </c>
      <c r="D15" s="14"/>
      <c r="E15" s="11"/>
      <c r="F15" s="12"/>
      <c r="G15" s="21"/>
      <c r="H15" s="21"/>
      <c r="I15" s="25"/>
      <c r="J15" s="3"/>
      <c r="K15" s="3"/>
      <c r="L15" s="30">
        <f>IF(20000&gt;L16&gt;0, 0)</f>
        <v>0</v>
      </c>
    </row>
    <row r="16" spans="1:12" hidden="1" x14ac:dyDescent="0.25">
      <c r="A16" s="9">
        <v>659</v>
      </c>
      <c r="B16" s="10" t="s">
        <v>14</v>
      </c>
      <c r="C16" s="29" t="str">
        <f>CONCATENATE(H7," SQ. YD.  X 111 CU. YD./1000 SQ. YD. = ",L16," CU. YD.")</f>
        <v>2281 SQ. YD.  X 111 CU. YD./1000 SQ. YD. = 253 CU. YD.</v>
      </c>
      <c r="D16" s="14"/>
      <c r="E16" s="11"/>
      <c r="F16" s="12"/>
      <c r="G16" s="21"/>
      <c r="H16" s="21"/>
      <c r="I16" s="25"/>
      <c r="J16" s="3"/>
      <c r="K16" s="3"/>
      <c r="L16" s="30">
        <f>ROUND(111*($H$7/1000),0)</f>
        <v>253</v>
      </c>
    </row>
    <row r="17" spans="1:12" x14ac:dyDescent="0.25">
      <c r="A17" s="9">
        <v>659</v>
      </c>
      <c r="B17" s="10" t="s">
        <v>15</v>
      </c>
      <c r="C17" s="31">
        <f>$H$7</f>
        <v>2281</v>
      </c>
      <c r="D17" s="14"/>
      <c r="E17" s="11"/>
      <c r="F17" s="12"/>
      <c r="G17" s="21"/>
      <c r="H17" s="21"/>
      <c r="I17" s="25"/>
      <c r="J17" s="3"/>
      <c r="K17" s="3"/>
      <c r="L17" s="30">
        <f>$H$7</f>
        <v>2281</v>
      </c>
    </row>
    <row r="18" spans="1:12" x14ac:dyDescent="0.25">
      <c r="A18" s="9">
        <v>659</v>
      </c>
      <c r="B18" s="10" t="s">
        <v>16</v>
      </c>
      <c r="C18" s="29" t="str">
        <f>CONCATENATE("5% X ",H7," SY = ",L18," SY")</f>
        <v>5% X 2281 SY = 114 SY</v>
      </c>
      <c r="D18" s="14"/>
      <c r="E18" s="11"/>
      <c r="F18" s="12"/>
      <c r="G18" s="21"/>
      <c r="H18" s="21"/>
      <c r="I18" s="25"/>
      <c r="J18" s="3"/>
      <c r="K18" s="3"/>
      <c r="L18" s="30">
        <f>ROUND(0.05*$H$7,0)</f>
        <v>114</v>
      </c>
    </row>
    <row r="19" spans="1:12" x14ac:dyDescent="0.25">
      <c r="A19" s="9">
        <v>659</v>
      </c>
      <c r="B19" s="10" t="s">
        <v>17</v>
      </c>
      <c r="C19" s="29" t="str">
        <f>CONCATENATE("5% X ", H7, " SY = ", L19, " SY")</f>
        <v>5% X 2281 SY = 114 SY</v>
      </c>
      <c r="D19" s="14"/>
      <c r="E19" s="11"/>
      <c r="F19" s="12"/>
      <c r="G19" s="21"/>
      <c r="H19" s="21"/>
      <c r="I19" s="25"/>
      <c r="J19" s="3"/>
      <c r="K19" s="3"/>
      <c r="L19" s="30">
        <f>ROUND(0.05*$H$7,0)</f>
        <v>114</v>
      </c>
    </row>
    <row r="20" spans="1:12" x14ac:dyDescent="0.25">
      <c r="A20" s="9">
        <v>659</v>
      </c>
      <c r="B20" s="10" t="s">
        <v>18</v>
      </c>
      <c r="C20" s="32" t="str">
        <f>CONCATENATE(H7, " SY / 4446 SY = ", L20, " Ton")</f>
        <v>2281 SY / 4446 SY = 0.52 Ton</v>
      </c>
      <c r="D20" s="14"/>
      <c r="E20" s="11"/>
      <c r="F20" s="12"/>
      <c r="G20" s="21"/>
      <c r="H20" s="21"/>
      <c r="I20" s="25"/>
      <c r="J20" s="3"/>
      <c r="K20" s="3"/>
      <c r="L20" s="33">
        <f>ROUNDUP(IF(L19&lt;=0,(30/2000*$H$7*9/1000),(50/2000*$H$7*9/1000)),2)</f>
        <v>0.52</v>
      </c>
    </row>
    <row r="21" spans="1:12" x14ac:dyDescent="0.25">
      <c r="A21" s="9">
        <v>659</v>
      </c>
      <c r="B21" s="10" t="s">
        <v>19</v>
      </c>
      <c r="C21" s="32" t="str">
        <f>CONCATENATE(H7," SY / 4840 SY = ",L21," Acre")</f>
        <v>2281 SY / 4840 SY = 0.47 Acre</v>
      </c>
      <c r="D21" s="14"/>
      <c r="E21" s="11"/>
      <c r="F21" s="12"/>
      <c r="G21" s="21"/>
      <c r="H21" s="21"/>
      <c r="I21" s="25"/>
      <c r="J21" s="3"/>
      <c r="K21" s="3"/>
      <c r="L21" s="33">
        <f>ROUND($H$7/4840,2)</f>
        <v>0.47</v>
      </c>
    </row>
    <row r="22" spans="1:12" x14ac:dyDescent="0.25">
      <c r="A22" s="9">
        <v>659</v>
      </c>
      <c r="B22" s="10" t="s">
        <v>20</v>
      </c>
      <c r="C22" s="29" t="str">
        <f>CONCATENATE("0.0027 MGAL / SY X ",H7, " SY +  0.0027 MGAL/SY X ",L18, " SY  X 2 APPLICATIONS= ",L22, " MGAL")</f>
        <v>0.0027 MGAL / SY X 2281 SY +  0.0027 MGAL/SY X 114 SY  X 2 APPLICATIONS= 12.93 MGAL</v>
      </c>
      <c r="D22" s="14"/>
      <c r="E22" s="11"/>
      <c r="F22" s="12"/>
      <c r="G22" s="21"/>
      <c r="H22" s="21"/>
      <c r="I22" s="25"/>
      <c r="J22" s="3"/>
      <c r="K22" s="3"/>
      <c r="L22" s="33">
        <f>ROUND((((H7*0.0027)+(0.0027*L19))*2),2)</f>
        <v>12.93</v>
      </c>
    </row>
  </sheetData>
  <mergeCells count="1">
    <mergeCell ref="B1:G2"/>
  </mergeCells>
  <pageMargins left="0.7" right="0.7" top="0.75" bottom="0.75" header="0.3" footer="0.3"/>
  <pageSetup scale="4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"/>
  <sheetViews>
    <sheetView topLeftCell="A25" workbookViewId="0">
      <selection activeCell="J33" sqref="J33"/>
    </sheetView>
  </sheetViews>
  <sheetFormatPr defaultRowHeight="15" x14ac:dyDescent="0.25"/>
  <cols>
    <col min="3" max="3" width="9.5703125" bestFit="1" customWidth="1"/>
  </cols>
  <sheetData>
    <row r="1" spans="1:16" x14ac:dyDescent="0.25">
      <c r="A1" s="34"/>
      <c r="B1" s="34"/>
      <c r="C1" s="70" t="s">
        <v>30</v>
      </c>
      <c r="D1" s="70"/>
      <c r="E1" s="70"/>
      <c r="F1" s="70"/>
      <c r="G1" s="70"/>
      <c r="H1" s="70"/>
      <c r="I1" s="70"/>
      <c r="K1" s="35"/>
    </row>
    <row r="2" spans="1:16" x14ac:dyDescent="0.25">
      <c r="A2" s="36"/>
      <c r="B2" s="36"/>
      <c r="C2" s="37"/>
      <c r="D2" s="38" t="s">
        <v>22</v>
      </c>
      <c r="E2" s="38" t="s">
        <v>22</v>
      </c>
      <c r="F2" s="71" t="s">
        <v>55</v>
      </c>
      <c r="G2" s="72"/>
      <c r="H2" s="38" t="s">
        <v>22</v>
      </c>
      <c r="I2" s="38" t="s">
        <v>22</v>
      </c>
      <c r="K2" s="35"/>
    </row>
    <row r="3" spans="1:16" x14ac:dyDescent="0.25">
      <c r="A3" s="36" t="s">
        <v>23</v>
      </c>
      <c r="B3" s="36" t="s">
        <v>24</v>
      </c>
      <c r="C3" s="39" t="s">
        <v>25</v>
      </c>
      <c r="D3" s="36" t="s">
        <v>26</v>
      </c>
      <c r="E3" s="36" t="s">
        <v>27</v>
      </c>
      <c r="F3" s="36" t="s">
        <v>26</v>
      </c>
      <c r="G3" s="36" t="s">
        <v>27</v>
      </c>
      <c r="H3" s="36" t="s">
        <v>28</v>
      </c>
      <c r="I3" s="36" t="s">
        <v>29</v>
      </c>
      <c r="K3" s="35"/>
    </row>
    <row r="4" spans="1:16" x14ac:dyDescent="0.25">
      <c r="A4" s="36"/>
      <c r="B4" s="36"/>
      <c r="C4" s="39" t="s">
        <v>31</v>
      </c>
      <c r="D4" s="36"/>
      <c r="E4" s="36"/>
      <c r="F4" s="36"/>
      <c r="G4" s="36"/>
      <c r="H4" s="36"/>
      <c r="I4" s="36"/>
      <c r="K4" s="35"/>
    </row>
    <row r="5" spans="1:16" x14ac:dyDescent="0.25">
      <c r="A5" s="36">
        <v>0</v>
      </c>
      <c r="B5" s="36"/>
      <c r="C5" s="40">
        <v>4475.96</v>
      </c>
      <c r="D5" s="36">
        <v>3</v>
      </c>
      <c r="E5" s="36">
        <v>0</v>
      </c>
      <c r="F5" s="36">
        <v>3</v>
      </c>
      <c r="G5" s="36">
        <v>0</v>
      </c>
      <c r="H5" s="36"/>
      <c r="I5" s="36"/>
      <c r="K5" s="35"/>
    </row>
    <row r="6" spans="1:16" x14ac:dyDescent="0.25">
      <c r="A6" s="36">
        <v>10</v>
      </c>
      <c r="B6" s="36">
        <f>ROUND(((($A5+$A6)/2)*($C6-$C5))/9,0)</f>
        <v>13</v>
      </c>
      <c r="C6" s="40">
        <v>4500</v>
      </c>
      <c r="D6" s="41">
        <v>1.5428999999999999</v>
      </c>
      <c r="E6" s="41">
        <v>1.7070000000000001</v>
      </c>
      <c r="F6" s="41">
        <v>2</v>
      </c>
      <c r="G6" s="41">
        <v>2</v>
      </c>
      <c r="H6" s="36">
        <f t="shared" ref="H6:I22" si="0">ROUND((((D6+D5)/2)*($C6-$C5))/27,0)</f>
        <v>2</v>
      </c>
      <c r="I6" s="36">
        <f t="shared" si="0"/>
        <v>1</v>
      </c>
      <c r="J6" s="36">
        <f t="shared" ref="J6:J16" si="1">ROUND((((F6+F5)/2)*($C6-$C5))/27,0)</f>
        <v>2</v>
      </c>
      <c r="K6" s="36">
        <f t="shared" ref="K6:K13" si="2">ROUND((((G6+G5)/2)*($C6-$C5))/27,0)</f>
        <v>1</v>
      </c>
    </row>
    <row r="7" spans="1:16" x14ac:dyDescent="0.25">
      <c r="A7" s="36">
        <v>8</v>
      </c>
      <c r="B7" s="36">
        <f>ROUND(((($A6+$A7)/2)*($C7-$C6))/9,0)</f>
        <v>50</v>
      </c>
      <c r="C7" s="40">
        <v>4550</v>
      </c>
      <c r="D7" s="41">
        <v>1.5037</v>
      </c>
      <c r="E7" s="41">
        <v>0.41949999999999998</v>
      </c>
      <c r="F7" s="41">
        <v>2</v>
      </c>
      <c r="G7" s="41">
        <v>0</v>
      </c>
      <c r="H7" s="36">
        <f t="shared" si="0"/>
        <v>3</v>
      </c>
      <c r="I7" s="36">
        <f t="shared" si="0"/>
        <v>2</v>
      </c>
      <c r="J7" s="107">
        <f t="shared" si="1"/>
        <v>4</v>
      </c>
      <c r="K7" s="36">
        <f t="shared" si="2"/>
        <v>2</v>
      </c>
    </row>
    <row r="8" spans="1:16" ht="15.75" thickBot="1" x14ac:dyDescent="0.3">
      <c r="A8" s="60">
        <v>8</v>
      </c>
      <c r="B8" s="60">
        <f>ROUND(((($A7+$A8)/2)*($C8-$C7))/9,0)</f>
        <v>22</v>
      </c>
      <c r="C8" s="61">
        <v>4575</v>
      </c>
      <c r="D8" s="62">
        <v>2.5958999999999999</v>
      </c>
      <c r="E8" s="62">
        <v>0.2397</v>
      </c>
      <c r="F8" s="62">
        <v>3</v>
      </c>
      <c r="G8" s="62">
        <v>0</v>
      </c>
      <c r="H8" s="60">
        <f t="shared" si="0"/>
        <v>2</v>
      </c>
      <c r="I8" s="60">
        <f t="shared" si="0"/>
        <v>0</v>
      </c>
      <c r="J8" s="60">
        <f t="shared" si="1"/>
        <v>2</v>
      </c>
      <c r="K8" s="60">
        <f t="shared" si="2"/>
        <v>0</v>
      </c>
      <c r="M8" s="67"/>
      <c r="N8">
        <f>SUM(J6:J8)</f>
        <v>8</v>
      </c>
      <c r="O8">
        <f>SUM(K6:K8)</f>
        <v>3</v>
      </c>
      <c r="P8">
        <f>SUM(B6:B8)</f>
        <v>85</v>
      </c>
    </row>
    <row r="9" spans="1:16" ht="15.75" thickBot="1" x14ac:dyDescent="0.3">
      <c r="A9" s="57">
        <v>8</v>
      </c>
      <c r="B9" s="57">
        <f t="shared" ref="B9:B32" si="3">ROUND(((($A8+$A9)/2)*($C9-$C8))/9,0)</f>
        <v>22</v>
      </c>
      <c r="C9" s="58">
        <v>4600</v>
      </c>
      <c r="D9" s="59">
        <v>2.794</v>
      </c>
      <c r="E9" s="59">
        <v>0.188</v>
      </c>
      <c r="F9" s="106">
        <v>3</v>
      </c>
      <c r="G9" s="59">
        <v>0</v>
      </c>
      <c r="H9" s="57">
        <f t="shared" si="0"/>
        <v>2</v>
      </c>
      <c r="I9" s="57">
        <f t="shared" si="0"/>
        <v>0</v>
      </c>
      <c r="J9" s="60">
        <f t="shared" si="1"/>
        <v>3</v>
      </c>
      <c r="K9" s="57">
        <f t="shared" si="2"/>
        <v>0</v>
      </c>
    </row>
    <row r="10" spans="1:16" x14ac:dyDescent="0.25">
      <c r="A10" s="36">
        <v>8</v>
      </c>
      <c r="B10" s="36">
        <f t="shared" si="3"/>
        <v>11</v>
      </c>
      <c r="C10" s="40">
        <v>4612</v>
      </c>
      <c r="D10" s="41">
        <v>2.56</v>
      </c>
      <c r="E10" s="41">
        <v>0.26079999999999998</v>
      </c>
      <c r="F10" s="41">
        <v>3</v>
      </c>
      <c r="G10" s="41">
        <v>0</v>
      </c>
      <c r="H10" s="36">
        <f t="shared" si="0"/>
        <v>1</v>
      </c>
      <c r="I10" s="36">
        <f t="shared" si="0"/>
        <v>0</v>
      </c>
      <c r="J10" s="36">
        <f t="shared" si="1"/>
        <v>1</v>
      </c>
      <c r="K10" s="36">
        <f t="shared" si="2"/>
        <v>0</v>
      </c>
    </row>
    <row r="11" spans="1:16" ht="15.75" thickBot="1" x14ac:dyDescent="0.3">
      <c r="A11" s="60">
        <f>8+16</f>
        <v>24</v>
      </c>
      <c r="B11" s="60">
        <f t="shared" si="3"/>
        <v>36</v>
      </c>
      <c r="C11" s="61">
        <v>4632</v>
      </c>
      <c r="D11" s="62">
        <v>6</v>
      </c>
      <c r="E11" s="62">
        <f>0.5499+0.7767</f>
        <v>1.3266</v>
      </c>
      <c r="F11" s="62">
        <v>6</v>
      </c>
      <c r="G11" s="62">
        <v>1</v>
      </c>
      <c r="H11" s="60">
        <f t="shared" ref="H11" si="4">ROUND((((D11+D10)/2)*($C11-$C10))/27,0)</f>
        <v>3</v>
      </c>
      <c r="I11" s="60">
        <f t="shared" ref="I11" si="5">ROUND((((E11+E10)/2)*($C11-$C10))/27,0)</f>
        <v>1</v>
      </c>
      <c r="J11" s="60">
        <f t="shared" si="1"/>
        <v>3</v>
      </c>
      <c r="K11" s="108">
        <f t="shared" si="2"/>
        <v>0</v>
      </c>
      <c r="N11">
        <f>SUM(J9:J11)</f>
        <v>7</v>
      </c>
      <c r="O11">
        <f>SUM(K9:K11)</f>
        <v>0</v>
      </c>
      <c r="P11">
        <f>SUM(B9:B11)</f>
        <v>69</v>
      </c>
    </row>
    <row r="12" spans="1:16" x14ac:dyDescent="0.25">
      <c r="A12" s="57">
        <f>8+17</f>
        <v>25</v>
      </c>
      <c r="B12" s="57">
        <f t="shared" si="3"/>
        <v>49</v>
      </c>
      <c r="C12" s="58">
        <v>4650</v>
      </c>
      <c r="D12" s="59">
        <v>5</v>
      </c>
      <c r="E12" s="59">
        <f>0.5122+2.3151</f>
        <v>2.8273000000000001</v>
      </c>
      <c r="F12" s="59">
        <v>5</v>
      </c>
      <c r="G12" s="59">
        <v>3</v>
      </c>
      <c r="H12" s="57">
        <f t="shared" si="0"/>
        <v>4</v>
      </c>
      <c r="I12" s="57">
        <f t="shared" si="0"/>
        <v>1</v>
      </c>
      <c r="J12" s="57">
        <f t="shared" si="1"/>
        <v>4</v>
      </c>
      <c r="K12" s="57">
        <f t="shared" si="2"/>
        <v>1</v>
      </c>
    </row>
    <row r="13" spans="1:16" x14ac:dyDescent="0.25">
      <c r="A13" s="36">
        <f>9+8</f>
        <v>17</v>
      </c>
      <c r="B13" s="36">
        <f t="shared" si="3"/>
        <v>70</v>
      </c>
      <c r="C13" s="40">
        <v>4680</v>
      </c>
      <c r="D13" s="41">
        <v>5</v>
      </c>
      <c r="E13" s="41">
        <f>0.5122+2.3151</f>
        <v>2.8273000000000001</v>
      </c>
      <c r="F13" s="41">
        <v>5</v>
      </c>
      <c r="G13" s="41">
        <v>3</v>
      </c>
      <c r="H13" s="36">
        <f t="shared" si="0"/>
        <v>6</v>
      </c>
      <c r="I13" s="36">
        <f t="shared" si="0"/>
        <v>3</v>
      </c>
      <c r="J13" s="36">
        <f t="shared" si="1"/>
        <v>6</v>
      </c>
      <c r="K13" s="36">
        <f t="shared" si="2"/>
        <v>3</v>
      </c>
    </row>
    <row r="14" spans="1:16" ht="15.75" thickBot="1" x14ac:dyDescent="0.3">
      <c r="A14" s="60"/>
      <c r="B14" s="60"/>
      <c r="C14" s="61">
        <v>4680</v>
      </c>
      <c r="D14" s="62">
        <v>11.205399999999999</v>
      </c>
      <c r="E14" s="62">
        <f>0.6107+0.5304</f>
        <v>1.1411</v>
      </c>
      <c r="F14" s="109">
        <v>11</v>
      </c>
      <c r="G14" s="62">
        <v>1</v>
      </c>
      <c r="H14" s="60"/>
      <c r="I14" s="60"/>
      <c r="J14" s="60"/>
      <c r="K14" s="60"/>
      <c r="N14">
        <f>SUM(J12:J14)</f>
        <v>10</v>
      </c>
      <c r="O14">
        <f>SUM(K12:K14)</f>
        <v>4</v>
      </c>
      <c r="P14">
        <f>SUM(B12:B14)</f>
        <v>119</v>
      </c>
    </row>
    <row r="15" spans="1:16" x14ac:dyDescent="0.25">
      <c r="A15" s="57">
        <f>9+8</f>
        <v>17</v>
      </c>
      <c r="B15" s="57">
        <f>ROUND(((($A13+$A15)/2)*($C15-$C13))/9,0)</f>
        <v>132</v>
      </c>
      <c r="C15" s="58">
        <v>4750</v>
      </c>
      <c r="D15" s="59">
        <f>2.1358+2.0426</f>
        <v>4.1783999999999999</v>
      </c>
      <c r="E15" s="59">
        <f>0.83+0.43</f>
        <v>1.26</v>
      </c>
      <c r="F15" s="106">
        <v>4</v>
      </c>
      <c r="G15" s="59">
        <v>1</v>
      </c>
      <c r="H15" s="57">
        <f>ROUND((((D15+D14)/2)*($C15-$C14))/27,0)</f>
        <v>20</v>
      </c>
      <c r="I15" s="57">
        <f>ROUND((((E15+E14)/2)*($C15-$C14))/27,0)</f>
        <v>3</v>
      </c>
      <c r="J15" s="114">
        <f t="shared" si="1"/>
        <v>19</v>
      </c>
      <c r="K15" s="57">
        <f>ROUND((((G15+G14)/2)*($C15-$C14))/27,0)</f>
        <v>3</v>
      </c>
    </row>
    <row r="16" spans="1:16" ht="15.75" thickBot="1" x14ac:dyDescent="0.3">
      <c r="A16" s="60">
        <f>9+7</f>
        <v>16</v>
      </c>
      <c r="B16" s="60">
        <f t="shared" si="3"/>
        <v>92</v>
      </c>
      <c r="C16" s="61">
        <v>4800</v>
      </c>
      <c r="D16" s="62">
        <f>1.7735+2.3161</f>
        <v>4.0895999999999999</v>
      </c>
      <c r="E16" s="62">
        <f>0.96+0.38</f>
        <v>1.3399999999999999</v>
      </c>
      <c r="F16" s="109">
        <v>4</v>
      </c>
      <c r="G16" s="62">
        <v>1</v>
      </c>
      <c r="H16" s="60">
        <f t="shared" si="0"/>
        <v>8</v>
      </c>
      <c r="I16" s="60">
        <f t="shared" si="0"/>
        <v>2</v>
      </c>
      <c r="J16" s="114">
        <f t="shared" si="1"/>
        <v>7</v>
      </c>
      <c r="K16" s="60">
        <f t="shared" ref="K16:K19" si="6">ROUND((((G16+G15)/2)*($C16-$C15))/27,0)</f>
        <v>2</v>
      </c>
      <c r="N16">
        <f>SUM(J15:J16)</f>
        <v>26</v>
      </c>
      <c r="O16">
        <f>SUM(K15:K16)</f>
        <v>5</v>
      </c>
      <c r="P16">
        <f>SUM(B15:B16)</f>
        <v>224</v>
      </c>
    </row>
    <row r="17" spans="1:16" x14ac:dyDescent="0.25">
      <c r="A17" s="36">
        <f>66+49</f>
        <v>115</v>
      </c>
      <c r="B17" s="36">
        <f>ROUND(((($A16+$A17)/2)*($C17-$C16))/9,0)</f>
        <v>364</v>
      </c>
      <c r="C17" s="40">
        <v>4850</v>
      </c>
      <c r="D17" s="41">
        <f>1.5246+1.4954+314.3235+217.5075</f>
        <v>534.851</v>
      </c>
      <c r="E17" s="41">
        <f>38.4507+34.6613+314.3235+217.5075</f>
        <v>604.94299999999998</v>
      </c>
      <c r="F17" s="106">
        <v>535</v>
      </c>
      <c r="G17" s="59">
        <v>605</v>
      </c>
      <c r="H17" s="64">
        <f t="shared" ref="H17" si="7">ROUND((((D17+D16)/2)*($C17-$C16))/27,0)</f>
        <v>499</v>
      </c>
      <c r="I17" s="64">
        <f t="shared" ref="I17" si="8">ROUND((((E17+E16)/2)*($C17-$C16))/27,0)</f>
        <v>561</v>
      </c>
      <c r="J17" s="111">
        <f t="shared" ref="J16:J19" si="9">ROUND((((F17+F16)/2)*($C17-$C16))/27,0)</f>
        <v>499</v>
      </c>
      <c r="K17" s="64">
        <f t="shared" si="6"/>
        <v>561</v>
      </c>
    </row>
    <row r="18" spans="1:16" ht="15.75" thickBot="1" x14ac:dyDescent="0.3">
      <c r="A18" s="60">
        <f>53+51</f>
        <v>104</v>
      </c>
      <c r="B18" s="60">
        <f t="shared" si="3"/>
        <v>243</v>
      </c>
      <c r="C18" s="61">
        <v>4869.9399999999996</v>
      </c>
      <c r="D18" s="62">
        <f>8.76+207.07+164.91</f>
        <v>380.74</v>
      </c>
      <c r="E18" s="62">
        <f>207.07+42.7413+164.91+75.99</f>
        <v>490.71129999999999</v>
      </c>
      <c r="F18" s="112">
        <v>381</v>
      </c>
      <c r="G18" s="66">
        <v>491</v>
      </c>
      <c r="H18" s="63">
        <f t="shared" si="0"/>
        <v>338</v>
      </c>
      <c r="I18" s="63">
        <f t="shared" si="0"/>
        <v>405</v>
      </c>
      <c r="J18" s="113">
        <f t="shared" si="9"/>
        <v>338</v>
      </c>
      <c r="K18" s="63">
        <f t="shared" si="6"/>
        <v>405</v>
      </c>
      <c r="N18">
        <f>SUM(J17:J18)</f>
        <v>837</v>
      </c>
      <c r="O18">
        <f>SUM(K17:K18)</f>
        <v>966</v>
      </c>
      <c r="P18">
        <f>SUM(B17:B18)</f>
        <v>607</v>
      </c>
    </row>
    <row r="19" spans="1:16" x14ac:dyDescent="0.25">
      <c r="A19" s="57">
        <v>0</v>
      </c>
      <c r="B19" s="57">
        <f t="shared" si="3"/>
        <v>144</v>
      </c>
      <c r="C19" s="58">
        <v>4894.9399999999996</v>
      </c>
      <c r="D19" s="59">
        <f>3.49</f>
        <v>3.49</v>
      </c>
      <c r="E19" s="59">
        <v>0</v>
      </c>
      <c r="F19" s="106">
        <v>3</v>
      </c>
      <c r="G19" s="59">
        <v>0</v>
      </c>
      <c r="H19" s="57">
        <f t="shared" si="0"/>
        <v>178</v>
      </c>
      <c r="I19" s="57">
        <f t="shared" si="0"/>
        <v>227</v>
      </c>
      <c r="J19" s="105">
        <f t="shared" si="9"/>
        <v>178</v>
      </c>
      <c r="K19" s="57">
        <f t="shared" si="6"/>
        <v>227</v>
      </c>
    </row>
    <row r="20" spans="1:16" x14ac:dyDescent="0.25">
      <c r="A20" s="36"/>
      <c r="B20" s="36"/>
      <c r="C20" s="40"/>
      <c r="D20" s="41"/>
      <c r="E20" s="41"/>
      <c r="F20" s="41"/>
      <c r="G20" s="41"/>
      <c r="H20" s="36"/>
      <c r="I20" s="36"/>
      <c r="J20" s="36"/>
      <c r="K20" s="36"/>
    </row>
    <row r="21" spans="1:16" ht="15.75" thickBot="1" x14ac:dyDescent="0.3">
      <c r="A21" s="60">
        <v>0</v>
      </c>
      <c r="B21" s="60"/>
      <c r="C21" s="61">
        <v>5105.78</v>
      </c>
      <c r="D21" s="62">
        <f>0.626+1.55</f>
        <v>2.1760000000000002</v>
      </c>
      <c r="E21" s="62">
        <v>0</v>
      </c>
      <c r="F21" s="109">
        <v>2</v>
      </c>
      <c r="G21" s="62">
        <v>0</v>
      </c>
      <c r="H21" s="60"/>
      <c r="I21" s="60"/>
      <c r="J21" s="60"/>
      <c r="K21" s="60"/>
      <c r="N21">
        <f>SUM(J19:J21)</f>
        <v>178</v>
      </c>
      <c r="O21">
        <f>SUM(K19:K21)</f>
        <v>227</v>
      </c>
      <c r="P21">
        <f>SUM(B19:B21)</f>
        <v>144</v>
      </c>
    </row>
    <row r="22" spans="1:16" x14ac:dyDescent="0.25">
      <c r="A22" s="57">
        <f>48+36</f>
        <v>84</v>
      </c>
      <c r="B22" s="57">
        <f t="shared" si="3"/>
        <v>117</v>
      </c>
      <c r="C22" s="58">
        <v>5130.78</v>
      </c>
      <c r="D22" s="59">
        <f>7.1852+133.77+115.71</f>
        <v>256.66520000000003</v>
      </c>
      <c r="E22" s="59">
        <f>133.77+108.22+35.06+115.71</f>
        <v>392.76</v>
      </c>
      <c r="F22" s="106">
        <v>257</v>
      </c>
      <c r="G22" s="59">
        <v>393</v>
      </c>
      <c r="H22" s="57">
        <f t="shared" si="0"/>
        <v>120</v>
      </c>
      <c r="I22" s="57">
        <f t="shared" si="0"/>
        <v>182</v>
      </c>
      <c r="J22" s="105">
        <f t="shared" ref="J22:J28" si="10">ROUND((((F22+F21)/2)*($C22-$C21))/27,0)</f>
        <v>120</v>
      </c>
      <c r="K22" s="57">
        <f t="shared" ref="K22:K28" si="11">ROUND((((G22+G21)/2)*($C22-$C21))/27,0)</f>
        <v>182</v>
      </c>
    </row>
    <row r="23" spans="1:16" ht="15.75" thickBot="1" x14ac:dyDescent="0.3">
      <c r="A23" s="60">
        <f>37+29</f>
        <v>66</v>
      </c>
      <c r="B23" s="60">
        <f t="shared" si="3"/>
        <v>160</v>
      </c>
      <c r="C23" s="61">
        <v>5150</v>
      </c>
      <c r="D23" s="62">
        <f>3.2974+1.8463</f>
        <v>5.1436999999999999</v>
      </c>
      <c r="E23" s="62">
        <f>0.59+0.49</f>
        <v>1.08</v>
      </c>
      <c r="F23" s="109">
        <v>5</v>
      </c>
      <c r="G23" s="62">
        <v>1</v>
      </c>
      <c r="H23" s="60">
        <f t="shared" ref="H23:I32" si="12">ROUND((((D23+D22)/2)*($C23-$C22))/27,0)</f>
        <v>93</v>
      </c>
      <c r="I23" s="60">
        <f t="shared" si="12"/>
        <v>140</v>
      </c>
      <c r="J23" s="110">
        <f t="shared" si="10"/>
        <v>93</v>
      </c>
      <c r="K23" s="60">
        <f t="shared" si="11"/>
        <v>140</v>
      </c>
      <c r="N23">
        <f>SUM(J22:J23)</f>
        <v>213</v>
      </c>
      <c r="O23">
        <f>SUM(K22:K23)</f>
        <v>322</v>
      </c>
      <c r="P23">
        <f>SUM(B22:B23)</f>
        <v>277</v>
      </c>
    </row>
    <row r="24" spans="1:16" x14ac:dyDescent="0.25">
      <c r="A24" s="57">
        <f>36+8</f>
        <v>44</v>
      </c>
      <c r="B24" s="57">
        <f t="shared" si="3"/>
        <v>306</v>
      </c>
      <c r="C24" s="58">
        <f t="shared" ref="C24" si="13">C23+50</f>
        <v>5200</v>
      </c>
      <c r="D24" s="59">
        <f>1.09+2.6+136.3054</f>
        <v>139.99539999999999</v>
      </c>
      <c r="E24" s="59">
        <f>136.3054+11.961+0.4124</f>
        <v>148.6788</v>
      </c>
      <c r="F24" s="106">
        <v>140</v>
      </c>
      <c r="G24" s="59">
        <v>149</v>
      </c>
      <c r="H24" s="57">
        <f t="shared" si="12"/>
        <v>134</v>
      </c>
      <c r="I24" s="57">
        <f t="shared" si="12"/>
        <v>139</v>
      </c>
      <c r="J24" s="105">
        <f t="shared" si="10"/>
        <v>134</v>
      </c>
      <c r="K24" s="57">
        <f t="shared" si="11"/>
        <v>139</v>
      </c>
    </row>
    <row r="25" spans="1:16" ht="15.75" thickBot="1" x14ac:dyDescent="0.3">
      <c r="A25" s="60">
        <v>21</v>
      </c>
      <c r="B25" s="60">
        <f t="shared" si="3"/>
        <v>134</v>
      </c>
      <c r="C25" s="61">
        <v>5237</v>
      </c>
      <c r="D25" s="62">
        <f>1.4052+6.97+42.2766</f>
        <v>50.651800000000001</v>
      </c>
      <c r="E25" s="62">
        <f>42.2766+9.7285</f>
        <v>52.005099999999999</v>
      </c>
      <c r="F25" s="109">
        <v>51</v>
      </c>
      <c r="G25" s="62">
        <v>52</v>
      </c>
      <c r="H25" s="60">
        <f t="shared" si="12"/>
        <v>131</v>
      </c>
      <c r="I25" s="60">
        <f t="shared" si="12"/>
        <v>138</v>
      </c>
      <c r="J25" s="110">
        <f t="shared" si="10"/>
        <v>131</v>
      </c>
      <c r="K25" s="60">
        <f t="shared" si="11"/>
        <v>138</v>
      </c>
      <c r="N25">
        <f>SUM(J24:J25)</f>
        <v>265</v>
      </c>
      <c r="O25">
        <f>SUM(K24:K25)</f>
        <v>277</v>
      </c>
      <c r="P25">
        <f>SUM(B24:B25)</f>
        <v>440</v>
      </c>
    </row>
    <row r="26" spans="1:16" x14ac:dyDescent="0.25">
      <c r="A26" s="57">
        <f>7+8</f>
        <v>15</v>
      </c>
      <c r="B26" s="57">
        <f t="shared" si="3"/>
        <v>26</v>
      </c>
      <c r="C26" s="58">
        <f>C24+50</f>
        <v>5250</v>
      </c>
      <c r="D26" s="59">
        <f>2.22+5.18</f>
        <v>7.4</v>
      </c>
      <c r="E26" s="59">
        <f>0.3644+0.4527</f>
        <v>0.81709999999999994</v>
      </c>
      <c r="F26" s="106">
        <v>7</v>
      </c>
      <c r="G26" s="59">
        <v>1</v>
      </c>
      <c r="H26" s="57">
        <f t="shared" si="12"/>
        <v>14</v>
      </c>
      <c r="I26" s="57">
        <f t="shared" si="12"/>
        <v>13</v>
      </c>
      <c r="J26" s="105">
        <f t="shared" si="10"/>
        <v>14</v>
      </c>
      <c r="K26" s="57">
        <f t="shared" si="11"/>
        <v>13</v>
      </c>
    </row>
    <row r="27" spans="1:16" x14ac:dyDescent="0.25">
      <c r="A27" s="36">
        <f>10+24</f>
        <v>34</v>
      </c>
      <c r="B27" s="36">
        <f t="shared" si="3"/>
        <v>109</v>
      </c>
      <c r="C27" s="40">
        <v>5290</v>
      </c>
      <c r="D27" s="41">
        <f>1.93+5.35+54.8412</f>
        <v>62.121200000000002</v>
      </c>
      <c r="E27" s="41">
        <f>54.8412+1.1481+1.5503</f>
        <v>57.5396</v>
      </c>
      <c r="F27" s="115">
        <v>62</v>
      </c>
      <c r="G27" s="41">
        <v>58</v>
      </c>
      <c r="H27" s="36">
        <f t="shared" si="12"/>
        <v>51</v>
      </c>
      <c r="I27" s="36">
        <f t="shared" si="12"/>
        <v>43</v>
      </c>
      <c r="J27" s="114">
        <f t="shared" si="10"/>
        <v>51</v>
      </c>
      <c r="K27" s="57">
        <f t="shared" si="11"/>
        <v>44</v>
      </c>
    </row>
    <row r="28" spans="1:16" x14ac:dyDescent="0.25">
      <c r="A28" s="36">
        <f>10+10</f>
        <v>20</v>
      </c>
      <c r="B28" s="36">
        <f t="shared" si="3"/>
        <v>120</v>
      </c>
      <c r="C28" s="40">
        <v>5330</v>
      </c>
      <c r="D28" s="41">
        <v>11.23</v>
      </c>
      <c r="E28" s="41">
        <v>1.2394000000000001</v>
      </c>
      <c r="F28" s="115">
        <v>11</v>
      </c>
      <c r="G28" s="41">
        <v>1</v>
      </c>
      <c r="H28" s="36">
        <f t="shared" si="12"/>
        <v>54</v>
      </c>
      <c r="I28" s="36">
        <f t="shared" si="12"/>
        <v>44</v>
      </c>
      <c r="J28" s="114">
        <f t="shared" si="10"/>
        <v>54</v>
      </c>
      <c r="K28" s="36">
        <f t="shared" si="11"/>
        <v>44</v>
      </c>
    </row>
    <row r="29" spans="1:16" ht="15.75" thickBot="1" x14ac:dyDescent="0.3">
      <c r="A29" s="60"/>
      <c r="B29" s="60"/>
      <c r="C29" s="61">
        <v>5330</v>
      </c>
      <c r="D29" s="62">
        <v>3.55</v>
      </c>
      <c r="E29" s="62">
        <v>1.2394000000000001</v>
      </c>
      <c r="F29" s="62">
        <v>4</v>
      </c>
      <c r="G29" s="62">
        <v>1</v>
      </c>
      <c r="H29" s="60"/>
      <c r="I29" s="60"/>
      <c r="J29" s="60"/>
      <c r="K29" s="60"/>
      <c r="N29">
        <f>SUM(J26:J29)</f>
        <v>119</v>
      </c>
      <c r="O29">
        <f>SUM(K26:K29)</f>
        <v>101</v>
      </c>
      <c r="P29">
        <f>SUM(B26:B29)</f>
        <v>255</v>
      </c>
    </row>
    <row r="30" spans="1:16" x14ac:dyDescent="0.25">
      <c r="A30" s="57">
        <f>9+11</f>
        <v>20</v>
      </c>
      <c r="B30" s="57">
        <f>ROUND(((($A28+$A30)/2)*($C30-$C28))/9,0)</f>
        <v>20</v>
      </c>
      <c r="C30" s="58">
        <v>5339</v>
      </c>
      <c r="D30" s="59">
        <v>3.3612000000000002</v>
      </c>
      <c r="E30" s="59">
        <v>0.98850000000000005</v>
      </c>
      <c r="F30" s="59">
        <v>3</v>
      </c>
      <c r="G30" s="59">
        <v>1</v>
      </c>
      <c r="H30" s="57">
        <f>ROUND((((D30+D29)/2)*($C30-$C29))/27,0)</f>
        <v>1</v>
      </c>
      <c r="I30" s="57">
        <f>ROUND((((E30+E29)/2)*($C30-$C29))/27,0)</f>
        <v>0</v>
      </c>
      <c r="J30" s="116">
        <f>ROUND((((F30+F29)/2)*($C30-$C29))/27,0)</f>
        <v>1</v>
      </c>
      <c r="K30" s="57">
        <f>ROUND((((G30+G29)/2)*($C30-$C29))/27,0)</f>
        <v>0</v>
      </c>
    </row>
    <row r="31" spans="1:16" x14ac:dyDescent="0.25">
      <c r="A31" s="36">
        <v>9</v>
      </c>
      <c r="B31" s="36">
        <f t="shared" si="3"/>
        <v>11</v>
      </c>
      <c r="C31" s="40">
        <v>5345.52</v>
      </c>
      <c r="D31" s="41">
        <v>3.44</v>
      </c>
      <c r="E31" s="41">
        <v>0.78939999999999999</v>
      </c>
      <c r="F31" s="115">
        <v>3</v>
      </c>
      <c r="G31" s="41">
        <v>1</v>
      </c>
      <c r="H31" s="36">
        <f t="shared" si="12"/>
        <v>1</v>
      </c>
      <c r="I31" s="36">
        <f t="shared" si="12"/>
        <v>0</v>
      </c>
      <c r="J31" s="36">
        <f t="shared" ref="J31:J32" si="14">ROUND((((F31+F30)/2)*($C31-$C30))/27,0)</f>
        <v>1</v>
      </c>
      <c r="K31" s="36">
        <f t="shared" ref="K31:K32" si="15">ROUND((((G31+G30)/2)*($C31-$C30))/27,0)</f>
        <v>0</v>
      </c>
    </row>
    <row r="32" spans="1:16" x14ac:dyDescent="0.25">
      <c r="A32" s="36">
        <v>9</v>
      </c>
      <c r="B32" s="36">
        <f t="shared" si="3"/>
        <v>4</v>
      </c>
      <c r="C32" s="40">
        <v>5350</v>
      </c>
      <c r="D32" s="41">
        <v>3.48</v>
      </c>
      <c r="E32" s="41">
        <v>0.68220000000000003</v>
      </c>
      <c r="F32" s="115">
        <v>3</v>
      </c>
      <c r="G32" s="41">
        <v>1</v>
      </c>
      <c r="H32" s="36">
        <f t="shared" si="12"/>
        <v>1</v>
      </c>
      <c r="I32" s="36">
        <f t="shared" si="12"/>
        <v>0</v>
      </c>
      <c r="J32" s="114">
        <f t="shared" si="14"/>
        <v>0</v>
      </c>
      <c r="K32" s="36">
        <f t="shared" si="15"/>
        <v>0</v>
      </c>
    </row>
    <row r="33" spans="1:16" x14ac:dyDescent="0.25">
      <c r="A33" s="36">
        <v>5</v>
      </c>
      <c r="B33" s="36">
        <f>ROUND(((($A32+$A33)/2)*($C33-$C32))/9,0)</f>
        <v>26</v>
      </c>
      <c r="C33" s="40">
        <v>5383.16</v>
      </c>
      <c r="D33" s="41">
        <v>3.48</v>
      </c>
      <c r="E33" s="41">
        <v>0</v>
      </c>
      <c r="F33" s="115">
        <v>3</v>
      </c>
      <c r="G33" s="41">
        <v>0</v>
      </c>
      <c r="H33" s="36">
        <f>ROUND((((D33+D32)/2)*($C33-$C32))/27,0)</f>
        <v>4</v>
      </c>
      <c r="I33" s="36">
        <f>ROUND((((E33+E32)/2)*($C33-$C32))/27,0)</f>
        <v>0</v>
      </c>
      <c r="J33" s="114">
        <f>ROUND((((F33+F32)/2)*($C33-$C32))/27,0)</f>
        <v>4</v>
      </c>
      <c r="K33" s="107">
        <f>ROUND((((G33+G32)/2)*($C33-$C32))/27,0)</f>
        <v>1</v>
      </c>
      <c r="N33">
        <f>SUM(J30:J33)</f>
        <v>6</v>
      </c>
      <c r="O33">
        <f>SUM(K30:K33)</f>
        <v>1</v>
      </c>
      <c r="P33">
        <f>SUM(B30:B33)</f>
        <v>61</v>
      </c>
    </row>
    <row r="34" spans="1:16" ht="15.75" thickBot="1" x14ac:dyDescent="0.3">
      <c r="A34" s="60">
        <v>0</v>
      </c>
      <c r="B34" s="60"/>
      <c r="C34" s="61">
        <v>5383.16</v>
      </c>
      <c r="D34" s="62">
        <v>0</v>
      </c>
      <c r="E34" s="62">
        <v>0</v>
      </c>
      <c r="F34" s="62">
        <v>0</v>
      </c>
      <c r="G34" s="62">
        <v>0</v>
      </c>
      <c r="H34" s="60"/>
      <c r="I34" s="60"/>
      <c r="J34" s="60"/>
      <c r="K34" s="60"/>
    </row>
    <row r="35" spans="1:16" x14ac:dyDescent="0.25">
      <c r="A35" s="57">
        <v>0</v>
      </c>
      <c r="B35" s="57">
        <f>ROUND(((($A34+$A35)/2)*($C35-$C34))/9,0)</f>
        <v>0</v>
      </c>
      <c r="C35" s="58">
        <v>5400</v>
      </c>
      <c r="D35" s="59">
        <v>0</v>
      </c>
      <c r="E35" s="59">
        <v>0</v>
      </c>
      <c r="F35" s="59">
        <v>0</v>
      </c>
      <c r="G35" s="59">
        <v>0</v>
      </c>
      <c r="H35" s="57">
        <f>ROUND((((D35+D34)/2)*($C35-$C34))/27,0)</f>
        <v>0</v>
      </c>
      <c r="I35" s="57">
        <f>ROUND((((E35+E34)/2)*($C35-$C34))/27,0)</f>
        <v>0</v>
      </c>
      <c r="J35" s="57">
        <f>ROUND((((F35+F34)/2)*($C35-$C34))/27,0)</f>
        <v>0</v>
      </c>
      <c r="K35" s="57">
        <f>ROUND((((G35+G34)/2)*($C35-$C34))/27,0)</f>
        <v>0</v>
      </c>
    </row>
    <row r="36" spans="1:16" x14ac:dyDescent="0.25">
      <c r="A36" s="36"/>
      <c r="B36" s="36"/>
      <c r="C36" s="42"/>
      <c r="D36" s="36"/>
      <c r="E36" s="36"/>
      <c r="F36" s="36"/>
      <c r="G36" s="36"/>
      <c r="H36" s="36"/>
      <c r="I36" s="36"/>
      <c r="K36" s="35"/>
      <c r="N36">
        <f>SUM(J35:J36)</f>
        <v>0</v>
      </c>
      <c r="O36">
        <f>SUM(K35:K36)</f>
        <v>0</v>
      </c>
      <c r="P36">
        <f>SUM(B35:B36)</f>
        <v>0</v>
      </c>
    </row>
    <row r="37" spans="1:16" x14ac:dyDescent="0.25">
      <c r="A37" s="36"/>
      <c r="B37" s="36"/>
      <c r="C37" s="42"/>
      <c r="D37" s="36"/>
      <c r="E37" s="36"/>
      <c r="F37" s="36"/>
      <c r="G37" s="36"/>
      <c r="H37" s="36"/>
      <c r="I37" s="36"/>
      <c r="K37" s="35"/>
    </row>
    <row r="38" spans="1:16" x14ac:dyDescent="0.25">
      <c r="A38" s="36"/>
      <c r="B38" s="36"/>
      <c r="C38" s="42"/>
      <c r="D38" s="36"/>
      <c r="E38" s="36"/>
      <c r="F38" s="36"/>
      <c r="G38" s="36"/>
      <c r="H38" s="36"/>
      <c r="I38" s="36"/>
      <c r="K38" s="35"/>
    </row>
    <row r="39" spans="1:16" x14ac:dyDescent="0.25">
      <c r="A39" s="36"/>
      <c r="B39" s="36"/>
      <c r="C39" s="42"/>
      <c r="D39" s="36"/>
      <c r="E39" s="36"/>
      <c r="F39" s="36"/>
      <c r="G39" s="36"/>
      <c r="H39" s="36"/>
      <c r="I39" s="36"/>
      <c r="K39" s="35"/>
    </row>
  </sheetData>
  <mergeCells count="2">
    <mergeCell ref="C1:I1"/>
    <mergeCell ref="F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DEF-D014-4532-BB98-54BF1040A81F}">
  <dimension ref="A1:E31"/>
  <sheetViews>
    <sheetView tabSelected="1" workbookViewId="0">
      <selection activeCell="D25" sqref="D25"/>
    </sheetView>
  </sheetViews>
  <sheetFormatPr defaultRowHeight="15" x14ac:dyDescent="0.25"/>
  <cols>
    <col min="2" max="2" width="15.7109375" customWidth="1"/>
  </cols>
  <sheetData>
    <row r="1" spans="1:5" x14ac:dyDescent="0.25">
      <c r="A1" s="73" t="s">
        <v>32</v>
      </c>
      <c r="B1" s="74"/>
      <c r="C1" s="74"/>
      <c r="D1" s="74"/>
      <c r="E1" s="75"/>
    </row>
    <row r="2" spans="1:5" x14ac:dyDescent="0.25">
      <c r="A2" s="76"/>
      <c r="B2" s="77"/>
      <c r="C2" s="77"/>
      <c r="D2" s="77"/>
      <c r="E2" s="78"/>
    </row>
    <row r="3" spans="1:5" ht="15.75" thickBot="1" x14ac:dyDescent="0.3">
      <c r="A3" s="79"/>
      <c r="B3" s="80"/>
      <c r="C3" s="80"/>
      <c r="D3" s="80"/>
      <c r="E3" s="81"/>
    </row>
    <row r="4" spans="1:5" ht="18.75" thickBot="1" x14ac:dyDescent="0.3">
      <c r="A4" s="82"/>
      <c r="B4" s="83"/>
      <c r="C4" s="83"/>
      <c r="D4" s="84"/>
      <c r="E4" s="43"/>
    </row>
    <row r="5" spans="1:5" x14ac:dyDescent="0.25">
      <c r="A5" s="85"/>
      <c r="B5" s="76" t="s">
        <v>33</v>
      </c>
      <c r="C5" s="87">
        <v>203</v>
      </c>
      <c r="D5" s="88"/>
      <c r="E5" s="44">
        <v>659</v>
      </c>
    </row>
    <row r="6" spans="1:5" x14ac:dyDescent="0.25">
      <c r="A6" s="85"/>
      <c r="B6" s="86"/>
      <c r="C6" s="89" t="s">
        <v>34</v>
      </c>
      <c r="D6" s="92" t="s">
        <v>35</v>
      </c>
      <c r="E6" s="101" t="s">
        <v>36</v>
      </c>
    </row>
    <row r="7" spans="1:5" x14ac:dyDescent="0.25">
      <c r="A7" s="85"/>
      <c r="B7" s="86"/>
      <c r="C7" s="90"/>
      <c r="D7" s="93"/>
      <c r="E7" s="102"/>
    </row>
    <row r="8" spans="1:5" x14ac:dyDescent="0.25">
      <c r="A8" s="85"/>
      <c r="B8" s="86"/>
      <c r="C8" s="90"/>
      <c r="D8" s="93"/>
      <c r="E8" s="102"/>
    </row>
    <row r="9" spans="1:5" x14ac:dyDescent="0.25">
      <c r="A9" s="85"/>
      <c r="B9" s="86"/>
      <c r="C9" s="90"/>
      <c r="D9" s="93"/>
      <c r="E9" s="102"/>
    </row>
    <row r="10" spans="1:5" ht="18" x14ac:dyDescent="0.25">
      <c r="A10" s="45" t="s">
        <v>37</v>
      </c>
      <c r="B10" s="86"/>
      <c r="C10" s="90"/>
      <c r="D10" s="93"/>
      <c r="E10" s="102"/>
    </row>
    <row r="11" spans="1:5" ht="18" x14ac:dyDescent="0.25">
      <c r="A11" s="45" t="s">
        <v>38</v>
      </c>
      <c r="B11" s="86"/>
      <c r="C11" s="90"/>
      <c r="D11" s="93"/>
      <c r="E11" s="102"/>
    </row>
    <row r="12" spans="1:5" x14ac:dyDescent="0.25">
      <c r="A12" s="46"/>
      <c r="B12" s="86"/>
      <c r="C12" s="90"/>
      <c r="D12" s="93"/>
      <c r="E12" s="102"/>
    </row>
    <row r="13" spans="1:5" ht="18" x14ac:dyDescent="0.25">
      <c r="A13" s="45"/>
      <c r="B13" s="86"/>
      <c r="C13" s="90"/>
      <c r="D13" s="93"/>
      <c r="E13" s="102"/>
    </row>
    <row r="14" spans="1:5" x14ac:dyDescent="0.25">
      <c r="A14" s="85"/>
      <c r="B14" s="86"/>
      <c r="C14" s="90"/>
      <c r="D14" s="93"/>
      <c r="E14" s="102"/>
    </row>
    <row r="15" spans="1:5" x14ac:dyDescent="0.25">
      <c r="A15" s="85"/>
      <c r="B15" s="86"/>
      <c r="C15" s="90"/>
      <c r="D15" s="93"/>
      <c r="E15" s="102"/>
    </row>
    <row r="16" spans="1:5" x14ac:dyDescent="0.25">
      <c r="A16" s="85"/>
      <c r="B16" s="86"/>
      <c r="C16" s="91"/>
      <c r="D16" s="94"/>
      <c r="E16" s="103"/>
    </row>
    <row r="17" spans="1:5" ht="18.75" thickBot="1" x14ac:dyDescent="0.3">
      <c r="A17" s="104"/>
      <c r="B17" s="47"/>
      <c r="C17" s="48" t="s">
        <v>39</v>
      </c>
      <c r="D17" s="48" t="s">
        <v>40</v>
      </c>
      <c r="E17" s="49" t="s">
        <v>41</v>
      </c>
    </row>
    <row r="18" spans="1:5" x14ac:dyDescent="0.25">
      <c r="A18" s="50"/>
      <c r="B18" s="51" t="s">
        <v>31</v>
      </c>
      <c r="C18" s="50"/>
      <c r="D18" s="50"/>
      <c r="E18" s="50"/>
    </row>
    <row r="19" spans="1:5" x14ac:dyDescent="0.25">
      <c r="A19" s="52" t="s">
        <v>42</v>
      </c>
      <c r="B19" s="53"/>
      <c r="C19" s="52">
        <v>8</v>
      </c>
      <c r="D19" s="52">
        <v>3</v>
      </c>
      <c r="E19" s="54">
        <v>85</v>
      </c>
    </row>
    <row r="20" spans="1:5" x14ac:dyDescent="0.25">
      <c r="A20" s="52" t="s">
        <v>43</v>
      </c>
      <c r="B20" s="53"/>
      <c r="C20" s="52">
        <v>7</v>
      </c>
      <c r="D20" s="52">
        <v>0</v>
      </c>
      <c r="E20" s="54">
        <v>69</v>
      </c>
    </row>
    <row r="21" spans="1:5" x14ac:dyDescent="0.25">
      <c r="A21" s="52" t="s">
        <v>44</v>
      </c>
      <c r="B21" s="55"/>
      <c r="C21" s="52">
        <v>10</v>
      </c>
      <c r="D21" s="52">
        <v>4</v>
      </c>
      <c r="E21" s="54">
        <v>119</v>
      </c>
    </row>
    <row r="22" spans="1:5" x14ac:dyDescent="0.25">
      <c r="A22" s="52" t="s">
        <v>45</v>
      </c>
      <c r="B22" s="53"/>
      <c r="C22" s="52">
        <v>26</v>
      </c>
      <c r="D22" s="52">
        <v>5</v>
      </c>
      <c r="E22" s="54">
        <v>224</v>
      </c>
    </row>
    <row r="23" spans="1:5" x14ac:dyDescent="0.25">
      <c r="A23" s="52" t="s">
        <v>46</v>
      </c>
      <c r="B23" s="55"/>
      <c r="C23" s="52">
        <v>837</v>
      </c>
      <c r="D23" s="52">
        <v>966</v>
      </c>
      <c r="E23" s="65">
        <v>607</v>
      </c>
    </row>
    <row r="24" spans="1:5" x14ac:dyDescent="0.25">
      <c r="A24" s="52" t="s">
        <v>47</v>
      </c>
      <c r="B24" s="53"/>
      <c r="C24" s="52">
        <v>178</v>
      </c>
      <c r="D24" s="52">
        <v>227</v>
      </c>
      <c r="E24" s="52">
        <v>144</v>
      </c>
    </row>
    <row r="25" spans="1:5" x14ac:dyDescent="0.25">
      <c r="A25" s="52" t="s">
        <v>48</v>
      </c>
      <c r="B25" s="56"/>
      <c r="C25" s="52">
        <v>213</v>
      </c>
      <c r="D25" s="52">
        <v>322</v>
      </c>
      <c r="E25" s="52">
        <v>277</v>
      </c>
    </row>
    <row r="26" spans="1:5" x14ac:dyDescent="0.25">
      <c r="A26" s="52" t="s">
        <v>49</v>
      </c>
      <c r="B26" s="55"/>
      <c r="C26" s="52">
        <v>265</v>
      </c>
      <c r="D26" s="52">
        <v>277</v>
      </c>
      <c r="E26" s="52">
        <v>440</v>
      </c>
    </row>
    <row r="27" spans="1:5" x14ac:dyDescent="0.25">
      <c r="A27" s="52" t="s">
        <v>50</v>
      </c>
      <c r="B27" s="55"/>
      <c r="C27" s="52">
        <v>119</v>
      </c>
      <c r="D27" s="52">
        <v>101</v>
      </c>
      <c r="E27" s="52">
        <v>255</v>
      </c>
    </row>
    <row r="28" spans="1:5" x14ac:dyDescent="0.25">
      <c r="A28" s="52" t="s">
        <v>51</v>
      </c>
      <c r="B28" s="53"/>
      <c r="C28" s="52">
        <v>6</v>
      </c>
      <c r="D28" s="52">
        <v>1</v>
      </c>
      <c r="E28" s="52">
        <v>61</v>
      </c>
    </row>
    <row r="29" spans="1:5" ht="15.75" thickBot="1" x14ac:dyDescent="0.3">
      <c r="A29" s="52" t="s">
        <v>52</v>
      </c>
      <c r="B29" s="55"/>
      <c r="C29" s="52">
        <v>0</v>
      </c>
      <c r="D29" s="52">
        <v>0</v>
      </c>
      <c r="E29" s="52">
        <v>0</v>
      </c>
    </row>
    <row r="30" spans="1:5" x14ac:dyDescent="0.25">
      <c r="A30" s="97" t="s">
        <v>53</v>
      </c>
      <c r="B30" s="98"/>
      <c r="C30" s="95">
        <f>SUM(C19:C29)</f>
        <v>1669</v>
      </c>
      <c r="D30" s="95">
        <f>SUM(D19:D29)</f>
        <v>1906</v>
      </c>
      <c r="E30" s="95">
        <f>SUM(E19:E29)</f>
        <v>2281</v>
      </c>
    </row>
    <row r="31" spans="1:5" ht="15.75" thickBot="1" x14ac:dyDescent="0.3">
      <c r="A31" s="99"/>
      <c r="B31" s="100"/>
      <c r="C31" s="96"/>
      <c r="D31" s="96"/>
      <c r="E31" s="96"/>
    </row>
  </sheetData>
  <mergeCells count="13">
    <mergeCell ref="E30:E31"/>
    <mergeCell ref="A30:B31"/>
    <mergeCell ref="C30:C31"/>
    <mergeCell ref="D30:D31"/>
    <mergeCell ref="E6:E16"/>
    <mergeCell ref="A14:A17"/>
    <mergeCell ref="A1:E3"/>
    <mergeCell ref="A4:D4"/>
    <mergeCell ref="A5:A9"/>
    <mergeCell ref="B5:B16"/>
    <mergeCell ref="C5:D5"/>
    <mergeCell ref="C6:C16"/>
    <mergeCell ref="D6:D16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MT Document" ma:contentTypeID="0x0101002D8B3C944AD78E4BB07552E752B2466200E3F59C9305005846A876118237D15073" ma:contentTypeVersion="14" ma:contentTypeDescription="JMT Document" ma:contentTypeScope="" ma:versionID="e08be7a54607515f8d158dc9ce651158">
  <xsd:schema xmlns:xsd="http://www.w3.org/2001/XMLSchema" xmlns:xs="http://www.w3.org/2001/XMLSchema" xmlns:p="http://schemas.microsoft.com/office/2006/metadata/properties" xmlns:ns2="cd422c38-7087-40c9-ba79-2bbc51769fb6" xmlns:ns4="4cc1039f-ed18-46b4-88a6-ffe471dec413" xmlns:ns5="aaa496ce-20f9-4910-955b-401cd364b440" targetNamespace="http://schemas.microsoft.com/office/2006/metadata/properties" ma:root="true" ma:fieldsID="f079ece16bad19cc4bc34ec2d3637bd3" ns2:_="" ns4:_="" ns5:_="">
    <xsd:import namespace="cd422c38-7087-40c9-ba79-2bbc51769fb6"/>
    <xsd:import namespace="4cc1039f-ed18-46b4-88a6-ffe471dec413"/>
    <xsd:import namespace="aaa496ce-20f9-4910-955b-401cd364b440"/>
    <xsd:element name="properties">
      <xsd:complexType>
        <xsd:sequence>
          <xsd:element name="documentManagement">
            <xsd:complexType>
              <xsd:all>
                <xsd:element ref="ns2:JMTProjectNumber" minOccurs="0"/>
                <xsd:element ref="ns2:JMTProjectName" minOccurs="0"/>
                <xsd:element ref="ns2:JMTClient" minOccurs="0"/>
                <xsd:element ref="ns2:JMTProjectOwner" minOccurs="0"/>
                <xsd:element ref="ns2:JMTProjectManager" minOccurs="0"/>
                <xsd:element ref="ns4:TaxCatchAll" minOccurs="0"/>
                <xsd:element ref="ns4:TaxCatchAllLabel" minOccurs="0"/>
                <xsd:element ref="ns2:m31a16f96029487c8195408a83538dc3" minOccurs="0"/>
                <xsd:element ref="ns2:m3cfeefd9eb049aeb84c203d1d691e9a" minOccurs="0"/>
                <xsd:element ref="ns2:SharedWithUsers" minOccurs="0"/>
                <xsd:element ref="ns2:SharedWithDetails" minOccurs="0"/>
                <xsd:element ref="ns5:Notes0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22c38-7087-40c9-ba79-2bbc51769fb6" elementFormDefault="qualified">
    <xsd:import namespace="http://schemas.microsoft.com/office/2006/documentManagement/types"/>
    <xsd:import namespace="http://schemas.microsoft.com/office/infopath/2007/PartnerControls"/>
    <xsd:element name="JMTProjectNumber" ma:index="2" nillable="true" ma:displayName="Project Number" ma:description="Project Number" ma:internalName="JMTProjectNumber" ma:readOnly="false">
      <xsd:simpleType>
        <xsd:restriction base="dms:Text">
          <xsd:maxLength value="255"/>
        </xsd:restriction>
      </xsd:simpleType>
    </xsd:element>
    <xsd:element name="JMTProjectName" ma:index="3" nillable="true" ma:displayName="Project Name" ma:description="Project Name" ma:internalName="JMTProjectName" ma:readOnly="false">
      <xsd:simpleType>
        <xsd:restriction base="dms:Text">
          <xsd:maxLength value="255"/>
        </xsd:restriction>
      </xsd:simpleType>
    </xsd:element>
    <xsd:element name="JMTClient" ma:index="4" nillable="true" ma:displayName="Client" ma:description="Client" ma:internalName="JMTClient" ma:readOnly="false">
      <xsd:simpleType>
        <xsd:restriction base="dms:Text">
          <xsd:maxLength value="255"/>
        </xsd:restriction>
      </xsd:simpleType>
    </xsd:element>
    <xsd:element name="JMTProjectOwner" ma:index="5" nillable="true" ma:displayName="Project Owner" ma:description="Project Owner" ma:internalName="JMTProjectOwner" ma:readOnly="false">
      <xsd:simpleType>
        <xsd:restriction base="dms:Text">
          <xsd:maxLength value="255"/>
        </xsd:restriction>
      </xsd:simpleType>
    </xsd:element>
    <xsd:element name="JMTProjectManager" ma:index="6" nillable="true" ma:displayName="Project Manager" ma:description="Project Manager" ma:internalName="JMTProjectManager" ma:readOnly="false">
      <xsd:simpleType>
        <xsd:restriction base="dms:Text">
          <xsd:maxLength value="255"/>
        </xsd:restriction>
      </xsd:simpleType>
    </xsd:element>
    <xsd:element name="m31a16f96029487c8195408a83538dc3" ma:index="16" nillable="true" ma:taxonomy="true" ma:internalName="m31a16f96029487c8195408a83538dc3" ma:taxonomyFieldName="JMTSubDocumentType" ma:displayName="Sub Document Type" ma:readOnly="false" ma:fieldId="{631a16f9-6029-487c-8195-408a83538dc3}" ma:sspId="feccc9da-139b-4ef5-b72b-0c93bae34ff8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3cfeefd9eb049aeb84c203d1d691e9a" ma:index="17" nillable="true" ma:taxonomy="true" ma:internalName="m3cfeefd9eb049aeb84c203d1d691e9a" ma:taxonomyFieldName="JMTDocumentType" ma:displayName="Document Type" ma:readOnly="false" ma:fieldId="{63cfeefd-9eb0-49ae-b84c-203d1d691e9a}" ma:sspId="feccc9da-139b-4ef5-b72b-0c93bae34ff8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039f-ed18-46b4-88a6-ffe471dec413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eb1069f-1de2-4952-b91b-f840910e01b1}" ma:internalName="TaxCatchAll" ma:showField="CatchAllData" ma:web="7e986516-8b6f-479f-886c-d41a36b40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eb1069f-1de2-4952-b91b-f840910e01b1}" ma:internalName="TaxCatchAllLabel" ma:readOnly="true" ma:showField="CatchAllDataLabel" ma:web="7e986516-8b6f-479f-886c-d41a36b40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496ce-20f9-4910-955b-401cd364b440" elementFormDefault="qualified">
    <xsd:import namespace="http://schemas.microsoft.com/office/2006/documentManagement/types"/>
    <xsd:import namespace="http://schemas.microsoft.com/office/infopath/2007/PartnerControls"/>
    <xsd:element name="Notes0" ma:index="21" nillable="true" ma:displayName="Notes" ma:internalName="Notes0">
      <xsd:simpleType>
        <xsd:restriction base="dms:Text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MTProjectManager xmlns="cd422c38-7087-40c9-ba79-2bbc51769fb6" xsi:nil="true"/>
    <JMTClient xmlns="cd422c38-7087-40c9-ba79-2bbc51769fb6" xsi:nil="true"/>
    <JMTProjectOwner xmlns="cd422c38-7087-40c9-ba79-2bbc51769fb6" xsi:nil="true"/>
    <m31a16f96029487c8195408a83538dc3 xmlns="cd422c38-7087-40c9-ba79-2bbc51769fb6">
      <Terms xmlns="http://schemas.microsoft.com/office/infopath/2007/PartnerControls"/>
    </m31a16f96029487c8195408a83538dc3>
    <JMTProjectNumber xmlns="cd422c38-7087-40c9-ba79-2bbc51769fb6" xsi:nil="true"/>
    <m3cfeefd9eb049aeb84c203d1d691e9a xmlns="cd422c38-7087-40c9-ba79-2bbc51769fb6">
      <Terms xmlns="http://schemas.microsoft.com/office/infopath/2007/PartnerControls"/>
    </m3cfeefd9eb049aeb84c203d1d691e9a>
    <JMTProjectName xmlns="cd422c38-7087-40c9-ba79-2bbc51769fb6" xsi:nil="true"/>
    <TaxCatchAll xmlns="4cc1039f-ed18-46b4-88a6-ffe471dec413"/>
    <Notes0 xmlns="aaa496ce-20f9-4910-955b-401cd364b440" xsi:nil="true"/>
  </documentManagement>
</p:properties>
</file>

<file path=customXml/itemProps1.xml><?xml version="1.0" encoding="utf-8"?>
<ds:datastoreItem xmlns:ds="http://schemas.openxmlformats.org/officeDocument/2006/customXml" ds:itemID="{7937C833-07CF-416C-88AF-474D24A2FCD2}"/>
</file>

<file path=customXml/itemProps2.xml><?xml version="1.0" encoding="utf-8"?>
<ds:datastoreItem xmlns:ds="http://schemas.openxmlformats.org/officeDocument/2006/customXml" ds:itemID="{9587D151-CC41-4F09-B79C-DE6031BDA033}"/>
</file>

<file path=customXml/itemProps3.xml><?xml version="1.0" encoding="utf-8"?>
<ds:datastoreItem xmlns:ds="http://schemas.openxmlformats.org/officeDocument/2006/customXml" ds:itemID="{4980AEAA-2858-43BD-904E-1B2FF8A52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EROSION CONTROL</vt:lpstr>
      <vt:lpstr>SECTION TOTALS</vt:lpstr>
      <vt:lpstr>SHEET TOTALS</vt:lpstr>
      <vt:lpstr>'EROSION CONTROL'!Print_Area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Conley</dc:creator>
  <cp:lastModifiedBy>Clarke, Ginny</cp:lastModifiedBy>
  <cp:lastPrinted>2018-12-14T20:45:31Z</cp:lastPrinted>
  <dcterms:created xsi:type="dcterms:W3CDTF">2014-05-05T16:25:20Z</dcterms:created>
  <dcterms:modified xsi:type="dcterms:W3CDTF">2020-07-27T20:57:31Z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0x0101002D8B3C944AD78E4BB07552E752B2466200E3F59C9305005846A876118237D15073</vt:lpwstr>
  </property>
</Properties>
</file>