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\102858\admin\reviews\final tracings\4-30-21_POR102858 Final Tracings\to send\Reference\Calculations\Roadway\"/>
    </mc:Choice>
  </mc:AlternateContent>
  <xr:revisionPtr revIDLastSave="0" documentId="13_ncr:1_{7AF0F2FB-89B7-49EF-A9FF-29F6FC4CE3BE}" xr6:coauthVersionLast="46" xr6:coauthVersionMax="46" xr10:uidLastSave="{00000000-0000-0000-0000-000000000000}"/>
  <bookViews>
    <workbookView xWindow="33735" yWindow="1365" windowWidth="21600" windowHeight="11385" firstSheet="1" activeTab="2" xr2:uid="{00000000-000D-0000-FFFF-FFFF00000000}"/>
  </bookViews>
  <sheets>
    <sheet name="EROSION CONTROL" sheetId="2" r:id="rId1"/>
    <sheet name="SECTION TOTALS" sheetId="3" r:id="rId2"/>
    <sheet name="SHEET TOTALS" sheetId="4" r:id="rId3"/>
  </sheets>
  <definedNames>
    <definedName name="_xlnm.Print_Area" localSheetId="0">'EROSION CONTROL'!$A$1:$I$22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3" l="1"/>
  <c r="D19" i="3"/>
  <c r="D18" i="3"/>
  <c r="D17" i="3"/>
  <c r="D15" i="3"/>
  <c r="D14" i="3"/>
  <c r="D13" i="3"/>
  <c r="K26" i="3" l="1"/>
  <c r="N26" i="3" s="1"/>
  <c r="I26" i="3"/>
  <c r="O26" i="3"/>
  <c r="M26" i="3"/>
  <c r="B8" i="3"/>
  <c r="O10" i="3" s="1"/>
  <c r="O24" i="3"/>
  <c r="N24" i="3"/>
  <c r="O21" i="3"/>
  <c r="N21" i="3"/>
  <c r="O18" i="3"/>
  <c r="N18" i="3"/>
  <c r="O15" i="3"/>
  <c r="N15" i="3"/>
  <c r="O13" i="3"/>
  <c r="N13" i="3"/>
  <c r="N10" i="3"/>
  <c r="M10" i="3"/>
  <c r="J26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M18" i="3" s="1"/>
  <c r="K15" i="3"/>
  <c r="J15" i="3"/>
  <c r="K14" i="3"/>
  <c r="J14" i="3"/>
  <c r="M15" i="3" s="1"/>
  <c r="K13" i="3"/>
  <c r="J13" i="3"/>
  <c r="K12" i="3"/>
  <c r="J12" i="3"/>
  <c r="K11" i="3"/>
  <c r="J11" i="3"/>
  <c r="K9" i="3"/>
  <c r="J9" i="3"/>
  <c r="K8" i="3"/>
  <c r="J8" i="3"/>
  <c r="K6" i="3"/>
  <c r="J6" i="3"/>
  <c r="M24" i="3" l="1"/>
  <c r="M21" i="3"/>
  <c r="M13" i="3"/>
  <c r="E18" i="3"/>
  <c r="E17" i="3"/>
  <c r="E14" i="3"/>
  <c r="H26" i="3" l="1"/>
  <c r="B26" i="3"/>
  <c r="E23" i="3"/>
  <c r="E22" i="3"/>
  <c r="E21" i="3"/>
  <c r="E19" i="3"/>
  <c r="E13" i="3"/>
  <c r="E12" i="3"/>
  <c r="E11" i="3"/>
  <c r="E10" i="3"/>
  <c r="E9" i="3"/>
  <c r="D9" i="3"/>
  <c r="I6" i="3" l="1"/>
  <c r="H6" i="3"/>
  <c r="B6" i="3"/>
  <c r="I22" i="3"/>
  <c r="H22" i="3"/>
  <c r="B22" i="3"/>
  <c r="E15" i="3"/>
  <c r="H14" i="3"/>
  <c r="I11" i="3"/>
  <c r="H11" i="3"/>
  <c r="B9" i="3"/>
  <c r="B11" i="3"/>
  <c r="B12" i="3"/>
  <c r="B14" i="3"/>
  <c r="B13" i="3"/>
  <c r="B15" i="3"/>
  <c r="B18" i="3"/>
  <c r="B19" i="3"/>
  <c r="B24" i="3"/>
  <c r="B23" i="3"/>
  <c r="E30" i="4"/>
  <c r="H7" i="2" s="1"/>
  <c r="D30" i="4"/>
  <c r="C30" i="4"/>
  <c r="H23" i="3"/>
  <c r="C20" i="3"/>
  <c r="B20" i="3" s="1"/>
  <c r="I13" i="3"/>
  <c r="H13" i="3"/>
  <c r="H12" i="3"/>
  <c r="I9" i="3"/>
  <c r="H9" i="3"/>
  <c r="I8" i="3"/>
  <c r="H8" i="3"/>
  <c r="B21" i="3" l="1"/>
  <c r="I18" i="3"/>
  <c r="I12" i="3"/>
  <c r="H18" i="3"/>
  <c r="I20" i="3"/>
  <c r="H15" i="3"/>
  <c r="I21" i="3"/>
  <c r="I23" i="3"/>
  <c r="I19" i="3"/>
  <c r="H20" i="3"/>
  <c r="H19" i="3"/>
  <c r="I15" i="3"/>
  <c r="I14" i="3"/>
  <c r="H21" i="3"/>
  <c r="H24" i="3"/>
  <c r="I24" i="3"/>
  <c r="L19" i="2"/>
  <c r="L20" i="2" s="1"/>
  <c r="L18" i="2"/>
  <c r="L16" i="2"/>
  <c r="L22" i="2" l="1"/>
  <c r="L21" i="2"/>
  <c r="C21" i="2" s="1"/>
  <c r="C19" i="2"/>
  <c r="C18" i="2"/>
  <c r="L17" i="2"/>
  <c r="C17" i="2"/>
  <c r="L15" i="2"/>
  <c r="C16" i="2" l="1"/>
  <c r="C20" i="2"/>
  <c r="C22" i="2"/>
</calcChain>
</file>

<file path=xl/sharedStrings.xml><?xml version="1.0" encoding="utf-8"?>
<sst xmlns="http://schemas.openxmlformats.org/spreadsheetml/2006/main" count="59" uniqueCount="52">
  <si>
    <t>Calc. By:</t>
  </si>
  <si>
    <t>JDC</t>
  </si>
  <si>
    <t>Check By:</t>
  </si>
  <si>
    <t>Permanent Seeded Area:</t>
  </si>
  <si>
    <t>S.Y.</t>
  </si>
  <si>
    <t>Permanent Sodded Area:</t>
  </si>
  <si>
    <t>No. Construction Seasons</t>
  </si>
  <si>
    <t>E101</t>
  </si>
  <si>
    <t>SEEDING AND MULCHING</t>
  </si>
  <si>
    <t>Item No.</t>
  </si>
  <si>
    <t>Description</t>
  </si>
  <si>
    <t>Quantity</t>
  </si>
  <si>
    <t>Formula</t>
  </si>
  <si>
    <t>Soil Analysis Test</t>
  </si>
  <si>
    <t>Topsoil</t>
  </si>
  <si>
    <t>Seeding and Mulching</t>
  </si>
  <si>
    <t>Repair Seeding and Mulching</t>
  </si>
  <si>
    <t>Inter-Seeding</t>
  </si>
  <si>
    <t>Commercial Fertilizer</t>
  </si>
  <si>
    <t>Lime</t>
  </si>
  <si>
    <t>Water</t>
  </si>
  <si>
    <t>EROSION CONTROL QUANTITIES
POR-76-(21.18)</t>
  </si>
  <si>
    <t>ITEM 203 - EXCAVATION/fill</t>
  </si>
  <si>
    <t xml:space="preserve"> </t>
  </si>
  <si>
    <t>End Width</t>
  </si>
  <si>
    <t>SQ yds</t>
  </si>
  <si>
    <t>STATION</t>
  </si>
  <si>
    <t>CUT (SF)</t>
  </si>
  <si>
    <t>FILL (SF)</t>
  </si>
  <si>
    <t>CUT (CY)</t>
  </si>
  <si>
    <t>FILL (CY)</t>
  </si>
  <si>
    <t>EARTHWORK/SEEDING</t>
  </si>
  <si>
    <t>LOCATION</t>
  </si>
  <si>
    <t>EXCAVATION</t>
  </si>
  <si>
    <t>EMBANKMENT</t>
  </si>
  <si>
    <t>SEEDING AND MULCHING AS PER PLAN</t>
  </si>
  <si>
    <t>SHEET</t>
  </si>
  <si>
    <t>NO.</t>
  </si>
  <si>
    <t>CY</t>
  </si>
  <si>
    <t xml:space="preserve">CY </t>
  </si>
  <si>
    <t>SY</t>
  </si>
  <si>
    <t>TOTALS</t>
  </si>
  <si>
    <t>CR 73</t>
  </si>
  <si>
    <t>VLC</t>
  </si>
  <si>
    <t>$XS025$</t>
  </si>
  <si>
    <t>$XS024$</t>
  </si>
  <si>
    <t>$XS023$</t>
  </si>
  <si>
    <t>$XS022A$</t>
  </si>
  <si>
    <t>$XS022$</t>
  </si>
  <si>
    <t>$XS021$</t>
  </si>
  <si>
    <t>$XS020$</t>
  </si>
  <si>
    <t>whole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</si>
</sst>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\ &quot;SQ. YD.&quot;"/>
    <numFmt numFmtId="165" formatCode="0\+0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2"/>
    <xf numFmtId="0" fontId="2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horizontal="left" vertical="center"/>
    </xf>
    <xf numFmtId="14" fontId="1" fillId="0" borderId="0" xfId="1" applyNumberForma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2" fontId="4" fillId="0" borderId="0" xfId="1" applyNumberFormat="1" applyFont="1" applyBorder="1" applyAlignment="1">
      <alignment horizontal="center" vertical="center"/>
    </xf>
    <xf numFmtId="0" fontId="3" fillId="0" borderId="0" xfId="2" applyBorder="1"/>
    <xf numFmtId="0" fontId="4" fillId="0" borderId="0" xfId="1" applyFont="1" applyBorder="1" applyAlignment="1">
      <alignment horizontal="right" vertical="center"/>
    </xf>
    <xf numFmtId="1" fontId="4" fillId="0" borderId="0" xfId="1" applyNumberFormat="1" applyFont="1" applyBorder="1" applyAlignment="1">
      <alignment horizontal="right" vertical="center"/>
    </xf>
    <xf numFmtId="1" fontId="4" fillId="0" borderId="0" xfId="3" applyNumberFormat="1" applyFont="1" applyBorder="1" applyAlignment="1">
      <alignment horizontal="right" vertical="center"/>
    </xf>
    <xf numFmtId="0" fontId="1" fillId="0" borderId="0" xfId="1" applyBorder="1" applyAlignment="1"/>
    <xf numFmtId="0" fontId="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/>
    </xf>
    <xf numFmtId="2" fontId="4" fillId="0" borderId="0" xfId="3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/>
    <xf numFmtId="0" fontId="7" fillId="0" borderId="0" xfId="1" applyFont="1" applyAlignment="1">
      <alignment horizontal="center" vertical="center"/>
    </xf>
    <xf numFmtId="2" fontId="4" fillId="0" borderId="0" xfId="3" applyNumberFormat="1" applyFont="1" applyBorder="1"/>
    <xf numFmtId="0" fontId="8" fillId="0" borderId="0" xfId="1" applyFont="1" applyAlignment="1">
      <alignment horizontal="center" vertical="center"/>
    </xf>
    <xf numFmtId="1" fontId="4" fillId="0" borderId="0" xfId="1" applyNumberFormat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left" vertical="center"/>
    </xf>
    <xf numFmtId="2" fontId="4" fillId="0" borderId="0" xfId="1" applyNumberFormat="1" applyFont="1" applyBorder="1" applyAlignment="1">
      <alignment horizontal="left" vertical="center"/>
    </xf>
    <xf numFmtId="2" fontId="8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Border="1"/>
    <xf numFmtId="0" fontId="1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165" fontId="9" fillId="0" borderId="35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/>
    </xf>
  </cellXfs>
  <cellStyles count="4">
    <cellStyle name="Currency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view="pageBreakPreview" zoomScale="85" zoomScaleNormal="100" zoomScaleSheetLayoutView="85" workbookViewId="0">
      <selection activeCell="C32" sqref="C32"/>
    </sheetView>
  </sheetViews>
  <sheetFormatPr defaultRowHeight="15" x14ac:dyDescent="0.25"/>
  <cols>
    <col min="2" max="2" width="28.5703125" bestFit="1" customWidth="1"/>
    <col min="3" max="3" width="88.5703125" bestFit="1" customWidth="1"/>
    <col min="8" max="8" width="10.28515625" bestFit="1" customWidth="1"/>
  </cols>
  <sheetData>
    <row r="1" spans="1:12" x14ac:dyDescent="0.25">
      <c r="A1" s="1"/>
      <c r="B1" s="68" t="s">
        <v>21</v>
      </c>
      <c r="C1" s="69"/>
      <c r="D1" s="69"/>
      <c r="E1" s="69"/>
      <c r="F1" s="69"/>
      <c r="G1" s="69"/>
      <c r="H1" s="2"/>
      <c r="I1" s="2"/>
      <c r="J1" s="3"/>
      <c r="K1" s="3"/>
      <c r="L1" s="3"/>
    </row>
    <row r="2" spans="1:12" x14ac:dyDescent="0.25">
      <c r="A2" s="2"/>
      <c r="B2" s="69"/>
      <c r="C2" s="69"/>
      <c r="D2" s="69"/>
      <c r="E2" s="69"/>
      <c r="F2" s="69"/>
      <c r="G2" s="69"/>
      <c r="H2" s="2"/>
      <c r="I2" s="2"/>
      <c r="J2" s="3"/>
      <c r="K2" s="3"/>
      <c r="L2" s="3"/>
    </row>
    <row r="3" spans="1:12" x14ac:dyDescent="0.25">
      <c r="A3" s="4"/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2" x14ac:dyDescent="0.25">
      <c r="A4" s="4"/>
      <c r="B4" s="2"/>
      <c r="C4" s="2"/>
      <c r="D4" s="2"/>
      <c r="E4" s="2"/>
      <c r="F4" s="5" t="s">
        <v>0</v>
      </c>
      <c r="G4" s="6" t="s">
        <v>43</v>
      </c>
      <c r="H4" s="7">
        <v>43494</v>
      </c>
      <c r="I4" s="2"/>
      <c r="J4" s="3"/>
      <c r="K4" s="3"/>
      <c r="L4" s="3"/>
    </row>
    <row r="5" spans="1:12" x14ac:dyDescent="0.25">
      <c r="A5" s="4"/>
      <c r="B5" s="2"/>
      <c r="C5" s="2"/>
      <c r="D5" s="2"/>
      <c r="E5" s="2"/>
      <c r="F5" s="5" t="s">
        <v>2</v>
      </c>
      <c r="G5" s="8" t="s">
        <v>1</v>
      </c>
      <c r="H5" s="7"/>
      <c r="I5" s="2"/>
      <c r="J5" s="3"/>
      <c r="K5" s="3"/>
      <c r="L5" s="3"/>
    </row>
    <row r="6" spans="1:12" x14ac:dyDescent="0.25">
      <c r="A6" s="9"/>
      <c r="B6" s="10"/>
      <c r="C6" s="11"/>
      <c r="D6" s="11"/>
      <c r="E6" s="12"/>
      <c r="F6" s="11"/>
      <c r="G6" s="13"/>
      <c r="H6" s="13"/>
      <c r="I6" s="11"/>
      <c r="J6" s="3"/>
      <c r="K6" s="3"/>
      <c r="L6" s="3"/>
    </row>
    <row r="7" spans="1:12" x14ac:dyDescent="0.25">
      <c r="A7" s="9"/>
      <c r="B7" s="10"/>
      <c r="C7" s="11"/>
      <c r="D7" s="11"/>
      <c r="E7" s="12"/>
      <c r="F7" s="14"/>
      <c r="G7" s="15" t="s">
        <v>3</v>
      </c>
      <c r="H7" s="16">
        <f>'SHEET TOTALS'!$E$30</f>
        <v>1283</v>
      </c>
      <c r="I7" s="12" t="s">
        <v>4</v>
      </c>
      <c r="J7" s="3"/>
      <c r="K7" s="3"/>
      <c r="L7" s="3"/>
    </row>
    <row r="8" spans="1:12" x14ac:dyDescent="0.25">
      <c r="A8" s="9"/>
      <c r="B8" s="10"/>
      <c r="C8" s="11"/>
      <c r="D8" s="11"/>
      <c r="E8" s="12"/>
      <c r="F8" s="14"/>
      <c r="G8" s="15" t="s">
        <v>5</v>
      </c>
      <c r="H8" s="17">
        <v>0</v>
      </c>
      <c r="I8" s="12" t="s">
        <v>4</v>
      </c>
      <c r="J8" s="3"/>
      <c r="K8" s="3"/>
      <c r="L8" s="3"/>
    </row>
    <row r="9" spans="1:12" x14ac:dyDescent="0.25">
      <c r="A9" s="9"/>
      <c r="B9" s="10"/>
      <c r="C9" s="11"/>
      <c r="D9" s="11"/>
      <c r="E9" s="12"/>
      <c r="F9" s="14"/>
      <c r="G9" s="15" t="s">
        <v>6</v>
      </c>
      <c r="H9" s="17">
        <v>1</v>
      </c>
      <c r="I9" s="12"/>
      <c r="J9" s="3"/>
      <c r="K9" s="3"/>
      <c r="L9" s="3"/>
    </row>
    <row r="10" spans="1:12" x14ac:dyDescent="0.25">
      <c r="A10" s="9"/>
      <c r="B10" s="10"/>
      <c r="C10" s="11"/>
      <c r="D10" s="11"/>
      <c r="E10" s="12"/>
      <c r="F10" s="15"/>
      <c r="G10" s="18"/>
      <c r="H10" s="17"/>
      <c r="I10" s="12"/>
      <c r="J10" s="3"/>
      <c r="K10" s="3"/>
      <c r="L10" s="3"/>
    </row>
    <row r="11" spans="1:12" x14ac:dyDescent="0.25">
      <c r="A11" s="19" t="s">
        <v>7</v>
      </c>
      <c r="B11" s="20" t="s">
        <v>8</v>
      </c>
      <c r="C11" s="11"/>
      <c r="D11" s="11"/>
      <c r="E11" s="12"/>
      <c r="F11" s="15"/>
      <c r="G11" s="18"/>
      <c r="H11" s="17"/>
      <c r="I11" s="12"/>
      <c r="J11" s="3"/>
      <c r="K11" s="3"/>
      <c r="L11" s="3"/>
    </row>
    <row r="12" spans="1:12" x14ac:dyDescent="0.25">
      <c r="A12" s="9"/>
      <c r="B12" s="10"/>
      <c r="C12" s="11"/>
      <c r="D12" s="11"/>
      <c r="E12" s="12"/>
      <c r="F12" s="12"/>
      <c r="G12" s="21"/>
      <c r="H12" s="17"/>
      <c r="I12" s="12"/>
      <c r="J12" s="3"/>
      <c r="K12" s="3"/>
      <c r="L12" s="3"/>
    </row>
    <row r="13" spans="1:12" x14ac:dyDescent="0.25">
      <c r="A13" s="22" t="s">
        <v>9</v>
      </c>
      <c r="B13" s="23" t="s">
        <v>10</v>
      </c>
      <c r="C13" s="24" t="s">
        <v>11</v>
      </c>
      <c r="D13" s="14"/>
      <c r="E13" s="24"/>
      <c r="F13" s="12"/>
      <c r="G13" s="21"/>
      <c r="H13" s="21"/>
      <c r="I13" s="25"/>
      <c r="J13" s="3"/>
      <c r="K13" s="3"/>
      <c r="L13" s="26" t="s">
        <v>12</v>
      </c>
    </row>
    <row r="14" spans="1:12" x14ac:dyDescent="0.25">
      <c r="A14" s="9"/>
      <c r="B14" s="10"/>
      <c r="C14" s="11"/>
      <c r="D14" s="14"/>
      <c r="E14" s="11"/>
      <c r="F14" s="25"/>
      <c r="G14" s="27"/>
      <c r="H14" s="27"/>
      <c r="I14" s="25"/>
      <c r="J14" s="3"/>
      <c r="K14" s="3"/>
      <c r="L14" s="28"/>
    </row>
    <row r="15" spans="1:12" x14ac:dyDescent="0.25">
      <c r="A15" s="9">
        <v>659</v>
      </c>
      <c r="B15" s="10" t="s">
        <v>13</v>
      </c>
      <c r="C15" s="29">
        <v>0</v>
      </c>
      <c r="D15" s="14"/>
      <c r="E15" s="11"/>
      <c r="F15" s="12"/>
      <c r="G15" s="21"/>
      <c r="H15" s="21"/>
      <c r="I15" s="25"/>
      <c r="J15" s="3"/>
      <c r="K15" s="3"/>
      <c r="L15" s="30">
        <f>IF(20000&gt;L16&gt;0, 0)</f>
        <v>0</v>
      </c>
    </row>
    <row r="16" spans="1:12" hidden="1" x14ac:dyDescent="0.25">
      <c r="A16" s="9">
        <v>659</v>
      </c>
      <c r="B16" s="10" t="s">
        <v>14</v>
      </c>
      <c r="C16" s="29" t="str">
        <f>CONCATENATE(H7," SQ. YD.  X 111 CU. YD./1000 SQ. YD. = ",L16," CU. YD.")</f>
        <v>1283 SQ. YD.  X 111 CU. YD./1000 SQ. YD. = 142 CU. YD.</v>
      </c>
      <c r="D16" s="14"/>
      <c r="E16" s="11"/>
      <c r="F16" s="12"/>
      <c r="G16" s="21"/>
      <c r="H16" s="21"/>
      <c r="I16" s="25"/>
      <c r="J16" s="3"/>
      <c r="K16" s="3"/>
      <c r="L16" s="30">
        <f>ROUND(111*($H$7/1000),0)</f>
        <v>142</v>
      </c>
    </row>
    <row r="17" spans="1:12" x14ac:dyDescent="0.25">
      <c r="A17" s="9">
        <v>659</v>
      </c>
      <c r="B17" s="10" t="s">
        <v>15</v>
      </c>
      <c r="C17" s="31">
        <f>$H$7</f>
        <v>1283</v>
      </c>
      <c r="D17" s="14"/>
      <c r="E17" s="11"/>
      <c r="F17" s="12"/>
      <c r="G17" s="21"/>
      <c r="H17" s="21"/>
      <c r="I17" s="25"/>
      <c r="J17" s="3"/>
      <c r="K17" s="3"/>
      <c r="L17" s="30">
        <f>$H$7</f>
        <v>1283</v>
      </c>
    </row>
    <row r="18" spans="1:12" x14ac:dyDescent="0.25">
      <c r="A18" s="9">
        <v>659</v>
      </c>
      <c r="B18" s="10" t="s">
        <v>16</v>
      </c>
      <c r="C18" s="29" t="str">
        <f>CONCATENATE("5% X ",H7," SY = ",L18," SY")</f>
        <v>5% X 1283 SY = 64 SY</v>
      </c>
      <c r="D18" s="14"/>
      <c r="E18" s="11"/>
      <c r="F18" s="12"/>
      <c r="G18" s="21"/>
      <c r="H18" s="21"/>
      <c r="I18" s="25"/>
      <c r="J18" s="3"/>
      <c r="K18" s="3"/>
      <c r="L18" s="30">
        <f>ROUND(0.05*$H$7,0)</f>
        <v>64</v>
      </c>
    </row>
    <row r="19" spans="1:12" x14ac:dyDescent="0.25">
      <c r="A19" s="9">
        <v>659</v>
      </c>
      <c r="B19" s="10" t="s">
        <v>17</v>
      </c>
      <c r="C19" s="29" t="str">
        <f>CONCATENATE("5% X ", H7, " SY = ", L19, " SY")</f>
        <v>5% X 1283 SY = 64 SY</v>
      </c>
      <c r="D19" s="14"/>
      <c r="E19" s="11"/>
      <c r="F19" s="12"/>
      <c r="G19" s="21"/>
      <c r="H19" s="21"/>
      <c r="I19" s="25"/>
      <c r="J19" s="3"/>
      <c r="K19" s="3"/>
      <c r="L19" s="30">
        <f>ROUND(0.05*$H$7,0)</f>
        <v>64</v>
      </c>
    </row>
    <row r="20" spans="1:12" x14ac:dyDescent="0.25">
      <c r="A20" s="9">
        <v>659</v>
      </c>
      <c r="B20" s="10" t="s">
        <v>18</v>
      </c>
      <c r="C20" s="32" t="str">
        <f>CONCATENATE(H7, " SY / 4446 SY = ", L20, " Ton")</f>
        <v>1283 SY / 4446 SY = 0.29 Ton</v>
      </c>
      <c r="D20" s="14"/>
      <c r="E20" s="11"/>
      <c r="F20" s="12"/>
      <c r="G20" s="21"/>
      <c r="H20" s="21"/>
      <c r="I20" s="25"/>
      <c r="J20" s="3"/>
      <c r="K20" s="3"/>
      <c r="L20" s="33">
        <f>ROUNDUP(IF(L19&lt;=0,(30/2000*$H$7*9/1000),(50/2000*$H$7*9/1000)),2)</f>
        <v>0.29000000000000004</v>
      </c>
    </row>
    <row r="21" spans="1:12" x14ac:dyDescent="0.25">
      <c r="A21" s="9">
        <v>659</v>
      </c>
      <c r="B21" s="10" t="s">
        <v>19</v>
      </c>
      <c r="C21" s="32" t="str">
        <f>CONCATENATE(H7," SY / 4840 SY = ",L21," Acre")</f>
        <v>1283 SY / 4840 SY = 0.27 Acre</v>
      </c>
      <c r="D21" s="14"/>
      <c r="E21" s="11"/>
      <c r="F21" s="12"/>
      <c r="G21" s="21"/>
      <c r="H21" s="21"/>
      <c r="I21" s="25"/>
      <c r="J21" s="3"/>
      <c r="K21" s="3"/>
      <c r="L21" s="33">
        <f>ROUND($H$7/4840,2)</f>
        <v>0.27</v>
      </c>
    </row>
    <row r="22" spans="1:12" x14ac:dyDescent="0.25">
      <c r="A22" s="9">
        <v>659</v>
      </c>
      <c r="B22" s="10" t="s">
        <v>20</v>
      </c>
      <c r="C22" s="29" t="str">
        <f>CONCATENATE("0.0027 MGAL / SY X ",H7, " SY +  0.0027 MGAL/SY X ",L18, " SY  X 2 APPLICATIONS= ",L22, " MGAL")</f>
        <v>0.0027 MGAL / SY X 1283 SY +  0.0027 MGAL/SY X 64 SY  X 2 APPLICATIONS= 7.27 MGAL</v>
      </c>
      <c r="D22" s="14"/>
      <c r="E22" s="11"/>
      <c r="F22" s="12"/>
      <c r="G22" s="21"/>
      <c r="H22" s="21"/>
      <c r="I22" s="25"/>
      <c r="J22" s="3"/>
      <c r="K22" s="3"/>
      <c r="L22" s="33">
        <f>ROUND((((H7*0.0027)+(0.0027*L19))*2),2)</f>
        <v>7.27</v>
      </c>
    </row>
  </sheetData>
  <mergeCells count="1">
    <mergeCell ref="B1:G2"/>
  </mergeCells>
  <pageMargins left="0.7" right="0.7" top="0.75" bottom="0.75" header="0.3" footer="0.3"/>
  <pageSetup scale="4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"/>
  <sheetViews>
    <sheetView topLeftCell="C7" workbookViewId="0">
      <selection activeCell="F25" sqref="F25"/>
    </sheetView>
  </sheetViews>
  <sheetFormatPr defaultRowHeight="15" x14ac:dyDescent="0.25"/>
  <sheetData>
    <row r="1" spans="1:15" x14ac:dyDescent="0.25">
      <c r="A1" s="34"/>
      <c r="B1" s="34"/>
      <c r="C1" s="70" t="s">
        <v>22</v>
      </c>
      <c r="D1" s="70"/>
      <c r="E1" s="70"/>
      <c r="F1" s="70"/>
      <c r="G1" s="70"/>
      <c r="H1" s="70"/>
      <c r="I1" s="70"/>
    </row>
    <row r="2" spans="1:15" x14ac:dyDescent="0.25">
      <c r="A2" s="35"/>
      <c r="B2" s="35"/>
      <c r="C2" s="36"/>
      <c r="D2" s="37" t="s">
        <v>23</v>
      </c>
      <c r="E2" s="37" t="s">
        <v>23</v>
      </c>
      <c r="F2" s="71" t="s">
        <v>51</v>
      </c>
      <c r="G2" s="72"/>
      <c r="H2" s="37" t="s">
        <v>23</v>
      </c>
      <c r="I2" s="37" t="s">
        <v>23</v>
      </c>
    </row>
    <row r="3" spans="1:15" x14ac:dyDescent="0.25">
      <c r="A3" s="35" t="s">
        <v>24</v>
      </c>
      <c r="B3" s="35" t="s">
        <v>25</v>
      </c>
      <c r="C3" s="38" t="s">
        <v>26</v>
      </c>
      <c r="D3" s="35" t="s">
        <v>27</v>
      </c>
      <c r="E3" s="35" t="s">
        <v>28</v>
      </c>
      <c r="F3" s="35" t="s">
        <v>27</v>
      </c>
      <c r="G3" s="35" t="s">
        <v>28</v>
      </c>
      <c r="H3" s="35" t="s">
        <v>29</v>
      </c>
      <c r="I3" s="35" t="s">
        <v>30</v>
      </c>
    </row>
    <row r="4" spans="1:15" x14ac:dyDescent="0.25">
      <c r="A4" s="35"/>
      <c r="B4" s="35"/>
      <c r="C4" s="38" t="s">
        <v>42</v>
      </c>
      <c r="D4" s="35"/>
      <c r="E4" s="35"/>
      <c r="F4" s="35"/>
      <c r="G4" s="35"/>
      <c r="H4" s="35"/>
      <c r="I4" s="35"/>
    </row>
    <row r="5" spans="1:15" x14ac:dyDescent="0.25">
      <c r="A5" s="35">
        <v>0</v>
      </c>
      <c r="B5" s="35"/>
      <c r="C5" s="39">
        <v>4600</v>
      </c>
      <c r="D5" s="35">
        <v>0</v>
      </c>
      <c r="E5" s="35">
        <v>0</v>
      </c>
      <c r="F5" s="35">
        <v>0</v>
      </c>
      <c r="G5" s="35">
        <v>0</v>
      </c>
      <c r="H5" s="35"/>
      <c r="I5" s="35"/>
    </row>
    <row r="6" spans="1:15" x14ac:dyDescent="0.25">
      <c r="A6" s="35">
        <v>0</v>
      </c>
      <c r="B6" s="35">
        <f>ROUND(((($A5+$A6)/2)*($C6-$C5))/9,0)</f>
        <v>0</v>
      </c>
      <c r="C6" s="39">
        <v>4629.1899999999996</v>
      </c>
      <c r="D6" s="40">
        <v>0</v>
      </c>
      <c r="E6" s="40">
        <v>0</v>
      </c>
      <c r="F6" s="40">
        <v>0</v>
      </c>
      <c r="G6" s="40">
        <v>0</v>
      </c>
      <c r="H6" s="35">
        <f>ROUND((((D6+D5)/2)*($C6-$C5))/27,0)</f>
        <v>0</v>
      </c>
      <c r="I6" s="35">
        <f>ROUND((((E6+E5)/2)*($C6-$C5))/27,0)</f>
        <v>0</v>
      </c>
      <c r="J6" s="35">
        <f>ROUND((((F6+F5)/2)*($C6-$C5))/27,0)</f>
        <v>0</v>
      </c>
      <c r="K6" s="35">
        <f>ROUND((((G6+G5)/2)*($C6-$C5))/27,0)</f>
        <v>0</v>
      </c>
    </row>
    <row r="7" spans="1:15" x14ac:dyDescent="0.25">
      <c r="A7" s="35">
        <v>9</v>
      </c>
      <c r="B7" s="35"/>
      <c r="C7" s="39">
        <v>4629.1899999999996</v>
      </c>
      <c r="D7" s="40">
        <v>0.54139999999999999</v>
      </c>
      <c r="E7" s="40">
        <v>1.0736000000000001</v>
      </c>
      <c r="F7" s="40">
        <v>1</v>
      </c>
      <c r="G7" s="40">
        <v>1</v>
      </c>
      <c r="H7" s="35"/>
      <c r="I7" s="35"/>
      <c r="J7" s="35"/>
      <c r="K7" s="35"/>
    </row>
    <row r="8" spans="1:15" x14ac:dyDescent="0.25">
      <c r="A8" s="35">
        <v>9</v>
      </c>
      <c r="B8" s="35">
        <f>ROUND(((($A7+$A8)/2)*($C8-$C7))/9,0)</f>
        <v>21</v>
      </c>
      <c r="C8" s="39">
        <v>4650</v>
      </c>
      <c r="D8" s="40">
        <v>0.64690000000000003</v>
      </c>
      <c r="E8" s="40">
        <v>1.1240000000000001</v>
      </c>
      <c r="F8" s="40">
        <v>1</v>
      </c>
      <c r="G8" s="40">
        <v>1</v>
      </c>
      <c r="H8" s="35">
        <f t="shared" ref="H8:I15" si="0">ROUND((((D8+D7)/2)*($C8-$C7))/27,0)</f>
        <v>0</v>
      </c>
      <c r="I8" s="35">
        <f t="shared" si="0"/>
        <v>1</v>
      </c>
      <c r="J8" s="35">
        <f t="shared" ref="J8:J9" si="1">ROUND((((F8+F7)/2)*($C8-$C7))/27,0)</f>
        <v>1</v>
      </c>
      <c r="K8" s="35">
        <f t="shared" ref="K8:K9" si="2">ROUND((((G8+G7)/2)*($C8-$C7))/27,0)</f>
        <v>1</v>
      </c>
    </row>
    <row r="9" spans="1:15" x14ac:dyDescent="0.25">
      <c r="A9" s="35">
        <v>16</v>
      </c>
      <c r="B9" s="35">
        <f>ROUND(((($A8+$A9)/2)*($C9-$C8))/9,0)</f>
        <v>69</v>
      </c>
      <c r="C9" s="39">
        <v>4700</v>
      </c>
      <c r="D9" s="40">
        <f>0.6469+3.3938</f>
        <v>4.0407000000000002</v>
      </c>
      <c r="E9" s="40">
        <f>1.124+0.1715</f>
        <v>1.2955000000000001</v>
      </c>
      <c r="F9" s="40">
        <v>4</v>
      </c>
      <c r="G9" s="40">
        <v>1</v>
      </c>
      <c r="H9" s="35">
        <f t="shared" si="0"/>
        <v>4</v>
      </c>
      <c r="I9" s="35">
        <f t="shared" si="0"/>
        <v>2</v>
      </c>
      <c r="J9" s="65">
        <f t="shared" si="1"/>
        <v>5</v>
      </c>
      <c r="K9" s="65">
        <f t="shared" si="2"/>
        <v>2</v>
      </c>
    </row>
    <row r="10" spans="1:15" ht="15.75" thickBot="1" x14ac:dyDescent="0.3">
      <c r="A10" s="41"/>
      <c r="B10" s="41"/>
      <c r="C10" s="42">
        <v>4700</v>
      </c>
      <c r="D10" s="43">
        <v>12.63</v>
      </c>
      <c r="E10" s="43">
        <f>0.2677+0.1715</f>
        <v>0.43920000000000003</v>
      </c>
      <c r="F10" s="43">
        <v>13</v>
      </c>
      <c r="G10" s="43">
        <v>0</v>
      </c>
      <c r="H10" s="41"/>
      <c r="I10" s="41"/>
      <c r="J10" s="66"/>
      <c r="K10" s="66"/>
      <c r="M10">
        <f>SUM(J6:J10)</f>
        <v>6</v>
      </c>
      <c r="N10">
        <f>SUM(K6:K10)</f>
        <v>3</v>
      </c>
      <c r="O10">
        <f>SUM(B6:B10)</f>
        <v>90</v>
      </c>
    </row>
    <row r="11" spans="1:15" x14ac:dyDescent="0.25">
      <c r="A11" s="44">
        <v>15</v>
      </c>
      <c r="B11" s="44">
        <f>ROUND(((($A9+$A11)/2)*($C11-$C9))/9,0)</f>
        <v>86</v>
      </c>
      <c r="C11" s="45">
        <v>4750</v>
      </c>
      <c r="D11" s="46">
        <v>10.16</v>
      </c>
      <c r="E11" s="46">
        <f>0.5214+0.2802</f>
        <v>0.80159999999999998</v>
      </c>
      <c r="F11" s="46">
        <v>10</v>
      </c>
      <c r="G11" s="46">
        <v>1</v>
      </c>
      <c r="H11" s="44">
        <f>ROUND((((D11+D10)/2)*($C11-$C10))/27,0)</f>
        <v>21</v>
      </c>
      <c r="I11" s="44">
        <f>ROUND((((E11+E10)/2)*($C11-$C10))/27,0)</f>
        <v>1</v>
      </c>
      <c r="J11" s="67">
        <f>ROUND((((F11+F10)/2)*($C11-$C10))/27,0)</f>
        <v>21</v>
      </c>
      <c r="K11" s="67">
        <f>ROUND((((G11+G10)/2)*($C11-$C10))/27,0)</f>
        <v>1</v>
      </c>
    </row>
    <row r="12" spans="1:15" x14ac:dyDescent="0.25">
      <c r="A12" s="35">
        <v>15</v>
      </c>
      <c r="B12" s="35">
        <f t="shared" ref="B12:B23" si="3">ROUND(((($A11+$A12)/2)*($C12-$C11))/9,0)</f>
        <v>83</v>
      </c>
      <c r="C12" s="39">
        <v>4800</v>
      </c>
      <c r="D12" s="40">
        <v>8.99</v>
      </c>
      <c r="E12" s="40">
        <f>0.5048+0.2529</f>
        <v>0.75770000000000004</v>
      </c>
      <c r="F12" s="40">
        <v>9</v>
      </c>
      <c r="G12" s="40">
        <v>1</v>
      </c>
      <c r="H12" s="35">
        <f t="shared" si="0"/>
        <v>18</v>
      </c>
      <c r="I12" s="35">
        <f t="shared" si="0"/>
        <v>1</v>
      </c>
      <c r="J12" s="65">
        <f t="shared" ref="J12:J15" si="4">ROUND((((F12+F11)/2)*($C12-$C11))/27,0)</f>
        <v>18</v>
      </c>
      <c r="K12" s="65">
        <f t="shared" ref="K12:K15" si="5">ROUND((((G12+G11)/2)*($C12-$C11))/27,0)</f>
        <v>2</v>
      </c>
    </row>
    <row r="13" spans="1:15" ht="15.75" thickBot="1" x14ac:dyDescent="0.3">
      <c r="A13" s="41">
        <v>59</v>
      </c>
      <c r="B13" s="41">
        <f t="shared" si="3"/>
        <v>206</v>
      </c>
      <c r="C13" s="42">
        <v>4850</v>
      </c>
      <c r="D13" s="43">
        <f>1.88+1.15</f>
        <v>3.03</v>
      </c>
      <c r="E13" s="43">
        <f>0.797+0.8801</f>
        <v>1.6771</v>
      </c>
      <c r="F13" s="43">
        <v>3</v>
      </c>
      <c r="G13" s="43">
        <v>2</v>
      </c>
      <c r="H13" s="41">
        <f t="shared" si="0"/>
        <v>11</v>
      </c>
      <c r="I13" s="41">
        <f t="shared" si="0"/>
        <v>2</v>
      </c>
      <c r="J13" s="66">
        <f t="shared" si="4"/>
        <v>11</v>
      </c>
      <c r="K13" s="66">
        <f t="shared" si="5"/>
        <v>3</v>
      </c>
      <c r="M13">
        <f>SUM(J11:J13)</f>
        <v>50</v>
      </c>
      <c r="N13">
        <f>SUM(K11:K13)</f>
        <v>6</v>
      </c>
      <c r="O13">
        <f>SUM(B11:B13)</f>
        <v>375</v>
      </c>
    </row>
    <row r="14" spans="1:15" x14ac:dyDescent="0.25">
      <c r="A14" s="44">
        <v>50</v>
      </c>
      <c r="B14" s="44">
        <f t="shared" si="3"/>
        <v>68</v>
      </c>
      <c r="C14" s="45">
        <v>4861.25</v>
      </c>
      <c r="D14" s="46">
        <f>46.05+5.52+32.33</f>
        <v>83.899999999999991</v>
      </c>
      <c r="E14" s="46">
        <f>46.05+32.33+21.16+15.29</f>
        <v>114.82999999999998</v>
      </c>
      <c r="F14" s="46">
        <v>84</v>
      </c>
      <c r="G14" s="46">
        <v>115</v>
      </c>
      <c r="H14" s="44">
        <f t="shared" si="0"/>
        <v>18</v>
      </c>
      <c r="I14" s="44">
        <f t="shared" si="0"/>
        <v>24</v>
      </c>
      <c r="J14" s="67">
        <f t="shared" si="4"/>
        <v>18</v>
      </c>
      <c r="K14" s="67">
        <f t="shared" si="5"/>
        <v>24</v>
      </c>
    </row>
    <row r="15" spans="1:15" ht="15.75" thickBot="1" x14ac:dyDescent="0.3">
      <c r="A15" s="41">
        <v>10</v>
      </c>
      <c r="B15" s="41">
        <f t="shared" si="3"/>
        <v>83</v>
      </c>
      <c r="C15" s="42">
        <v>4886.25</v>
      </c>
      <c r="D15" s="43">
        <f>4.73</f>
        <v>4.7300000000000004</v>
      </c>
      <c r="E15" s="43">
        <f>6.0252+6.0515</f>
        <v>12.076699999999999</v>
      </c>
      <c r="F15" s="43">
        <v>5</v>
      </c>
      <c r="G15" s="43">
        <v>12</v>
      </c>
      <c r="H15" s="41">
        <f t="shared" si="0"/>
        <v>41</v>
      </c>
      <c r="I15" s="41">
        <f t="shared" si="0"/>
        <v>59</v>
      </c>
      <c r="J15" s="66">
        <f t="shared" si="4"/>
        <v>41</v>
      </c>
      <c r="K15" s="66">
        <f t="shared" si="5"/>
        <v>59</v>
      </c>
      <c r="M15">
        <f>SUM(J14:J15)</f>
        <v>59</v>
      </c>
      <c r="N15">
        <f>SUM(K14:K15)</f>
        <v>83</v>
      </c>
      <c r="O15">
        <f>SUM(B14:B15)</f>
        <v>151</v>
      </c>
    </row>
    <row r="16" spans="1:15" x14ac:dyDescent="0.25">
      <c r="A16" s="44"/>
      <c r="B16" s="44"/>
      <c r="C16" s="45"/>
      <c r="D16" s="46"/>
      <c r="E16" s="46"/>
      <c r="F16" s="46"/>
      <c r="G16" s="46"/>
      <c r="H16" s="44"/>
      <c r="I16" s="44"/>
      <c r="J16" s="67"/>
      <c r="K16" s="67"/>
    </row>
    <row r="17" spans="1:15" x14ac:dyDescent="0.25">
      <c r="A17" s="35">
        <v>10</v>
      </c>
      <c r="B17" s="35"/>
      <c r="C17" s="39">
        <v>5113.75</v>
      </c>
      <c r="D17" s="40">
        <f>1.7+1.69</f>
        <v>3.3899999999999997</v>
      </c>
      <c r="E17" s="40">
        <f>8.5+8.02</f>
        <v>16.52</v>
      </c>
      <c r="F17" s="40">
        <v>3</v>
      </c>
      <c r="G17" s="40">
        <v>17</v>
      </c>
      <c r="H17" s="35"/>
      <c r="I17" s="35"/>
      <c r="J17" s="65"/>
      <c r="K17" s="65"/>
    </row>
    <row r="18" spans="1:15" ht="15.75" thickBot="1" x14ac:dyDescent="0.3">
      <c r="A18" s="41">
        <v>34</v>
      </c>
      <c r="B18" s="41">
        <f t="shared" si="3"/>
        <v>61</v>
      </c>
      <c r="C18" s="42">
        <v>5138.75</v>
      </c>
      <c r="D18" s="43">
        <f>4.23+2.33+2.17</f>
        <v>8.73</v>
      </c>
      <c r="E18" s="43">
        <f>4.23+12.51+5.77</f>
        <v>22.51</v>
      </c>
      <c r="F18" s="43">
        <v>9</v>
      </c>
      <c r="G18" s="43">
        <v>23</v>
      </c>
      <c r="H18" s="41">
        <f t="shared" ref="H18:I23" si="6">ROUND((((D18+D17)/2)*($C18-$C17))/27,0)</f>
        <v>6</v>
      </c>
      <c r="I18" s="41">
        <f t="shared" si="6"/>
        <v>18</v>
      </c>
      <c r="J18" s="66">
        <f t="shared" ref="J18:J23" si="7">ROUND((((F18+F17)/2)*($C18-$C17))/27,0)</f>
        <v>6</v>
      </c>
      <c r="K18" s="66">
        <f t="shared" ref="K18:K23" si="8">ROUND((((G18+G17)/2)*($C18-$C17))/27,0)</f>
        <v>19</v>
      </c>
      <c r="M18">
        <f>SUM(J16:J18)</f>
        <v>6</v>
      </c>
      <c r="N18">
        <f>SUM(K16:K18)</f>
        <v>19</v>
      </c>
      <c r="O18">
        <f>SUM(B16:B18)</f>
        <v>61</v>
      </c>
    </row>
    <row r="19" spans="1:15" x14ac:dyDescent="0.25">
      <c r="A19" s="44">
        <v>21</v>
      </c>
      <c r="B19" s="44">
        <f t="shared" si="3"/>
        <v>34</v>
      </c>
      <c r="C19" s="45">
        <v>5150</v>
      </c>
      <c r="D19" s="46">
        <f>1.36+0.16+1.25</f>
        <v>2.77</v>
      </c>
      <c r="E19" s="46">
        <f>1.5739+1.2538</f>
        <v>2.8277000000000001</v>
      </c>
      <c r="F19" s="46">
        <v>3</v>
      </c>
      <c r="G19" s="46">
        <v>3</v>
      </c>
      <c r="H19" s="44">
        <f t="shared" si="6"/>
        <v>2</v>
      </c>
      <c r="I19" s="44">
        <f t="shared" si="6"/>
        <v>5</v>
      </c>
      <c r="J19" s="67">
        <f t="shared" si="7"/>
        <v>3</v>
      </c>
      <c r="K19" s="67">
        <f t="shared" si="8"/>
        <v>5</v>
      </c>
    </row>
    <row r="20" spans="1:15" x14ac:dyDescent="0.25">
      <c r="A20" s="44">
        <v>7</v>
      </c>
      <c r="B20" s="44">
        <f t="shared" si="3"/>
        <v>78</v>
      </c>
      <c r="C20" s="45">
        <f t="shared" ref="C20" si="9">C19+50</f>
        <v>5200</v>
      </c>
      <c r="D20" s="46">
        <f>10.86+0.32+1.9</f>
        <v>13.08</v>
      </c>
      <c r="E20" s="46">
        <v>0.34229999999999999</v>
      </c>
      <c r="F20" s="46">
        <v>13</v>
      </c>
      <c r="G20" s="46">
        <v>0</v>
      </c>
      <c r="H20" s="44">
        <f t="shared" si="6"/>
        <v>15</v>
      </c>
      <c r="I20" s="44">
        <f t="shared" si="6"/>
        <v>3</v>
      </c>
      <c r="J20" s="67">
        <f t="shared" si="7"/>
        <v>15</v>
      </c>
      <c r="K20" s="67">
        <f t="shared" si="8"/>
        <v>3</v>
      </c>
    </row>
    <row r="21" spans="1:15" ht="15.75" thickBot="1" x14ac:dyDescent="0.3">
      <c r="A21" s="41">
        <v>23</v>
      </c>
      <c r="B21" s="41">
        <f t="shared" si="3"/>
        <v>83</v>
      </c>
      <c r="C21" s="42">
        <v>5250</v>
      </c>
      <c r="D21" s="43">
        <v>7.39</v>
      </c>
      <c r="E21" s="43">
        <f>0.5447+2.1507</f>
        <v>2.6954000000000002</v>
      </c>
      <c r="F21" s="43">
        <v>7</v>
      </c>
      <c r="G21" s="43">
        <v>3</v>
      </c>
      <c r="H21" s="41">
        <f t="shared" si="6"/>
        <v>19</v>
      </c>
      <c r="I21" s="41">
        <f t="shared" si="6"/>
        <v>3</v>
      </c>
      <c r="J21" s="66">
        <f t="shared" si="7"/>
        <v>19</v>
      </c>
      <c r="K21" s="66">
        <f t="shared" si="8"/>
        <v>3</v>
      </c>
      <c r="M21">
        <f>SUM(J19:J21)</f>
        <v>37</v>
      </c>
      <c r="N21">
        <f>SUM(K19:K21)</f>
        <v>11</v>
      </c>
      <c r="O21">
        <f>SUM(B19:B21)</f>
        <v>195</v>
      </c>
    </row>
    <row r="22" spans="1:15" x14ac:dyDescent="0.25">
      <c r="A22" s="44">
        <v>32</v>
      </c>
      <c r="B22" s="44">
        <f t="shared" si="3"/>
        <v>153</v>
      </c>
      <c r="C22" s="45">
        <v>5300</v>
      </c>
      <c r="D22" s="46">
        <v>7.17</v>
      </c>
      <c r="E22" s="46">
        <f>0.5984+7.5814</f>
        <v>8.1798000000000002</v>
      </c>
      <c r="F22" s="46">
        <v>7</v>
      </c>
      <c r="G22" s="46">
        <v>8</v>
      </c>
      <c r="H22" s="44">
        <f t="shared" ref="H22" si="10">ROUND((((D22+D21)/2)*($C22-$C21))/27,0)</f>
        <v>13</v>
      </c>
      <c r="I22" s="44">
        <f t="shared" ref="I22" si="11">ROUND((((E22+E21)/2)*($C22-$C21))/27,0)</f>
        <v>10</v>
      </c>
      <c r="J22" s="67">
        <f t="shared" si="7"/>
        <v>13</v>
      </c>
      <c r="K22" s="67">
        <f t="shared" si="8"/>
        <v>10</v>
      </c>
    </row>
    <row r="23" spans="1:15" x14ac:dyDescent="0.25">
      <c r="A23" s="35">
        <v>25</v>
      </c>
      <c r="B23" s="35">
        <f t="shared" si="3"/>
        <v>158</v>
      </c>
      <c r="C23" s="39">
        <v>5350</v>
      </c>
      <c r="D23" s="40">
        <v>9.26</v>
      </c>
      <c r="E23" s="40">
        <f>0.0557+6.8701</f>
        <v>6.9257999999999997</v>
      </c>
      <c r="F23" s="40">
        <v>9</v>
      </c>
      <c r="G23" s="40">
        <v>7</v>
      </c>
      <c r="H23" s="35">
        <f t="shared" si="6"/>
        <v>15</v>
      </c>
      <c r="I23" s="35">
        <f t="shared" si="6"/>
        <v>14</v>
      </c>
      <c r="J23" s="35">
        <f t="shared" si="7"/>
        <v>15</v>
      </c>
      <c r="K23" s="35">
        <f t="shared" si="8"/>
        <v>14</v>
      </c>
    </row>
    <row r="24" spans="1:15" ht="15.75" thickBot="1" x14ac:dyDescent="0.3">
      <c r="A24" s="41">
        <v>10</v>
      </c>
      <c r="B24" s="41">
        <f>ROUND(((($A23+$A24)/2)*($C24-$C23))/9,0)</f>
        <v>97</v>
      </c>
      <c r="C24" s="42">
        <v>5400</v>
      </c>
      <c r="D24" s="43">
        <v>19.239999999999998</v>
      </c>
      <c r="E24" s="43">
        <v>0</v>
      </c>
      <c r="F24" s="43">
        <v>19</v>
      </c>
      <c r="G24" s="43">
        <v>0</v>
      </c>
      <c r="H24" s="41">
        <f>ROUND((((D24+D23)/2)*($C24-$C23))/27,0)</f>
        <v>26</v>
      </c>
      <c r="I24" s="41">
        <f>ROUND((((E24+E23)/2)*($C24-$C23))/27,0)</f>
        <v>6</v>
      </c>
      <c r="J24" s="41">
        <f>ROUND((((F24+F23)/2)*($C24-$C23))/27,0)</f>
        <v>26</v>
      </c>
      <c r="K24" s="41">
        <f>ROUND((((G24+G23)/2)*($C24-$C23))/27,0)</f>
        <v>6</v>
      </c>
      <c r="M24">
        <f>SUM(J22:J24)</f>
        <v>54</v>
      </c>
      <c r="N24">
        <f>SUM(K22:K24)</f>
        <v>30</v>
      </c>
      <c r="O24">
        <f>SUM(B22:B24)</f>
        <v>408</v>
      </c>
    </row>
    <row r="25" spans="1:15" x14ac:dyDescent="0.25">
      <c r="A25" s="62">
        <v>0</v>
      </c>
      <c r="B25" s="62"/>
      <c r="C25" s="63">
        <v>5400</v>
      </c>
      <c r="D25" s="64">
        <v>0</v>
      </c>
      <c r="E25" s="64">
        <v>0</v>
      </c>
      <c r="F25" s="64">
        <v>0</v>
      </c>
      <c r="G25" s="64">
        <v>0</v>
      </c>
      <c r="H25" s="62"/>
      <c r="I25" s="62"/>
      <c r="J25" s="62"/>
      <c r="K25" s="62"/>
    </row>
    <row r="26" spans="1:15" x14ac:dyDescent="0.25">
      <c r="A26" s="44">
        <v>0</v>
      </c>
      <c r="B26" s="44">
        <f>ROUND(((($A26+$A25)/2)*($C26-$C25))/9,0)</f>
        <v>0</v>
      </c>
      <c r="C26" s="45">
        <v>5450</v>
      </c>
      <c r="D26" s="46">
        <v>0</v>
      </c>
      <c r="E26" s="46">
        <v>0</v>
      </c>
      <c r="F26" s="46">
        <v>0</v>
      </c>
      <c r="G26" s="46">
        <v>0</v>
      </c>
      <c r="H26" s="44">
        <f>ROUND((((D26+D25)/2)*($C26-$C25))/27,0)</f>
        <v>0</v>
      </c>
      <c r="I26" s="44">
        <f>ROUND((((E26+E25)/2)*($C26-$C25))/27,0)</f>
        <v>0</v>
      </c>
      <c r="J26" s="44">
        <f>ROUND((((F26+F25)/2)*($C26-$C25))/27,0)</f>
        <v>0</v>
      </c>
      <c r="K26" s="44">
        <f>ROUND((((G26+G25)/2)*($C26-$C25))/27,0)</f>
        <v>0</v>
      </c>
      <c r="M26">
        <f>SUM(J25:J26)</f>
        <v>0</v>
      </c>
      <c r="N26">
        <f>SUM(K25:K26)</f>
        <v>0</v>
      </c>
      <c r="O26">
        <f>SUM(B25:B26)</f>
        <v>0</v>
      </c>
    </row>
    <row r="27" spans="1:15" x14ac:dyDescent="0.25">
      <c r="A27" s="35"/>
      <c r="B27" s="35"/>
      <c r="C27" s="47"/>
      <c r="D27" s="35"/>
      <c r="E27" s="35"/>
      <c r="F27" s="35"/>
      <c r="G27" s="35"/>
      <c r="H27" s="35"/>
      <c r="I27" s="35"/>
    </row>
    <row r="28" spans="1:15" x14ac:dyDescent="0.25">
      <c r="A28" s="35"/>
      <c r="B28" s="35"/>
      <c r="C28" s="47"/>
      <c r="D28" s="35"/>
      <c r="E28" s="35"/>
      <c r="F28" s="35"/>
      <c r="G28" s="35"/>
      <c r="H28" s="35"/>
      <c r="I28" s="35"/>
    </row>
    <row r="29" spans="1:15" x14ac:dyDescent="0.25">
      <c r="A29" s="35"/>
      <c r="B29" s="35"/>
      <c r="C29" s="47"/>
      <c r="D29" s="35"/>
      <c r="E29" s="35"/>
      <c r="F29" s="35"/>
      <c r="G29" s="35"/>
      <c r="H29" s="35"/>
      <c r="I29" s="35"/>
    </row>
    <row r="30" spans="1:15" x14ac:dyDescent="0.25">
      <c r="A30" s="35"/>
      <c r="B30" s="35"/>
      <c r="C30" s="47"/>
      <c r="D30" s="35"/>
      <c r="E30" s="35"/>
      <c r="F30" s="35"/>
      <c r="G30" s="35"/>
      <c r="H30" s="35"/>
      <c r="I30" s="35"/>
    </row>
  </sheetData>
  <mergeCells count="2">
    <mergeCell ref="C1:I1"/>
    <mergeCell ref="F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E74E-3B36-48BA-9228-674DCD03CAB3}">
  <dimension ref="A1:E31"/>
  <sheetViews>
    <sheetView tabSelected="1" topLeftCell="A18" workbookViewId="0">
      <selection activeCell="E20" sqref="E20"/>
    </sheetView>
  </sheetViews>
  <sheetFormatPr defaultRowHeight="15" x14ac:dyDescent="0.25"/>
  <cols>
    <col min="2" max="2" width="15.7109375" customWidth="1"/>
  </cols>
  <sheetData>
    <row r="1" spans="1:5" x14ac:dyDescent="0.25">
      <c r="A1" s="79" t="s">
        <v>31</v>
      </c>
      <c r="B1" s="80"/>
      <c r="C1" s="80"/>
      <c r="D1" s="80"/>
      <c r="E1" s="81"/>
    </row>
    <row r="2" spans="1:5" x14ac:dyDescent="0.25">
      <c r="A2" s="82"/>
      <c r="B2" s="83"/>
      <c r="C2" s="83"/>
      <c r="D2" s="83"/>
      <c r="E2" s="84"/>
    </row>
    <row r="3" spans="1:5" ht="15.75" thickBot="1" x14ac:dyDescent="0.3">
      <c r="A3" s="85"/>
      <c r="B3" s="86"/>
      <c r="C3" s="86"/>
      <c r="D3" s="86"/>
      <c r="E3" s="87"/>
    </row>
    <row r="4" spans="1:5" ht="18.75" thickBot="1" x14ac:dyDescent="0.3">
      <c r="A4" s="88"/>
      <c r="B4" s="89"/>
      <c r="C4" s="89"/>
      <c r="D4" s="90"/>
      <c r="E4" s="48"/>
    </row>
    <row r="5" spans="1:5" x14ac:dyDescent="0.25">
      <c r="A5" s="91"/>
      <c r="B5" s="82" t="s">
        <v>32</v>
      </c>
      <c r="C5" s="93">
        <v>203</v>
      </c>
      <c r="D5" s="94"/>
      <c r="E5" s="49">
        <v>659</v>
      </c>
    </row>
    <row r="6" spans="1:5" x14ac:dyDescent="0.25">
      <c r="A6" s="91"/>
      <c r="B6" s="92"/>
      <c r="C6" s="95" t="s">
        <v>33</v>
      </c>
      <c r="D6" s="98" t="s">
        <v>34</v>
      </c>
      <c r="E6" s="101" t="s">
        <v>35</v>
      </c>
    </row>
    <row r="7" spans="1:5" x14ac:dyDescent="0.25">
      <c r="A7" s="91"/>
      <c r="B7" s="92"/>
      <c r="C7" s="96"/>
      <c r="D7" s="99"/>
      <c r="E7" s="102"/>
    </row>
    <row r="8" spans="1:5" x14ac:dyDescent="0.25">
      <c r="A8" s="91"/>
      <c r="B8" s="92"/>
      <c r="C8" s="96"/>
      <c r="D8" s="99"/>
      <c r="E8" s="102"/>
    </row>
    <row r="9" spans="1:5" x14ac:dyDescent="0.25">
      <c r="A9" s="91"/>
      <c r="B9" s="92"/>
      <c r="C9" s="96"/>
      <c r="D9" s="99"/>
      <c r="E9" s="102"/>
    </row>
    <row r="10" spans="1:5" ht="18" x14ac:dyDescent="0.25">
      <c r="A10" s="50" t="s">
        <v>36</v>
      </c>
      <c r="B10" s="92"/>
      <c r="C10" s="96"/>
      <c r="D10" s="99"/>
      <c r="E10" s="102"/>
    </row>
    <row r="11" spans="1:5" ht="18" x14ac:dyDescent="0.25">
      <c r="A11" s="50" t="s">
        <v>37</v>
      </c>
      <c r="B11" s="92"/>
      <c r="C11" s="96"/>
      <c r="D11" s="99"/>
      <c r="E11" s="102"/>
    </row>
    <row r="12" spans="1:5" x14ac:dyDescent="0.25">
      <c r="A12" s="51"/>
      <c r="B12" s="92"/>
      <c r="C12" s="96"/>
      <c r="D12" s="99"/>
      <c r="E12" s="102"/>
    </row>
    <row r="13" spans="1:5" ht="18" x14ac:dyDescent="0.25">
      <c r="A13" s="50"/>
      <c r="B13" s="92"/>
      <c r="C13" s="96"/>
      <c r="D13" s="99"/>
      <c r="E13" s="102"/>
    </row>
    <row r="14" spans="1:5" x14ac:dyDescent="0.25">
      <c r="A14" s="91"/>
      <c r="B14" s="92"/>
      <c r="C14" s="96"/>
      <c r="D14" s="99"/>
      <c r="E14" s="102"/>
    </row>
    <row r="15" spans="1:5" x14ac:dyDescent="0.25">
      <c r="A15" s="91"/>
      <c r="B15" s="92"/>
      <c r="C15" s="96"/>
      <c r="D15" s="99"/>
      <c r="E15" s="102"/>
    </row>
    <row r="16" spans="1:5" x14ac:dyDescent="0.25">
      <c r="A16" s="91"/>
      <c r="B16" s="92"/>
      <c r="C16" s="97"/>
      <c r="D16" s="100"/>
      <c r="E16" s="103"/>
    </row>
    <row r="17" spans="1:5" ht="18.75" thickBot="1" x14ac:dyDescent="0.3">
      <c r="A17" s="104"/>
      <c r="B17" s="52"/>
      <c r="C17" s="53" t="s">
        <v>38</v>
      </c>
      <c r="D17" s="53" t="s">
        <v>39</v>
      </c>
      <c r="E17" s="54" t="s">
        <v>40</v>
      </c>
    </row>
    <row r="18" spans="1:5" x14ac:dyDescent="0.25">
      <c r="A18" s="55"/>
      <c r="B18" s="56" t="s">
        <v>42</v>
      </c>
      <c r="C18" s="55"/>
      <c r="D18" s="55"/>
      <c r="E18" s="55"/>
    </row>
    <row r="19" spans="1:5" x14ac:dyDescent="0.25">
      <c r="A19" s="57" t="s">
        <v>50</v>
      </c>
      <c r="B19" s="58"/>
      <c r="C19" s="57">
        <v>6</v>
      </c>
      <c r="D19" s="57">
        <v>3</v>
      </c>
      <c r="E19" s="59">
        <v>93</v>
      </c>
    </row>
    <row r="20" spans="1:5" x14ac:dyDescent="0.25">
      <c r="A20" s="57" t="s">
        <v>49</v>
      </c>
      <c r="B20" s="58"/>
      <c r="C20" s="57">
        <v>50</v>
      </c>
      <c r="D20" s="57">
        <v>6</v>
      </c>
      <c r="E20" s="59">
        <v>375</v>
      </c>
    </row>
    <row r="21" spans="1:5" x14ac:dyDescent="0.25">
      <c r="A21" s="57" t="s">
        <v>48</v>
      </c>
      <c r="B21" s="60"/>
      <c r="C21" s="57">
        <v>59</v>
      </c>
      <c r="D21" s="57">
        <v>83</v>
      </c>
      <c r="E21" s="59">
        <v>151</v>
      </c>
    </row>
    <row r="22" spans="1:5" x14ac:dyDescent="0.25">
      <c r="A22" s="57" t="s">
        <v>47</v>
      </c>
      <c r="B22" s="58"/>
      <c r="C22" s="57">
        <v>6</v>
      </c>
      <c r="D22" s="57">
        <v>19</v>
      </c>
      <c r="E22" s="59">
        <v>61</v>
      </c>
    </row>
    <row r="23" spans="1:5" x14ac:dyDescent="0.25">
      <c r="A23" s="57" t="s">
        <v>46</v>
      </c>
      <c r="B23" s="60"/>
      <c r="C23" s="57">
        <v>37</v>
      </c>
      <c r="D23" s="57">
        <v>11</v>
      </c>
      <c r="E23" s="57">
        <v>195</v>
      </c>
    </row>
    <row r="24" spans="1:5" x14ac:dyDescent="0.25">
      <c r="A24" s="57" t="s">
        <v>45</v>
      </c>
      <c r="B24" s="58"/>
      <c r="C24" s="57">
        <v>54</v>
      </c>
      <c r="D24" s="57">
        <v>30</v>
      </c>
      <c r="E24" s="57">
        <v>408</v>
      </c>
    </row>
    <row r="25" spans="1:5" x14ac:dyDescent="0.25">
      <c r="A25" s="57" t="s">
        <v>44</v>
      </c>
      <c r="B25" s="61"/>
      <c r="C25" s="57">
        <v>0</v>
      </c>
      <c r="D25" s="57">
        <v>0</v>
      </c>
      <c r="E25" s="57">
        <v>0</v>
      </c>
    </row>
    <row r="26" spans="1:5" x14ac:dyDescent="0.25">
      <c r="A26" s="57"/>
      <c r="B26" s="60"/>
      <c r="C26" s="57"/>
      <c r="D26" s="57"/>
      <c r="E26" s="57"/>
    </row>
    <row r="27" spans="1:5" x14ac:dyDescent="0.25">
      <c r="A27" s="57"/>
      <c r="B27" s="60"/>
      <c r="C27" s="57"/>
      <c r="D27" s="57"/>
      <c r="E27" s="57"/>
    </row>
    <row r="28" spans="1:5" x14ac:dyDescent="0.25">
      <c r="A28" s="57"/>
      <c r="B28" s="58"/>
      <c r="C28" s="57"/>
      <c r="D28" s="57"/>
      <c r="E28" s="57"/>
    </row>
    <row r="29" spans="1:5" ht="15.75" thickBot="1" x14ac:dyDescent="0.3">
      <c r="A29" s="57"/>
      <c r="B29" s="60"/>
      <c r="C29" s="57"/>
      <c r="D29" s="57"/>
      <c r="E29" s="57"/>
    </row>
    <row r="30" spans="1:5" x14ac:dyDescent="0.25">
      <c r="A30" s="73" t="s">
        <v>41</v>
      </c>
      <c r="B30" s="74"/>
      <c r="C30" s="77">
        <f>SUM(C19:C29)</f>
        <v>212</v>
      </c>
      <c r="D30" s="77">
        <f>SUM(D19:D29)</f>
        <v>152</v>
      </c>
      <c r="E30" s="77">
        <f>SUM(E19:E29)</f>
        <v>1283</v>
      </c>
    </row>
    <row r="31" spans="1:5" ht="15.75" thickBot="1" x14ac:dyDescent="0.3">
      <c r="A31" s="75"/>
      <c r="B31" s="76"/>
      <c r="C31" s="78"/>
      <c r="D31" s="78"/>
      <c r="E31" s="78"/>
    </row>
  </sheetData>
  <mergeCells count="13">
    <mergeCell ref="A30:B31"/>
    <mergeCell ref="C30:C31"/>
    <mergeCell ref="D30:D31"/>
    <mergeCell ref="E30:E31"/>
    <mergeCell ref="A1:E3"/>
    <mergeCell ref="A4:D4"/>
    <mergeCell ref="A5:A9"/>
    <mergeCell ref="B5:B16"/>
    <mergeCell ref="C5:D5"/>
    <mergeCell ref="C6:C16"/>
    <mergeCell ref="D6:D16"/>
    <mergeCell ref="E6:E16"/>
    <mergeCell ref="A14:A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MT Document" ma:contentTypeID="0x0101002D8B3C944AD78E4BB07552E752B2466200E3F59C9305005846A876118237D15073" ma:contentTypeVersion="14" ma:contentTypeDescription="JMT Document" ma:contentTypeScope="" ma:versionID="e08be7a54607515f8d158dc9ce651158">
  <xsd:schema xmlns:xsd="http://www.w3.org/2001/XMLSchema" xmlns:xs="http://www.w3.org/2001/XMLSchema" xmlns:p="http://schemas.microsoft.com/office/2006/metadata/properties" xmlns:ns2="cd422c38-7087-40c9-ba79-2bbc51769fb6" xmlns:ns4="4cc1039f-ed18-46b4-88a6-ffe471dec413" xmlns:ns5="aaa496ce-20f9-4910-955b-401cd364b440" targetNamespace="http://schemas.microsoft.com/office/2006/metadata/properties" ma:root="true" ma:fieldsID="f079ece16bad19cc4bc34ec2d3637bd3" ns2:_="" ns4:_="" ns5:_="">
    <xsd:import namespace="cd422c38-7087-40c9-ba79-2bbc51769fb6"/>
    <xsd:import namespace="4cc1039f-ed18-46b4-88a6-ffe471dec413"/>
    <xsd:import namespace="aaa496ce-20f9-4910-955b-401cd364b440"/>
    <xsd:element name="properties">
      <xsd:complexType>
        <xsd:sequence>
          <xsd:element name="documentManagement">
            <xsd:complexType>
              <xsd:all>
                <xsd:element ref="ns2:JMTProjectNumber" minOccurs="0"/>
                <xsd:element ref="ns2:JMTProjectName" minOccurs="0"/>
                <xsd:element ref="ns2:JMTClient" minOccurs="0"/>
                <xsd:element ref="ns2:JMTProjectOwner" minOccurs="0"/>
                <xsd:element ref="ns2:JMTProjectManager" minOccurs="0"/>
                <xsd:element ref="ns4:TaxCatchAll" minOccurs="0"/>
                <xsd:element ref="ns4:TaxCatchAllLabel" minOccurs="0"/>
                <xsd:element ref="ns2:m31a16f96029487c8195408a83538dc3" minOccurs="0"/>
                <xsd:element ref="ns2:m3cfeefd9eb049aeb84c203d1d691e9a" minOccurs="0"/>
                <xsd:element ref="ns2:SharedWithUsers" minOccurs="0"/>
                <xsd:element ref="ns2:SharedWithDetails" minOccurs="0"/>
                <xsd:element ref="ns5:Notes0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22c38-7087-40c9-ba79-2bbc51769fb6" elementFormDefault="qualified">
    <xsd:import namespace="http://schemas.microsoft.com/office/2006/documentManagement/types"/>
    <xsd:import namespace="http://schemas.microsoft.com/office/infopath/2007/PartnerControls"/>
    <xsd:element name="JMTProjectNumber" ma:index="2" nillable="true" ma:displayName="Project Number" ma:description="Project Number" ma:internalName="JMTProjectNumber" ma:readOnly="false">
      <xsd:simpleType>
        <xsd:restriction base="dms:Text">
          <xsd:maxLength value="255"/>
        </xsd:restriction>
      </xsd:simpleType>
    </xsd:element>
    <xsd:element name="JMTProjectName" ma:index="3" nillable="true" ma:displayName="Project Name" ma:description="Project Name" ma:internalName="JMTProjectName" ma:readOnly="false">
      <xsd:simpleType>
        <xsd:restriction base="dms:Text">
          <xsd:maxLength value="255"/>
        </xsd:restriction>
      </xsd:simpleType>
    </xsd:element>
    <xsd:element name="JMTClient" ma:index="4" nillable="true" ma:displayName="Client" ma:description="Client" ma:internalName="JMTClient" ma:readOnly="false">
      <xsd:simpleType>
        <xsd:restriction base="dms:Text">
          <xsd:maxLength value="255"/>
        </xsd:restriction>
      </xsd:simpleType>
    </xsd:element>
    <xsd:element name="JMTProjectOwner" ma:index="5" nillable="true" ma:displayName="Project Owner" ma:description="Project Owner" ma:internalName="JMTProjectOwner" ma:readOnly="false">
      <xsd:simpleType>
        <xsd:restriction base="dms:Text">
          <xsd:maxLength value="255"/>
        </xsd:restriction>
      </xsd:simpleType>
    </xsd:element>
    <xsd:element name="JMTProjectManager" ma:index="6" nillable="true" ma:displayName="Project Manager" ma:description="Project Manager" ma:internalName="JMTProjectManager" ma:readOnly="false">
      <xsd:simpleType>
        <xsd:restriction base="dms:Text">
          <xsd:maxLength value="255"/>
        </xsd:restriction>
      </xsd:simpleType>
    </xsd:element>
    <xsd:element name="m31a16f96029487c8195408a83538dc3" ma:index="16" nillable="true" ma:taxonomy="true" ma:internalName="m31a16f96029487c8195408a83538dc3" ma:taxonomyFieldName="JMTSubDocumentType" ma:displayName="Sub Document Type" ma:readOnly="false" ma:fieldId="{631a16f9-6029-487c-8195-408a83538dc3}" ma:sspId="feccc9da-139b-4ef5-b72b-0c93bae34ff8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3cfeefd9eb049aeb84c203d1d691e9a" ma:index="17" nillable="true" ma:taxonomy="true" ma:internalName="m3cfeefd9eb049aeb84c203d1d691e9a" ma:taxonomyFieldName="JMTDocumentType" ma:displayName="Document Type" ma:readOnly="false" ma:fieldId="{63cfeefd-9eb0-49ae-b84c-203d1d691e9a}" ma:sspId="feccc9da-139b-4ef5-b72b-0c93bae34ff8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039f-ed18-46b4-88a6-ffe471dec413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eb1069f-1de2-4952-b91b-f840910e01b1}" ma:internalName="TaxCatchAll" ma:showField="CatchAllData" ma:web="7e986516-8b6f-479f-886c-d41a36b40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eb1069f-1de2-4952-b91b-f840910e01b1}" ma:internalName="TaxCatchAllLabel" ma:readOnly="true" ma:showField="CatchAllDataLabel" ma:web="7e986516-8b6f-479f-886c-d41a36b40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496ce-20f9-4910-955b-401cd364b440" elementFormDefault="qualified">
    <xsd:import namespace="http://schemas.microsoft.com/office/2006/documentManagement/types"/>
    <xsd:import namespace="http://schemas.microsoft.com/office/infopath/2007/PartnerControls"/>
    <xsd:element name="Notes0" ma:index="21" nillable="true" ma:displayName="Notes" ma:internalName="Notes0">
      <xsd:simpleType>
        <xsd:restriction base="dms:Text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MTProjectManager xmlns="cd422c38-7087-40c9-ba79-2bbc51769fb6" xsi:nil="true"/>
    <JMTClient xmlns="cd422c38-7087-40c9-ba79-2bbc51769fb6" xsi:nil="true"/>
    <JMTProjectOwner xmlns="cd422c38-7087-40c9-ba79-2bbc51769fb6" xsi:nil="true"/>
    <m31a16f96029487c8195408a83538dc3 xmlns="cd422c38-7087-40c9-ba79-2bbc51769fb6">
      <Terms xmlns="http://schemas.microsoft.com/office/infopath/2007/PartnerControls"/>
    </m31a16f96029487c8195408a83538dc3>
    <JMTProjectNumber xmlns="cd422c38-7087-40c9-ba79-2bbc51769fb6" xsi:nil="true"/>
    <m3cfeefd9eb049aeb84c203d1d691e9a xmlns="cd422c38-7087-40c9-ba79-2bbc51769fb6">
      <Terms xmlns="http://schemas.microsoft.com/office/infopath/2007/PartnerControls"/>
    </m3cfeefd9eb049aeb84c203d1d691e9a>
    <JMTProjectName xmlns="cd422c38-7087-40c9-ba79-2bbc51769fb6" xsi:nil="true"/>
    <TaxCatchAll xmlns="4cc1039f-ed18-46b4-88a6-ffe471dec413"/>
    <Notes0 xmlns="aaa496ce-20f9-4910-955b-401cd364b440" xsi:nil="true"/>
  </documentManagement>
</p:properties>
</file>

<file path=customXml/itemProps1.xml><?xml version="1.0" encoding="utf-8"?>
<ds:datastoreItem xmlns:ds="http://schemas.openxmlformats.org/officeDocument/2006/customXml" ds:itemID="{9E2C29C3-434B-4486-A503-D5B309382633}"/>
</file>

<file path=customXml/itemProps2.xml><?xml version="1.0" encoding="utf-8"?>
<ds:datastoreItem xmlns:ds="http://schemas.openxmlformats.org/officeDocument/2006/customXml" ds:itemID="{32534DD9-5C4D-40AF-B146-55EA45F495F8}"/>
</file>

<file path=customXml/itemProps3.xml><?xml version="1.0" encoding="utf-8"?>
<ds:datastoreItem xmlns:ds="http://schemas.openxmlformats.org/officeDocument/2006/customXml" ds:itemID="{6BCF54EA-5898-4B10-9C18-99989F29E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EROSION CONTROL</vt:lpstr>
      <vt:lpstr>SECTION TOTALS</vt:lpstr>
      <vt:lpstr>SHEET TOTALS</vt:lpstr>
      <vt:lpstr>'EROSION CONTROL'!Print_Area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Conley</dc:creator>
  <cp:lastModifiedBy>Conley, Joshua</cp:lastModifiedBy>
  <cp:lastPrinted>2018-12-14T20:43:29Z</cp:lastPrinted>
  <dcterms:created xsi:type="dcterms:W3CDTF">2014-05-05T16:25:20Z</dcterms:created>
  <dcterms:modified xsi:type="dcterms:W3CDTF">2021-04-30T17:10:00Z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0x0101002D8B3C944AD78E4BB07552E752B2466200E3F59C9305005846A876118237D15073</vt:lpwstr>
  </property>
</Properties>
</file>