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jectData\PRE\100807\Design\Roadway\EngData\"/>
    </mc:Choice>
  </mc:AlternateContent>
  <xr:revisionPtr revIDLastSave="0" documentId="13_ncr:1_{03F1EF4A-011B-4417-AA4A-2E9D113590DC}" xr6:coauthVersionLast="47" xr6:coauthVersionMax="47" xr10:uidLastSave="{00000000-0000-0000-0000-000000000000}"/>
  <bookViews>
    <workbookView xWindow="29025" yWindow="465" windowWidth="28575" windowHeight="14745" xr2:uid="{00000000-000D-0000-FFFF-FFFF00000000}"/>
  </bookViews>
  <sheets>
    <sheet name="US 35 Ramp A" sheetId="4" r:id="rId1"/>
    <sheet name="I-70" sheetId="5" r:id="rId2"/>
  </sheets>
  <definedNames>
    <definedName name="_xlnm.Print_Area" localSheetId="1">'I-70'!$A$1:$Q$34</definedName>
    <definedName name="_xlnm.Print_Area" localSheetId="0">'US 35 Ramp A'!$A$1:$V$62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61" i="4" l="1"/>
  <c r="O61" i="4"/>
  <c r="L33" i="5"/>
  <c r="H61" i="4"/>
  <c r="H33" i="5"/>
  <c r="D31" i="5"/>
  <c r="G31" i="5" s="1"/>
  <c r="R31" i="5" s="1"/>
  <c r="R33" i="5" s="1"/>
  <c r="D58" i="4"/>
  <c r="G58" i="4" s="1"/>
  <c r="D56" i="4"/>
  <c r="G56" i="4"/>
  <c r="Z56" i="4" s="1"/>
  <c r="D55" i="4"/>
  <c r="G55" i="4" s="1"/>
  <c r="Z55" i="4" s="1"/>
  <c r="D53" i="4"/>
  <c r="G53" i="4"/>
  <c r="Z53" i="4" s="1"/>
  <c r="D52" i="4"/>
  <c r="G52" i="4" s="1"/>
  <c r="Z52" i="4" s="1"/>
  <c r="Z61" i="4" s="1"/>
  <c r="Y39" i="4"/>
  <c r="Y38" i="4"/>
  <c r="Y37" i="4"/>
  <c r="Y33" i="4"/>
  <c r="Y31" i="4"/>
  <c r="Y28" i="4"/>
  <c r="Y27" i="4"/>
  <c r="Y24" i="4"/>
  <c r="Y20" i="4"/>
  <c r="G33" i="4" l="1"/>
  <c r="Q33" i="4" s="1"/>
  <c r="D33" i="4"/>
  <c r="G32" i="4"/>
  <c r="N32" i="4" s="1"/>
  <c r="D32" i="4"/>
  <c r="R33" i="4" l="1"/>
  <c r="S33" i="4"/>
  <c r="T33" i="4"/>
  <c r="M33" i="4"/>
  <c r="I32" i="4"/>
  <c r="J32" i="4"/>
  <c r="G35" i="4"/>
  <c r="P35" i="4" s="1"/>
  <c r="G34" i="4"/>
  <c r="D34" i="4"/>
  <c r="G30" i="4"/>
  <c r="P30" i="4" s="1"/>
  <c r="G31" i="4"/>
  <c r="R31" i="4" s="1"/>
  <c r="D31" i="4"/>
  <c r="I34" i="4" l="1"/>
  <c r="J34" i="4"/>
  <c r="N34" i="4"/>
  <c r="M31" i="4"/>
  <c r="S31" i="4"/>
  <c r="Q31" i="4"/>
  <c r="T31" i="4"/>
  <c r="D38" i="4"/>
  <c r="O38" i="4" s="1"/>
  <c r="D37" i="4"/>
  <c r="O37" i="4" s="1"/>
  <c r="G38" i="4"/>
  <c r="Q38" i="4" s="1"/>
  <c r="G27" i="4"/>
  <c r="P61" i="4" s="1"/>
  <c r="G28" i="4"/>
  <c r="T28" i="4"/>
  <c r="S28" i="4"/>
  <c r="R28" i="4"/>
  <c r="Q28" i="4"/>
  <c r="M28" i="4"/>
  <c r="T27" i="4"/>
  <c r="S27" i="4"/>
  <c r="R27" i="4"/>
  <c r="Q27" i="4"/>
  <c r="J25" i="4"/>
  <c r="J26" i="4"/>
  <c r="D28" i="4"/>
  <c r="O28" i="4" s="1"/>
  <c r="H49" i="4"/>
  <c r="H48" i="4"/>
  <c r="D29" i="5"/>
  <c r="Q29" i="5" s="1"/>
  <c r="I38" i="4" l="1"/>
  <c r="I28" i="4"/>
  <c r="J28" i="4" s="1"/>
  <c r="I37" i="4"/>
  <c r="M38" i="4"/>
  <c r="R38" i="4"/>
  <c r="S38" i="4"/>
  <c r="T38" i="4"/>
  <c r="J38" i="4"/>
  <c r="J28" i="5"/>
  <c r="D28" i="5"/>
  <c r="G28" i="5" s="1"/>
  <c r="H28" i="5" s="1"/>
  <c r="D27" i="5"/>
  <c r="D26" i="5"/>
  <c r="I26" i="5" s="1"/>
  <c r="D24" i="5"/>
  <c r="G24" i="5" s="1"/>
  <c r="S24" i="5" s="1"/>
  <c r="T24" i="5" s="1"/>
  <c r="J24" i="5"/>
  <c r="D25" i="5"/>
  <c r="I25" i="5" s="1"/>
  <c r="J25" i="5" s="1"/>
  <c r="D23" i="5"/>
  <c r="G23" i="5" s="1"/>
  <c r="M23" i="5" s="1"/>
  <c r="D21" i="5"/>
  <c r="D22" i="5"/>
  <c r="G22" i="5" s="1"/>
  <c r="O22" i="5" s="1"/>
  <c r="I20" i="5"/>
  <c r="D20" i="5"/>
  <c r="G20" i="5" s="1"/>
  <c r="S20" i="5" s="1"/>
  <c r="T20" i="5" l="1"/>
  <c r="Q24" i="5"/>
  <c r="P24" i="5"/>
  <c r="Q20" i="5"/>
  <c r="P20" i="5"/>
  <c r="J27" i="5"/>
  <c r="G27" i="5"/>
  <c r="H27" i="5" s="1"/>
  <c r="L26" i="5"/>
  <c r="I22" i="5"/>
  <c r="J22" i="5" s="1"/>
  <c r="J26" i="5"/>
  <c r="K26" i="5"/>
  <c r="G26" i="5"/>
  <c r="O26" i="5" s="1"/>
  <c r="K25" i="5"/>
  <c r="L25" i="5"/>
  <c r="K23" i="5"/>
  <c r="O25" i="5"/>
  <c r="O23" i="5"/>
  <c r="N23" i="5"/>
  <c r="M22" i="5"/>
  <c r="I23" i="5"/>
  <c r="J23" i="5" s="1"/>
  <c r="L23" i="5"/>
  <c r="L22" i="5"/>
  <c r="K22" i="5"/>
  <c r="J21" i="5"/>
  <c r="G21" i="5"/>
  <c r="S21" i="5" s="1"/>
  <c r="T21" i="5" s="1"/>
  <c r="N22" i="5"/>
  <c r="G25" i="5"/>
  <c r="J41" i="4"/>
  <c r="D41" i="4"/>
  <c r="G41" i="4" s="1"/>
  <c r="J40" i="4"/>
  <c r="D40" i="4"/>
  <c r="G40" i="4" s="1"/>
  <c r="D39" i="4"/>
  <c r="O39" i="4" s="1"/>
  <c r="V40" i="4" l="1"/>
  <c r="W40" i="4"/>
  <c r="X40" i="4" s="1"/>
  <c r="V41" i="4"/>
  <c r="W41" i="4"/>
  <c r="X41" i="4" s="1"/>
  <c r="S33" i="5"/>
  <c r="T33" i="5"/>
  <c r="Q21" i="5"/>
  <c r="Q33" i="5" s="1"/>
  <c r="P21" i="5"/>
  <c r="P33" i="5" s="1"/>
  <c r="M26" i="5"/>
  <c r="N26" i="5"/>
  <c r="M25" i="5"/>
  <c r="N25" i="5"/>
  <c r="O33" i="5"/>
  <c r="J33" i="5"/>
  <c r="I33" i="5"/>
  <c r="K33" i="5"/>
  <c r="I39" i="4"/>
  <c r="J39" i="4" s="1"/>
  <c r="G39" i="4"/>
  <c r="M39" i="4"/>
  <c r="D25" i="4"/>
  <c r="G25" i="4" s="1"/>
  <c r="D26" i="4"/>
  <c r="G26" i="4" s="1"/>
  <c r="D50" i="4"/>
  <c r="G50" i="4" s="1"/>
  <c r="H50" i="4" s="1"/>
  <c r="D49" i="4"/>
  <c r="D48" i="4"/>
  <c r="D43" i="4"/>
  <c r="G43" i="4" s="1"/>
  <c r="D44" i="4"/>
  <c r="G44" i="4" s="1"/>
  <c r="I20" i="4"/>
  <c r="D23" i="4"/>
  <c r="G23" i="4" s="1"/>
  <c r="W23" i="4" s="1"/>
  <c r="X23" i="4" s="1"/>
  <c r="D22" i="4"/>
  <c r="G22" i="4" s="1"/>
  <c r="V44" i="4" l="1"/>
  <c r="W44" i="4"/>
  <c r="X44" i="4" s="1"/>
  <c r="V25" i="4"/>
  <c r="W25" i="4"/>
  <c r="X25" i="4" s="1"/>
  <c r="V43" i="4"/>
  <c r="W43" i="4"/>
  <c r="X43" i="4" s="1"/>
  <c r="V26" i="4"/>
  <c r="W26" i="4"/>
  <c r="X26" i="4" s="1"/>
  <c r="V22" i="4"/>
  <c r="W22" i="4"/>
  <c r="T39" i="4"/>
  <c r="R39" i="4"/>
  <c r="M33" i="5"/>
  <c r="N33" i="5"/>
  <c r="S39" i="4"/>
  <c r="V23" i="4"/>
  <c r="V61" i="4" s="1"/>
  <c r="X22" i="4" l="1"/>
  <c r="X61" i="4" s="1"/>
  <c r="W61" i="4"/>
  <c r="D21" i="4"/>
  <c r="G21" i="4" s="1"/>
  <c r="Y21" i="4" s="1"/>
  <c r="D20" i="4"/>
  <c r="G20" i="4" s="1"/>
  <c r="U21" i="4" l="1"/>
  <c r="Q21" i="4"/>
  <c r="R21" i="4"/>
  <c r="R20" i="4"/>
  <c r="Q20" i="4"/>
  <c r="S20" i="4"/>
  <c r="T20" i="4"/>
  <c r="K20" i="4"/>
  <c r="L21" i="4"/>
  <c r="S21" i="4"/>
  <c r="D45" i="4" l="1"/>
  <c r="G45" i="4" s="1"/>
  <c r="D42" i="4"/>
  <c r="G42" i="4" s="1"/>
  <c r="Y42" i="4" s="1"/>
  <c r="G37" i="4"/>
  <c r="J37" i="4" l="1"/>
  <c r="T37" i="4"/>
  <c r="S37" i="4"/>
  <c r="R37" i="4"/>
  <c r="Q37" i="4"/>
  <c r="M37" i="4"/>
  <c r="U42" i="4"/>
  <c r="Q42" i="4"/>
  <c r="R42" i="4"/>
  <c r="S45" i="4"/>
  <c r="Q45" i="4"/>
  <c r="R45" i="4"/>
  <c r="L42" i="4"/>
  <c r="S42" i="4"/>
  <c r="K45" i="4"/>
  <c r="T45" i="4"/>
  <c r="U61" i="4" l="1"/>
  <c r="L45" i="4"/>
  <c r="L61" i="4" s="1"/>
  <c r="K61" i="4"/>
  <c r="D47" i="4"/>
  <c r="G47" i="4" s="1"/>
  <c r="H47" i="4" s="1"/>
  <c r="D27" i="4"/>
  <c r="D24" i="4"/>
  <c r="O27" i="4" l="1"/>
  <c r="I27" i="4"/>
  <c r="J27" i="4" s="1"/>
  <c r="Q61" i="4"/>
  <c r="M27" i="4"/>
  <c r="M24" i="4"/>
  <c r="O24" i="4"/>
  <c r="I24" i="4"/>
  <c r="G24" i="4"/>
  <c r="R24" i="4" s="1"/>
  <c r="M61" i="4" l="1"/>
  <c r="J24" i="4"/>
  <c r="J61" i="4" s="1"/>
  <c r="I61" i="4"/>
  <c r="S24" i="4"/>
  <c r="S61" i="4" s="1"/>
  <c r="T24" i="4"/>
  <c r="T61" i="4" s="1"/>
  <c r="R61" i="4"/>
  <c r="N6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Coffield, Christopher A</author>
  </authors>
  <commentList>
    <comment ref="U2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Coffield, Christopher A:</t>
        </r>
        <r>
          <rPr>
            <sz val="9"/>
            <color indexed="81"/>
            <rFont val="Tahoma"/>
            <charset val="1"/>
          </rPr>
          <t xml:space="preserve">
0.5 CY was added to account for the variable depth for the areas where the the bottom of a 1.75" intermediate course would be higher than the limits of the 1" min. pavement planning. This was calcuated from the cross sections.
</t>
        </r>
      </text>
    </comment>
    <comment ref="U42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Coffield, Christopher A:</t>
        </r>
        <r>
          <rPr>
            <sz val="9"/>
            <color indexed="81"/>
            <rFont val="Tahoma"/>
            <charset val="1"/>
          </rPr>
          <t xml:space="preserve">
0.8 CY was added to account for the variable depth for the areas where the the bottom of a 1.75" intermediate course would be higher than the limits of the 1" min. pavement planning. This was calcuated from the cross sections.</t>
        </r>
      </text>
    </comment>
  </commentList>
</comments>
</file>

<file path=xl/sharedStrings.xml><?xml version="1.0" encoding="utf-8"?>
<sst xmlns="http://schemas.openxmlformats.org/spreadsheetml/2006/main" count="166" uniqueCount="49">
  <si>
    <t>STATION TO STATION</t>
  </si>
  <si>
    <t>SIDE</t>
  </si>
  <si>
    <t>LENGTH</t>
  </si>
  <si>
    <t>TOTAL AREA</t>
  </si>
  <si>
    <t>AREA MEASURED
IN CADD</t>
  </si>
  <si>
    <t>SQ FT</t>
  </si>
  <si>
    <t>AVERAGE WIDTH</t>
  </si>
  <si>
    <t>FT</t>
  </si>
  <si>
    <t>FROM</t>
  </si>
  <si>
    <t>TO</t>
  </si>
  <si>
    <t>LT / RT</t>
  </si>
  <si>
    <t>GAL</t>
  </si>
  <si>
    <t>HR</t>
  </si>
  <si>
    <t>TOTALS CARRIED TO THE GENERAL SUMMARY</t>
  </si>
  <si>
    <t>CY</t>
  </si>
  <si>
    <t>PROOF ROLLING</t>
  </si>
  <si>
    <t>SY</t>
  </si>
  <si>
    <t>-</t>
  </si>
  <si>
    <t>&lt;- Thickness</t>
  </si>
  <si>
    <t>ITEM #</t>
  </si>
  <si>
    <t>ADDITIONAL WIDTH FOR STEPPING (PER SIDE)
(FT)</t>
  </si>
  <si>
    <t>US 35 Ramp A</t>
  </si>
  <si>
    <t>1.50" ASPHALT CONCRETE SURFACE COURSE, 12.5MM, TYPE A (446)</t>
  </si>
  <si>
    <t>1.75" ASPHALT CONCRETE INTERMEDIATE COURSE, 19MM, TYPE A (446)</t>
  </si>
  <si>
    <t>PAVEMENT PLANNING, ASPHALT CONCRETE, 3.25"</t>
  </si>
  <si>
    <t>VARIABLE THICKNESS, ASPHALT CONCRETE INTERMEDIATE COURSE, 19MM, TYPE A (446)</t>
  </si>
  <si>
    <t>RT</t>
  </si>
  <si>
    <t>LT</t>
  </si>
  <si>
    <t>9" ASPHALTCONCRETE BASE, PG64-22</t>
  </si>
  <si>
    <t>3" COMPACTED AGGREGATE</t>
  </si>
  <si>
    <t>6" AGGREGATE BASE</t>
  </si>
  <si>
    <t>9" AGGREGATE BASE</t>
  </si>
  <si>
    <t>SUBGRADE COMPACTION</t>
  </si>
  <si>
    <t>PAVEMENT REMOVED</t>
  </si>
  <si>
    <t>PAVEMENT PLANNING, ASPHALT CONCRETE, VARIABLE THICKNESS (1" MIN - 3.25" MAX)</t>
  </si>
  <si>
    <t>I-70</t>
  </si>
  <si>
    <t>standard shoulder</t>
  </si>
  <si>
    <t>curb area</t>
  </si>
  <si>
    <t>barrier area</t>
  </si>
  <si>
    <t>RUMBLE STRIPS, SHOULDER (ASPHALT CONCRTE)</t>
  </si>
  <si>
    <t>12" AGGREGATE BASE (ADDITIONAL ALONG APROACH SLAB EDGE PER STD DWG AS-2-15)</t>
  </si>
  <si>
    <t>NON-TRACKING TACK COAT
(0.09 GAL/SY RATE)</t>
  </si>
  <si>
    <t>NON-TRACKING TACK COAT
(0.06 GAL/SY RATE)</t>
  </si>
  <si>
    <t>SHOULDER PREPARATION</t>
  </si>
  <si>
    <t>WATER</t>
  </si>
  <si>
    <t>MGAL</t>
  </si>
  <si>
    <t>1.75" ASPHALT CONCRETE INTERMEDIATE COURSE, 19MM, TYPE A (448)</t>
  </si>
  <si>
    <t>NON-TRACKING TACK COAT
(0.06 GAL/SY RATE)
(for between Item 301 lifts)</t>
  </si>
  <si>
    <t>NON-TRACKING TACK COAT (0.06 GAL/SY RATE)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</si>
</sst>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00\+00.00"/>
  </numFmts>
  <fonts count="13" x14ac:knownFonts="1">
    <font>
      <sz val="10"/>
      <name val="Arial"/>
    </font>
    <font>
      <sz val="14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Verdana"/>
      <family val="2"/>
    </font>
    <font>
      <b/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3F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FFCC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7F7F7F"/>
      </bottom>
      <diagonal/>
    </border>
    <border>
      <left style="thin">
        <color rgb="FF7F7F7F"/>
      </left>
      <right style="thin">
        <color auto="1"/>
      </right>
      <top style="medium">
        <color theme="4" tint="0.3999755851924192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theme="4" tint="0.39997558519241921"/>
      </top>
      <bottom style="thin">
        <color auto="1"/>
      </bottom>
      <diagonal/>
    </border>
  </borders>
  <cellStyleXfs count="6">
    <xf numFmtId="0" fontId="0" fillId="0" borderId="0"/>
    <xf numFmtId="0" fontId="6" fillId="2" borderId="24" applyNumberFormat="0" applyAlignment="0" applyProtection="0"/>
    <xf numFmtId="0" fontId="7" fillId="0" borderId="25" applyNumberFormat="0" applyFill="0" applyAlignment="0" applyProtection="0"/>
    <xf numFmtId="0" fontId="8" fillId="3" borderId="24" applyNumberFormat="0" applyAlignment="0" applyProtection="0"/>
    <xf numFmtId="0" fontId="2" fillId="4" borderId="26" applyNumberFormat="0" applyFont="0" applyAlignment="0" applyProtection="0"/>
    <xf numFmtId="0" fontId="9" fillId="2" borderId="27" applyNumberFormat="0" applyAlignment="0" applyProtection="0"/>
  </cellStyleXfs>
  <cellXfs count="63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4" borderId="26" xfId="4" applyFont="1"/>
    <xf numFmtId="0" fontId="8" fillId="3" borderId="24" xfId="3" applyAlignment="1">
      <alignment horizontal="center"/>
    </xf>
    <xf numFmtId="0" fontId="8" fillId="0" borderId="6" xfId="3" applyFill="1" applyBorder="1" applyAlignment="1">
      <alignment horizontal="center" vertical="center"/>
    </xf>
    <xf numFmtId="4" fontId="6" fillId="0" borderId="6" xfId="1" applyNumberFormat="1" applyFill="1" applyBorder="1" applyAlignment="1">
      <alignment horizontal="center" vertical="center"/>
    </xf>
    <xf numFmtId="4" fontId="8" fillId="0" borderId="6" xfId="3" applyNumberFormat="1" applyFill="1" applyBorder="1" applyAlignment="1">
      <alignment horizontal="center" vertical="center"/>
    </xf>
    <xf numFmtId="4" fontId="6" fillId="0" borderId="28" xfId="1" applyNumberFormat="1" applyFill="1" applyBorder="1" applyAlignment="1">
      <alignment horizontal="center" vertical="center"/>
    </xf>
    <xf numFmtId="165" fontId="8" fillId="0" borderId="30" xfId="3" applyNumberFormat="1" applyFill="1" applyBorder="1" applyAlignment="1">
      <alignment horizontal="center" vertical="center"/>
    </xf>
    <xf numFmtId="165" fontId="8" fillId="0" borderId="31" xfId="3" applyNumberFormat="1" applyFill="1" applyBorder="1" applyAlignment="1">
      <alignment horizontal="center" vertical="center"/>
    </xf>
    <xf numFmtId="4" fontId="10" fillId="0" borderId="6" xfId="5" applyNumberFormat="1" applyFont="1" applyFill="1" applyBorder="1" applyAlignment="1">
      <alignment horizontal="center" vertical="center"/>
    </xf>
    <xf numFmtId="0" fontId="7" fillId="0" borderId="0" xfId="2" applyBorder="1" applyAlignment="1">
      <alignment horizontal="center" wrapText="1"/>
    </xf>
    <xf numFmtId="0" fontId="7" fillId="0" borderId="29" xfId="2" applyBorder="1" applyAlignment="1">
      <alignment horizontal="center" wrapText="1"/>
    </xf>
    <xf numFmtId="165" fontId="8" fillId="0" borderId="0" xfId="3" applyNumberFormat="1" applyFill="1" applyBorder="1" applyAlignment="1">
      <alignment horizontal="center" vertical="center"/>
    </xf>
    <xf numFmtId="165" fontId="8" fillId="0" borderId="23" xfId="3" applyNumberFormat="1" applyFill="1" applyBorder="1" applyAlignment="1">
      <alignment horizontal="center" vertical="center"/>
    </xf>
    <xf numFmtId="0" fontId="8" fillId="0" borderId="1" xfId="3" applyFill="1" applyBorder="1" applyAlignment="1">
      <alignment horizontal="center" vertical="center"/>
    </xf>
    <xf numFmtId="4" fontId="6" fillId="0" borderId="1" xfId="1" applyNumberFormat="1" applyFill="1" applyBorder="1" applyAlignment="1">
      <alignment horizontal="center" vertical="center"/>
    </xf>
    <xf numFmtId="4" fontId="8" fillId="0" borderId="1" xfId="3" applyNumberFormat="1" applyFill="1" applyBorder="1" applyAlignment="1">
      <alignment horizontal="center" vertical="center"/>
    </xf>
    <xf numFmtId="4" fontId="8" fillId="0" borderId="8" xfId="3" applyNumberForma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7" fillId="0" borderId="25" xfId="2" applyFill="1" applyAlignment="1">
      <alignment horizontal="center" vertical="center"/>
    </xf>
    <xf numFmtId="0" fontId="1" fillId="0" borderId="17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7" fillId="0" borderId="0" xfId="2" applyBorder="1" applyAlignment="1">
      <alignment horizontal="center" wrapText="1"/>
    </xf>
    <xf numFmtId="0" fontId="7" fillId="0" borderId="29" xfId="2" applyBorder="1" applyAlignment="1">
      <alignment horizontal="center" wrapText="1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textRotation="90"/>
    </xf>
    <xf numFmtId="0" fontId="5" fillId="0" borderId="16" xfId="0" applyFont="1" applyBorder="1" applyAlignment="1">
      <alignment horizontal="center" textRotation="90"/>
    </xf>
    <xf numFmtId="0" fontId="5" fillId="0" borderId="11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5" fillId="0" borderId="11" xfId="0" applyFont="1" applyBorder="1" applyAlignment="1">
      <alignment horizontal="center" textRotation="90" wrapText="1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0" xfId="0" applyFill="1"/>
    <xf numFmtId="3" fontId="4" fillId="0" borderId="11" xfId="0" applyNumberFormat="1" applyFont="1" applyFill="1" applyBorder="1" applyAlignment="1">
      <alignment horizontal="center" vertical="center"/>
    </xf>
  </cellXfs>
  <cellStyles count="6">
    <cellStyle name="Calculation" xfId="1" builtinId="22"/>
    <cellStyle name="Heading 3" xfId="2" builtinId="18"/>
    <cellStyle name="Input" xfId="3" builtinId="20"/>
    <cellStyle name="Normal" xfId="0" builtinId="0"/>
    <cellStyle name="Note" xfId="4" builtinId="10"/>
    <cellStyle name="Output" xfId="5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26</xdr:col>
      <xdr:colOff>224518</xdr:colOff>
      <xdr:row>63</xdr:row>
      <xdr:rowOff>57150</xdr:rowOff>
    </xdr:to>
    <xdr:grpSp>
      <xdr:nvGrpSpPr>
        <xdr:cNvPr id="2" name="InnerSheetBorder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0" y="0"/>
          <a:ext cx="17683283" cy="12137091"/>
          <a:chOff x="256" y="102"/>
          <a:chExt cx="1852" cy="1275"/>
        </a:xfrm>
      </xdr:grpSpPr>
      <xdr:sp macro="" textlink="">
        <xdr:nvSpPr>
          <xdr:cNvPr id="3" name="OB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>
            <a:spLocks noChangeShapeType="1"/>
          </xdr:cNvSpPr>
        </xdr:nvSpPr>
        <xdr:spPr bwMode="auto">
          <a:xfrm>
            <a:off x="256" y="102"/>
            <a:ext cx="1852" cy="0"/>
          </a:xfrm>
          <a:prstGeom prst="line">
            <a:avLst/>
          </a:prstGeom>
          <a:noFill/>
          <a:ln w="9525">
            <a:solidFill>
              <a:srgbClr val="33996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OB1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56" y="102"/>
            <a:ext cx="0" cy="1275"/>
          </a:xfrm>
          <a:prstGeom prst="line">
            <a:avLst/>
          </a:prstGeom>
          <a:noFill/>
          <a:ln w="9525">
            <a:solidFill>
              <a:srgbClr val="33996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OB3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108" y="102"/>
            <a:ext cx="0" cy="1275"/>
          </a:xfrm>
          <a:prstGeom prst="line">
            <a:avLst/>
          </a:prstGeom>
          <a:noFill/>
          <a:ln w="9525">
            <a:solidFill>
              <a:srgbClr val="33996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OB4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256" y="1377"/>
            <a:ext cx="1852" cy="0"/>
          </a:xfrm>
          <a:prstGeom prst="line">
            <a:avLst/>
          </a:prstGeom>
          <a:noFill/>
          <a:ln w="9525">
            <a:solidFill>
              <a:srgbClr val="33996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24</xdr:col>
      <xdr:colOff>1304925</xdr:colOff>
      <xdr:row>68</xdr:row>
      <xdr:rowOff>19050</xdr:rowOff>
    </xdr:to>
    <xdr:grpSp>
      <xdr:nvGrpSpPr>
        <xdr:cNvPr id="2" name="InnerSheetBorder">
          <a:extLst>
            <a:ext uri="{FF2B5EF4-FFF2-40B4-BE49-F238E27FC236}">
              <a16:creationId xmlns:a16="http://schemas.microsoft.com/office/drawing/2014/main" id="{D71ECFC8-05C8-4AF8-A940-BDE35210D859}"/>
            </a:ext>
          </a:extLst>
        </xdr:cNvPr>
        <xdr:cNvGrpSpPr>
          <a:grpSpLocks/>
        </xdr:cNvGrpSpPr>
      </xdr:nvGrpSpPr>
      <xdr:grpSpPr bwMode="auto">
        <a:xfrm>
          <a:off x="0" y="0"/>
          <a:ext cx="17664113" cy="12294394"/>
          <a:chOff x="256" y="102"/>
          <a:chExt cx="1852" cy="1275"/>
        </a:xfrm>
      </xdr:grpSpPr>
      <xdr:sp macro="" textlink="">
        <xdr:nvSpPr>
          <xdr:cNvPr id="3" name="OB2">
            <a:extLst>
              <a:ext uri="{FF2B5EF4-FFF2-40B4-BE49-F238E27FC236}">
                <a16:creationId xmlns:a16="http://schemas.microsoft.com/office/drawing/2014/main" id="{B89CACAE-3825-45EA-B78D-E1075123C57E}"/>
              </a:ext>
            </a:extLst>
          </xdr:cNvPr>
          <xdr:cNvSpPr>
            <a:spLocks noChangeShapeType="1"/>
          </xdr:cNvSpPr>
        </xdr:nvSpPr>
        <xdr:spPr bwMode="auto">
          <a:xfrm>
            <a:off x="256" y="102"/>
            <a:ext cx="1852" cy="0"/>
          </a:xfrm>
          <a:prstGeom prst="line">
            <a:avLst/>
          </a:prstGeom>
          <a:noFill/>
          <a:ln w="9525">
            <a:solidFill>
              <a:srgbClr val="33996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OB1">
            <a:extLst>
              <a:ext uri="{FF2B5EF4-FFF2-40B4-BE49-F238E27FC236}">
                <a16:creationId xmlns:a16="http://schemas.microsoft.com/office/drawing/2014/main" id="{56EBE54C-31CD-4ECC-9942-1C49ACC8F5D6}"/>
              </a:ext>
            </a:extLst>
          </xdr:cNvPr>
          <xdr:cNvSpPr>
            <a:spLocks noChangeShapeType="1"/>
          </xdr:cNvSpPr>
        </xdr:nvSpPr>
        <xdr:spPr bwMode="auto">
          <a:xfrm flipV="1">
            <a:off x="256" y="102"/>
            <a:ext cx="0" cy="1275"/>
          </a:xfrm>
          <a:prstGeom prst="line">
            <a:avLst/>
          </a:prstGeom>
          <a:noFill/>
          <a:ln w="9525">
            <a:solidFill>
              <a:srgbClr val="33996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OB3">
            <a:extLst>
              <a:ext uri="{FF2B5EF4-FFF2-40B4-BE49-F238E27FC236}">
                <a16:creationId xmlns:a16="http://schemas.microsoft.com/office/drawing/2014/main" id="{D6889EFA-50D8-4ADA-A907-92D2408A1ACE}"/>
              </a:ext>
            </a:extLst>
          </xdr:cNvPr>
          <xdr:cNvSpPr>
            <a:spLocks noChangeShapeType="1"/>
          </xdr:cNvSpPr>
        </xdr:nvSpPr>
        <xdr:spPr bwMode="auto">
          <a:xfrm flipV="1">
            <a:off x="2108" y="102"/>
            <a:ext cx="0" cy="1275"/>
          </a:xfrm>
          <a:prstGeom prst="line">
            <a:avLst/>
          </a:prstGeom>
          <a:noFill/>
          <a:ln w="9525">
            <a:solidFill>
              <a:srgbClr val="33996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OB4">
            <a:extLst>
              <a:ext uri="{FF2B5EF4-FFF2-40B4-BE49-F238E27FC236}">
                <a16:creationId xmlns:a16="http://schemas.microsoft.com/office/drawing/2014/main" id="{7881576F-5A8E-4CE4-8770-700C4E200512}"/>
              </a:ext>
            </a:extLst>
          </xdr:cNvPr>
          <xdr:cNvSpPr>
            <a:spLocks noChangeShapeType="1"/>
          </xdr:cNvSpPr>
        </xdr:nvSpPr>
        <xdr:spPr bwMode="auto">
          <a:xfrm>
            <a:off x="256" y="1377"/>
            <a:ext cx="1852" cy="0"/>
          </a:xfrm>
          <a:prstGeom prst="line">
            <a:avLst/>
          </a:prstGeom>
          <a:noFill/>
          <a:ln w="9525">
            <a:solidFill>
              <a:srgbClr val="33996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Print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4"/>
  <sheetViews>
    <sheetView tabSelected="1" zoomScale="85" zoomScaleNormal="85" workbookViewId="0">
      <pane ySplit="18" topLeftCell="A43" activePane="bottomLeft" state="frozen"/>
      <selection pane="bottomLeft" activeCell="I58" sqref="I58"/>
    </sheetView>
  </sheetViews>
  <sheetFormatPr defaultRowHeight="12.75" x14ac:dyDescent="0.2"/>
  <cols>
    <col min="1" max="1" width="21.42578125" customWidth="1"/>
    <col min="2" max="2" width="20.7109375" customWidth="1"/>
    <col min="3" max="3" width="7.7109375" customWidth="1"/>
    <col min="4" max="4" width="13.42578125" customWidth="1"/>
    <col min="5" max="5" width="7.7109375" customWidth="1"/>
    <col min="6" max="6" width="9.140625" bestFit="1" customWidth="1"/>
    <col min="7" max="7" width="12.85546875" customWidth="1"/>
    <col min="8" max="10" width="8.7109375" customWidth="1"/>
    <col min="11" max="11" width="9.7109375" customWidth="1"/>
    <col min="12" max="12" width="10.42578125" customWidth="1"/>
    <col min="13" max="26" width="8.7109375" customWidth="1"/>
    <col min="27" max="27" width="11.7109375" bestFit="1" customWidth="1"/>
    <col min="30" max="30" width="46" bestFit="1" customWidth="1"/>
  </cols>
  <sheetData>
    <row r="1" spans="1:30" ht="25.5" customHeight="1" thickBot="1" x14ac:dyDescent="0.25">
      <c r="M1" s="2">
        <v>0.75</v>
      </c>
      <c r="N1" s="2">
        <v>0.5</v>
      </c>
      <c r="O1" s="2">
        <v>0.75</v>
      </c>
      <c r="P1" s="2">
        <v>1</v>
      </c>
      <c r="Q1">
        <v>0.09</v>
      </c>
      <c r="R1">
        <v>0.06</v>
      </c>
      <c r="S1">
        <v>0.125</v>
      </c>
      <c r="T1">
        <v>0.14580000000000001</v>
      </c>
      <c r="U1">
        <v>0.14580000000000001</v>
      </c>
      <c r="V1" s="2">
        <v>0.25</v>
      </c>
      <c r="Y1">
        <v>0.14580000000000001</v>
      </c>
      <c r="AA1" s="3" t="s">
        <v>18</v>
      </c>
      <c r="AC1" s="43" t="s">
        <v>19</v>
      </c>
      <c r="AD1" s="43" t="s">
        <v>20</v>
      </c>
    </row>
    <row r="2" spans="1:30" ht="15" customHeight="1" x14ac:dyDescent="0.2">
      <c r="A2" s="45" t="s">
        <v>0</v>
      </c>
      <c r="B2" s="46"/>
      <c r="C2" s="51" t="s">
        <v>1</v>
      </c>
      <c r="D2" s="54" t="s">
        <v>2</v>
      </c>
      <c r="E2" s="54" t="s">
        <v>6</v>
      </c>
      <c r="F2" s="54" t="s">
        <v>4</v>
      </c>
      <c r="G2" s="54" t="s">
        <v>3</v>
      </c>
      <c r="H2" s="20">
        <v>202</v>
      </c>
      <c r="I2" s="20">
        <v>204</v>
      </c>
      <c r="J2" s="20">
        <v>204</v>
      </c>
      <c r="K2" s="20">
        <v>254</v>
      </c>
      <c r="L2" s="20">
        <v>254</v>
      </c>
      <c r="M2" s="20">
        <v>301</v>
      </c>
      <c r="N2" s="20">
        <v>304</v>
      </c>
      <c r="O2" s="20">
        <v>304</v>
      </c>
      <c r="P2" s="20">
        <v>304</v>
      </c>
      <c r="Q2" s="20">
        <v>407</v>
      </c>
      <c r="R2" s="20">
        <v>407</v>
      </c>
      <c r="S2" s="20">
        <v>442</v>
      </c>
      <c r="T2" s="20">
        <v>442</v>
      </c>
      <c r="U2" s="20">
        <v>442</v>
      </c>
      <c r="V2" s="20">
        <v>617</v>
      </c>
      <c r="W2" s="20">
        <v>617</v>
      </c>
      <c r="X2" s="20">
        <v>617</v>
      </c>
      <c r="Y2" s="20">
        <v>442</v>
      </c>
      <c r="Z2" s="20">
        <v>407</v>
      </c>
      <c r="AC2" s="44"/>
      <c r="AD2" s="44"/>
    </row>
    <row r="3" spans="1:30" ht="15" customHeight="1" x14ac:dyDescent="0.25">
      <c r="A3" s="47"/>
      <c r="B3" s="48"/>
      <c r="C3" s="52"/>
      <c r="D3" s="55"/>
      <c r="E3" s="55"/>
      <c r="F3" s="55"/>
      <c r="G3" s="55"/>
      <c r="H3" s="57" t="s">
        <v>33</v>
      </c>
      <c r="I3" s="57" t="s">
        <v>32</v>
      </c>
      <c r="J3" s="57" t="s">
        <v>15</v>
      </c>
      <c r="K3" s="57" t="s">
        <v>24</v>
      </c>
      <c r="L3" s="57" t="s">
        <v>34</v>
      </c>
      <c r="M3" s="57" t="s">
        <v>28</v>
      </c>
      <c r="N3" s="57" t="s">
        <v>30</v>
      </c>
      <c r="O3" s="57" t="s">
        <v>31</v>
      </c>
      <c r="P3" s="57" t="s">
        <v>40</v>
      </c>
      <c r="Q3" s="57" t="s">
        <v>41</v>
      </c>
      <c r="R3" s="57" t="s">
        <v>42</v>
      </c>
      <c r="S3" s="57" t="s">
        <v>22</v>
      </c>
      <c r="T3" s="57" t="s">
        <v>23</v>
      </c>
      <c r="U3" s="57" t="s">
        <v>25</v>
      </c>
      <c r="V3" s="57" t="s">
        <v>29</v>
      </c>
      <c r="W3" s="57" t="s">
        <v>43</v>
      </c>
      <c r="X3" s="57" t="s">
        <v>44</v>
      </c>
      <c r="Y3" s="57" t="s">
        <v>46</v>
      </c>
      <c r="Z3" s="57" t="s">
        <v>47</v>
      </c>
      <c r="AC3" s="4">
        <v>301</v>
      </c>
      <c r="AD3" s="4">
        <v>0.58330000000000004</v>
      </c>
    </row>
    <row r="4" spans="1:30" ht="15" customHeight="1" x14ac:dyDescent="0.25">
      <c r="A4" s="47"/>
      <c r="B4" s="48"/>
      <c r="C4" s="52"/>
      <c r="D4" s="55"/>
      <c r="E4" s="55"/>
      <c r="F4" s="55"/>
      <c r="G4" s="55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C4" s="4">
        <v>304</v>
      </c>
      <c r="AD4" s="4">
        <v>1.3332999999999999</v>
      </c>
    </row>
    <row r="5" spans="1:30" ht="15" customHeight="1" x14ac:dyDescent="0.2">
      <c r="A5" s="47"/>
      <c r="B5" s="48"/>
      <c r="C5" s="52"/>
      <c r="D5" s="55"/>
      <c r="E5" s="55"/>
      <c r="F5" s="55"/>
      <c r="G5" s="55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30" ht="13.5" customHeight="1" x14ac:dyDescent="0.2">
      <c r="A6" s="47"/>
      <c r="B6" s="48"/>
      <c r="C6" s="52"/>
      <c r="D6" s="55"/>
      <c r="E6" s="55"/>
      <c r="F6" s="55"/>
      <c r="G6" s="55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30" ht="15" customHeight="1" x14ac:dyDescent="0.2">
      <c r="A7" s="47"/>
      <c r="B7" s="48"/>
      <c r="C7" s="52"/>
      <c r="D7" s="55"/>
      <c r="E7" s="55"/>
      <c r="F7" s="55"/>
      <c r="G7" s="55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</row>
    <row r="8" spans="1:30" ht="15" customHeight="1" x14ac:dyDescent="0.2">
      <c r="A8" s="47"/>
      <c r="B8" s="48"/>
      <c r="C8" s="52"/>
      <c r="D8" s="55"/>
      <c r="E8" s="55"/>
      <c r="F8" s="55"/>
      <c r="G8" s="55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</row>
    <row r="9" spans="1:30" ht="15" customHeight="1" x14ac:dyDescent="0.2">
      <c r="A9" s="47"/>
      <c r="B9" s="48"/>
      <c r="C9" s="52"/>
      <c r="D9" s="55"/>
      <c r="E9" s="55"/>
      <c r="F9" s="55"/>
      <c r="G9" s="55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spans="1:30" ht="15" customHeight="1" x14ac:dyDescent="0.2">
      <c r="A10" s="47"/>
      <c r="B10" s="48"/>
      <c r="C10" s="52"/>
      <c r="D10" s="55"/>
      <c r="E10" s="55"/>
      <c r="F10" s="55"/>
      <c r="G10" s="55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spans="1:30" ht="15" customHeight="1" x14ac:dyDescent="0.2">
      <c r="A11" s="47"/>
      <c r="B11" s="48"/>
      <c r="C11" s="52"/>
      <c r="D11" s="55"/>
      <c r="E11" s="55"/>
      <c r="F11" s="55"/>
      <c r="G11" s="55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spans="1:30" ht="15" customHeight="1" x14ac:dyDescent="0.2">
      <c r="A12" s="47"/>
      <c r="B12" s="48"/>
      <c r="C12" s="52"/>
      <c r="D12" s="55"/>
      <c r="E12" s="55"/>
      <c r="F12" s="55"/>
      <c r="G12" s="55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</row>
    <row r="13" spans="1:30" ht="15" customHeight="1" x14ac:dyDescent="0.2">
      <c r="A13" s="47"/>
      <c r="B13" s="48"/>
      <c r="C13" s="52"/>
      <c r="D13" s="55"/>
      <c r="E13" s="55"/>
      <c r="F13" s="55"/>
      <c r="G13" s="55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spans="1:30" ht="15" customHeight="1" x14ac:dyDescent="0.2">
      <c r="A14" s="47"/>
      <c r="B14" s="48"/>
      <c r="C14" s="52"/>
      <c r="D14" s="55"/>
      <c r="E14" s="55"/>
      <c r="F14" s="55"/>
      <c r="G14" s="55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spans="1:30" ht="15" customHeight="1" x14ac:dyDescent="0.2">
      <c r="A15" s="47"/>
      <c r="B15" s="48"/>
      <c r="C15" s="52"/>
      <c r="D15" s="55"/>
      <c r="E15" s="55"/>
      <c r="F15" s="55"/>
      <c r="G15" s="55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</row>
    <row r="16" spans="1:30" s="1" customFormat="1" ht="15" customHeight="1" x14ac:dyDescent="0.2">
      <c r="A16" s="47"/>
      <c r="B16" s="48"/>
      <c r="C16" s="52"/>
      <c r="D16" s="55"/>
      <c r="E16" s="55"/>
      <c r="F16" s="55"/>
      <c r="G16" s="55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</row>
    <row r="17" spans="1:26" s="1" customFormat="1" ht="15" customHeight="1" x14ac:dyDescent="0.2">
      <c r="A17" s="49"/>
      <c r="B17" s="50"/>
      <c r="C17" s="52"/>
      <c r="D17" s="56"/>
      <c r="E17" s="56"/>
      <c r="F17" s="56"/>
      <c r="G17" s="56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</row>
    <row r="18" spans="1:26" s="1" customFormat="1" ht="15" customHeight="1" thickBot="1" x14ac:dyDescent="0.25">
      <c r="A18" s="21" t="s">
        <v>8</v>
      </c>
      <c r="B18" s="21" t="s">
        <v>9</v>
      </c>
      <c r="C18" s="53"/>
      <c r="D18" s="22" t="s">
        <v>7</v>
      </c>
      <c r="E18" s="22" t="s">
        <v>7</v>
      </c>
      <c r="F18" s="22" t="s">
        <v>5</v>
      </c>
      <c r="G18" s="22" t="s">
        <v>5</v>
      </c>
      <c r="H18" s="22" t="s">
        <v>16</v>
      </c>
      <c r="I18" s="22" t="s">
        <v>16</v>
      </c>
      <c r="J18" s="22" t="s">
        <v>12</v>
      </c>
      <c r="K18" s="22" t="s">
        <v>16</v>
      </c>
      <c r="L18" s="22" t="s">
        <v>16</v>
      </c>
      <c r="M18" s="22" t="s">
        <v>14</v>
      </c>
      <c r="N18" s="22" t="s">
        <v>14</v>
      </c>
      <c r="O18" s="22" t="s">
        <v>14</v>
      </c>
      <c r="P18" s="22" t="s">
        <v>14</v>
      </c>
      <c r="Q18" s="22" t="s">
        <v>11</v>
      </c>
      <c r="R18" s="22" t="s">
        <v>11</v>
      </c>
      <c r="S18" s="22" t="s">
        <v>14</v>
      </c>
      <c r="T18" s="22" t="s">
        <v>14</v>
      </c>
      <c r="U18" s="22" t="s">
        <v>14</v>
      </c>
      <c r="V18" s="22" t="s">
        <v>14</v>
      </c>
      <c r="W18" s="22" t="s">
        <v>16</v>
      </c>
      <c r="X18" s="22" t="s">
        <v>45</v>
      </c>
      <c r="Y18" s="22" t="s">
        <v>14</v>
      </c>
      <c r="Z18" s="22" t="s">
        <v>11</v>
      </c>
    </row>
    <row r="19" spans="1:26" s="1" customFormat="1" ht="15" customHeight="1" thickBot="1" x14ac:dyDescent="0.25">
      <c r="A19" s="36" t="s">
        <v>21</v>
      </c>
      <c r="B19" s="36"/>
      <c r="C19" s="23"/>
      <c r="D19" s="24"/>
      <c r="E19" s="24"/>
      <c r="F19" s="25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s="1" customFormat="1" ht="15" customHeight="1" thickBot="1" x14ac:dyDescent="0.25">
      <c r="A20" s="9">
        <v>240</v>
      </c>
      <c r="B20" s="10">
        <v>2075</v>
      </c>
      <c r="C20" s="5" t="s">
        <v>10</v>
      </c>
      <c r="D20" s="6">
        <f t="shared" ref="D20" si="0">B20-A20</f>
        <v>1835</v>
      </c>
      <c r="E20" s="7">
        <v>25</v>
      </c>
      <c r="F20" s="7"/>
      <c r="G20" s="8">
        <f t="shared" ref="G20:G26" si="1">D20*E20</f>
        <v>45875</v>
      </c>
      <c r="H20" s="7">
        <v>0</v>
      </c>
      <c r="I20" s="7">
        <f>F20/9</f>
        <v>0</v>
      </c>
      <c r="J20" s="11">
        <v>0</v>
      </c>
      <c r="K20" s="7">
        <f>G20/9</f>
        <v>5097.2222222222226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f>G20/9*$Q$1</f>
        <v>458.75</v>
      </c>
      <c r="R20" s="7">
        <f>G20/9*$R$1</f>
        <v>305.83333333333337</v>
      </c>
      <c r="S20" s="7">
        <f>(G20*$S$1)/27</f>
        <v>212.38425925925927</v>
      </c>
      <c r="T20" s="7">
        <f>(G20*$T$1)/27</f>
        <v>247.72500000000002</v>
      </c>
      <c r="U20" s="7">
        <v>0</v>
      </c>
      <c r="V20" s="7">
        <v>0</v>
      </c>
      <c r="W20" s="7">
        <v>0</v>
      </c>
      <c r="X20" s="7">
        <v>0</v>
      </c>
      <c r="Y20" s="7">
        <f>(L20*$T$1)/27</f>
        <v>0</v>
      </c>
      <c r="Z20" s="7"/>
    </row>
    <row r="21" spans="1:26" s="1" customFormat="1" ht="15" customHeight="1" thickBot="1" x14ac:dyDescent="0.25">
      <c r="A21" s="9">
        <v>2075</v>
      </c>
      <c r="B21" s="10">
        <v>2428</v>
      </c>
      <c r="C21" s="5" t="s">
        <v>10</v>
      </c>
      <c r="D21" s="6">
        <f t="shared" ref="D21" si="2">B21-A21</f>
        <v>353</v>
      </c>
      <c r="E21" s="7">
        <v>25</v>
      </c>
      <c r="F21" s="7"/>
      <c r="G21" s="8">
        <f t="shared" si="1"/>
        <v>8825</v>
      </c>
      <c r="H21" s="7">
        <v>0</v>
      </c>
      <c r="I21" s="7">
        <v>0</v>
      </c>
      <c r="J21" s="11">
        <v>0</v>
      </c>
      <c r="K21" s="7">
        <v>0</v>
      </c>
      <c r="L21" s="7">
        <f>G21/27</f>
        <v>326.85185185185185</v>
      </c>
      <c r="M21" s="7">
        <v>0</v>
      </c>
      <c r="N21" s="7">
        <v>0</v>
      </c>
      <c r="O21" s="7">
        <v>0</v>
      </c>
      <c r="P21" s="7">
        <v>0</v>
      </c>
      <c r="Q21" s="7">
        <f>G21/9*$Q$1</f>
        <v>88.25</v>
      </c>
      <c r="R21" s="7">
        <f>G21/9*$R$1</f>
        <v>58.833333333333329</v>
      </c>
      <c r="S21" s="7">
        <f>(G21*$S$1)/27</f>
        <v>40.856481481481481</v>
      </c>
      <c r="T21" s="7">
        <v>0</v>
      </c>
      <c r="U21" s="7">
        <f>(G21*$U$1)/27+0.5</f>
        <v>48.155000000000008</v>
      </c>
      <c r="V21" s="7">
        <v>0</v>
      </c>
      <c r="W21" s="7">
        <v>0</v>
      </c>
      <c r="X21" s="7">
        <v>0</v>
      </c>
      <c r="Y21" s="7">
        <f>(G21*$Y$1)/27</f>
        <v>47.655000000000008</v>
      </c>
      <c r="Z21" s="7"/>
    </row>
    <row r="22" spans="1:26" s="1" customFormat="1" ht="15" customHeight="1" thickBot="1" x14ac:dyDescent="0.25">
      <c r="A22" s="9">
        <v>2075</v>
      </c>
      <c r="B22" s="10">
        <v>2428</v>
      </c>
      <c r="C22" s="5" t="s">
        <v>26</v>
      </c>
      <c r="D22" s="6">
        <f t="shared" ref="D22" si="3">B22-A22</f>
        <v>353</v>
      </c>
      <c r="E22" s="7">
        <v>6</v>
      </c>
      <c r="F22" s="7"/>
      <c r="G22" s="8">
        <f t="shared" si="1"/>
        <v>2118</v>
      </c>
      <c r="H22" s="7">
        <v>0</v>
      </c>
      <c r="I22" s="7">
        <v>0</v>
      </c>
      <c r="J22" s="11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f>(G22*$V$1)/27</f>
        <v>19.611111111111111</v>
      </c>
      <c r="W22" s="7">
        <f>G22/9</f>
        <v>235.33333333333334</v>
      </c>
      <c r="X22" s="7">
        <f>0.004*W22</f>
        <v>0.94133333333333336</v>
      </c>
      <c r="Y22" s="7">
        <v>0</v>
      </c>
      <c r="Z22" s="7"/>
    </row>
    <row r="23" spans="1:26" s="1" customFormat="1" ht="15" customHeight="1" thickBot="1" x14ac:dyDescent="0.25">
      <c r="A23" s="9">
        <v>2075</v>
      </c>
      <c r="B23" s="10">
        <v>2428</v>
      </c>
      <c r="C23" s="5" t="s">
        <v>27</v>
      </c>
      <c r="D23" s="6">
        <f t="shared" ref="D23" si="4">B23-A23</f>
        <v>353</v>
      </c>
      <c r="E23" s="7">
        <v>4.08</v>
      </c>
      <c r="F23" s="7"/>
      <c r="G23" s="8">
        <f t="shared" si="1"/>
        <v>1440.24</v>
      </c>
      <c r="H23" s="7">
        <v>0</v>
      </c>
      <c r="I23" s="7">
        <v>0</v>
      </c>
      <c r="J23" s="11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f>(G23*$V$1)/27</f>
        <v>13.335555555555556</v>
      </c>
      <c r="W23" s="7">
        <f>G23/9</f>
        <v>160.02666666666667</v>
      </c>
      <c r="X23" s="7">
        <f>0.004*W23</f>
        <v>0.64010666666666671</v>
      </c>
      <c r="Y23" s="7">
        <v>0</v>
      </c>
      <c r="Z23" s="7"/>
    </row>
    <row r="24" spans="1:26" s="1" customFormat="1" ht="15" customHeight="1" thickBot="1" x14ac:dyDescent="0.25">
      <c r="A24" s="9">
        <v>2428</v>
      </c>
      <c r="B24" s="10">
        <v>2483</v>
      </c>
      <c r="C24" s="5" t="s">
        <v>10</v>
      </c>
      <c r="D24" s="6">
        <f t="shared" ref="D24:D45" si="5">B24-A24</f>
        <v>55</v>
      </c>
      <c r="E24" s="7">
        <v>26.2</v>
      </c>
      <c r="F24" s="7"/>
      <c r="G24" s="8">
        <f t="shared" si="1"/>
        <v>1441</v>
      </c>
      <c r="H24" s="7">
        <v>0</v>
      </c>
      <c r="I24" s="7">
        <f>(E24+$AD$4+$AD$4)*D24/9</f>
        <v>176.40700000000001</v>
      </c>
      <c r="J24" s="11">
        <f>I24/2000</f>
        <v>8.8203500000000004E-2</v>
      </c>
      <c r="K24" s="7">
        <v>0</v>
      </c>
      <c r="L24" s="7">
        <v>0</v>
      </c>
      <c r="M24" s="7">
        <f>(E24+$AD$3+$AD$3)*D24*$M$1/27</f>
        <v>41.810083333333331</v>
      </c>
      <c r="N24" s="7">
        <v>0</v>
      </c>
      <c r="O24" s="7">
        <f>(E24+$AD$4+$AD$4)*$O$1*D24/27</f>
        <v>44.101750000000003</v>
      </c>
      <c r="P24" s="7">
        <v>0</v>
      </c>
      <c r="Q24" s="7">
        <v>0</v>
      </c>
      <c r="R24" s="7">
        <f>G24/9*$R$1*2</f>
        <v>19.213333333333335</v>
      </c>
      <c r="S24" s="7">
        <f>(G24*$S$1)/27</f>
        <v>6.6712962962962967</v>
      </c>
      <c r="T24" s="7">
        <f>(G24*$T$1)/27</f>
        <v>7.7814000000000005</v>
      </c>
      <c r="U24" s="7">
        <v>0</v>
      </c>
      <c r="V24" s="7">
        <v>0</v>
      </c>
      <c r="W24" s="7">
        <v>0</v>
      </c>
      <c r="X24" s="7">
        <v>0</v>
      </c>
      <c r="Y24" s="7">
        <f>(L24*$T$1)/27</f>
        <v>0</v>
      </c>
      <c r="Z24" s="7"/>
    </row>
    <row r="25" spans="1:26" s="1" customFormat="1" ht="15" customHeight="1" thickBot="1" x14ac:dyDescent="0.25">
      <c r="A25" s="9">
        <v>2428</v>
      </c>
      <c r="B25" s="10">
        <v>2483</v>
      </c>
      <c r="C25" s="5" t="s">
        <v>26</v>
      </c>
      <c r="D25" s="6">
        <f t="shared" si="5"/>
        <v>55</v>
      </c>
      <c r="E25" s="7">
        <v>6</v>
      </c>
      <c r="F25" s="7"/>
      <c r="G25" s="8">
        <f t="shared" si="1"/>
        <v>330</v>
      </c>
      <c r="H25" s="7">
        <v>0</v>
      </c>
      <c r="I25" s="7">
        <v>0</v>
      </c>
      <c r="J25" s="11">
        <f t="shared" ref="J25:J28" si="6">I25/2000</f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f>(G25*$V$1)/27</f>
        <v>3.0555555555555554</v>
      </c>
      <c r="W25" s="7">
        <f>G25/9</f>
        <v>36.666666666666664</v>
      </c>
      <c r="X25" s="7">
        <f>0.004*W25</f>
        <v>0.14666666666666667</v>
      </c>
      <c r="Y25" s="7">
        <v>0</v>
      </c>
      <c r="Z25" s="7"/>
    </row>
    <row r="26" spans="1:26" s="1" customFormat="1" ht="15" customHeight="1" thickBot="1" x14ac:dyDescent="0.25">
      <c r="A26" s="9">
        <v>2428</v>
      </c>
      <c r="B26" s="10">
        <v>2504.92</v>
      </c>
      <c r="C26" s="5" t="s">
        <v>27</v>
      </c>
      <c r="D26" s="6">
        <f t="shared" ref="D26" si="7">B26-A26</f>
        <v>76.920000000000073</v>
      </c>
      <c r="E26" s="7">
        <v>3.5</v>
      </c>
      <c r="F26" s="7"/>
      <c r="G26" s="8">
        <f t="shared" si="1"/>
        <v>269.22000000000025</v>
      </c>
      <c r="H26" s="7">
        <v>0</v>
      </c>
      <c r="I26" s="7">
        <v>0</v>
      </c>
      <c r="J26" s="11">
        <f t="shared" si="6"/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f>(G26*$V$1)/27</f>
        <v>2.4927777777777802</v>
      </c>
      <c r="W26" s="7">
        <f>G26/9</f>
        <v>29.913333333333362</v>
      </c>
      <c r="X26" s="7">
        <f>0.004*W26</f>
        <v>0.11965333333333346</v>
      </c>
      <c r="Y26" s="7">
        <v>0</v>
      </c>
      <c r="Z26" s="7"/>
    </row>
    <row r="27" spans="1:26" s="1" customFormat="1" ht="15" customHeight="1" thickBot="1" x14ac:dyDescent="0.25">
      <c r="A27" s="9">
        <v>2483</v>
      </c>
      <c r="B27" s="10">
        <v>2504.9</v>
      </c>
      <c r="C27" s="5" t="s">
        <v>10</v>
      </c>
      <c r="D27" s="6">
        <f t="shared" si="5"/>
        <v>21.900000000000091</v>
      </c>
      <c r="E27" s="7" t="s">
        <v>17</v>
      </c>
      <c r="F27" s="7">
        <v>374.35</v>
      </c>
      <c r="G27" s="8">
        <f t="shared" ref="G27:G28" si="8">IF(F27="-",D27*E27,F27)</f>
        <v>374.35</v>
      </c>
      <c r="H27" s="7">
        <v>0</v>
      </c>
      <c r="I27" s="7">
        <f>(D27*$AD$4)*2+F27/9</f>
        <v>99.992984444444687</v>
      </c>
      <c r="J27" s="11">
        <f t="shared" si="6"/>
        <v>4.9996492222222341E-2</v>
      </c>
      <c r="K27" s="7">
        <v>0</v>
      </c>
      <c r="L27" s="7">
        <v>0</v>
      </c>
      <c r="M27" s="11">
        <f>((D27*$AD$3)+F27)*$M$1/27</f>
        <v>10.753451944444448</v>
      </c>
      <c r="N27" s="11">
        <v>0</v>
      </c>
      <c r="O27" s="11">
        <f>((D27*$AD$4)*2+F27)*$O$1/27</f>
        <v>12.020792777777785</v>
      </c>
      <c r="P27" s="11">
        <v>0</v>
      </c>
      <c r="Q27" s="7">
        <f>F27/9*$Q$1</f>
        <v>3.7435</v>
      </c>
      <c r="R27" s="7">
        <f>F27/9*$R$1</f>
        <v>2.4956666666666667</v>
      </c>
      <c r="S27" s="7">
        <f>F27*$S$1/27</f>
        <v>1.7331018518518519</v>
      </c>
      <c r="T27" s="7">
        <f>F27*$T$1/27</f>
        <v>2.0214900000000005</v>
      </c>
      <c r="U27" s="7">
        <v>0</v>
      </c>
      <c r="V27" s="11">
        <v>0</v>
      </c>
      <c r="W27" s="7">
        <v>0</v>
      </c>
      <c r="X27" s="7">
        <v>0</v>
      </c>
      <c r="Y27" s="7">
        <f>K27*$T$1/27</f>
        <v>0</v>
      </c>
      <c r="Z27" s="7"/>
    </row>
    <row r="28" spans="1:26" s="1" customFormat="1" ht="15" customHeight="1" thickBot="1" x14ac:dyDescent="0.25">
      <c r="A28" s="9">
        <v>2504.9</v>
      </c>
      <c r="B28" s="10">
        <v>2507.1999999999998</v>
      </c>
      <c r="C28" s="5" t="s">
        <v>27</v>
      </c>
      <c r="D28" s="6">
        <f t="shared" ref="D28" si="9">B28-A28</f>
        <v>2.2999999999997272</v>
      </c>
      <c r="E28" s="7" t="s">
        <v>17</v>
      </c>
      <c r="F28" s="7">
        <v>3.74</v>
      </c>
      <c r="G28" s="8">
        <f t="shared" si="8"/>
        <v>3.74</v>
      </c>
      <c r="H28" s="7">
        <v>0</v>
      </c>
      <c r="I28" s="7">
        <f>(D28*$AD$4)*2+F28/9</f>
        <v>6.5487355555548277</v>
      </c>
      <c r="J28" s="11">
        <f t="shared" si="6"/>
        <v>3.2743677777774139E-3</v>
      </c>
      <c r="K28" s="7">
        <v>0</v>
      </c>
      <c r="L28" s="7">
        <v>0</v>
      </c>
      <c r="M28" s="11">
        <f>F28*$M$1/27</f>
        <v>0.10388888888888889</v>
      </c>
      <c r="N28" s="11">
        <v>0</v>
      </c>
      <c r="O28" s="11">
        <f>((D28*$AD$4)+F28)*$O$1/27</f>
        <v>0.18907194444443431</v>
      </c>
      <c r="P28" s="11">
        <v>0</v>
      </c>
      <c r="Q28" s="7">
        <f>F28/9*$Q$1</f>
        <v>3.7400000000000003E-2</v>
      </c>
      <c r="R28" s="7">
        <f>F28/9*$R$1</f>
        <v>2.4933333333333332E-2</v>
      </c>
      <c r="S28" s="7">
        <f>F27*$S$1/27</f>
        <v>1.7331018518518519</v>
      </c>
      <c r="T28" s="7">
        <f>F28*$T$1/27</f>
        <v>2.0196000000000006E-2</v>
      </c>
      <c r="U28" s="7">
        <v>0</v>
      </c>
      <c r="V28" s="11">
        <v>0</v>
      </c>
      <c r="W28" s="7">
        <v>0</v>
      </c>
      <c r="X28" s="7">
        <v>0</v>
      </c>
      <c r="Y28" s="7">
        <f>K28*$T$1/27</f>
        <v>0</v>
      </c>
      <c r="Z28" s="7"/>
    </row>
    <row r="29" spans="1:26" s="1" customFormat="1" ht="15" customHeight="1" thickBot="1" x14ac:dyDescent="0.25">
      <c r="A29" s="9"/>
      <c r="B29" s="10"/>
      <c r="C29" s="5"/>
      <c r="D29" s="6"/>
      <c r="E29" s="7"/>
      <c r="F29" s="7"/>
      <c r="G29" s="8"/>
      <c r="H29" s="7"/>
      <c r="I29" s="7"/>
      <c r="J29" s="11"/>
      <c r="K29" s="7"/>
      <c r="L29" s="7"/>
      <c r="M29" s="11"/>
      <c r="N29" s="11"/>
      <c r="O29" s="11"/>
      <c r="P29" s="11"/>
      <c r="Q29" s="7"/>
      <c r="R29" s="7"/>
      <c r="S29" s="7"/>
      <c r="T29" s="7"/>
      <c r="U29" s="7"/>
      <c r="V29" s="11"/>
      <c r="W29" s="7"/>
      <c r="X29" s="7"/>
      <c r="Y29" s="7"/>
      <c r="Z29" s="7"/>
    </row>
    <row r="30" spans="1:26" s="1" customFormat="1" ht="15" customHeight="1" thickBot="1" x14ac:dyDescent="0.25">
      <c r="A30" s="9">
        <v>2487.0300000000002</v>
      </c>
      <c r="B30" s="10">
        <v>2507.1999999999998</v>
      </c>
      <c r="C30" s="5" t="s">
        <v>10</v>
      </c>
      <c r="D30" s="6">
        <v>34.299999999999997</v>
      </c>
      <c r="E30" s="7">
        <v>1</v>
      </c>
      <c r="F30" s="7"/>
      <c r="G30" s="8">
        <f>D30*E30</f>
        <v>34.299999999999997</v>
      </c>
      <c r="H30" s="7">
        <v>0</v>
      </c>
      <c r="I30" s="7">
        <v>0</v>
      </c>
      <c r="J30" s="11">
        <v>0</v>
      </c>
      <c r="K30" s="7">
        <v>0</v>
      </c>
      <c r="L30" s="7">
        <v>0</v>
      </c>
      <c r="M30" s="11">
        <v>0</v>
      </c>
      <c r="N30" s="11">
        <v>0</v>
      </c>
      <c r="O30" s="11">
        <v>0</v>
      </c>
      <c r="P30" s="11">
        <f>G30*$P$1/27</f>
        <v>1.2703703703703704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11">
        <v>0</v>
      </c>
      <c r="W30" s="7">
        <v>0</v>
      </c>
      <c r="X30" s="7">
        <v>0</v>
      </c>
      <c r="Y30" s="7">
        <v>0</v>
      </c>
      <c r="Z30" s="7"/>
    </row>
    <row r="31" spans="1:26" s="1" customFormat="1" ht="15" customHeight="1" thickBot="1" x14ac:dyDescent="0.25">
      <c r="A31" s="9">
        <v>2487.0300000000002</v>
      </c>
      <c r="B31" s="10">
        <v>2507.1999999999998</v>
      </c>
      <c r="C31" s="5" t="s">
        <v>10</v>
      </c>
      <c r="D31" s="6">
        <f t="shared" ref="D31:D34" si="10">B31-A31</f>
        <v>20.169999999999618</v>
      </c>
      <c r="E31" s="7" t="s">
        <v>17</v>
      </c>
      <c r="F31" s="7">
        <v>666.63</v>
      </c>
      <c r="G31" s="8">
        <f t="shared" ref="G31:G34" si="11">IF(F31="-",D31*E31,F31)</f>
        <v>666.63</v>
      </c>
      <c r="H31" s="7">
        <v>0</v>
      </c>
      <c r="I31" s="7">
        <v>0</v>
      </c>
      <c r="J31" s="11">
        <v>0</v>
      </c>
      <c r="K31" s="7">
        <v>0</v>
      </c>
      <c r="L31" s="7">
        <v>0</v>
      </c>
      <c r="M31" s="11">
        <f>G31*$M$1/27</f>
        <v>18.517499999999998</v>
      </c>
      <c r="N31" s="11">
        <v>0</v>
      </c>
      <c r="O31" s="11">
        <v>0</v>
      </c>
      <c r="P31" s="11">
        <v>0</v>
      </c>
      <c r="Q31" s="7">
        <f>G31/9*$Q$1</f>
        <v>6.6662999999999988</v>
      </c>
      <c r="R31" s="7">
        <f>G31/9*$R$1</f>
        <v>4.4441999999999995</v>
      </c>
      <c r="S31" s="7">
        <f>G31*$S$1/27</f>
        <v>3.0862500000000002</v>
      </c>
      <c r="T31" s="7">
        <f>G31*$T$1/27</f>
        <v>3.5998020000000004</v>
      </c>
      <c r="U31" s="7">
        <v>0</v>
      </c>
      <c r="V31" s="11">
        <v>0</v>
      </c>
      <c r="W31" s="7">
        <v>0</v>
      </c>
      <c r="X31" s="7">
        <v>0</v>
      </c>
      <c r="Y31" s="7">
        <f>L31*$T$1/27</f>
        <v>0</v>
      </c>
      <c r="Z31" s="7"/>
    </row>
    <row r="32" spans="1:26" s="1" customFormat="1" ht="15" customHeight="1" thickBot="1" x14ac:dyDescent="0.25">
      <c r="A32" s="9">
        <v>2487.0300000000002</v>
      </c>
      <c r="B32" s="10">
        <v>2507.1999999999998</v>
      </c>
      <c r="C32" s="5" t="s">
        <v>10</v>
      </c>
      <c r="D32" s="6">
        <f t="shared" ref="D32:D33" si="12">B32-A32</f>
        <v>20.169999999999618</v>
      </c>
      <c r="E32" s="7" t="s">
        <v>17</v>
      </c>
      <c r="F32" s="7">
        <v>703.19</v>
      </c>
      <c r="G32" s="8">
        <f t="shared" ref="G32:G33" si="13">IF(F32="-",D32*E32,F32)</f>
        <v>703.19</v>
      </c>
      <c r="H32" s="7">
        <v>0</v>
      </c>
      <c r="I32" s="7">
        <f>G32/9</f>
        <v>78.132222222222225</v>
      </c>
      <c r="J32" s="11">
        <f>G32/2000</f>
        <v>0.35159500000000005</v>
      </c>
      <c r="K32" s="7">
        <v>0</v>
      </c>
      <c r="L32" s="7">
        <v>0</v>
      </c>
      <c r="M32" s="11">
        <v>0</v>
      </c>
      <c r="N32" s="11">
        <f>G32*$N$1/27</f>
        <v>13.022037037037038</v>
      </c>
      <c r="O32" s="11">
        <v>0</v>
      </c>
      <c r="P32" s="11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11">
        <v>0</v>
      </c>
      <c r="W32" s="7">
        <v>0</v>
      </c>
      <c r="X32" s="7">
        <v>0</v>
      </c>
      <c r="Y32" s="7">
        <v>0</v>
      </c>
      <c r="Z32" s="7"/>
    </row>
    <row r="33" spans="1:26" s="1" customFormat="1" ht="15" customHeight="1" thickBot="1" x14ac:dyDescent="0.25">
      <c r="A33" s="9">
        <v>2834.5</v>
      </c>
      <c r="B33" s="10">
        <v>2867.19</v>
      </c>
      <c r="C33" s="5" t="s">
        <v>10</v>
      </c>
      <c r="D33" s="6">
        <f t="shared" si="12"/>
        <v>32.690000000000055</v>
      </c>
      <c r="E33" s="7" t="s">
        <v>17</v>
      </c>
      <c r="F33" s="7">
        <v>662.97</v>
      </c>
      <c r="G33" s="8">
        <f t="shared" si="13"/>
        <v>662.97</v>
      </c>
      <c r="H33" s="7">
        <v>0</v>
      </c>
      <c r="I33" s="7">
        <v>0</v>
      </c>
      <c r="J33" s="11">
        <v>0</v>
      </c>
      <c r="K33" s="7">
        <v>0</v>
      </c>
      <c r="L33" s="7">
        <v>0</v>
      </c>
      <c r="M33" s="11">
        <f>G33*$M$1/27</f>
        <v>18.415833333333335</v>
      </c>
      <c r="N33" s="11">
        <v>0</v>
      </c>
      <c r="O33" s="11">
        <v>0</v>
      </c>
      <c r="P33" s="11">
        <v>0</v>
      </c>
      <c r="Q33" s="7">
        <f>G33/9*$Q$1</f>
        <v>6.6297000000000006</v>
      </c>
      <c r="R33" s="7">
        <f>G33/9*$R$1</f>
        <v>4.4198000000000004</v>
      </c>
      <c r="S33" s="7">
        <f>G33*$S$1/27</f>
        <v>3.0693055555555557</v>
      </c>
      <c r="T33" s="7">
        <f>G33*$T$1/27</f>
        <v>3.5800380000000001</v>
      </c>
      <c r="U33" s="7">
        <v>0</v>
      </c>
      <c r="V33" s="11">
        <v>0</v>
      </c>
      <c r="W33" s="7">
        <v>0</v>
      </c>
      <c r="X33" s="7">
        <v>0</v>
      </c>
      <c r="Y33" s="7">
        <f>L33*$T$1/27</f>
        <v>0</v>
      </c>
      <c r="Z33" s="7"/>
    </row>
    <row r="34" spans="1:26" s="1" customFormat="1" ht="15" customHeight="1" thickBot="1" x14ac:dyDescent="0.25">
      <c r="A34" s="9">
        <v>2834.5</v>
      </c>
      <c r="B34" s="10">
        <v>2867.19</v>
      </c>
      <c r="C34" s="5" t="s">
        <v>10</v>
      </c>
      <c r="D34" s="6">
        <f t="shared" si="10"/>
        <v>32.690000000000055</v>
      </c>
      <c r="E34" s="7" t="s">
        <v>17</v>
      </c>
      <c r="F34" s="7">
        <v>700.52</v>
      </c>
      <c r="G34" s="8">
        <f t="shared" si="11"/>
        <v>700.52</v>
      </c>
      <c r="H34" s="7">
        <v>0</v>
      </c>
      <c r="I34" s="7">
        <f>G34/9</f>
        <v>77.835555555555558</v>
      </c>
      <c r="J34" s="11">
        <f>G34/2000</f>
        <v>0.35026000000000002</v>
      </c>
      <c r="K34" s="7">
        <v>0</v>
      </c>
      <c r="L34" s="7">
        <v>0</v>
      </c>
      <c r="M34" s="11">
        <v>0</v>
      </c>
      <c r="N34" s="11">
        <f>G34*$N$1/27</f>
        <v>12.972592592592592</v>
      </c>
      <c r="O34" s="11">
        <v>0</v>
      </c>
      <c r="P34" s="11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11">
        <v>0</v>
      </c>
      <c r="W34" s="7">
        <v>0</v>
      </c>
      <c r="X34" s="7">
        <v>0</v>
      </c>
      <c r="Y34" s="7">
        <v>0</v>
      </c>
      <c r="Z34" s="7"/>
    </row>
    <row r="35" spans="1:26" s="1" customFormat="1" ht="15" customHeight="1" thickBot="1" x14ac:dyDescent="0.25">
      <c r="A35" s="9">
        <v>2834.5</v>
      </c>
      <c r="B35" s="10">
        <v>2867.19</v>
      </c>
      <c r="C35" s="5" t="s">
        <v>10</v>
      </c>
      <c r="D35" s="6">
        <v>28.61</v>
      </c>
      <c r="E35" s="7">
        <v>1</v>
      </c>
      <c r="F35" s="7"/>
      <c r="G35" s="8">
        <f>D35*E35</f>
        <v>28.61</v>
      </c>
      <c r="H35" s="7">
        <v>0</v>
      </c>
      <c r="I35" s="7">
        <v>0</v>
      </c>
      <c r="J35" s="11">
        <v>0</v>
      </c>
      <c r="K35" s="7">
        <v>0</v>
      </c>
      <c r="L35" s="7">
        <v>0</v>
      </c>
      <c r="M35" s="11">
        <v>0</v>
      </c>
      <c r="N35" s="11">
        <v>0</v>
      </c>
      <c r="O35" s="11">
        <v>0</v>
      </c>
      <c r="P35" s="11">
        <f>G35*$P$1/27</f>
        <v>1.0596296296296297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11">
        <v>0</v>
      </c>
      <c r="W35" s="7">
        <v>0</v>
      </c>
      <c r="X35" s="7">
        <v>0</v>
      </c>
      <c r="Y35" s="7">
        <v>0</v>
      </c>
      <c r="Z35" s="7"/>
    </row>
    <row r="36" spans="1:26" s="1" customFormat="1" ht="15" customHeight="1" thickBot="1" x14ac:dyDescent="0.25">
      <c r="A36" s="9"/>
      <c r="B36" s="10"/>
      <c r="C36" s="5"/>
      <c r="D36" s="6"/>
      <c r="E36" s="7"/>
      <c r="F36" s="7"/>
      <c r="G36" s="8"/>
      <c r="H36" s="7"/>
      <c r="I36" s="7"/>
      <c r="J36" s="11"/>
      <c r="K36" s="7"/>
      <c r="L36" s="7"/>
      <c r="M36" s="11"/>
      <c r="N36" s="11"/>
      <c r="O36" s="11"/>
      <c r="P36" s="11"/>
      <c r="Q36" s="7"/>
      <c r="R36" s="7"/>
      <c r="S36" s="7"/>
      <c r="T36" s="7"/>
      <c r="U36" s="7"/>
      <c r="V36" s="11"/>
      <c r="W36" s="7"/>
      <c r="X36" s="7"/>
      <c r="Y36" s="7"/>
      <c r="Z36" s="7"/>
    </row>
    <row r="37" spans="1:26" s="1" customFormat="1" ht="15" customHeight="1" thickBot="1" x14ac:dyDescent="0.25">
      <c r="A37" s="9">
        <v>2860.04</v>
      </c>
      <c r="B37" s="10">
        <v>2876.15</v>
      </c>
      <c r="C37" s="5" t="s">
        <v>10</v>
      </c>
      <c r="D37" s="6">
        <f>B37-A37</f>
        <v>16.110000000000127</v>
      </c>
      <c r="E37" s="7" t="s">
        <v>17</v>
      </c>
      <c r="F37" s="7">
        <v>329.27</v>
      </c>
      <c r="G37" s="8">
        <f t="shared" ref="G37:G45" si="14">IF(F37="-",D37*E37,F37)</f>
        <v>329.27</v>
      </c>
      <c r="H37" s="7">
        <v>0</v>
      </c>
      <c r="I37" s="7">
        <f>(D37*$AD$4)*2+F37/9</f>
        <v>79.54448155555589</v>
      </c>
      <c r="J37" s="11">
        <f>G37/2000</f>
        <v>0.164635</v>
      </c>
      <c r="K37" s="7">
        <v>0</v>
      </c>
      <c r="L37" s="7">
        <v>0</v>
      </c>
      <c r="M37" s="11">
        <f>G37*$M$1/27</f>
        <v>9.1463888888888878</v>
      </c>
      <c r="N37" s="11">
        <v>0</v>
      </c>
      <c r="O37" s="11">
        <f>((D37*$AD$4)*2+F37)*$O$1/27</f>
        <v>10.339692388888899</v>
      </c>
      <c r="P37" s="11">
        <v>0</v>
      </c>
      <c r="Q37" s="7">
        <f>G37/9*$Q$1</f>
        <v>3.2926999999999995</v>
      </c>
      <c r="R37" s="7">
        <f>G37/9*$R$1</f>
        <v>2.1951333333333332</v>
      </c>
      <c r="S37" s="7">
        <f>G37*$S$1/27</f>
        <v>1.5243981481481481</v>
      </c>
      <c r="T37" s="7">
        <f>G37*$T$1/27</f>
        <v>1.7780580000000001</v>
      </c>
      <c r="U37" s="7">
        <v>0</v>
      </c>
      <c r="V37" s="11">
        <v>0</v>
      </c>
      <c r="W37" s="7">
        <v>0</v>
      </c>
      <c r="X37" s="7">
        <v>0</v>
      </c>
      <c r="Y37" s="7">
        <f>L37*$T$1/27</f>
        <v>0</v>
      </c>
      <c r="Z37" s="7"/>
    </row>
    <row r="38" spans="1:26" s="1" customFormat="1" ht="15" customHeight="1" thickBot="1" x14ac:dyDescent="0.25">
      <c r="A38" s="9">
        <v>2876.15</v>
      </c>
      <c r="B38" s="10">
        <v>2884.77</v>
      </c>
      <c r="C38" s="5" t="s">
        <v>10</v>
      </c>
      <c r="D38" s="6">
        <f>B38-A38</f>
        <v>8.6199999999998909</v>
      </c>
      <c r="E38" s="7" t="s">
        <v>17</v>
      </c>
      <c r="F38" s="7">
        <v>225.64</v>
      </c>
      <c r="G38" s="8">
        <f t="shared" ref="G38" si="15">IF(F38="-",D38*E38,F38)</f>
        <v>225.64</v>
      </c>
      <c r="H38" s="7">
        <v>0</v>
      </c>
      <c r="I38" s="7">
        <f>(D38*$AD$4)*2+F38/9</f>
        <v>48.057203111110816</v>
      </c>
      <c r="J38" s="11">
        <f>G38/2000</f>
        <v>0.11281999999999999</v>
      </c>
      <c r="K38" s="7">
        <v>0</v>
      </c>
      <c r="L38" s="7">
        <v>0</v>
      </c>
      <c r="M38" s="11">
        <f>(D38*$AD$3)+G38*$M$1/27</f>
        <v>11.295823777777713</v>
      </c>
      <c r="N38" s="11">
        <v>0</v>
      </c>
      <c r="O38" s="11">
        <f>((D38*$AD$4)*2+F38)*$O$1/27</f>
        <v>6.9062803333333243</v>
      </c>
      <c r="P38" s="11">
        <v>0</v>
      </c>
      <c r="Q38" s="7">
        <f>G38/9*$Q$1</f>
        <v>2.2563999999999997</v>
      </c>
      <c r="R38" s="7">
        <f>G38/9*$R$1</f>
        <v>1.5042666666666664</v>
      </c>
      <c r="S38" s="7">
        <f>G38*$S$1/27</f>
        <v>1.0446296296296296</v>
      </c>
      <c r="T38" s="7">
        <f>G38*$T$1/27</f>
        <v>1.2184560000000002</v>
      </c>
      <c r="U38" s="7">
        <v>0</v>
      </c>
      <c r="V38" s="11">
        <v>0</v>
      </c>
      <c r="W38" s="7">
        <v>0</v>
      </c>
      <c r="X38" s="7">
        <v>0</v>
      </c>
      <c r="Y38" s="7">
        <f>L38*$T$1/27</f>
        <v>0</v>
      </c>
      <c r="Z38" s="7"/>
    </row>
    <row r="39" spans="1:26" s="1" customFormat="1" ht="15" customHeight="1" thickBot="1" x14ac:dyDescent="0.25">
      <c r="A39" s="9">
        <v>2884.77</v>
      </c>
      <c r="B39" s="10">
        <v>2923</v>
      </c>
      <c r="C39" s="5" t="s">
        <v>10</v>
      </c>
      <c r="D39" s="6">
        <f t="shared" ref="D39:D41" si="16">B39-A39</f>
        <v>38.230000000000018</v>
      </c>
      <c r="E39" s="7">
        <v>25.78</v>
      </c>
      <c r="F39" s="7"/>
      <c r="G39" s="8">
        <f t="shared" ref="G39:G41" si="17">D39*E39</f>
        <v>985.56940000000054</v>
      </c>
      <c r="H39" s="7">
        <v>0</v>
      </c>
      <c r="I39" s="7">
        <f>(E39+$AD$4+$AD$4)*D39/9</f>
        <v>120.8348353333334</v>
      </c>
      <c r="J39" s="11">
        <f>I39/2000</f>
        <v>6.0417417666666702E-2</v>
      </c>
      <c r="K39" s="7">
        <v>0</v>
      </c>
      <c r="L39" s="7">
        <v>0</v>
      </c>
      <c r="M39" s="7">
        <f>(E39+$AD$3+$AD$3)*D39*$M$1/27</f>
        <v>28.615792166666687</v>
      </c>
      <c r="N39" s="7">
        <v>0</v>
      </c>
      <c r="O39" s="7">
        <f>(E39+$AD$4+$AD$4)*$O$1*D39/27</f>
        <v>30.20870883333335</v>
      </c>
      <c r="P39" s="7">
        <v>0</v>
      </c>
      <c r="Q39" s="7">
        <v>0</v>
      </c>
      <c r="R39" s="7">
        <f>G39/9*$R$1*2</f>
        <v>13.140925333333341</v>
      </c>
      <c r="S39" s="7">
        <f>(G39*$S$1)/27</f>
        <v>4.5628212962962991</v>
      </c>
      <c r="T39" s="7">
        <f>(G39*$T$1)/27</f>
        <v>5.3220747600000031</v>
      </c>
      <c r="U39" s="7">
        <v>0</v>
      </c>
      <c r="V39" s="7">
        <v>0</v>
      </c>
      <c r="W39" s="7">
        <v>0</v>
      </c>
      <c r="X39" s="7">
        <v>0</v>
      </c>
      <c r="Y39" s="7">
        <f>(L39*$T$1)/27</f>
        <v>0</v>
      </c>
      <c r="Z39" s="7"/>
    </row>
    <row r="40" spans="1:26" s="1" customFormat="1" ht="15" customHeight="1" thickBot="1" x14ac:dyDescent="0.25">
      <c r="A40" s="9">
        <v>2876.15</v>
      </c>
      <c r="B40" s="10">
        <v>2923</v>
      </c>
      <c r="C40" s="5" t="s">
        <v>26</v>
      </c>
      <c r="D40" s="6">
        <f t="shared" si="16"/>
        <v>46.849999999999909</v>
      </c>
      <c r="E40" s="7">
        <v>6</v>
      </c>
      <c r="F40" s="7"/>
      <c r="G40" s="8">
        <f t="shared" si="17"/>
        <v>281.09999999999945</v>
      </c>
      <c r="H40" s="7">
        <v>0</v>
      </c>
      <c r="I40" s="7">
        <v>0</v>
      </c>
      <c r="J40" s="11">
        <f>I40/2000</f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f>(G40*$V$1)/27</f>
        <v>2.6027777777777725</v>
      </c>
      <c r="W40" s="7">
        <f>G40/9</f>
        <v>31.233333333333274</v>
      </c>
      <c r="X40" s="7">
        <f>0.004*W40</f>
        <v>0.1249333333333331</v>
      </c>
      <c r="Y40" s="7">
        <v>0</v>
      </c>
      <c r="Z40" s="7"/>
    </row>
    <row r="41" spans="1:26" s="1" customFormat="1" ht="15" customHeight="1" thickBot="1" x14ac:dyDescent="0.25">
      <c r="A41" s="9">
        <v>2884.78</v>
      </c>
      <c r="B41" s="10">
        <v>2923</v>
      </c>
      <c r="C41" s="5" t="s">
        <v>27</v>
      </c>
      <c r="D41" s="6">
        <f t="shared" si="16"/>
        <v>38.2199999999998</v>
      </c>
      <c r="E41" s="7">
        <v>3.5</v>
      </c>
      <c r="F41" s="7"/>
      <c r="G41" s="8">
        <f t="shared" si="17"/>
        <v>133.7699999999993</v>
      </c>
      <c r="H41" s="7">
        <v>0</v>
      </c>
      <c r="I41" s="7">
        <v>0</v>
      </c>
      <c r="J41" s="11">
        <f>I41/2000</f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f>(G41*$V$1)/27</f>
        <v>1.2386111111111047</v>
      </c>
      <c r="W41" s="7">
        <f>G41/9</f>
        <v>14.863333333333255</v>
      </c>
      <c r="X41" s="7">
        <f>0.004*W41</f>
        <v>5.9453333333333025E-2</v>
      </c>
      <c r="Y41" s="7">
        <v>0</v>
      </c>
      <c r="Z41" s="7"/>
    </row>
    <row r="42" spans="1:26" s="1" customFormat="1" ht="15" customHeight="1" thickBot="1" x14ac:dyDescent="0.25">
      <c r="A42" s="9">
        <v>2923</v>
      </c>
      <c r="B42" s="10">
        <v>3325</v>
      </c>
      <c r="C42" s="5" t="s">
        <v>10</v>
      </c>
      <c r="D42" s="6">
        <f t="shared" si="5"/>
        <v>402</v>
      </c>
      <c r="E42" s="7">
        <v>25</v>
      </c>
      <c r="F42" s="7" t="s">
        <v>17</v>
      </c>
      <c r="G42" s="8">
        <f t="shared" si="14"/>
        <v>10050</v>
      </c>
      <c r="H42" s="7">
        <v>0</v>
      </c>
      <c r="I42" s="7">
        <v>0</v>
      </c>
      <c r="J42" s="11">
        <v>0</v>
      </c>
      <c r="K42" s="7">
        <v>0</v>
      </c>
      <c r="L42" s="7">
        <f>G42/27</f>
        <v>372.22222222222223</v>
      </c>
      <c r="M42" s="11">
        <v>0</v>
      </c>
      <c r="N42" s="11">
        <v>0</v>
      </c>
      <c r="O42" s="11">
        <v>0</v>
      </c>
      <c r="P42" s="11">
        <v>0</v>
      </c>
      <c r="Q42" s="7">
        <f>G42/9*$Q$1</f>
        <v>100.5</v>
      </c>
      <c r="R42" s="7">
        <f>G42/9*$R$1</f>
        <v>67</v>
      </c>
      <c r="S42" s="7">
        <f>(G42*$S$1)/27</f>
        <v>46.527777777777779</v>
      </c>
      <c r="T42" s="7">
        <v>0</v>
      </c>
      <c r="U42" s="7">
        <f>(G42*$U$1)/27+0.8</f>
        <v>55.070000000000007</v>
      </c>
      <c r="V42" s="11">
        <v>0</v>
      </c>
      <c r="W42" s="7">
        <v>0</v>
      </c>
      <c r="X42" s="7">
        <v>0</v>
      </c>
      <c r="Y42" s="7">
        <f>(G42*$Y$1)/27</f>
        <v>54.27000000000001</v>
      </c>
      <c r="Z42" s="7"/>
    </row>
    <row r="43" spans="1:26" s="1" customFormat="1" ht="15" customHeight="1" thickBot="1" x14ac:dyDescent="0.25">
      <c r="A43" s="9">
        <v>2923</v>
      </c>
      <c r="B43" s="10">
        <v>3325</v>
      </c>
      <c r="C43" s="5" t="s">
        <v>26</v>
      </c>
      <c r="D43" s="6">
        <f t="shared" si="5"/>
        <v>402</v>
      </c>
      <c r="E43" s="7">
        <v>6</v>
      </c>
      <c r="F43" s="7" t="s">
        <v>17</v>
      </c>
      <c r="G43" s="8">
        <f t="shared" si="14"/>
        <v>2412</v>
      </c>
      <c r="H43" s="7">
        <v>0</v>
      </c>
      <c r="I43" s="7">
        <v>0</v>
      </c>
      <c r="J43" s="11">
        <v>0</v>
      </c>
      <c r="K43" s="7">
        <v>0</v>
      </c>
      <c r="L43" s="7">
        <v>0</v>
      </c>
      <c r="M43" s="11">
        <v>0</v>
      </c>
      <c r="N43" s="11">
        <v>0</v>
      </c>
      <c r="O43" s="11">
        <v>0</v>
      </c>
      <c r="P43" s="11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f>(G43*$V$1)/27</f>
        <v>22.333333333333332</v>
      </c>
      <c r="W43" s="7">
        <f>G43/9</f>
        <v>268</v>
      </c>
      <c r="X43" s="7">
        <f>0.004*W43</f>
        <v>1.0720000000000001</v>
      </c>
      <c r="Y43" s="7">
        <v>0</v>
      </c>
      <c r="Z43" s="7"/>
    </row>
    <row r="44" spans="1:26" s="1" customFormat="1" ht="15" customHeight="1" thickBot="1" x14ac:dyDescent="0.25">
      <c r="A44" s="9">
        <v>2923</v>
      </c>
      <c r="B44" s="10">
        <v>3325</v>
      </c>
      <c r="C44" s="5" t="s">
        <v>27</v>
      </c>
      <c r="D44" s="6">
        <f t="shared" ref="D44" si="18">B44-A44</f>
        <v>402</v>
      </c>
      <c r="E44" s="7">
        <v>3.35</v>
      </c>
      <c r="F44" s="7" t="s">
        <v>17</v>
      </c>
      <c r="G44" s="8">
        <f t="shared" ref="G44" si="19">IF(F44="-",D44*E44,F44)</f>
        <v>1346.7</v>
      </c>
      <c r="H44" s="7">
        <v>0</v>
      </c>
      <c r="I44" s="7">
        <v>0</v>
      </c>
      <c r="J44" s="11">
        <v>0</v>
      </c>
      <c r="K44" s="7">
        <v>0</v>
      </c>
      <c r="L44" s="7">
        <v>0</v>
      </c>
      <c r="M44" s="11">
        <v>0</v>
      </c>
      <c r="N44" s="11">
        <v>0</v>
      </c>
      <c r="O44" s="11">
        <v>0</v>
      </c>
      <c r="P44" s="11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f>(G44*$V$1)/27</f>
        <v>12.469444444444445</v>
      </c>
      <c r="W44" s="7">
        <f>G44/9</f>
        <v>149.63333333333333</v>
      </c>
      <c r="X44" s="7">
        <f>0.004*W44</f>
        <v>0.59853333333333336</v>
      </c>
      <c r="Y44" s="7">
        <v>0</v>
      </c>
      <c r="Z44" s="7"/>
    </row>
    <row r="45" spans="1:26" s="1" customFormat="1" ht="15" customHeight="1" x14ac:dyDescent="0.2">
      <c r="A45" s="9">
        <v>3325</v>
      </c>
      <c r="B45" s="10">
        <v>3761</v>
      </c>
      <c r="C45" s="5" t="s">
        <v>10</v>
      </c>
      <c r="D45" s="6">
        <f t="shared" si="5"/>
        <v>436</v>
      </c>
      <c r="E45" s="7">
        <v>25</v>
      </c>
      <c r="F45" s="7" t="s">
        <v>17</v>
      </c>
      <c r="G45" s="8">
        <f t="shared" si="14"/>
        <v>10900</v>
      </c>
      <c r="H45" s="7">
        <v>0</v>
      </c>
      <c r="I45" s="7">
        <v>0</v>
      </c>
      <c r="J45" s="11">
        <v>0</v>
      </c>
      <c r="K45" s="7">
        <f>G45/9</f>
        <v>1211.1111111111111</v>
      </c>
      <c r="L45" s="7">
        <f>K45/9</f>
        <v>134.5679012345679</v>
      </c>
      <c r="M45" s="11">
        <v>0</v>
      </c>
      <c r="N45" s="11">
        <v>0</v>
      </c>
      <c r="O45" s="11">
        <v>0</v>
      </c>
      <c r="P45" s="11">
        <v>0</v>
      </c>
      <c r="Q45" s="7">
        <f>G45/9*$Q$1</f>
        <v>109</v>
      </c>
      <c r="R45" s="7">
        <f>G45/9*$R$1</f>
        <v>72.666666666666657</v>
      </c>
      <c r="S45" s="7">
        <f>(G45*$S$1)/27</f>
        <v>50.462962962962962</v>
      </c>
      <c r="T45" s="7">
        <f>(G45*$T$1)/27</f>
        <v>58.86</v>
      </c>
      <c r="U45" s="7">
        <v>0</v>
      </c>
      <c r="V45" s="11">
        <v>0</v>
      </c>
      <c r="W45" s="7">
        <v>0</v>
      </c>
      <c r="X45" s="7">
        <v>0</v>
      </c>
      <c r="Y45" s="7">
        <v>0</v>
      </c>
      <c r="Z45" s="7"/>
    </row>
    <row r="46" spans="1:26" s="1" customFormat="1" ht="15" customHeight="1" thickBot="1" x14ac:dyDescent="0.25">
      <c r="A46" s="27"/>
      <c r="B46" s="28"/>
      <c r="C46" s="29"/>
      <c r="D46" s="30"/>
      <c r="E46" s="30"/>
      <c r="F46" s="31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s="1" customFormat="1" ht="15" customHeight="1" thickBot="1" x14ac:dyDescent="0.25">
      <c r="A47" s="9">
        <v>2428</v>
      </c>
      <c r="B47" s="10">
        <v>2487.0300000000002</v>
      </c>
      <c r="C47" s="5" t="s">
        <v>10</v>
      </c>
      <c r="D47" s="6">
        <f>B47-A47</f>
        <v>59.0300000000002</v>
      </c>
      <c r="E47" s="7">
        <v>25</v>
      </c>
      <c r="F47" s="7" t="s">
        <v>17</v>
      </c>
      <c r="G47" s="8">
        <f>IF(F47="-",D47*E47,F47)</f>
        <v>1475.750000000005</v>
      </c>
      <c r="H47" s="7">
        <f>G47/9</f>
        <v>163.97222222222277</v>
      </c>
      <c r="I47" s="7">
        <v>0</v>
      </c>
      <c r="J47" s="11">
        <v>0</v>
      </c>
      <c r="K47" s="7">
        <v>0</v>
      </c>
      <c r="L47" s="7">
        <v>0</v>
      </c>
      <c r="M47" s="11">
        <v>0</v>
      </c>
      <c r="N47" s="11">
        <v>0</v>
      </c>
      <c r="O47" s="11">
        <v>0</v>
      </c>
      <c r="P47" s="11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11">
        <v>0</v>
      </c>
      <c r="W47" s="7">
        <v>0</v>
      </c>
      <c r="X47" s="7">
        <v>0</v>
      </c>
      <c r="Y47" s="7">
        <v>0</v>
      </c>
      <c r="Z47" s="7"/>
    </row>
    <row r="48" spans="1:26" s="1" customFormat="1" ht="15" customHeight="1" thickBot="1" x14ac:dyDescent="0.25">
      <c r="A48" s="9">
        <v>2487.0300000000002</v>
      </c>
      <c r="B48" s="10">
        <v>2507.1999999999998</v>
      </c>
      <c r="C48" s="5" t="s">
        <v>10</v>
      </c>
      <c r="D48" s="6">
        <f t="shared" ref="D48:D49" si="20">B48-A48</f>
        <v>20.169999999999618</v>
      </c>
      <c r="E48" s="7"/>
      <c r="F48" s="7">
        <v>181.37</v>
      </c>
      <c r="G48" s="8"/>
      <c r="H48" s="7">
        <f>F48/9</f>
        <v>20.152222222222221</v>
      </c>
      <c r="I48" s="7">
        <v>0</v>
      </c>
      <c r="J48" s="11">
        <v>0</v>
      </c>
      <c r="K48" s="7">
        <v>0</v>
      </c>
      <c r="L48" s="7">
        <v>0</v>
      </c>
      <c r="M48" s="11">
        <v>0</v>
      </c>
      <c r="N48" s="11">
        <v>0</v>
      </c>
      <c r="O48" s="11">
        <v>0</v>
      </c>
      <c r="P48" s="11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11">
        <v>0</v>
      </c>
      <c r="W48" s="7">
        <v>0</v>
      </c>
      <c r="X48" s="7">
        <v>0</v>
      </c>
      <c r="Y48" s="7">
        <v>0</v>
      </c>
      <c r="Z48" s="7"/>
    </row>
    <row r="49" spans="1:26" s="1" customFormat="1" ht="15" customHeight="1" thickBot="1" x14ac:dyDescent="0.25">
      <c r="A49" s="9">
        <v>2834.46</v>
      </c>
      <c r="B49" s="10">
        <v>2867.27</v>
      </c>
      <c r="C49" s="5" t="s">
        <v>10</v>
      </c>
      <c r="D49" s="6">
        <f t="shared" si="20"/>
        <v>32.809999999999945</v>
      </c>
      <c r="E49" s="7"/>
      <c r="F49" s="7">
        <v>88.52</v>
      </c>
      <c r="G49" s="8"/>
      <c r="H49" s="7">
        <f>F49/9</f>
        <v>9.8355555555555547</v>
      </c>
      <c r="I49" s="7">
        <v>0</v>
      </c>
      <c r="J49" s="11">
        <v>0</v>
      </c>
      <c r="K49" s="7">
        <v>0</v>
      </c>
      <c r="L49" s="7">
        <v>0</v>
      </c>
      <c r="M49" s="11">
        <v>0</v>
      </c>
      <c r="N49" s="11">
        <v>0</v>
      </c>
      <c r="O49" s="11">
        <v>0</v>
      </c>
      <c r="P49" s="11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11">
        <v>0</v>
      </c>
      <c r="W49" s="7">
        <v>0</v>
      </c>
      <c r="X49" s="7">
        <v>0</v>
      </c>
      <c r="Y49" s="7">
        <v>0</v>
      </c>
      <c r="Z49" s="7"/>
    </row>
    <row r="50" spans="1:26" s="1" customFormat="1" ht="15" customHeight="1" x14ac:dyDescent="0.2">
      <c r="A50" s="9">
        <v>2867.27</v>
      </c>
      <c r="B50" s="10">
        <v>2923</v>
      </c>
      <c r="C50" s="5" t="s">
        <v>10</v>
      </c>
      <c r="D50" s="6">
        <f t="shared" ref="D50" si="21">B50-A50</f>
        <v>55.730000000000018</v>
      </c>
      <c r="E50" s="7">
        <v>25</v>
      </c>
      <c r="F50" s="7" t="s">
        <v>17</v>
      </c>
      <c r="G50" s="8">
        <f t="shared" ref="G50" si="22">IF(F50="-",D50*E50,F50)</f>
        <v>1393.2500000000005</v>
      </c>
      <c r="H50" s="7">
        <f>G50/9</f>
        <v>154.8055555555556</v>
      </c>
      <c r="I50" s="7">
        <v>0</v>
      </c>
      <c r="J50" s="11">
        <v>0</v>
      </c>
      <c r="K50" s="7">
        <v>0</v>
      </c>
      <c r="L50" s="7">
        <v>0</v>
      </c>
      <c r="M50" s="11">
        <v>0</v>
      </c>
      <c r="N50" s="11">
        <v>0</v>
      </c>
      <c r="O50" s="11">
        <v>0</v>
      </c>
      <c r="P50" s="11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11">
        <v>0</v>
      </c>
      <c r="W50" s="7">
        <v>0</v>
      </c>
      <c r="X50" s="7">
        <v>0</v>
      </c>
      <c r="Y50" s="7">
        <v>0</v>
      </c>
      <c r="Z50" s="7"/>
    </row>
    <row r="51" spans="1:26" s="1" customFormat="1" ht="15" customHeight="1" thickBot="1" x14ac:dyDescent="0.25">
      <c r="A51" s="27"/>
      <c r="B51" s="28"/>
      <c r="C51" s="29"/>
      <c r="D51" s="30"/>
      <c r="E51" s="30"/>
      <c r="F51" s="31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s="1" customFormat="1" ht="15" customHeight="1" thickBot="1" x14ac:dyDescent="0.25">
      <c r="A52" s="9">
        <v>2428</v>
      </c>
      <c r="B52" s="10">
        <v>2507.1999999999998</v>
      </c>
      <c r="C52" s="5" t="s">
        <v>10</v>
      </c>
      <c r="D52" s="6">
        <f t="shared" ref="D52" si="23">B52-A52</f>
        <v>79.199999999999818</v>
      </c>
      <c r="E52" s="7">
        <v>25.67</v>
      </c>
      <c r="F52" s="7" t="s">
        <v>17</v>
      </c>
      <c r="G52" s="8">
        <f t="shared" ref="G52" si="24">IF(F52="-",D52*E52,F52)</f>
        <v>2033.0639999999955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3">
        <f>G52/9*0.06</f>
        <v>13.55375999999997</v>
      </c>
    </row>
    <row r="53" spans="1:26" s="1" customFormat="1" ht="15" customHeight="1" x14ac:dyDescent="0.2">
      <c r="A53" s="9">
        <v>2865.3</v>
      </c>
      <c r="B53" s="10">
        <v>2923</v>
      </c>
      <c r="C53" s="5" t="s">
        <v>10</v>
      </c>
      <c r="D53" s="6">
        <f t="shared" ref="D53" si="25">B53-A53</f>
        <v>57.699999999999818</v>
      </c>
      <c r="E53" s="7">
        <v>25.67</v>
      </c>
      <c r="F53" s="7" t="s">
        <v>17</v>
      </c>
      <c r="G53" s="8">
        <f t="shared" ref="G53" si="26">IF(F53="-",D53*E53,F53)</f>
        <v>1481.1589999999953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3">
        <f t="shared" ref="Z53:Z56" si="27">G53/9*0.06</f>
        <v>9.8743933333333018</v>
      </c>
    </row>
    <row r="54" spans="1:26" s="1" customFormat="1" ht="15" customHeight="1" thickBot="1" x14ac:dyDescent="0.25">
      <c r="A54" s="27"/>
      <c r="B54" s="28"/>
      <c r="C54" s="29"/>
      <c r="D54" s="30"/>
      <c r="E54" s="30"/>
      <c r="F54" s="31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3"/>
    </row>
    <row r="55" spans="1:26" s="1" customFormat="1" ht="15" customHeight="1" thickBot="1" x14ac:dyDescent="0.25">
      <c r="A55" s="9">
        <v>2501.71</v>
      </c>
      <c r="B55" s="10">
        <v>2526.75</v>
      </c>
      <c r="C55" s="5" t="s">
        <v>10</v>
      </c>
      <c r="D55" s="6">
        <f t="shared" ref="D55" si="28">B55-A55</f>
        <v>25.039999999999964</v>
      </c>
      <c r="E55" s="7">
        <v>26.67</v>
      </c>
      <c r="F55" s="7" t="s">
        <v>17</v>
      </c>
      <c r="G55" s="8">
        <f t="shared" ref="G55" si="29">IF(F55="-",D55*E55,F55)</f>
        <v>667.81679999999903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3">
        <f t="shared" si="27"/>
        <v>4.4521119999999934</v>
      </c>
    </row>
    <row r="56" spans="1:26" s="1" customFormat="1" ht="15" customHeight="1" x14ac:dyDescent="0.2">
      <c r="A56" s="9">
        <v>2840.35</v>
      </c>
      <c r="B56" s="10">
        <v>2865.3</v>
      </c>
      <c r="C56" s="5" t="s">
        <v>10</v>
      </c>
      <c r="D56" s="6">
        <f t="shared" ref="D56" si="30">B56-A56</f>
        <v>24.950000000000273</v>
      </c>
      <c r="E56" s="7">
        <v>26.67</v>
      </c>
      <c r="F56" s="7" t="s">
        <v>17</v>
      </c>
      <c r="G56" s="8">
        <f t="shared" ref="G56" si="31">IF(F56="-",D56*E56,F56)</f>
        <v>665.41650000000732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3">
        <f t="shared" si="27"/>
        <v>4.4361100000000491</v>
      </c>
    </row>
    <row r="57" spans="1:26" s="1" customFormat="1" ht="15" customHeight="1" thickBot="1" x14ac:dyDescent="0.25">
      <c r="A57" s="27"/>
      <c r="B57" s="28"/>
      <c r="C57" s="29"/>
      <c r="D57" s="30"/>
      <c r="E57" s="30"/>
      <c r="F57" s="31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3"/>
    </row>
    <row r="58" spans="1:26" s="1" customFormat="1" ht="15" customHeight="1" x14ac:dyDescent="0.2">
      <c r="A58" s="9"/>
      <c r="B58" s="10"/>
      <c r="C58" s="5"/>
      <c r="D58" s="6">
        <f t="shared" ref="D58" si="32">B58-A58</f>
        <v>0</v>
      </c>
      <c r="E58" s="7"/>
      <c r="F58" s="7" t="s">
        <v>17</v>
      </c>
      <c r="G58" s="8">
        <f t="shared" ref="G58" si="33">IF(F58="-",D58*E58,F58)</f>
        <v>0</v>
      </c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3"/>
    </row>
    <row r="59" spans="1:26" s="1" customFormat="1" ht="15" customHeight="1" x14ac:dyDescent="0.2">
      <c r="A59" s="27"/>
      <c r="B59" s="28"/>
      <c r="C59" s="29"/>
      <c r="D59" s="30"/>
      <c r="E59" s="30"/>
      <c r="F59" s="31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3"/>
    </row>
    <row r="60" spans="1:26" s="1" customFormat="1" ht="15" customHeight="1" thickBot="1" x14ac:dyDescent="0.25">
      <c r="A60" s="27"/>
      <c r="B60" s="28"/>
      <c r="C60" s="29"/>
      <c r="D60" s="30"/>
      <c r="E60" s="30"/>
      <c r="F60" s="31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4"/>
    </row>
    <row r="61" spans="1:26" ht="15" customHeight="1" x14ac:dyDescent="0.2">
      <c r="A61" s="37" t="s">
        <v>13</v>
      </c>
      <c r="B61" s="38"/>
      <c r="C61" s="38"/>
      <c r="D61" s="38"/>
      <c r="E61" s="38"/>
      <c r="F61" s="38"/>
      <c r="G61" s="39"/>
      <c r="H61" s="60">
        <f>ROUNDUP(SUM(H19:H60),0)</f>
        <v>349</v>
      </c>
      <c r="I61" s="60">
        <f t="shared" ref="H61:V61" si="34">ROUNDUP(SUM(I19:I60),0)</f>
        <v>688</v>
      </c>
      <c r="J61" s="60">
        <f t="shared" si="34"/>
        <v>2</v>
      </c>
      <c r="K61" s="60">
        <f t="shared" si="34"/>
        <v>6309</v>
      </c>
      <c r="L61" s="60">
        <f t="shared" si="34"/>
        <v>834</v>
      </c>
      <c r="M61" s="60">
        <f t="shared" si="34"/>
        <v>139</v>
      </c>
      <c r="N61" s="60">
        <f t="shared" si="34"/>
        <v>26</v>
      </c>
      <c r="O61" s="60">
        <f>ROUNDUP(SUM(O19:O60),0)</f>
        <v>104</v>
      </c>
      <c r="P61" s="60">
        <f t="shared" ref="P61" si="35">ROUNDUP(SUM(P19:P60),0)</f>
        <v>3</v>
      </c>
      <c r="Q61" s="60">
        <f t="shared" si="34"/>
        <v>780</v>
      </c>
      <c r="R61" s="60">
        <f t="shared" si="34"/>
        <v>552</v>
      </c>
      <c r="S61" s="60">
        <f t="shared" si="34"/>
        <v>374</v>
      </c>
      <c r="T61" s="60">
        <f t="shared" si="34"/>
        <v>332</v>
      </c>
      <c r="U61" s="60">
        <f t="shared" si="34"/>
        <v>104</v>
      </c>
      <c r="V61" s="60">
        <f t="shared" si="34"/>
        <v>78</v>
      </c>
      <c r="W61" s="60">
        <f t="shared" ref="W61:X61" si="36">ROUNDUP(SUM(W19:W60),0)</f>
        <v>926</v>
      </c>
      <c r="X61" s="60">
        <f t="shared" si="36"/>
        <v>4</v>
      </c>
      <c r="Y61" s="60">
        <f>ROUNDUP(SUM(Y19:Y60),0)</f>
        <v>102</v>
      </c>
      <c r="Z61" s="60">
        <f>ROUNDUP(SUM(Z19:Z60),0)</f>
        <v>33</v>
      </c>
    </row>
    <row r="62" spans="1:26" ht="15" customHeight="1" x14ac:dyDescent="0.2">
      <c r="A62" s="40"/>
      <c r="B62" s="41"/>
      <c r="C62" s="41"/>
      <c r="D62" s="41"/>
      <c r="E62" s="41"/>
      <c r="F62" s="41"/>
      <c r="G62" s="4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4" spans="1:26" ht="15" customHeight="1" x14ac:dyDescent="0.2"/>
  </sheetData>
  <mergeCells count="48">
    <mergeCell ref="L61:L62"/>
    <mergeCell ref="U3:U17"/>
    <mergeCell ref="U61:U62"/>
    <mergeCell ref="W3:W17"/>
    <mergeCell ref="W61:W62"/>
    <mergeCell ref="V61:V62"/>
    <mergeCell ref="M3:M17"/>
    <mergeCell ref="M61:M62"/>
    <mergeCell ref="O3:O17"/>
    <mergeCell ref="O61:O62"/>
    <mergeCell ref="T3:T17"/>
    <mergeCell ref="T61:T62"/>
    <mergeCell ref="Q3:Q17"/>
    <mergeCell ref="Q61:Q62"/>
    <mergeCell ref="R3:R17"/>
    <mergeCell ref="R61:R62"/>
    <mergeCell ref="N61:N62"/>
    <mergeCell ref="S61:S62"/>
    <mergeCell ref="P3:P17"/>
    <mergeCell ref="P61:P62"/>
    <mergeCell ref="AC1:AC2"/>
    <mergeCell ref="X3:X17"/>
    <mergeCell ref="X61:X62"/>
    <mergeCell ref="Y3:Y17"/>
    <mergeCell ref="Y61:Y62"/>
    <mergeCell ref="Z3:Z17"/>
    <mergeCell ref="Z61:Z62"/>
    <mergeCell ref="AD1:AD2"/>
    <mergeCell ref="A2:B17"/>
    <mergeCell ref="C2:C18"/>
    <mergeCell ref="D2:D17"/>
    <mergeCell ref="E2:E17"/>
    <mergeCell ref="F2:F17"/>
    <mergeCell ref="G2:G17"/>
    <mergeCell ref="H3:H17"/>
    <mergeCell ref="J3:J17"/>
    <mergeCell ref="N3:N17"/>
    <mergeCell ref="K3:K17"/>
    <mergeCell ref="S3:S17"/>
    <mergeCell ref="V3:V17"/>
    <mergeCell ref="I3:I17"/>
    <mergeCell ref="L3:L17"/>
    <mergeCell ref="A19:B19"/>
    <mergeCell ref="A61:G62"/>
    <mergeCell ref="J61:J62"/>
    <mergeCell ref="H61:H62"/>
    <mergeCell ref="K61:K62"/>
    <mergeCell ref="I61:I62"/>
  </mergeCells>
  <pageMargins left="0.75" right="0.5" top="0.75" bottom="0.75" header="0.5" footer="0.5"/>
  <pageSetup paperSize="17" scale="58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36"/>
  <sheetViews>
    <sheetView zoomScale="80" zoomScaleNormal="80" workbookViewId="0">
      <pane ySplit="18" topLeftCell="A19" activePane="bottomLeft" state="frozen"/>
      <selection pane="bottomLeft" activeCell="H33" sqref="H33:V34"/>
    </sheetView>
  </sheetViews>
  <sheetFormatPr defaultRowHeight="12.75" x14ac:dyDescent="0.2"/>
  <cols>
    <col min="1" max="1" width="21.42578125" customWidth="1"/>
    <col min="2" max="2" width="20.7109375" customWidth="1"/>
    <col min="3" max="3" width="7.7109375" customWidth="1"/>
    <col min="4" max="4" width="8.5703125" customWidth="1"/>
    <col min="5" max="5" width="7.7109375" customWidth="1"/>
    <col min="6" max="7" width="9.140625" bestFit="1" customWidth="1"/>
    <col min="8" max="20" width="8.7109375" customWidth="1"/>
    <col min="21" max="21" width="11.7109375" bestFit="1" customWidth="1"/>
    <col min="24" max="24" width="17.28515625" bestFit="1" customWidth="1"/>
    <col min="25" max="25" width="46" bestFit="1" customWidth="1"/>
  </cols>
  <sheetData>
    <row r="1" spans="1:25" ht="25.5" customHeight="1" thickBot="1" x14ac:dyDescent="0.3">
      <c r="K1" s="2">
        <v>0.75</v>
      </c>
      <c r="L1" s="2">
        <v>0.5</v>
      </c>
      <c r="M1">
        <v>0.06</v>
      </c>
      <c r="N1">
        <v>0.125</v>
      </c>
      <c r="O1">
        <v>0.14580000000000001</v>
      </c>
      <c r="P1" s="2">
        <v>0.25</v>
      </c>
      <c r="Q1" s="2"/>
      <c r="R1" s="2"/>
      <c r="S1" s="2"/>
      <c r="T1" s="2"/>
      <c r="U1" s="3" t="s">
        <v>18</v>
      </c>
      <c r="W1" s="43" t="s">
        <v>19</v>
      </c>
      <c r="X1" s="12"/>
      <c r="Y1" s="43" t="s">
        <v>20</v>
      </c>
    </row>
    <row r="2" spans="1:25" ht="15" customHeight="1" x14ac:dyDescent="0.25">
      <c r="A2" s="45" t="s">
        <v>0</v>
      </c>
      <c r="B2" s="46"/>
      <c r="C2" s="51" t="s">
        <v>1</v>
      </c>
      <c r="D2" s="54" t="s">
        <v>2</v>
      </c>
      <c r="E2" s="54" t="s">
        <v>6</v>
      </c>
      <c r="F2" s="54" t="s">
        <v>4</v>
      </c>
      <c r="G2" s="54" t="s">
        <v>3</v>
      </c>
      <c r="H2" s="20">
        <v>202</v>
      </c>
      <c r="I2" s="20">
        <v>204</v>
      </c>
      <c r="J2" s="20">
        <v>204</v>
      </c>
      <c r="K2" s="20">
        <v>301</v>
      </c>
      <c r="L2" s="20">
        <v>304</v>
      </c>
      <c r="M2" s="20">
        <v>407</v>
      </c>
      <c r="N2" s="20">
        <v>442</v>
      </c>
      <c r="O2" s="20">
        <v>442</v>
      </c>
      <c r="P2" s="20">
        <v>617</v>
      </c>
      <c r="Q2" s="20">
        <v>618</v>
      </c>
      <c r="R2" s="20">
        <v>407</v>
      </c>
      <c r="S2" s="20">
        <v>617</v>
      </c>
      <c r="T2" s="20">
        <v>617</v>
      </c>
      <c r="W2" s="44"/>
      <c r="X2" s="13"/>
      <c r="Y2" s="44"/>
    </row>
    <row r="3" spans="1:25" ht="15" customHeight="1" x14ac:dyDescent="0.25">
      <c r="A3" s="47"/>
      <c r="B3" s="48"/>
      <c r="C3" s="52"/>
      <c r="D3" s="55"/>
      <c r="E3" s="55"/>
      <c r="F3" s="55"/>
      <c r="G3" s="55"/>
      <c r="H3" s="57" t="s">
        <v>33</v>
      </c>
      <c r="I3" s="57" t="s">
        <v>32</v>
      </c>
      <c r="J3" s="57" t="s">
        <v>15</v>
      </c>
      <c r="K3" s="57" t="s">
        <v>28</v>
      </c>
      <c r="L3" s="57" t="s">
        <v>30</v>
      </c>
      <c r="M3" s="57" t="s">
        <v>48</v>
      </c>
      <c r="N3" s="57" t="s">
        <v>22</v>
      </c>
      <c r="O3" s="57" t="s">
        <v>23</v>
      </c>
      <c r="P3" s="57" t="s">
        <v>29</v>
      </c>
      <c r="Q3" s="57" t="s">
        <v>39</v>
      </c>
      <c r="R3" s="57" t="s">
        <v>47</v>
      </c>
      <c r="S3" s="57" t="s">
        <v>43</v>
      </c>
      <c r="T3" s="57" t="s">
        <v>44</v>
      </c>
      <c r="W3" s="4">
        <v>301</v>
      </c>
      <c r="X3" s="4" t="s">
        <v>36</v>
      </c>
      <c r="Y3" s="4">
        <v>0.58330000000000004</v>
      </c>
    </row>
    <row r="4" spans="1:25" ht="15" customHeight="1" x14ac:dyDescent="0.25">
      <c r="A4" s="47"/>
      <c r="B4" s="48"/>
      <c r="C4" s="52"/>
      <c r="D4" s="55"/>
      <c r="E4" s="55"/>
      <c r="F4" s="55"/>
      <c r="G4" s="55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W4" s="4">
        <v>304</v>
      </c>
      <c r="X4" s="4" t="s">
        <v>36</v>
      </c>
      <c r="Y4" s="4">
        <v>1.3332999999999999</v>
      </c>
    </row>
    <row r="5" spans="1:25" ht="15" customHeight="1" x14ac:dyDescent="0.25">
      <c r="A5" s="47"/>
      <c r="B5" s="48"/>
      <c r="C5" s="52"/>
      <c r="D5" s="55"/>
      <c r="E5" s="55"/>
      <c r="F5" s="55"/>
      <c r="G5" s="55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W5" s="4">
        <v>304</v>
      </c>
      <c r="X5" s="4" t="s">
        <v>37</v>
      </c>
      <c r="Y5" s="4">
        <v>1.6667000000000001</v>
      </c>
    </row>
    <row r="6" spans="1:25" ht="13.5" customHeight="1" x14ac:dyDescent="0.25">
      <c r="A6" s="47"/>
      <c r="B6" s="48"/>
      <c r="C6" s="52"/>
      <c r="D6" s="55"/>
      <c r="E6" s="55"/>
      <c r="F6" s="55"/>
      <c r="G6" s="55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W6" s="4">
        <v>442</v>
      </c>
      <c r="X6" s="4" t="s">
        <v>38</v>
      </c>
      <c r="Y6" s="4">
        <v>2.1667000000000001</v>
      </c>
    </row>
    <row r="7" spans="1:25" ht="15" customHeight="1" x14ac:dyDescent="0.25">
      <c r="A7" s="47"/>
      <c r="B7" s="48"/>
      <c r="C7" s="52"/>
      <c r="D7" s="55"/>
      <c r="E7" s="55"/>
      <c r="F7" s="55"/>
      <c r="G7" s="55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W7" s="4">
        <v>301</v>
      </c>
      <c r="X7" s="4" t="s">
        <v>38</v>
      </c>
      <c r="Y7" s="4">
        <v>3</v>
      </c>
    </row>
    <row r="8" spans="1:25" ht="15" customHeight="1" x14ac:dyDescent="0.25">
      <c r="A8" s="47"/>
      <c r="B8" s="48"/>
      <c r="C8" s="52"/>
      <c r="D8" s="55"/>
      <c r="E8" s="55"/>
      <c r="F8" s="55"/>
      <c r="G8" s="55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W8" s="4">
        <v>304</v>
      </c>
      <c r="X8" s="4" t="s">
        <v>38</v>
      </c>
      <c r="Y8" s="4">
        <v>3.5</v>
      </c>
    </row>
    <row r="9" spans="1:25" ht="15" customHeight="1" x14ac:dyDescent="0.2">
      <c r="A9" s="47"/>
      <c r="B9" s="48"/>
      <c r="C9" s="52"/>
      <c r="D9" s="55"/>
      <c r="E9" s="55"/>
      <c r="F9" s="55"/>
      <c r="G9" s="55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</row>
    <row r="10" spans="1:25" ht="15" customHeight="1" x14ac:dyDescent="0.2">
      <c r="A10" s="47"/>
      <c r="B10" s="48"/>
      <c r="C10" s="52"/>
      <c r="D10" s="55"/>
      <c r="E10" s="55"/>
      <c r="F10" s="55"/>
      <c r="G10" s="55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</row>
    <row r="11" spans="1:25" ht="15" customHeight="1" x14ac:dyDescent="0.2">
      <c r="A11" s="47"/>
      <c r="B11" s="48"/>
      <c r="C11" s="52"/>
      <c r="D11" s="55"/>
      <c r="E11" s="55"/>
      <c r="F11" s="55"/>
      <c r="G11" s="55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</row>
    <row r="12" spans="1:25" ht="15" customHeight="1" x14ac:dyDescent="0.2">
      <c r="A12" s="47"/>
      <c r="B12" s="48"/>
      <c r="C12" s="52"/>
      <c r="D12" s="55"/>
      <c r="E12" s="55"/>
      <c r="F12" s="55"/>
      <c r="G12" s="55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</row>
    <row r="13" spans="1:25" ht="15" customHeight="1" x14ac:dyDescent="0.2">
      <c r="A13" s="47"/>
      <c r="B13" s="48"/>
      <c r="C13" s="52"/>
      <c r="D13" s="55"/>
      <c r="E13" s="55"/>
      <c r="F13" s="55"/>
      <c r="G13" s="55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</row>
    <row r="14" spans="1:25" ht="15" customHeight="1" x14ac:dyDescent="0.2">
      <c r="A14" s="47"/>
      <c r="B14" s="48"/>
      <c r="C14" s="52"/>
      <c r="D14" s="55"/>
      <c r="E14" s="55"/>
      <c r="F14" s="55"/>
      <c r="G14" s="55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</row>
    <row r="15" spans="1:25" ht="15" customHeight="1" x14ac:dyDescent="0.2">
      <c r="A15" s="47"/>
      <c r="B15" s="48"/>
      <c r="C15" s="52"/>
      <c r="D15" s="55"/>
      <c r="E15" s="55"/>
      <c r="F15" s="55"/>
      <c r="G15" s="55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</row>
    <row r="16" spans="1:25" s="1" customFormat="1" ht="15" customHeight="1" x14ac:dyDescent="0.2">
      <c r="A16" s="47"/>
      <c r="B16" s="48"/>
      <c r="C16" s="52"/>
      <c r="D16" s="55"/>
      <c r="E16" s="55"/>
      <c r="F16" s="55"/>
      <c r="G16" s="55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</row>
    <row r="17" spans="1:20" s="1" customFormat="1" ht="15" customHeight="1" x14ac:dyDescent="0.2">
      <c r="A17" s="49"/>
      <c r="B17" s="50"/>
      <c r="C17" s="52"/>
      <c r="D17" s="56"/>
      <c r="E17" s="56"/>
      <c r="F17" s="56"/>
      <c r="G17" s="56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</row>
    <row r="18" spans="1:20" s="1" customFormat="1" ht="15" customHeight="1" thickBot="1" x14ac:dyDescent="0.25">
      <c r="A18" s="21" t="s">
        <v>8</v>
      </c>
      <c r="B18" s="21" t="s">
        <v>9</v>
      </c>
      <c r="C18" s="53"/>
      <c r="D18" s="22" t="s">
        <v>7</v>
      </c>
      <c r="E18" s="22" t="s">
        <v>7</v>
      </c>
      <c r="F18" s="22" t="s">
        <v>5</v>
      </c>
      <c r="G18" s="22" t="s">
        <v>5</v>
      </c>
      <c r="H18" s="22" t="s">
        <v>16</v>
      </c>
      <c r="I18" s="22" t="s">
        <v>16</v>
      </c>
      <c r="J18" s="22" t="s">
        <v>12</v>
      </c>
      <c r="K18" s="22" t="s">
        <v>14</v>
      </c>
      <c r="L18" s="22" t="s">
        <v>14</v>
      </c>
      <c r="M18" s="22" t="s">
        <v>11</v>
      </c>
      <c r="N18" s="22" t="s">
        <v>14</v>
      </c>
      <c r="O18" s="22" t="s">
        <v>14</v>
      </c>
      <c r="P18" s="22" t="s">
        <v>14</v>
      </c>
      <c r="Q18" s="22" t="s">
        <v>7</v>
      </c>
      <c r="R18" s="22" t="s">
        <v>11</v>
      </c>
      <c r="S18" s="22" t="s">
        <v>16</v>
      </c>
      <c r="T18" s="22" t="s">
        <v>45</v>
      </c>
    </row>
    <row r="19" spans="1:20" s="1" customFormat="1" ht="15" customHeight="1" thickBot="1" x14ac:dyDescent="0.25">
      <c r="A19" s="36" t="s">
        <v>35</v>
      </c>
      <c r="B19" s="36"/>
      <c r="C19" s="23"/>
      <c r="D19" s="24"/>
      <c r="E19" s="24"/>
      <c r="F19" s="25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</row>
    <row r="20" spans="1:20" s="1" customFormat="1" ht="15" customHeight="1" thickBot="1" x14ac:dyDescent="0.25">
      <c r="A20" s="9">
        <v>9426.4699999999993</v>
      </c>
      <c r="B20" s="10">
        <v>9626.84</v>
      </c>
      <c r="C20" s="5" t="s">
        <v>26</v>
      </c>
      <c r="D20" s="6">
        <f t="shared" ref="D20:D25" si="0">B20-A20</f>
        <v>200.3700000000008</v>
      </c>
      <c r="E20" s="7">
        <v>5</v>
      </c>
      <c r="F20" s="7"/>
      <c r="G20" s="8">
        <f t="shared" ref="G20:G25" si="1">D20*E20</f>
        <v>1001.850000000004</v>
      </c>
      <c r="H20" s="7">
        <v>0</v>
      </c>
      <c r="I20" s="7">
        <f>F20/9</f>
        <v>0</v>
      </c>
      <c r="J20" s="11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f>G20*$P$1/27</f>
        <v>9.2763888888889259</v>
      </c>
      <c r="Q20" s="7">
        <f>(G20*$Q$1)/27</f>
        <v>0</v>
      </c>
      <c r="R20" s="7"/>
      <c r="S20" s="7">
        <f>G20/9</f>
        <v>111.31666666666712</v>
      </c>
      <c r="T20" s="7">
        <f>S20*0.004</f>
        <v>0.44526666666666848</v>
      </c>
    </row>
    <row r="21" spans="1:20" s="1" customFormat="1" ht="15" customHeight="1" thickBot="1" x14ac:dyDescent="0.25">
      <c r="A21" s="9">
        <v>9626.84</v>
      </c>
      <c r="B21" s="10">
        <v>9636.84</v>
      </c>
      <c r="C21" s="5" t="s">
        <v>26</v>
      </c>
      <c r="D21" s="6">
        <f>B21-A21</f>
        <v>10</v>
      </c>
      <c r="E21" s="7">
        <v>4</v>
      </c>
      <c r="F21" s="7"/>
      <c r="G21" s="8">
        <f>D21*E21</f>
        <v>40</v>
      </c>
      <c r="H21" s="7">
        <v>0</v>
      </c>
      <c r="I21" s="7">
        <v>0</v>
      </c>
      <c r="J21" s="11">
        <f>I21/2000</f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f>G21*$P$1/27</f>
        <v>0.37037037037037035</v>
      </c>
      <c r="Q21" s="7">
        <f>(G21*$Q$1)/27</f>
        <v>0</v>
      </c>
      <c r="R21" s="7"/>
      <c r="S21" s="7">
        <f>G21/9</f>
        <v>4.4444444444444446</v>
      </c>
      <c r="T21" s="7">
        <f>S21*0.004</f>
        <v>1.7777777777777778E-2</v>
      </c>
    </row>
    <row r="22" spans="1:20" s="1" customFormat="1" ht="15" customHeight="1" thickBot="1" x14ac:dyDescent="0.25">
      <c r="A22" s="9">
        <v>9626.84</v>
      </c>
      <c r="B22" s="10">
        <v>9636.84</v>
      </c>
      <c r="C22" s="5" t="s">
        <v>26</v>
      </c>
      <c r="D22" s="6">
        <f t="shared" si="0"/>
        <v>10</v>
      </c>
      <c r="E22" s="7">
        <v>7</v>
      </c>
      <c r="F22" s="7"/>
      <c r="G22" s="8">
        <f t="shared" si="1"/>
        <v>70</v>
      </c>
      <c r="H22" s="7">
        <v>0</v>
      </c>
      <c r="I22" s="7">
        <f>(E22+$Y$4)*D22/9</f>
        <v>9.2592222222222222</v>
      </c>
      <c r="J22" s="11">
        <f t="shared" ref="J22:J28" si="2">I22/2000</f>
        <v>4.6296111111111113E-3</v>
      </c>
      <c r="K22" s="7">
        <f>(E22+$Y$3)*D22*$K$1/27</f>
        <v>2.1064722222222221</v>
      </c>
      <c r="L22" s="7">
        <f>(E22+$Y$4)*D22*$L$1/27</f>
        <v>1.5432037037037036</v>
      </c>
      <c r="M22" s="7">
        <f>G22/9*$M$1*2</f>
        <v>0.93333333333333324</v>
      </c>
      <c r="N22" s="7">
        <f>(G22*$N$1)/27</f>
        <v>0.32407407407407407</v>
      </c>
      <c r="O22" s="7">
        <f>(G22*$O$1)/27</f>
        <v>0.37800000000000006</v>
      </c>
      <c r="P22" s="7">
        <v>0</v>
      </c>
      <c r="Q22" s="7">
        <v>0</v>
      </c>
      <c r="R22" s="7"/>
      <c r="S22" s="7"/>
      <c r="T22" s="7"/>
    </row>
    <row r="23" spans="1:20" s="1" customFormat="1" ht="15" customHeight="1" thickBot="1" x14ac:dyDescent="0.25">
      <c r="A23" s="9">
        <v>9636.84</v>
      </c>
      <c r="B23" s="10">
        <v>9655</v>
      </c>
      <c r="C23" s="5" t="s">
        <v>26</v>
      </c>
      <c r="D23" s="6">
        <f t="shared" si="0"/>
        <v>18.159999999999854</v>
      </c>
      <c r="E23" s="7">
        <v>8</v>
      </c>
      <c r="F23" s="7"/>
      <c r="G23" s="8">
        <f t="shared" si="1"/>
        <v>145.27999999999884</v>
      </c>
      <c r="H23" s="7">
        <v>0</v>
      </c>
      <c r="I23" s="7">
        <f>(E23+$Y$5)*D23/9</f>
        <v>19.505252444444288</v>
      </c>
      <c r="J23" s="11">
        <f t="shared" si="2"/>
        <v>9.7526262222221438E-3</v>
      </c>
      <c r="K23" s="7">
        <f>E23*D23*$K$1/27</f>
        <v>4.0355555555555229</v>
      </c>
      <c r="L23" s="7">
        <f>(E23+$Y$5)*D23*$L$1/27</f>
        <v>3.2508754074073813</v>
      </c>
      <c r="M23" s="7">
        <f>G23/9*$M$1*2</f>
        <v>1.9370666666666509</v>
      </c>
      <c r="N23" s="7">
        <f>(G23*$N$1)/27</f>
        <v>0.67259259259258719</v>
      </c>
      <c r="O23" s="7">
        <f t="shared" ref="O23" si="3">(G23*$O$1)/27</f>
        <v>0.78451199999999377</v>
      </c>
      <c r="P23" s="7">
        <v>0</v>
      </c>
      <c r="Q23" s="7">
        <v>0</v>
      </c>
      <c r="R23" s="7"/>
      <c r="S23" s="7"/>
      <c r="T23" s="7"/>
    </row>
    <row r="24" spans="1:20" s="1" customFormat="1" ht="15" customHeight="1" thickBot="1" x14ac:dyDescent="0.25">
      <c r="A24" s="9">
        <v>9636.84</v>
      </c>
      <c r="B24" s="10">
        <v>9655</v>
      </c>
      <c r="C24" s="5" t="s">
        <v>26</v>
      </c>
      <c r="D24" s="6">
        <f t="shared" si="0"/>
        <v>18.159999999999854</v>
      </c>
      <c r="E24" s="7">
        <v>2.5</v>
      </c>
      <c r="F24" s="7"/>
      <c r="G24" s="8">
        <f>D24*E24</f>
        <v>45.399999999999636</v>
      </c>
      <c r="H24" s="7">
        <v>0</v>
      </c>
      <c r="I24" s="7">
        <v>0</v>
      </c>
      <c r="J24" s="11">
        <f>I24/2000</f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f>G24*$P$1/27</f>
        <v>0.42037037037036701</v>
      </c>
      <c r="Q24" s="7">
        <f t="shared" ref="Q24" si="4">(G24*$Q$1)/27</f>
        <v>0</v>
      </c>
      <c r="R24" s="7"/>
      <c r="S24" s="7">
        <f>G24/9</f>
        <v>5.0444444444444043</v>
      </c>
      <c r="T24" s="7">
        <f>S24*0.004</f>
        <v>2.0177777777777618E-2</v>
      </c>
    </row>
    <row r="25" spans="1:20" s="1" customFormat="1" ht="15" customHeight="1" thickBot="1" x14ac:dyDescent="0.25">
      <c r="A25" s="9">
        <v>9655</v>
      </c>
      <c r="B25" s="10">
        <v>9709</v>
      </c>
      <c r="C25" s="5" t="s">
        <v>26</v>
      </c>
      <c r="D25" s="6">
        <f t="shared" si="0"/>
        <v>54</v>
      </c>
      <c r="E25" s="7">
        <v>8</v>
      </c>
      <c r="F25" s="7"/>
      <c r="G25" s="8">
        <f t="shared" si="1"/>
        <v>432</v>
      </c>
      <c r="H25" s="7">
        <v>0</v>
      </c>
      <c r="I25" s="7">
        <f>(E25+$Y$8)*D25/9</f>
        <v>69</v>
      </c>
      <c r="J25" s="11">
        <f t="shared" si="2"/>
        <v>3.4500000000000003E-2</v>
      </c>
      <c r="K25" s="7">
        <f>(E25+$Y$7)*D25*$K$1/27</f>
        <v>16.5</v>
      </c>
      <c r="L25" s="7">
        <f>(E25+$Y$8)*D25*$L$1/27</f>
        <v>11.5</v>
      </c>
      <c r="M25" s="7">
        <f>(G25/9*$M$1)+(E25+$Y$6)*D25/29*$M$1</f>
        <v>4.0158657931034485</v>
      </c>
      <c r="N25" s="7">
        <f>(G25*$N$1)/27</f>
        <v>2</v>
      </c>
      <c r="O25" s="7">
        <f>(E25+$Y$6)*D25*$O$1/27</f>
        <v>2.9646097200000003</v>
      </c>
      <c r="P25" s="7">
        <v>0</v>
      </c>
      <c r="Q25" s="7">
        <v>0</v>
      </c>
      <c r="R25" s="7"/>
      <c r="S25" s="7"/>
      <c r="T25" s="7"/>
    </row>
    <row r="26" spans="1:20" s="1" customFormat="1" ht="15" customHeight="1" thickBot="1" x14ac:dyDescent="0.25">
      <c r="A26" s="9">
        <v>9709</v>
      </c>
      <c r="B26" s="10">
        <v>9723</v>
      </c>
      <c r="C26" s="5" t="s">
        <v>26</v>
      </c>
      <c r="D26" s="6">
        <f t="shared" ref="D26:D27" si="5">B26-A26</f>
        <v>14</v>
      </c>
      <c r="E26" s="7">
        <v>7.7</v>
      </c>
      <c r="F26" s="7"/>
      <c r="G26" s="8">
        <f t="shared" ref="G26:G27" si="6">D26*E26</f>
        <v>107.8</v>
      </c>
      <c r="H26" s="7">
        <v>0</v>
      </c>
      <c r="I26" s="7">
        <f>(E26+$Y$4)*D26/9</f>
        <v>14.051800000000002</v>
      </c>
      <c r="J26" s="11">
        <f t="shared" si="2"/>
        <v>7.0259000000000007E-3</v>
      </c>
      <c r="K26" s="7">
        <f>(E26+$Y$3)*D26*$K$1/27</f>
        <v>3.2212833333333339</v>
      </c>
      <c r="L26" s="7">
        <f>(E26+$Y$4)*D26*$L$1/27</f>
        <v>2.341966666666667</v>
      </c>
      <c r="M26" s="7">
        <f>G26/9*$M$1*2</f>
        <v>1.4373333333333334</v>
      </c>
      <c r="N26" s="7">
        <f>(G26*$N$1)/27</f>
        <v>0.49907407407407406</v>
      </c>
      <c r="O26" s="7">
        <f>(G26*$O$1)/27</f>
        <v>0.58211999999999997</v>
      </c>
      <c r="P26" s="7">
        <v>0</v>
      </c>
      <c r="Q26" s="7">
        <v>0</v>
      </c>
      <c r="R26" s="7"/>
      <c r="S26" s="7"/>
      <c r="T26" s="7"/>
    </row>
    <row r="27" spans="1:20" s="1" customFormat="1" ht="15" customHeight="1" thickBot="1" x14ac:dyDescent="0.25">
      <c r="A27" s="9">
        <v>9626.84</v>
      </c>
      <c r="B27" s="10">
        <v>9655</v>
      </c>
      <c r="C27" s="5" t="s">
        <v>26</v>
      </c>
      <c r="D27" s="6">
        <f t="shared" si="5"/>
        <v>28.159999999999854</v>
      </c>
      <c r="E27" s="7">
        <v>6</v>
      </c>
      <c r="F27" s="7"/>
      <c r="G27" s="8">
        <f t="shared" si="6"/>
        <v>168.95999999999913</v>
      </c>
      <c r="H27" s="7">
        <f>G27/9</f>
        <v>18.773333333333238</v>
      </c>
      <c r="I27" s="7">
        <v>0</v>
      </c>
      <c r="J27" s="11">
        <f t="shared" si="2"/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/>
      <c r="S27" s="7"/>
      <c r="T27" s="7"/>
    </row>
    <row r="28" spans="1:20" s="1" customFormat="1" ht="15" customHeight="1" thickBot="1" x14ac:dyDescent="0.25">
      <c r="A28" s="9">
        <v>9655</v>
      </c>
      <c r="B28" s="10">
        <v>9723</v>
      </c>
      <c r="C28" s="5" t="s">
        <v>26</v>
      </c>
      <c r="D28" s="6">
        <f t="shared" ref="D28:D29" si="7">B28-A28</f>
        <v>68</v>
      </c>
      <c r="E28" s="7">
        <v>8</v>
      </c>
      <c r="F28" s="7"/>
      <c r="G28" s="8">
        <f t="shared" ref="G28" si="8">D28*E28</f>
        <v>544</v>
      </c>
      <c r="H28" s="7">
        <f>G28/9</f>
        <v>60.444444444444443</v>
      </c>
      <c r="I28" s="7">
        <v>0</v>
      </c>
      <c r="J28" s="11">
        <f t="shared" si="2"/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/>
      <c r="S28" s="7"/>
      <c r="T28" s="7"/>
    </row>
    <row r="29" spans="1:20" s="1" customFormat="1" ht="15" customHeight="1" x14ac:dyDescent="0.2">
      <c r="A29" s="9">
        <v>9628.84</v>
      </c>
      <c r="B29" s="10">
        <v>9723</v>
      </c>
      <c r="C29" s="5" t="s">
        <v>26</v>
      </c>
      <c r="D29" s="6">
        <f t="shared" si="7"/>
        <v>94.159999999999854</v>
      </c>
      <c r="E29" s="7"/>
      <c r="F29" s="7"/>
      <c r="G29" s="8"/>
      <c r="H29" s="7">
        <v>0</v>
      </c>
      <c r="I29" s="7">
        <v>0</v>
      </c>
      <c r="J29" s="11">
        <v>0</v>
      </c>
      <c r="K29" s="11">
        <v>0</v>
      </c>
      <c r="L29" s="11">
        <v>0</v>
      </c>
      <c r="M29" s="7">
        <v>0</v>
      </c>
      <c r="N29" s="7">
        <v>0</v>
      </c>
      <c r="O29" s="7">
        <v>0</v>
      </c>
      <c r="P29" s="11">
        <v>0</v>
      </c>
      <c r="Q29" s="11">
        <f>D29</f>
        <v>94.159999999999854</v>
      </c>
      <c r="R29" s="11"/>
      <c r="S29" s="11"/>
      <c r="T29" s="11"/>
    </row>
    <row r="30" spans="1:20" s="1" customFormat="1" ht="15" customHeight="1" thickBot="1" x14ac:dyDescent="0.25">
      <c r="A30" s="14"/>
      <c r="B30" s="15"/>
      <c r="C30" s="16"/>
      <c r="D30" s="17"/>
      <c r="E30" s="18"/>
      <c r="F30" s="19"/>
      <c r="G30" s="17"/>
      <c r="H30" s="7"/>
      <c r="I30" s="7"/>
      <c r="J30" s="11"/>
      <c r="K30" s="11"/>
      <c r="L30" s="11"/>
      <c r="M30" s="7"/>
      <c r="N30" s="7"/>
      <c r="O30" s="7"/>
      <c r="P30" s="11"/>
      <c r="Q30" s="11"/>
      <c r="R30" s="11"/>
      <c r="S30" s="11"/>
      <c r="T30" s="11"/>
    </row>
    <row r="31" spans="1:20" s="1" customFormat="1" ht="15" customHeight="1" x14ac:dyDescent="0.2">
      <c r="A31" s="9">
        <v>9626.84</v>
      </c>
      <c r="B31" s="10">
        <v>9723</v>
      </c>
      <c r="C31" s="5" t="s">
        <v>26</v>
      </c>
      <c r="D31" s="6">
        <f t="shared" ref="D31" si="9">B31-A31</f>
        <v>96.159999999999854</v>
      </c>
      <c r="E31" s="7">
        <v>8.75</v>
      </c>
      <c r="F31" s="7"/>
      <c r="G31" s="8">
        <f t="shared" ref="G31" si="10">D31*E31</f>
        <v>841.39999999999873</v>
      </c>
      <c r="H31" s="7"/>
      <c r="I31" s="7"/>
      <c r="J31" s="11"/>
      <c r="K31" s="11"/>
      <c r="L31" s="11"/>
      <c r="M31" s="7"/>
      <c r="N31" s="7"/>
      <c r="O31" s="7"/>
      <c r="P31" s="11"/>
      <c r="Q31" s="11"/>
      <c r="R31" s="11">
        <f>G31/9*0.06</f>
        <v>5.6093333333333248</v>
      </c>
      <c r="S31" s="11"/>
      <c r="T31" s="11"/>
    </row>
    <row r="32" spans="1:20" s="1" customFormat="1" ht="15" customHeight="1" thickBot="1" x14ac:dyDescent="0.25">
      <c r="A32" s="27"/>
      <c r="B32" s="28"/>
      <c r="C32" s="29"/>
      <c r="D32" s="30"/>
      <c r="E32" s="30"/>
      <c r="F32" s="31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5"/>
      <c r="S32" s="35"/>
      <c r="T32" s="35"/>
    </row>
    <row r="33" spans="1:22" ht="15" customHeight="1" x14ac:dyDescent="0.2">
      <c r="A33" s="37" t="s">
        <v>13</v>
      </c>
      <c r="B33" s="38"/>
      <c r="C33" s="38"/>
      <c r="D33" s="38"/>
      <c r="E33" s="38"/>
      <c r="F33" s="38"/>
      <c r="G33" s="39"/>
      <c r="H33" s="60">
        <f>ROUNDUP(SUM(H19:H32),0)</f>
        <v>80</v>
      </c>
      <c r="I33" s="60">
        <f t="shared" ref="H33:Q33" si="11">ROUNDUP(SUM(I19:I32),0)</f>
        <v>112</v>
      </c>
      <c r="J33" s="60">
        <f t="shared" si="11"/>
        <v>1</v>
      </c>
      <c r="K33" s="60">
        <f t="shared" si="11"/>
        <v>26</v>
      </c>
      <c r="L33" s="60">
        <f>ROUNDUP(SUM(L19:L32),0)</f>
        <v>19</v>
      </c>
      <c r="M33" s="60">
        <f t="shared" si="11"/>
        <v>9</v>
      </c>
      <c r="N33" s="60">
        <f t="shared" si="11"/>
        <v>4</v>
      </c>
      <c r="O33" s="60">
        <f t="shared" si="11"/>
        <v>5</v>
      </c>
      <c r="P33" s="60">
        <f t="shared" si="11"/>
        <v>11</v>
      </c>
      <c r="Q33" s="60">
        <f t="shared" si="11"/>
        <v>95</v>
      </c>
      <c r="R33" s="60">
        <f t="shared" ref="R33:S33" si="12">ROUNDUP(SUM(R19:R32),0)</f>
        <v>6</v>
      </c>
      <c r="S33" s="60">
        <f t="shared" si="12"/>
        <v>121</v>
      </c>
      <c r="T33" s="60">
        <f t="shared" ref="T33" si="13">ROUNDUP(SUM(T19:T32),0)</f>
        <v>1</v>
      </c>
      <c r="U33" s="61"/>
      <c r="V33" s="61"/>
    </row>
    <row r="34" spans="1:22" ht="15" customHeight="1" x14ac:dyDescent="0.2">
      <c r="A34" s="40"/>
      <c r="B34" s="41"/>
      <c r="C34" s="41"/>
      <c r="D34" s="41"/>
      <c r="E34" s="41"/>
      <c r="F34" s="41"/>
      <c r="G34" s="4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1"/>
      <c r="V34" s="61"/>
    </row>
    <row r="36" spans="1:22" ht="15" customHeight="1" x14ac:dyDescent="0.2"/>
  </sheetData>
  <mergeCells count="36">
    <mergeCell ref="R3:R17"/>
    <mergeCell ref="R33:R34"/>
    <mergeCell ref="S3:S17"/>
    <mergeCell ref="T3:T17"/>
    <mergeCell ref="S33:S34"/>
    <mergeCell ref="T33:T34"/>
    <mergeCell ref="N33:N34"/>
    <mergeCell ref="O33:O34"/>
    <mergeCell ref="Q33:Q34"/>
    <mergeCell ref="K33:K34"/>
    <mergeCell ref="L33:L34"/>
    <mergeCell ref="M33:M34"/>
    <mergeCell ref="P33:P34"/>
    <mergeCell ref="K3:K17"/>
    <mergeCell ref="L3:L17"/>
    <mergeCell ref="A19:B19"/>
    <mergeCell ref="A33:G34"/>
    <mergeCell ref="H33:H34"/>
    <mergeCell ref="I33:I34"/>
    <mergeCell ref="J33:J34"/>
    <mergeCell ref="W1:W2"/>
    <mergeCell ref="Y1:Y2"/>
    <mergeCell ref="A2:B17"/>
    <mergeCell ref="C2:C18"/>
    <mergeCell ref="D2:D17"/>
    <mergeCell ref="E2:E17"/>
    <mergeCell ref="F2:F17"/>
    <mergeCell ref="G2:G17"/>
    <mergeCell ref="H3:H17"/>
    <mergeCell ref="I3:I17"/>
    <mergeCell ref="P3:P17"/>
    <mergeCell ref="M3:M17"/>
    <mergeCell ref="N3:N17"/>
    <mergeCell ref="O3:O17"/>
    <mergeCell ref="Q3:Q17"/>
    <mergeCell ref="J3:J17"/>
  </mergeCells>
  <pageMargins left="0.75" right="0.5" top="0.75" bottom="0.75" header="0.5" footer="0.5"/>
  <pageSetup paperSize="1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US 35 Ramp A</vt:lpstr>
      <vt:lpstr>I-70</vt:lpstr>
      <vt:lpstr>'I-70'!Print_Area</vt:lpstr>
      <vt:lpstr>'US 35 Ramp A'!Print_Area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v10.10.15</dc:title>
  <dc:creator>ODOT Office of Production</dc:creator>
  <cp:lastModifiedBy>Schetter, Andrew B.</cp:lastModifiedBy>
  <cp:lastPrinted>2019-11-19T15:48:47Z</cp:lastPrinted>
  <dcterms:created xsi:type="dcterms:W3CDTF">2007-01-18T14:43:23Z</dcterms:created>
  <dcterms:modified xsi:type="dcterms:W3CDTF">2023-08-04T13:22:24Z</dcterms:modified>
</cp:coreProperties>
</file>