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I:\ProjectData\SCI\104881_SCI_348_0942\Design\Structures\SCI348_0942C\EngData\"/>
    </mc:Choice>
  </mc:AlternateContent>
  <xr:revisionPtr revIDLastSave="0" documentId="13_ncr:1_{42AB89AC-C1A1-41E7-BB45-06B7A5E92DFC}" xr6:coauthVersionLast="36" xr6:coauthVersionMax="36" xr10:uidLastSave="{00000000-0000-0000-0000-000000000000}"/>
  <bookViews>
    <workbookView xWindow="0" yWindow="0" windowWidth="13740" windowHeight="10800" xr2:uid="{00000000-000D-0000-FFFF-FFFF00000000}"/>
  </bookViews>
  <sheets>
    <sheet name="Structu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1" l="1"/>
  <c r="J14" i="1"/>
  <c r="D16" i="1"/>
  <c r="J16" i="1" l="1"/>
  <c r="D18" i="1" s="1"/>
  <c r="K29" i="1" l="1"/>
  <c r="K27" i="1"/>
  <c r="H27" i="1"/>
  <c r="E27" i="1"/>
  <c r="D117" i="1" l="1"/>
  <c r="N78" i="1"/>
  <c r="B66" i="1"/>
  <c r="C66" i="1"/>
  <c r="K44" i="1"/>
  <c r="B24" i="1"/>
  <c r="E24" i="1" s="1"/>
  <c r="E28" i="1" s="1"/>
  <c r="B23" i="1"/>
  <c r="K24" i="1" l="1"/>
  <c r="K28" i="1" s="1"/>
  <c r="H24" i="1"/>
  <c r="H28" i="1" s="1"/>
  <c r="B28" i="1"/>
  <c r="B27" i="1"/>
  <c r="B110" i="1"/>
  <c r="E100" i="1"/>
  <c r="O69" i="1"/>
  <c r="K69" i="1"/>
  <c r="G69" i="1"/>
  <c r="O66" i="1"/>
  <c r="K66" i="1"/>
  <c r="G66" i="1"/>
  <c r="N66" i="1"/>
  <c r="J66" i="1"/>
  <c r="F66" i="1"/>
  <c r="K110" i="1" l="1"/>
  <c r="H110" i="1"/>
  <c r="E110" i="1"/>
  <c r="H29" i="1"/>
  <c r="E29" i="1"/>
  <c r="B29" i="1"/>
  <c r="C34" i="1"/>
  <c r="K46" i="1"/>
  <c r="E57" i="1" l="1"/>
  <c r="B57" i="1"/>
  <c r="E60" i="1" l="1"/>
  <c r="K111" i="1"/>
  <c r="H111" i="1"/>
  <c r="E111" i="1"/>
  <c r="B111" i="1"/>
  <c r="B6" i="1" l="1"/>
  <c r="B89" i="1"/>
  <c r="B96" i="1"/>
  <c r="F96" i="1" s="1"/>
  <c r="K108" i="1" l="1"/>
  <c r="H108" i="1"/>
  <c r="E108" i="1"/>
  <c r="B108" i="1"/>
  <c r="N79" i="1" l="1"/>
  <c r="O70" i="1"/>
  <c r="N70" i="1"/>
  <c r="K70" i="1"/>
  <c r="J70" i="1"/>
  <c r="G70" i="1"/>
  <c r="F70" i="1"/>
  <c r="C70" i="1"/>
  <c r="B70" i="1"/>
  <c r="J79" i="1"/>
  <c r="G79" i="1"/>
  <c r="C79" i="1"/>
  <c r="F79" i="1"/>
  <c r="B79" i="1"/>
  <c r="D35" i="1" l="1"/>
  <c r="C32" i="1"/>
  <c r="D33" i="1" s="1"/>
  <c r="E38" i="1" l="1"/>
  <c r="E37" i="1"/>
  <c r="K112" i="1"/>
  <c r="H112" i="1"/>
  <c r="E112" i="1"/>
  <c r="B112" i="1"/>
  <c r="F89" i="1"/>
  <c r="E103" i="1"/>
  <c r="B103" i="1"/>
  <c r="D119" i="1"/>
  <c r="E121" i="1" s="1"/>
  <c r="E58" i="1"/>
  <c r="B58" i="1"/>
  <c r="K48" i="1"/>
  <c r="E48" i="1"/>
  <c r="E61" i="1" l="1"/>
  <c r="F71" i="1"/>
  <c r="N71" i="1"/>
  <c r="J71" i="1"/>
  <c r="B71" i="1"/>
  <c r="F80" i="1"/>
  <c r="B80" i="1"/>
  <c r="E114" i="1"/>
  <c r="E104" i="1"/>
  <c r="E50" i="1"/>
  <c r="G8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Joshua Zickafoose</author>
  </authors>
  <commentList>
    <comment ref="B6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0.5' below top of wings along length of wing</t>
        </r>
      </text>
    </comment>
    <comment ref="C6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0.5' below top of wing at outside edge</t>
        </r>
      </text>
    </comment>
    <comment ref="C6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inside bottom of box culvert to top of wing</t>
        </r>
      </text>
    </comment>
    <comment ref="G69" authorId="0" shapeId="0" xr:uid="{3EFA9C3A-EBFC-419F-A2DD-C1DF58658F8A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inside bottom of box culvert to top of wing</t>
        </r>
      </text>
    </comment>
    <comment ref="K69" authorId="0" shapeId="0" xr:uid="{79AB4D3D-5615-4418-9E88-1E80DBD6376D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inside bottom of box culvert to top of wing</t>
        </r>
      </text>
    </comment>
    <comment ref="O69" authorId="0" shapeId="0" xr:uid="{5B894549-FB8F-4523-8C70-BA373F75B3B8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inside bottom of box culvert to top of wing</t>
        </r>
      </text>
    </comment>
  </commentList>
</comments>
</file>

<file path=xl/sharedStrings.xml><?xml version="1.0" encoding="utf-8"?>
<sst xmlns="http://schemas.openxmlformats.org/spreadsheetml/2006/main" count="408" uniqueCount="79">
  <si>
    <t>Item 511- Class QC1 Concrete, Footing</t>
  </si>
  <si>
    <t>North Footing</t>
  </si>
  <si>
    <t>South Footing</t>
  </si>
  <si>
    <t>Item 511- Class QC1 Concrete, Headwall</t>
  </si>
  <si>
    <t>North Headwall</t>
  </si>
  <si>
    <t>South Headwall</t>
  </si>
  <si>
    <t>Item 512 - Sealing of Concrete Surfaces (Epoxy-Urethane)</t>
  </si>
  <si>
    <t>Wingwall 1</t>
  </si>
  <si>
    <t xml:space="preserve">L = </t>
  </si>
  <si>
    <t xml:space="preserve">W = </t>
  </si>
  <si>
    <t xml:space="preserve">H = </t>
  </si>
  <si>
    <t>ft</t>
  </si>
  <si>
    <t xml:space="preserve">H1 = </t>
  </si>
  <si>
    <t xml:space="preserve">H2 = </t>
  </si>
  <si>
    <t>Wingwall 2</t>
  </si>
  <si>
    <t>Wingwall 3</t>
  </si>
  <si>
    <t>Wingwall 4</t>
  </si>
  <si>
    <t>TOTAL = L*W*[(H1+H2)/2]</t>
  </si>
  <si>
    <t xml:space="preserve">Total = 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</si>
  <si>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</si>
  <si>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Sum = </t>
  </si>
  <si>
    <t>CY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</si>
  <si>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</si>
  <si>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</t>
    </r>
  </si>
  <si>
    <r>
      <t>A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Area from MicroStation = </t>
    </r>
  </si>
  <si>
    <r>
      <t>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Cutoff wall area from MicroStation = </t>
    </r>
  </si>
  <si>
    <r>
      <t>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</t>
    </r>
  </si>
  <si>
    <r>
      <t>A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Closure Pour area from Microstation = </t>
    </r>
  </si>
  <si>
    <r>
      <t>D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</t>
    </r>
  </si>
  <si>
    <r>
      <t>Total = A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*D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+A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+A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*D</t>
    </r>
    <r>
      <rPr>
        <vertAlign val="subscript"/>
        <sz val="11"/>
        <color theme="1"/>
        <rFont val="Calibri"/>
        <family val="2"/>
        <scheme val="minor"/>
      </rPr>
      <t>3</t>
    </r>
  </si>
  <si>
    <t xml:space="preserve">Convert to CY = </t>
  </si>
  <si>
    <r>
      <t>L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= </t>
    </r>
  </si>
  <si>
    <r>
      <t>Total = L</t>
    </r>
    <r>
      <rPr>
        <sz val="11"/>
        <color theme="1"/>
        <rFont val="Calibri"/>
        <family val="2"/>
        <scheme val="minor"/>
      </rPr>
      <t>*W*H</t>
    </r>
  </si>
  <si>
    <t xml:space="preserve">D = </t>
  </si>
  <si>
    <t xml:space="preserve">A = Area from MicroStation = </t>
  </si>
  <si>
    <t>Total = A*D</t>
  </si>
  <si>
    <t>Item 516 - 1" Preformed Expansion Joint Filler</t>
  </si>
  <si>
    <t>North End</t>
  </si>
  <si>
    <t>South End</t>
  </si>
  <si>
    <t>SY</t>
  </si>
  <si>
    <t>SF</t>
  </si>
  <si>
    <t xml:space="preserve">Sides = </t>
  </si>
  <si>
    <t xml:space="preserve">T = H*W*2 = </t>
  </si>
  <si>
    <t xml:space="preserve">Convert to SY = </t>
  </si>
  <si>
    <t>Front</t>
  </si>
  <si>
    <r>
      <t>W</t>
    </r>
    <r>
      <rPr>
        <vertAlign val="subscript"/>
        <sz val="11"/>
        <color theme="1"/>
        <rFont val="Calibri"/>
        <family val="2"/>
        <scheme val="minor"/>
      </rPr>
      <t>TOP</t>
    </r>
    <r>
      <rPr>
        <sz val="11"/>
        <color theme="1"/>
        <rFont val="Calibri"/>
        <family val="2"/>
        <scheme val="minor"/>
      </rPr>
      <t xml:space="preserve"> = </t>
    </r>
  </si>
  <si>
    <t>Back/Top</t>
  </si>
  <si>
    <t xml:space="preserve">Overhang = </t>
  </si>
  <si>
    <t xml:space="preserve">Width = </t>
  </si>
  <si>
    <t>Item 518 - Porous Backfill with Geotextile Fabric</t>
  </si>
  <si>
    <t>Item 511 - Class QC1 Concrete, Retaining/Wingwall Not Including Footing</t>
  </si>
  <si>
    <t>Minus Pipes and Weep Holes</t>
  </si>
  <si>
    <t xml:space="preserve">Weep Hole Vol. = </t>
  </si>
  <si>
    <t xml:space="preserve">pi*r^2*w = </t>
  </si>
  <si>
    <t xml:space="preserve"># Weep Holes = </t>
  </si>
  <si>
    <t xml:space="preserve">Pipe Vol. = </t>
  </si>
  <si>
    <t xml:space="preserve"># Pipes = </t>
  </si>
  <si>
    <r>
      <t>Total B/T= L*W</t>
    </r>
    <r>
      <rPr>
        <vertAlign val="subscript"/>
        <sz val="11"/>
        <color theme="1"/>
        <rFont val="Calibri"/>
        <family val="2"/>
        <scheme val="minor"/>
      </rPr>
      <t>TOP</t>
    </r>
    <r>
      <rPr>
        <sz val="11"/>
        <color theme="1"/>
        <rFont val="Calibri"/>
        <family val="2"/>
        <scheme val="minor"/>
      </rPr>
      <t>+L*H</t>
    </r>
  </si>
  <si>
    <r>
      <t xml:space="preserve">Total F= </t>
    </r>
    <r>
      <rPr>
        <sz val="11"/>
        <color theme="1"/>
        <rFont val="Calibri"/>
        <family val="2"/>
        <scheme val="minor"/>
      </rPr>
      <t>L*H</t>
    </r>
  </si>
  <si>
    <t>Inside of Box</t>
  </si>
  <si>
    <t>Total Box = (L*W*S+L*H*S)*2</t>
  </si>
  <si>
    <t>Total = (L*[H1+H2]/2) + (L*W) + (W*H1) + (L*[H1+H2]/2)</t>
  </si>
  <si>
    <t>Front/Edge</t>
  </si>
  <si>
    <t>Face of Box</t>
  </si>
  <si>
    <t xml:space="preserve">Area of Opening = </t>
  </si>
  <si>
    <t>Total = [(L*W*H)-A]*S</t>
  </si>
  <si>
    <t>T=L*(W+O) =</t>
  </si>
  <si>
    <t xml:space="preserve">T= H*(L+O)*S = </t>
  </si>
  <si>
    <t>Item 202 - Wearing Course Removed</t>
  </si>
  <si>
    <t xml:space="preserve">Total = L*W/9 = </t>
  </si>
  <si>
    <t xml:space="preserve">**Convert to CY = </t>
  </si>
  <si>
    <t>**for information only</t>
  </si>
  <si>
    <t xml:space="preserve">Corner Total = </t>
  </si>
  <si>
    <t xml:space="preserve">Corner Area = </t>
  </si>
  <si>
    <t>Item 601 - RCP, Type A with Aggregate Filter</t>
  </si>
  <si>
    <t>Item 512 - Type 2 Waterproofing (Sides)</t>
  </si>
  <si>
    <t>Item 512 - Type 2 Waterproofing (Top)</t>
  </si>
  <si>
    <t>Quantity Calculations for SCI-348-0942</t>
  </si>
  <si>
    <t>Item 503 - Rock Excavation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</si>
</sst>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0" fontId="5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/>
    <xf numFmtId="164" fontId="0" fillId="0" borderId="0" xfId="0" applyNumberForma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1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9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 applyAlignment="1">
      <alignment horizontal="right"/>
    </xf>
    <xf numFmtId="165" fontId="0" fillId="0" borderId="0" xfId="0" applyNumberFormat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3" xfId="0" applyFill="1" applyBorder="1"/>
    <xf numFmtId="0" fontId="0" fillId="0" borderId="0" xfId="0" applyFill="1" applyBorder="1" applyAlignment="1">
      <alignment horizontal="center"/>
    </xf>
    <xf numFmtId="0" fontId="0" fillId="0" borderId="5" xfId="0" applyFill="1" applyBorder="1"/>
    <xf numFmtId="2" fontId="0" fillId="0" borderId="0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0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2" fontId="0" fillId="0" borderId="2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7" fillId="0" borderId="0" xfId="0" applyFont="1" applyAlignment="1">
      <alignment horizontal="left" vertical="center"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7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1"/>
  <sheetViews>
    <sheetView tabSelected="1" workbookViewId="0">
      <selection activeCell="H18" sqref="H18"/>
    </sheetView>
  </sheetViews>
  <sheetFormatPr defaultRowHeight="15" x14ac:dyDescent="0.25"/>
  <cols>
    <col min="1" max="1" width="25.28515625" customWidth="1"/>
    <col min="2" max="2" width="13" customWidth="1"/>
    <col min="3" max="3" width="10.5703125" customWidth="1"/>
    <col min="4" max="4" width="10.140625" customWidth="1"/>
    <col min="5" max="5" width="10.5703125" bestFit="1" customWidth="1"/>
    <col min="6" max="6" width="12.7109375" customWidth="1"/>
    <col min="7" max="7" width="10.5703125" customWidth="1"/>
    <col min="10" max="10" width="10.140625" customWidth="1"/>
    <col min="11" max="11" width="11.140625" customWidth="1"/>
    <col min="14" max="14" width="10.140625" customWidth="1"/>
    <col min="15" max="15" width="10.5703125" customWidth="1"/>
  </cols>
  <sheetData>
    <row r="1" spans="1:12" ht="15.75" x14ac:dyDescent="0.25">
      <c r="A1" s="114" t="s">
        <v>77</v>
      </c>
      <c r="B1" s="114"/>
      <c r="C1" s="114"/>
      <c r="D1" s="114"/>
      <c r="E1" s="114"/>
      <c r="F1" s="114"/>
    </row>
    <row r="2" spans="1:12" ht="15.75" x14ac:dyDescent="0.25">
      <c r="A2" s="55"/>
      <c r="B2" s="55"/>
      <c r="C2" s="55"/>
      <c r="D2" s="55"/>
      <c r="E2" s="55"/>
      <c r="F2" s="55"/>
    </row>
    <row r="3" spans="1:12" ht="15.75" x14ac:dyDescent="0.25">
      <c r="A3" s="6" t="s">
        <v>68</v>
      </c>
      <c r="B3" s="55"/>
      <c r="C3" s="64"/>
      <c r="D3" s="55"/>
      <c r="E3" s="55"/>
      <c r="F3" s="55"/>
    </row>
    <row r="4" spans="1:12" x14ac:dyDescent="0.25">
      <c r="A4" s="65" t="s">
        <v>8</v>
      </c>
      <c r="B4" s="84">
        <v>26.757999999999999</v>
      </c>
      <c r="C4" s="66" t="s">
        <v>11</v>
      </c>
      <c r="D4" s="16"/>
      <c r="E4" s="16"/>
      <c r="F4" s="16"/>
      <c r="G4" s="16"/>
      <c r="H4" s="16"/>
      <c r="I4" s="16"/>
      <c r="J4" s="16"/>
      <c r="K4" s="16"/>
      <c r="L4" s="16"/>
    </row>
    <row r="5" spans="1:12" ht="15.75" thickBot="1" x14ac:dyDescent="0.3">
      <c r="A5" s="17" t="s">
        <v>9</v>
      </c>
      <c r="B5" s="83">
        <v>27.5</v>
      </c>
      <c r="C5" s="67" t="s">
        <v>11</v>
      </c>
      <c r="D5" s="16"/>
      <c r="E5" s="16"/>
      <c r="F5" s="16"/>
      <c r="G5" s="16"/>
      <c r="H5" s="16"/>
      <c r="I5" s="16"/>
      <c r="J5" s="16"/>
      <c r="K5" s="16"/>
      <c r="L5" s="16"/>
    </row>
    <row r="6" spans="1:12" ht="18" thickBot="1" x14ac:dyDescent="0.3">
      <c r="A6" s="54" t="s">
        <v>69</v>
      </c>
      <c r="B6" s="68">
        <f>ROUNDUP(B4*B5/9,0)</f>
        <v>82</v>
      </c>
      <c r="C6" s="19" t="s">
        <v>39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x14ac:dyDescent="0.25">
      <c r="A7" s="8"/>
      <c r="B7" s="86"/>
      <c r="C7" s="10"/>
      <c r="D7" s="16"/>
      <c r="E7" s="16"/>
      <c r="F7" s="16"/>
      <c r="G7" s="16"/>
      <c r="H7" s="16"/>
      <c r="I7" s="16"/>
      <c r="J7" s="16"/>
      <c r="K7" s="16"/>
      <c r="L7" s="16"/>
    </row>
    <row r="8" spans="1:12" x14ac:dyDescent="0.25">
      <c r="A8" s="115" t="s">
        <v>78</v>
      </c>
      <c r="B8" s="86"/>
      <c r="C8" s="10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5">
      <c r="A9" s="93" t="s">
        <v>1</v>
      </c>
      <c r="B9" s="94"/>
      <c r="C9" s="94"/>
      <c r="D9" s="94"/>
      <c r="E9" s="95"/>
      <c r="F9" s="93" t="s">
        <v>2</v>
      </c>
      <c r="G9" s="94"/>
      <c r="H9" s="94"/>
      <c r="I9" s="94"/>
      <c r="J9" s="94"/>
      <c r="K9" s="95"/>
      <c r="L9" s="116"/>
    </row>
    <row r="10" spans="1:12" ht="18.75" x14ac:dyDescent="0.35">
      <c r="A10" s="45"/>
      <c r="B10" s="5"/>
      <c r="C10" s="92" t="s">
        <v>24</v>
      </c>
      <c r="D10" s="36">
        <v>363.5677</v>
      </c>
      <c r="E10" s="35" t="s">
        <v>22</v>
      </c>
      <c r="F10" s="45"/>
      <c r="G10" s="5"/>
      <c r="H10" s="5"/>
      <c r="I10" s="92" t="s">
        <v>24</v>
      </c>
      <c r="J10" s="36">
        <v>547.06799999999998</v>
      </c>
      <c r="K10" s="35" t="s">
        <v>22</v>
      </c>
      <c r="L10" s="5"/>
    </row>
    <row r="11" spans="1:12" ht="18" x14ac:dyDescent="0.35">
      <c r="A11" s="45"/>
      <c r="B11" s="5"/>
      <c r="C11" s="92" t="s">
        <v>23</v>
      </c>
      <c r="D11" s="34">
        <v>3</v>
      </c>
      <c r="E11" s="35" t="s">
        <v>11</v>
      </c>
      <c r="F11" s="45"/>
      <c r="G11" s="5"/>
      <c r="H11" s="5"/>
      <c r="I11" s="92" t="s">
        <v>23</v>
      </c>
      <c r="J11" s="34">
        <v>3</v>
      </c>
      <c r="K11" s="35" t="s">
        <v>11</v>
      </c>
      <c r="L11" s="5"/>
    </row>
    <row r="12" spans="1:12" ht="18.75" x14ac:dyDescent="0.35">
      <c r="A12" s="45"/>
      <c r="B12" s="5"/>
      <c r="C12" s="92" t="s">
        <v>25</v>
      </c>
      <c r="D12" s="36">
        <v>0</v>
      </c>
      <c r="E12" s="35" t="s">
        <v>22</v>
      </c>
      <c r="F12" s="45"/>
      <c r="G12" s="5"/>
      <c r="H12" s="5"/>
      <c r="I12" s="92" t="s">
        <v>25</v>
      </c>
      <c r="J12" s="36">
        <f>D12</f>
        <v>0</v>
      </c>
      <c r="K12" s="35" t="s">
        <v>22</v>
      </c>
      <c r="L12" s="5"/>
    </row>
    <row r="13" spans="1:12" ht="18" x14ac:dyDescent="0.35">
      <c r="A13" s="45"/>
      <c r="B13" s="5"/>
      <c r="C13" s="92" t="s">
        <v>26</v>
      </c>
      <c r="D13" s="34">
        <v>0</v>
      </c>
      <c r="E13" s="35" t="s">
        <v>11</v>
      </c>
      <c r="F13" s="45"/>
      <c r="G13" s="5"/>
      <c r="H13" s="5"/>
      <c r="I13" s="92" t="s">
        <v>26</v>
      </c>
      <c r="J13" s="34">
        <v>0</v>
      </c>
      <c r="K13" s="35" t="s">
        <v>11</v>
      </c>
      <c r="L13" s="5"/>
    </row>
    <row r="14" spans="1:12" ht="18.75" x14ac:dyDescent="0.35">
      <c r="A14" s="45"/>
      <c r="B14" s="5"/>
      <c r="C14" s="92" t="s">
        <v>27</v>
      </c>
      <c r="D14" s="36">
        <v>99</v>
      </c>
      <c r="E14" s="35" t="s">
        <v>22</v>
      </c>
      <c r="F14" s="45"/>
      <c r="G14" s="5"/>
      <c r="H14" s="5"/>
      <c r="I14" s="92" t="s">
        <v>27</v>
      </c>
      <c r="J14" s="36">
        <f>D14</f>
        <v>99</v>
      </c>
      <c r="K14" s="35" t="s">
        <v>22</v>
      </c>
      <c r="L14" s="5"/>
    </row>
    <row r="15" spans="1:12" ht="18" x14ac:dyDescent="0.35">
      <c r="A15" s="62"/>
      <c r="B15" s="63"/>
      <c r="C15" s="91" t="s">
        <v>28</v>
      </c>
      <c r="D15" s="42">
        <v>0</v>
      </c>
      <c r="E15" s="38" t="s">
        <v>11</v>
      </c>
      <c r="F15" s="62"/>
      <c r="G15" s="63"/>
      <c r="H15" s="63"/>
      <c r="I15" s="91" t="s">
        <v>28</v>
      </c>
      <c r="J15" s="42">
        <v>0</v>
      </c>
      <c r="K15" s="38" t="s">
        <v>11</v>
      </c>
      <c r="L15" s="5"/>
    </row>
    <row r="16" spans="1:12" ht="17.25" x14ac:dyDescent="0.25">
      <c r="A16" s="5"/>
      <c r="B16" s="5"/>
      <c r="C16" s="92" t="s">
        <v>18</v>
      </c>
      <c r="D16" s="90">
        <f>D10*D11+D12*D13+D14*D15</f>
        <v>1090.7030999999999</v>
      </c>
      <c r="E16" s="5" t="s">
        <v>19</v>
      </c>
      <c r="F16" s="5"/>
      <c r="G16" s="5"/>
      <c r="H16" s="5"/>
      <c r="I16" s="92" t="s">
        <v>18</v>
      </c>
      <c r="J16" s="90">
        <f>J10*J11+J12*J13+J14*J15</f>
        <v>1641.204</v>
      </c>
      <c r="K16" s="5" t="s">
        <v>19</v>
      </c>
      <c r="L16" s="5"/>
    </row>
    <row r="17" spans="1:12" ht="18.75" thickBot="1" x14ac:dyDescent="0.4">
      <c r="A17" s="4" t="s">
        <v>29</v>
      </c>
      <c r="B17" s="4"/>
      <c r="C17" s="4"/>
      <c r="D17" s="3"/>
      <c r="E17" s="12"/>
      <c r="F17" s="4"/>
      <c r="G17" s="4"/>
      <c r="H17" s="4"/>
      <c r="I17" s="4"/>
      <c r="J17" s="3"/>
      <c r="K17" s="12"/>
      <c r="L17" s="4"/>
    </row>
    <row r="18" spans="1:12" ht="15.75" thickBot="1" x14ac:dyDescent="0.3">
      <c r="A18" s="4"/>
      <c r="B18" s="108" t="s">
        <v>30</v>
      </c>
      <c r="C18" s="109"/>
      <c r="D18" s="20">
        <f>ROUNDUP((D16+J16)/27,0)</f>
        <v>102</v>
      </c>
      <c r="E18" s="21" t="s">
        <v>21</v>
      </c>
      <c r="G18" s="4"/>
      <c r="H18" s="4"/>
      <c r="I18" s="4"/>
      <c r="J18" s="3"/>
      <c r="K18" s="12"/>
      <c r="L18" s="4"/>
    </row>
    <row r="19" spans="1:12" x14ac:dyDescent="0.25">
      <c r="A19" s="8"/>
      <c r="B19" s="86"/>
      <c r="C19" s="10"/>
      <c r="D19" s="16"/>
      <c r="E19" s="16"/>
      <c r="F19" s="16"/>
      <c r="G19" s="16"/>
      <c r="H19" s="16"/>
      <c r="I19" s="16"/>
      <c r="J19" s="16"/>
      <c r="K19" s="16"/>
      <c r="L19" s="16"/>
    </row>
    <row r="20" spans="1:12" x14ac:dyDescent="0.25">
      <c r="A20" s="6" t="s">
        <v>50</v>
      </c>
      <c r="B20" s="11"/>
    </row>
    <row r="21" spans="1:12" x14ac:dyDescent="0.25">
      <c r="A21" s="93" t="s">
        <v>7</v>
      </c>
      <c r="B21" s="94"/>
      <c r="C21" s="95"/>
      <c r="D21" s="93" t="s">
        <v>14</v>
      </c>
      <c r="E21" s="94"/>
      <c r="F21" s="95"/>
      <c r="G21" s="93" t="s">
        <v>15</v>
      </c>
      <c r="H21" s="94"/>
      <c r="I21" s="95"/>
      <c r="J21" s="93" t="s">
        <v>16</v>
      </c>
      <c r="K21" s="94"/>
      <c r="L21" s="95"/>
    </row>
    <row r="22" spans="1:12" ht="17.25" x14ac:dyDescent="0.25">
      <c r="A22" s="78" t="s">
        <v>73</v>
      </c>
      <c r="B22" s="82">
        <v>0</v>
      </c>
      <c r="C22" s="35" t="s">
        <v>22</v>
      </c>
      <c r="D22" s="78" t="s">
        <v>73</v>
      </c>
      <c r="E22" s="82">
        <v>0</v>
      </c>
      <c r="F22" s="35" t="s">
        <v>22</v>
      </c>
      <c r="G22" s="78" t="s">
        <v>73</v>
      </c>
      <c r="H22" s="82">
        <v>0</v>
      </c>
      <c r="I22" s="35" t="s">
        <v>22</v>
      </c>
      <c r="J22" s="78" t="s">
        <v>73</v>
      </c>
      <c r="K22" s="82">
        <v>0.84399999999999997</v>
      </c>
      <c r="L22" s="35" t="s">
        <v>22</v>
      </c>
    </row>
    <row r="23" spans="1:12" x14ac:dyDescent="0.25">
      <c r="A23" s="76" t="s">
        <v>8</v>
      </c>
      <c r="B23" s="70">
        <f>AVERAGE(2+(2.25/12),2+(3.25/12))</f>
        <v>2.229166666666667</v>
      </c>
      <c r="C23" s="35" t="s">
        <v>11</v>
      </c>
      <c r="D23" s="76" t="s">
        <v>8</v>
      </c>
      <c r="E23" s="70">
        <v>12</v>
      </c>
      <c r="F23" s="35" t="s">
        <v>11</v>
      </c>
      <c r="G23" s="76" t="s">
        <v>8</v>
      </c>
      <c r="H23" s="70">
        <v>12</v>
      </c>
      <c r="I23" s="35" t="s">
        <v>11</v>
      </c>
      <c r="J23" s="76" t="s">
        <v>8</v>
      </c>
      <c r="K23" s="70">
        <v>20</v>
      </c>
      <c r="L23" s="35" t="s">
        <v>11</v>
      </c>
    </row>
    <row r="24" spans="1:12" x14ac:dyDescent="0.25">
      <c r="A24" s="76" t="s">
        <v>9</v>
      </c>
      <c r="B24" s="70">
        <f>1+3/12</f>
        <v>1.25</v>
      </c>
      <c r="C24" s="35" t="s">
        <v>11</v>
      </c>
      <c r="D24" s="76" t="s">
        <v>9</v>
      </c>
      <c r="E24" s="70">
        <f>B24</f>
        <v>1.25</v>
      </c>
      <c r="F24" s="35" t="s">
        <v>11</v>
      </c>
      <c r="G24" s="76" t="s">
        <v>9</v>
      </c>
      <c r="H24" s="70">
        <f>B24</f>
        <v>1.25</v>
      </c>
      <c r="I24" s="35" t="s">
        <v>11</v>
      </c>
      <c r="J24" s="76" t="s">
        <v>9</v>
      </c>
      <c r="K24" s="70">
        <f>B24</f>
        <v>1.25</v>
      </c>
      <c r="L24" s="35" t="s">
        <v>11</v>
      </c>
    </row>
    <row r="25" spans="1:12" x14ac:dyDescent="0.25">
      <c r="A25" s="76" t="s">
        <v>12</v>
      </c>
      <c r="B25" s="70">
        <v>12.5</v>
      </c>
      <c r="C25" s="35" t="s">
        <v>11</v>
      </c>
      <c r="D25" s="76" t="s">
        <v>12</v>
      </c>
      <c r="E25" s="87">
        <v>12.5</v>
      </c>
      <c r="F25" s="35" t="s">
        <v>11</v>
      </c>
      <c r="G25" s="76" t="s">
        <v>12</v>
      </c>
      <c r="H25" s="87">
        <v>12.5</v>
      </c>
      <c r="I25" s="35" t="s">
        <v>11</v>
      </c>
      <c r="J25" s="76" t="s">
        <v>12</v>
      </c>
      <c r="K25" s="87">
        <v>12.5</v>
      </c>
      <c r="L25" s="35" t="s">
        <v>11</v>
      </c>
    </row>
    <row r="26" spans="1:12" x14ac:dyDescent="0.25">
      <c r="A26" s="71" t="s">
        <v>13</v>
      </c>
      <c r="B26" s="42">
        <v>12.5</v>
      </c>
      <c r="C26" s="38" t="s">
        <v>11</v>
      </c>
      <c r="D26" s="71" t="s">
        <v>13</v>
      </c>
      <c r="E26" s="42">
        <v>7.5</v>
      </c>
      <c r="F26" s="38" t="s">
        <v>11</v>
      </c>
      <c r="G26" s="71" t="s">
        <v>13</v>
      </c>
      <c r="H26" s="42">
        <v>7.5</v>
      </c>
      <c r="I26" s="38" t="s">
        <v>11</v>
      </c>
      <c r="J26" s="71" t="s">
        <v>13</v>
      </c>
      <c r="K26" s="42">
        <v>7</v>
      </c>
      <c r="L26" s="38" t="s">
        <v>11</v>
      </c>
    </row>
    <row r="27" spans="1:12" ht="17.25" x14ac:dyDescent="0.25">
      <c r="A27" s="77" t="s">
        <v>18</v>
      </c>
      <c r="B27" s="70">
        <f>$B$23*(($B$25+$B$26)/2)</f>
        <v>27.864583333333336</v>
      </c>
      <c r="C27" s="5" t="s">
        <v>22</v>
      </c>
      <c r="D27" s="77" t="s">
        <v>18</v>
      </c>
      <c r="E27" s="89">
        <f>$E$23*(($E$25+$E$26)/2)</f>
        <v>120</v>
      </c>
      <c r="F27" s="5" t="s">
        <v>22</v>
      </c>
      <c r="G27" s="77" t="s">
        <v>18</v>
      </c>
      <c r="H27" s="70">
        <f>$H23*(($H25+$H26)/2)</f>
        <v>120</v>
      </c>
      <c r="I27" s="5" t="s">
        <v>22</v>
      </c>
      <c r="J27" s="77" t="s">
        <v>18</v>
      </c>
      <c r="K27" s="70">
        <f>$K$23*(($K$25+$K$26)/2)</f>
        <v>195</v>
      </c>
      <c r="L27" s="5" t="s">
        <v>22</v>
      </c>
    </row>
    <row r="28" spans="1:12" ht="17.25" x14ac:dyDescent="0.25">
      <c r="A28" s="77" t="s">
        <v>18</v>
      </c>
      <c r="B28" s="70">
        <f>$B$23*$B$24*(($B$25+$B$26)/2)</f>
        <v>34.830729166666671</v>
      </c>
      <c r="C28" s="5" t="s">
        <v>19</v>
      </c>
      <c r="D28" s="77" t="s">
        <v>18</v>
      </c>
      <c r="E28" s="70">
        <f>$E$23*$E$24*(($E$25+$E$26)/2)</f>
        <v>150</v>
      </c>
      <c r="F28" s="5" t="s">
        <v>19</v>
      </c>
      <c r="G28" s="77" t="s">
        <v>18</v>
      </c>
      <c r="H28" s="70">
        <f>$H$23*$H$24*(($H$25+$H$26)/2)</f>
        <v>150</v>
      </c>
      <c r="I28" s="5" t="s">
        <v>19</v>
      </c>
      <c r="J28" s="77" t="s">
        <v>18</v>
      </c>
      <c r="K28" s="70">
        <f>$K$23*$K$24*(($K$25+$K$26)/2)</f>
        <v>243.75</v>
      </c>
      <c r="L28" s="5" t="s">
        <v>19</v>
      </c>
    </row>
    <row r="29" spans="1:12" ht="17.25" x14ac:dyDescent="0.25">
      <c r="A29" s="77" t="s">
        <v>72</v>
      </c>
      <c r="B29" s="70">
        <f>B22*B25</f>
        <v>0</v>
      </c>
      <c r="C29" s="5" t="s">
        <v>19</v>
      </c>
      <c r="D29" s="77" t="s">
        <v>72</v>
      </c>
      <c r="E29" s="70">
        <f>E22*E25</f>
        <v>0</v>
      </c>
      <c r="F29" s="5" t="s">
        <v>19</v>
      </c>
      <c r="G29" s="77" t="s">
        <v>72</v>
      </c>
      <c r="H29" s="70">
        <f>H22*H25</f>
        <v>0</v>
      </c>
      <c r="I29" s="5" t="s">
        <v>19</v>
      </c>
      <c r="J29" s="77" t="s">
        <v>72</v>
      </c>
      <c r="K29" s="70">
        <f>K22*K25</f>
        <v>10.549999999999999</v>
      </c>
      <c r="L29" s="5" t="s">
        <v>19</v>
      </c>
    </row>
    <row r="30" spans="1:12" x14ac:dyDescent="0.25">
      <c r="A30" t="s">
        <v>17</v>
      </c>
    </row>
    <row r="31" spans="1:12" x14ac:dyDescent="0.25">
      <c r="A31" s="15" t="s">
        <v>51</v>
      </c>
    </row>
    <row r="32" spans="1:12" ht="17.25" x14ac:dyDescent="0.25">
      <c r="A32" s="24" t="s">
        <v>52</v>
      </c>
      <c r="B32" s="2" t="s">
        <v>53</v>
      </c>
      <c r="C32" s="25">
        <f>PI()*(2/12)^2*1</f>
        <v>8.7266462599716474E-2</v>
      </c>
      <c r="D32" s="5" t="s">
        <v>19</v>
      </c>
    </row>
    <row r="33" spans="1:14" ht="17.25" x14ac:dyDescent="0.25">
      <c r="A33" s="24" t="s">
        <v>54</v>
      </c>
      <c r="B33" s="1">
        <v>8</v>
      </c>
      <c r="C33" s="2" t="s">
        <v>18</v>
      </c>
      <c r="D33" s="25">
        <f>B33*C32</f>
        <v>0.69813170079773179</v>
      </c>
      <c r="E33" s="5" t="s">
        <v>19</v>
      </c>
    </row>
    <row r="34" spans="1:14" ht="17.25" x14ac:dyDescent="0.25">
      <c r="A34" s="24" t="s">
        <v>55</v>
      </c>
      <c r="B34" t="s">
        <v>53</v>
      </c>
      <c r="C34" s="25">
        <f>PI()*(0)^2*1</f>
        <v>0</v>
      </c>
      <c r="D34" s="5" t="s">
        <v>19</v>
      </c>
    </row>
    <row r="35" spans="1:14" ht="17.25" x14ac:dyDescent="0.25">
      <c r="A35" s="24" t="s">
        <v>56</v>
      </c>
      <c r="B35" s="1">
        <v>0</v>
      </c>
      <c r="C35" s="2" t="s">
        <v>18</v>
      </c>
      <c r="D35" s="25">
        <f>B35*C34</f>
        <v>0</v>
      </c>
      <c r="E35" s="5" t="s">
        <v>19</v>
      </c>
    </row>
    <row r="36" spans="1:14" ht="15.75" thickBot="1" x14ac:dyDescent="0.3"/>
    <row r="37" spans="1:14" ht="15.75" thickBot="1" x14ac:dyDescent="0.3">
      <c r="C37" s="105" t="s">
        <v>43</v>
      </c>
      <c r="D37" s="106"/>
      <c r="E37" s="57">
        <f>ROUNDUP((B27+B29+E27+E29+H27+H29+K27+K29-D33)/9,0)</f>
        <v>53</v>
      </c>
      <c r="F37" s="19" t="s">
        <v>39</v>
      </c>
    </row>
    <row r="38" spans="1:14" ht="15.75" thickBot="1" x14ac:dyDescent="0.3">
      <c r="A38" s="69" t="s">
        <v>71</v>
      </c>
      <c r="C38" s="105" t="s">
        <v>70</v>
      </c>
      <c r="D38" s="106"/>
      <c r="E38" s="57">
        <f>ROUNDUP((B28+E28+H28+K28-D33-D35)/27,0)</f>
        <v>22</v>
      </c>
      <c r="F38" s="19" t="s">
        <v>21</v>
      </c>
    </row>
    <row r="39" spans="1:14" x14ac:dyDescent="0.25">
      <c r="D39" s="8"/>
      <c r="E39" s="9"/>
      <c r="F39" s="10"/>
    </row>
    <row r="40" spans="1:14" x14ac:dyDescent="0.25">
      <c r="A40" s="6" t="s">
        <v>0</v>
      </c>
    </row>
    <row r="41" spans="1:14" x14ac:dyDescent="0.25">
      <c r="A41" s="93" t="s">
        <v>1</v>
      </c>
      <c r="B41" s="94"/>
      <c r="C41" s="94"/>
      <c r="D41" s="94"/>
      <c r="E41" s="94"/>
      <c r="F41" s="95"/>
      <c r="G41" s="93" t="s">
        <v>2</v>
      </c>
      <c r="H41" s="94"/>
      <c r="I41" s="94"/>
      <c r="J41" s="94"/>
      <c r="K41" s="94"/>
      <c r="L41" s="95"/>
    </row>
    <row r="42" spans="1:14" ht="18.75" x14ac:dyDescent="0.35">
      <c r="A42" s="45"/>
      <c r="B42" s="5"/>
      <c r="C42" s="5"/>
      <c r="D42" s="77" t="s">
        <v>24</v>
      </c>
      <c r="E42" s="36">
        <v>363.5677</v>
      </c>
      <c r="F42" s="35" t="s">
        <v>22</v>
      </c>
      <c r="G42" s="45"/>
      <c r="H42" s="5"/>
      <c r="I42" s="5"/>
      <c r="J42" s="77" t="s">
        <v>24</v>
      </c>
      <c r="K42" s="36">
        <v>547.06799999999998</v>
      </c>
      <c r="L42" s="35" t="s">
        <v>22</v>
      </c>
      <c r="N42" s="7"/>
    </row>
    <row r="43" spans="1:14" ht="18" x14ac:dyDescent="0.35">
      <c r="A43" s="45"/>
      <c r="B43" s="5"/>
      <c r="C43" s="5"/>
      <c r="D43" s="77" t="s">
        <v>23</v>
      </c>
      <c r="E43" s="34">
        <v>2</v>
      </c>
      <c r="F43" s="35" t="s">
        <v>11</v>
      </c>
      <c r="G43" s="45"/>
      <c r="H43" s="5"/>
      <c r="I43" s="5"/>
      <c r="J43" s="77" t="s">
        <v>23</v>
      </c>
      <c r="K43" s="34">
        <v>2</v>
      </c>
      <c r="L43" s="35" t="s">
        <v>11</v>
      </c>
    </row>
    <row r="44" spans="1:14" ht="18.75" x14ac:dyDescent="0.35">
      <c r="A44" s="45"/>
      <c r="B44" s="5"/>
      <c r="C44" s="5"/>
      <c r="D44" s="77" t="s">
        <v>25</v>
      </c>
      <c r="E44" s="36">
        <v>0</v>
      </c>
      <c r="F44" s="35" t="s">
        <v>22</v>
      </c>
      <c r="G44" s="45"/>
      <c r="H44" s="5"/>
      <c r="I44" s="5"/>
      <c r="J44" s="77" t="s">
        <v>25</v>
      </c>
      <c r="K44" s="36">
        <f>E44</f>
        <v>0</v>
      </c>
      <c r="L44" s="35" t="s">
        <v>22</v>
      </c>
    </row>
    <row r="45" spans="1:14" ht="18" x14ac:dyDescent="0.35">
      <c r="A45" s="45"/>
      <c r="B45" s="5"/>
      <c r="C45" s="5"/>
      <c r="D45" s="77" t="s">
        <v>26</v>
      </c>
      <c r="E45" s="34">
        <v>0</v>
      </c>
      <c r="F45" s="35" t="s">
        <v>11</v>
      </c>
      <c r="G45" s="45"/>
      <c r="H45" s="5"/>
      <c r="I45" s="5"/>
      <c r="J45" s="77" t="s">
        <v>26</v>
      </c>
      <c r="K45" s="34">
        <v>0</v>
      </c>
      <c r="L45" s="35" t="s">
        <v>11</v>
      </c>
    </row>
    <row r="46" spans="1:14" ht="18.75" x14ac:dyDescent="0.35">
      <c r="A46" s="45"/>
      <c r="B46" s="5"/>
      <c r="C46" s="5"/>
      <c r="D46" s="77" t="s">
        <v>27</v>
      </c>
      <c r="E46" s="36">
        <v>99</v>
      </c>
      <c r="F46" s="35" t="s">
        <v>22</v>
      </c>
      <c r="G46" s="45"/>
      <c r="H46" s="5"/>
      <c r="I46" s="5"/>
      <c r="J46" s="77" t="s">
        <v>27</v>
      </c>
      <c r="K46" s="36">
        <f>E46</f>
        <v>99</v>
      </c>
      <c r="L46" s="35" t="s">
        <v>22</v>
      </c>
    </row>
    <row r="47" spans="1:14" ht="18" x14ac:dyDescent="0.35">
      <c r="A47" s="62"/>
      <c r="B47" s="63"/>
      <c r="C47" s="63"/>
      <c r="D47" s="72" t="s">
        <v>28</v>
      </c>
      <c r="E47" s="42">
        <v>1</v>
      </c>
      <c r="F47" s="38" t="s">
        <v>11</v>
      </c>
      <c r="G47" s="62"/>
      <c r="H47" s="63"/>
      <c r="I47" s="63"/>
      <c r="J47" s="72" t="s">
        <v>28</v>
      </c>
      <c r="K47" s="42">
        <v>1</v>
      </c>
      <c r="L47" s="38" t="s">
        <v>11</v>
      </c>
    </row>
    <row r="48" spans="1:14" ht="17.25" x14ac:dyDescent="0.25">
      <c r="A48" s="5"/>
      <c r="B48" s="5"/>
      <c r="C48" s="5"/>
      <c r="D48" s="77" t="s">
        <v>18</v>
      </c>
      <c r="E48" s="70">
        <f>E42*E43+E44*E45+E46*E47</f>
        <v>826.1354</v>
      </c>
      <c r="F48" s="5" t="s">
        <v>19</v>
      </c>
      <c r="G48" s="5"/>
      <c r="H48" s="5"/>
      <c r="I48" s="5"/>
      <c r="J48" s="77" t="s">
        <v>18</v>
      </c>
      <c r="K48" s="70">
        <f>K42*K43+K44*K45+K46*K47</f>
        <v>1193.136</v>
      </c>
      <c r="L48" s="5" t="s">
        <v>19</v>
      </c>
    </row>
    <row r="49" spans="1:16" ht="18.75" thickBot="1" x14ac:dyDescent="0.4">
      <c r="A49" s="4" t="s">
        <v>29</v>
      </c>
      <c r="B49" s="4"/>
      <c r="C49" s="4"/>
      <c r="D49" s="3"/>
      <c r="E49" s="12"/>
      <c r="F49" s="4"/>
      <c r="G49" s="4"/>
      <c r="H49" s="4"/>
      <c r="I49" s="4"/>
      <c r="J49" s="3"/>
      <c r="K49" s="12"/>
      <c r="L49" s="4"/>
    </row>
    <row r="50" spans="1:16" ht="15.75" thickBot="1" x14ac:dyDescent="0.3">
      <c r="A50" s="4"/>
      <c r="B50" s="4"/>
      <c r="C50" s="108" t="s">
        <v>30</v>
      </c>
      <c r="D50" s="109"/>
      <c r="E50" s="20">
        <f>ROUNDUP((E48+K48)/27,0)</f>
        <v>75</v>
      </c>
      <c r="F50" s="21" t="s">
        <v>21</v>
      </c>
      <c r="G50" s="4"/>
      <c r="H50" s="4"/>
      <c r="I50" s="4"/>
      <c r="J50" s="3"/>
      <c r="K50" s="12"/>
      <c r="L50" s="4"/>
    </row>
    <row r="52" spans="1:16" x14ac:dyDescent="0.25">
      <c r="A52" s="6" t="s">
        <v>3</v>
      </c>
    </row>
    <row r="53" spans="1:16" x14ac:dyDescent="0.25">
      <c r="A53" s="93" t="s">
        <v>4</v>
      </c>
      <c r="B53" s="94"/>
      <c r="C53" s="95"/>
      <c r="D53" s="93" t="s">
        <v>5</v>
      </c>
      <c r="E53" s="94"/>
      <c r="F53" s="95"/>
    </row>
    <row r="54" spans="1:16" ht="18" x14ac:dyDescent="0.35">
      <c r="A54" s="76" t="s">
        <v>31</v>
      </c>
      <c r="B54" s="36">
        <v>22</v>
      </c>
      <c r="C54" s="35" t="s">
        <v>11</v>
      </c>
      <c r="D54" s="76" t="s">
        <v>31</v>
      </c>
      <c r="E54" s="36">
        <v>22</v>
      </c>
      <c r="F54" s="35" t="s">
        <v>11</v>
      </c>
    </row>
    <row r="55" spans="1:16" x14ac:dyDescent="0.25">
      <c r="A55" s="76" t="s">
        <v>9</v>
      </c>
      <c r="B55" s="70">
        <v>1.25</v>
      </c>
      <c r="C55" s="35" t="s">
        <v>11</v>
      </c>
      <c r="D55" s="76" t="s">
        <v>9</v>
      </c>
      <c r="E55" s="70">
        <v>1.25</v>
      </c>
      <c r="F55" s="35" t="s">
        <v>11</v>
      </c>
    </row>
    <row r="56" spans="1:16" x14ac:dyDescent="0.25">
      <c r="A56" s="71" t="s">
        <v>10</v>
      </c>
      <c r="B56" s="52">
        <v>0.5</v>
      </c>
      <c r="C56" s="38" t="s">
        <v>11</v>
      </c>
      <c r="D56" s="71" t="s">
        <v>10</v>
      </c>
      <c r="E56" s="52">
        <v>0.5</v>
      </c>
      <c r="F56" s="38" t="s">
        <v>11</v>
      </c>
    </row>
    <row r="57" spans="1:16" ht="17.25" x14ac:dyDescent="0.25">
      <c r="A57" s="76" t="s">
        <v>18</v>
      </c>
      <c r="B57" s="28">
        <f>B54*B56</f>
        <v>11</v>
      </c>
      <c r="C57" s="5" t="s">
        <v>22</v>
      </c>
      <c r="D57" s="77" t="s">
        <v>18</v>
      </c>
      <c r="E57" s="28">
        <f>E54*E56</f>
        <v>11</v>
      </c>
      <c r="F57" s="5" t="s">
        <v>22</v>
      </c>
    </row>
    <row r="58" spans="1:16" ht="17.25" x14ac:dyDescent="0.25">
      <c r="A58" s="76" t="s">
        <v>18</v>
      </c>
      <c r="B58" s="28">
        <f>B54*B55*B56</f>
        <v>13.75</v>
      </c>
      <c r="C58" s="5" t="s">
        <v>19</v>
      </c>
      <c r="D58" s="77" t="s">
        <v>18</v>
      </c>
      <c r="E58" s="28">
        <f>E54*E55*E56</f>
        <v>13.75</v>
      </c>
      <c r="F58" s="5" t="s">
        <v>19</v>
      </c>
    </row>
    <row r="59" spans="1:16" ht="15.75" thickBot="1" x14ac:dyDescent="0.3">
      <c r="A59" s="13" t="s">
        <v>32</v>
      </c>
    </row>
    <row r="60" spans="1:16" ht="15.75" thickBot="1" x14ac:dyDescent="0.3">
      <c r="A60" s="15"/>
      <c r="C60" s="108" t="s">
        <v>43</v>
      </c>
      <c r="D60" s="109"/>
      <c r="E60" s="56">
        <f>ROUNDUP((B57+E57)/9,0)</f>
        <v>3</v>
      </c>
      <c r="F60" s="21" t="s">
        <v>39</v>
      </c>
    </row>
    <row r="61" spans="1:16" ht="15.75" thickBot="1" x14ac:dyDescent="0.3">
      <c r="A61" s="15" t="s">
        <v>71</v>
      </c>
      <c r="C61" s="108" t="s">
        <v>70</v>
      </c>
      <c r="D61" s="109"/>
      <c r="E61" s="56">
        <f>ROUNDUP((B58+E58)/27,0)</f>
        <v>2</v>
      </c>
      <c r="F61" s="21" t="s">
        <v>21</v>
      </c>
    </row>
    <row r="63" spans="1:16" x14ac:dyDescent="0.25">
      <c r="A63" s="26" t="s">
        <v>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16" x14ac:dyDescent="0.25">
      <c r="A64" s="93" t="s">
        <v>7</v>
      </c>
      <c r="B64" s="94"/>
      <c r="C64" s="94"/>
      <c r="D64" s="95"/>
      <c r="E64" s="93" t="s">
        <v>14</v>
      </c>
      <c r="F64" s="94"/>
      <c r="G64" s="94"/>
      <c r="H64" s="95"/>
      <c r="I64" s="93" t="s">
        <v>15</v>
      </c>
      <c r="J64" s="94"/>
      <c r="K64" s="94"/>
      <c r="L64" s="95"/>
      <c r="M64" s="93" t="s">
        <v>16</v>
      </c>
      <c r="N64" s="94"/>
      <c r="O64" s="94"/>
      <c r="P64" s="95"/>
    </row>
    <row r="65" spans="1:16" x14ac:dyDescent="0.25">
      <c r="A65" s="39"/>
      <c r="B65" s="40" t="s">
        <v>46</v>
      </c>
      <c r="C65" s="40" t="s">
        <v>62</v>
      </c>
      <c r="D65" s="41"/>
      <c r="E65" s="39"/>
      <c r="F65" s="40" t="s">
        <v>46</v>
      </c>
      <c r="G65" s="40" t="s">
        <v>62</v>
      </c>
      <c r="H65" s="41"/>
      <c r="I65" s="39"/>
      <c r="J65" s="40" t="s">
        <v>46</v>
      </c>
      <c r="K65" s="40" t="s">
        <v>62</v>
      </c>
      <c r="L65" s="41"/>
      <c r="M65" s="45"/>
      <c r="N65" s="40" t="s">
        <v>46</v>
      </c>
      <c r="O65" s="40" t="s">
        <v>62</v>
      </c>
      <c r="P65" s="35"/>
    </row>
    <row r="66" spans="1:16" x14ac:dyDescent="0.25">
      <c r="A66" s="76" t="s">
        <v>8</v>
      </c>
      <c r="B66" s="70">
        <f>2+3.25/12</f>
        <v>2.2708333333333335</v>
      </c>
      <c r="C66" s="88">
        <f>2+2.25/12</f>
        <v>2.1875</v>
      </c>
      <c r="D66" s="35" t="s">
        <v>11</v>
      </c>
      <c r="E66" s="76" t="s">
        <v>8</v>
      </c>
      <c r="F66" s="85">
        <f>B66</f>
        <v>2.2708333333333335</v>
      </c>
      <c r="G66" s="70">
        <f>C66</f>
        <v>2.1875</v>
      </c>
      <c r="H66" s="35" t="s">
        <v>11</v>
      </c>
      <c r="I66" s="76" t="s">
        <v>8</v>
      </c>
      <c r="J66" s="85">
        <f>B66</f>
        <v>2.2708333333333335</v>
      </c>
      <c r="K66" s="70">
        <f>C66</f>
        <v>2.1875</v>
      </c>
      <c r="L66" s="35" t="s">
        <v>11</v>
      </c>
      <c r="M66" s="76" t="s">
        <v>8</v>
      </c>
      <c r="N66" s="85">
        <f>B66</f>
        <v>2.2708333333333335</v>
      </c>
      <c r="O66" s="70">
        <f>C66</f>
        <v>2.1875</v>
      </c>
      <c r="P66" s="35" t="s">
        <v>11</v>
      </c>
    </row>
    <row r="67" spans="1:16" x14ac:dyDescent="0.25">
      <c r="A67" s="76" t="s">
        <v>9</v>
      </c>
      <c r="B67" s="110">
        <v>1.25</v>
      </c>
      <c r="C67" s="110"/>
      <c r="D67" s="35" t="s">
        <v>11</v>
      </c>
      <c r="E67" s="76" t="s">
        <v>9</v>
      </c>
      <c r="F67" s="110">
        <v>1.25</v>
      </c>
      <c r="G67" s="110"/>
      <c r="H67" s="35" t="s">
        <v>11</v>
      </c>
      <c r="I67" s="76" t="s">
        <v>9</v>
      </c>
      <c r="J67" s="110">
        <v>1.25</v>
      </c>
      <c r="K67" s="110"/>
      <c r="L67" s="35" t="s">
        <v>11</v>
      </c>
      <c r="M67" s="76" t="s">
        <v>9</v>
      </c>
      <c r="N67" s="110">
        <v>1.25</v>
      </c>
      <c r="O67" s="110"/>
      <c r="P67" s="35" t="s">
        <v>11</v>
      </c>
    </row>
    <row r="68" spans="1:16" x14ac:dyDescent="0.25">
      <c r="A68" s="76" t="s">
        <v>12</v>
      </c>
      <c r="B68" s="70">
        <v>0.5</v>
      </c>
      <c r="C68" s="70">
        <v>0.5</v>
      </c>
      <c r="D68" s="35" t="s">
        <v>11</v>
      </c>
      <c r="E68" s="76" t="s">
        <v>12</v>
      </c>
      <c r="F68" s="34">
        <v>0.5</v>
      </c>
      <c r="G68" s="70">
        <v>0.5</v>
      </c>
      <c r="H68" s="35" t="s">
        <v>11</v>
      </c>
      <c r="I68" s="76" t="s">
        <v>12</v>
      </c>
      <c r="J68" s="34">
        <v>0.5</v>
      </c>
      <c r="K68" s="70">
        <v>0.5</v>
      </c>
      <c r="L68" s="35" t="s">
        <v>11</v>
      </c>
      <c r="M68" s="76" t="s">
        <v>12</v>
      </c>
      <c r="N68" s="34">
        <v>0.5</v>
      </c>
      <c r="O68" s="70">
        <v>0.5</v>
      </c>
      <c r="P68" s="35" t="s">
        <v>11</v>
      </c>
    </row>
    <row r="69" spans="1:16" x14ac:dyDescent="0.25">
      <c r="A69" s="71" t="s">
        <v>13</v>
      </c>
      <c r="B69" s="42">
        <v>0.5</v>
      </c>
      <c r="C69" s="42">
        <v>11.5</v>
      </c>
      <c r="D69" s="38" t="s">
        <v>11</v>
      </c>
      <c r="E69" s="71" t="s">
        <v>13</v>
      </c>
      <c r="F69" s="42">
        <v>0.5</v>
      </c>
      <c r="G69" s="42">
        <f>C69</f>
        <v>11.5</v>
      </c>
      <c r="H69" s="38" t="s">
        <v>11</v>
      </c>
      <c r="I69" s="71" t="s">
        <v>13</v>
      </c>
      <c r="J69" s="37">
        <v>0.5</v>
      </c>
      <c r="K69" s="42">
        <f>C69</f>
        <v>11.5</v>
      </c>
      <c r="L69" s="38" t="s">
        <v>11</v>
      </c>
      <c r="M69" s="71" t="s">
        <v>13</v>
      </c>
      <c r="N69" s="37">
        <v>0.5</v>
      </c>
      <c r="O69" s="42">
        <f>C69</f>
        <v>11.5</v>
      </c>
      <c r="P69" s="38" t="s">
        <v>11</v>
      </c>
    </row>
    <row r="70" spans="1:16" ht="17.25" x14ac:dyDescent="0.25">
      <c r="A70" s="73" t="s">
        <v>18</v>
      </c>
      <c r="B70" s="43">
        <f>(B66*(B68+B69)/2)+(B66*B67)</f>
        <v>3.9739583333333339</v>
      </c>
      <c r="C70" s="43">
        <f>(B67*C68)+(C66*(C68+C69)/2)</f>
        <v>13.75</v>
      </c>
      <c r="D70" s="44" t="s">
        <v>22</v>
      </c>
      <c r="E70" s="74" t="s">
        <v>18</v>
      </c>
      <c r="F70" s="43">
        <f>(F66*(F68+F69)/2)+(F66*F67)</f>
        <v>3.9739583333333339</v>
      </c>
      <c r="G70" s="43">
        <f>(F67*G68)+(G66*(G68+G69)/2)</f>
        <v>13.75</v>
      </c>
      <c r="H70" s="44" t="s">
        <v>22</v>
      </c>
      <c r="I70" s="74" t="s">
        <v>18</v>
      </c>
      <c r="J70" s="43">
        <f>(J66*(J68+J69)/2)+(J66*J67)</f>
        <v>3.9739583333333339</v>
      </c>
      <c r="K70" s="43">
        <f>(J67*K68)+(K66*(K68+K69)/2)</f>
        <v>13.75</v>
      </c>
      <c r="L70" s="44" t="s">
        <v>22</v>
      </c>
      <c r="M70" s="74" t="s">
        <v>18</v>
      </c>
      <c r="N70" s="43">
        <f>(N66*(N68+N69)/2)+(N66*N67)</f>
        <v>3.9739583333333339</v>
      </c>
      <c r="O70" s="43">
        <f>(N67*O68)+(O66*(O68+O69)/2)</f>
        <v>13.75</v>
      </c>
      <c r="P70" s="44" t="s">
        <v>22</v>
      </c>
    </row>
    <row r="71" spans="1:16" ht="17.25" x14ac:dyDescent="0.25">
      <c r="A71" s="77" t="s">
        <v>20</v>
      </c>
      <c r="B71" s="110">
        <f>B70+C70</f>
        <v>17.723958333333336</v>
      </c>
      <c r="C71" s="110"/>
      <c r="D71" s="5" t="s">
        <v>22</v>
      </c>
      <c r="E71" s="77" t="s">
        <v>20</v>
      </c>
      <c r="F71" s="110">
        <f>F70+G70</f>
        <v>17.723958333333336</v>
      </c>
      <c r="G71" s="110"/>
      <c r="H71" s="5" t="s">
        <v>22</v>
      </c>
      <c r="I71" s="77" t="s">
        <v>20</v>
      </c>
      <c r="J71" s="110">
        <f>J70+K70</f>
        <v>17.723958333333336</v>
      </c>
      <c r="K71" s="110"/>
      <c r="L71" s="5" t="s">
        <v>22</v>
      </c>
      <c r="M71" s="77" t="s">
        <v>20</v>
      </c>
      <c r="N71" s="110">
        <f>N70+O70</f>
        <v>17.723958333333336</v>
      </c>
      <c r="O71" s="110"/>
      <c r="P71" s="5" t="s">
        <v>22</v>
      </c>
    </row>
    <row r="72" spans="1:16" x14ac:dyDescent="0.25">
      <c r="A72" s="13" t="s">
        <v>61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1:16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1:16" x14ac:dyDescent="0.25">
      <c r="A74" s="93" t="s">
        <v>4</v>
      </c>
      <c r="B74" s="94"/>
      <c r="C74" s="94"/>
      <c r="D74" s="95"/>
      <c r="E74" s="93" t="s">
        <v>5</v>
      </c>
      <c r="F74" s="94"/>
      <c r="G74" s="94"/>
      <c r="H74" s="95"/>
      <c r="I74" s="93" t="s">
        <v>59</v>
      </c>
      <c r="J74" s="94"/>
      <c r="K74" s="95"/>
      <c r="L74" s="96" t="s">
        <v>63</v>
      </c>
      <c r="M74" s="97"/>
      <c r="N74" s="97"/>
      <c r="O74" s="98"/>
      <c r="P74" s="23"/>
    </row>
    <row r="75" spans="1:16" x14ac:dyDescent="0.25">
      <c r="A75" s="39"/>
      <c r="B75" s="40" t="s">
        <v>46</v>
      </c>
      <c r="C75" s="40" t="s">
        <v>44</v>
      </c>
      <c r="D75" s="41"/>
      <c r="E75" s="39"/>
      <c r="F75" s="40" t="s">
        <v>46</v>
      </c>
      <c r="G75" s="40" t="s">
        <v>44</v>
      </c>
      <c r="H75" s="41"/>
      <c r="I75" s="76" t="s">
        <v>8</v>
      </c>
      <c r="J75" s="46">
        <v>2</v>
      </c>
      <c r="K75" s="47" t="s">
        <v>11</v>
      </c>
      <c r="L75" s="99" t="s">
        <v>9</v>
      </c>
      <c r="M75" s="100"/>
      <c r="N75" s="50">
        <v>22</v>
      </c>
      <c r="O75" s="35" t="s">
        <v>11</v>
      </c>
      <c r="P75" s="23"/>
    </row>
    <row r="76" spans="1:16" ht="18" x14ac:dyDescent="0.35">
      <c r="A76" s="76" t="s">
        <v>31</v>
      </c>
      <c r="B76" s="36">
        <v>22</v>
      </c>
      <c r="C76" s="36">
        <v>22</v>
      </c>
      <c r="D76" s="35" t="s">
        <v>11</v>
      </c>
      <c r="E76" s="76" t="s">
        <v>31</v>
      </c>
      <c r="F76" s="36">
        <v>22</v>
      </c>
      <c r="G76" s="36">
        <v>22</v>
      </c>
      <c r="H76" s="35" t="s">
        <v>11</v>
      </c>
      <c r="I76" s="76" t="s">
        <v>9</v>
      </c>
      <c r="J76" s="46">
        <v>20</v>
      </c>
      <c r="K76" s="35" t="s">
        <v>11</v>
      </c>
      <c r="L76" s="99" t="s">
        <v>10</v>
      </c>
      <c r="M76" s="100"/>
      <c r="N76" s="50">
        <v>12</v>
      </c>
      <c r="O76" s="35" t="s">
        <v>11</v>
      </c>
    </row>
    <row r="77" spans="1:16" ht="18" x14ac:dyDescent="0.35">
      <c r="A77" s="76" t="s">
        <v>45</v>
      </c>
      <c r="B77" s="110">
        <v>1.25</v>
      </c>
      <c r="C77" s="110"/>
      <c r="D77" s="35" t="s">
        <v>11</v>
      </c>
      <c r="E77" s="76" t="s">
        <v>45</v>
      </c>
      <c r="F77" s="110">
        <v>1.25</v>
      </c>
      <c r="G77" s="110"/>
      <c r="H77" s="35" t="s">
        <v>11</v>
      </c>
      <c r="I77" s="76" t="s">
        <v>10</v>
      </c>
      <c r="J77" s="46">
        <v>10</v>
      </c>
      <c r="K77" s="35" t="s">
        <v>11</v>
      </c>
      <c r="L77" s="99" t="s">
        <v>41</v>
      </c>
      <c r="M77" s="100"/>
      <c r="N77" s="46">
        <v>2</v>
      </c>
      <c r="O77" s="35"/>
      <c r="P77" s="23"/>
    </row>
    <row r="78" spans="1:16" ht="17.25" x14ac:dyDescent="0.25">
      <c r="A78" s="76" t="s">
        <v>10</v>
      </c>
      <c r="B78" s="36">
        <v>0.5</v>
      </c>
      <c r="C78" s="36">
        <v>1</v>
      </c>
      <c r="D78" s="35" t="s">
        <v>11</v>
      </c>
      <c r="E78" s="76" t="s">
        <v>10</v>
      </c>
      <c r="F78" s="36">
        <v>0.5</v>
      </c>
      <c r="G78" s="36">
        <v>1</v>
      </c>
      <c r="H78" s="35" t="s">
        <v>11</v>
      </c>
      <c r="I78" s="76" t="s">
        <v>41</v>
      </c>
      <c r="J78" s="46">
        <v>2</v>
      </c>
      <c r="K78" s="35"/>
      <c r="L78" s="101" t="s">
        <v>64</v>
      </c>
      <c r="M78" s="102"/>
      <c r="N78" s="48">
        <f>J76*J77</f>
        <v>200</v>
      </c>
      <c r="O78" s="38" t="s">
        <v>22</v>
      </c>
      <c r="P78" s="23"/>
    </row>
    <row r="79" spans="1:16" ht="17.25" x14ac:dyDescent="0.25">
      <c r="A79" s="73" t="s">
        <v>18</v>
      </c>
      <c r="B79" s="43">
        <f>(B76*B77)+(B76*B78)</f>
        <v>38.5</v>
      </c>
      <c r="C79" s="43">
        <f>(C76*C78)</f>
        <v>22</v>
      </c>
      <c r="D79" s="44" t="s">
        <v>22</v>
      </c>
      <c r="E79" s="73" t="s">
        <v>18</v>
      </c>
      <c r="F79" s="43">
        <f>(F76*F77)+(F76*F78)</f>
        <v>38.5</v>
      </c>
      <c r="G79" s="43">
        <f>(G76*G78)</f>
        <v>22</v>
      </c>
      <c r="H79" s="44" t="s">
        <v>22</v>
      </c>
      <c r="I79" s="73" t="s">
        <v>18</v>
      </c>
      <c r="J79" s="49">
        <f>(J75*J76*J78+J75*J77*J78)*2</f>
        <v>240</v>
      </c>
      <c r="K79" s="44" t="s">
        <v>22</v>
      </c>
      <c r="L79" s="103" t="s">
        <v>18</v>
      </c>
      <c r="M79" s="104"/>
      <c r="N79" s="51">
        <f>((N75*N76)-N78)*N77</f>
        <v>128</v>
      </c>
      <c r="O79" s="44" t="s">
        <v>22</v>
      </c>
      <c r="P79" s="23"/>
    </row>
    <row r="80" spans="1:16" ht="17.25" x14ac:dyDescent="0.25">
      <c r="A80" s="76" t="s">
        <v>20</v>
      </c>
      <c r="B80" s="107">
        <f>B79+C79</f>
        <v>60.5</v>
      </c>
      <c r="C80" s="107"/>
      <c r="D80" s="5" t="s">
        <v>22</v>
      </c>
      <c r="E80" s="77" t="s">
        <v>20</v>
      </c>
      <c r="F80" s="107">
        <f>F79+G79</f>
        <v>60.5</v>
      </c>
      <c r="G80" s="107"/>
      <c r="H80" s="5" t="s">
        <v>22</v>
      </c>
      <c r="I80" s="23" t="s">
        <v>60</v>
      </c>
      <c r="J80" s="23"/>
      <c r="K80" s="23"/>
      <c r="L80" s="23" t="s">
        <v>65</v>
      </c>
      <c r="M80" s="23"/>
      <c r="N80" s="23"/>
      <c r="O80" s="23"/>
      <c r="P80" s="23"/>
    </row>
    <row r="81" spans="1:16" ht="18.75" thickBot="1" x14ac:dyDescent="0.4">
      <c r="A81" s="13" t="s">
        <v>57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M81" s="23"/>
      <c r="N81" s="23"/>
      <c r="O81" s="23"/>
      <c r="P81" s="23"/>
    </row>
    <row r="82" spans="1:16" ht="15.75" thickBot="1" x14ac:dyDescent="0.3">
      <c r="A82" s="13" t="s">
        <v>58</v>
      </c>
      <c r="B82" s="23"/>
      <c r="C82" s="23"/>
      <c r="D82" s="23"/>
      <c r="E82" s="108" t="s">
        <v>43</v>
      </c>
      <c r="F82" s="109"/>
      <c r="G82" s="20">
        <f>ROUNDUP((B71+F71+J71+N71+B80+F80+J79+N79)/9,0)</f>
        <v>63</v>
      </c>
      <c r="H82" s="21" t="s">
        <v>39</v>
      </c>
      <c r="I82" s="23"/>
    </row>
    <row r="84" spans="1:16" x14ac:dyDescent="0.25">
      <c r="A84" s="26" t="s">
        <v>75</v>
      </c>
      <c r="B84" s="23"/>
      <c r="C84" s="23"/>
      <c r="D84" s="23"/>
      <c r="E84" s="23"/>
      <c r="F84" s="23"/>
      <c r="G84" s="23"/>
      <c r="I84" s="29"/>
      <c r="J84" s="30"/>
    </row>
    <row r="85" spans="1:16" x14ac:dyDescent="0.25">
      <c r="A85" s="32" t="s">
        <v>8</v>
      </c>
      <c r="B85" s="75">
        <v>100</v>
      </c>
      <c r="C85" s="33" t="s">
        <v>11</v>
      </c>
      <c r="D85" s="23"/>
      <c r="E85" s="23"/>
      <c r="F85" s="23"/>
      <c r="G85" s="23"/>
      <c r="I85" s="29"/>
      <c r="J85" s="30"/>
    </row>
    <row r="86" spans="1:16" x14ac:dyDescent="0.25">
      <c r="A86" s="76" t="s">
        <v>10</v>
      </c>
      <c r="B86" s="50">
        <v>12</v>
      </c>
      <c r="C86" s="35" t="s">
        <v>11</v>
      </c>
      <c r="D86" s="23"/>
      <c r="E86" s="23"/>
      <c r="F86" s="23"/>
      <c r="G86" s="23"/>
      <c r="I86" s="29"/>
      <c r="J86" s="31"/>
    </row>
    <row r="87" spans="1:16" x14ac:dyDescent="0.25">
      <c r="A87" s="76" t="s">
        <v>47</v>
      </c>
      <c r="B87" s="70">
        <v>1</v>
      </c>
      <c r="C87" s="35" t="s">
        <v>11</v>
      </c>
      <c r="D87" s="23"/>
      <c r="E87" s="23"/>
      <c r="F87" s="23"/>
      <c r="G87" s="23"/>
      <c r="I87" s="29"/>
      <c r="J87" s="31"/>
    </row>
    <row r="88" spans="1:16" ht="15.75" thickBot="1" x14ac:dyDescent="0.3">
      <c r="A88" s="71" t="s">
        <v>41</v>
      </c>
      <c r="B88" s="37">
        <v>2</v>
      </c>
      <c r="C88" s="38"/>
      <c r="D88" s="23"/>
      <c r="E88" s="23"/>
      <c r="F88" s="23"/>
      <c r="G88" s="23"/>
    </row>
    <row r="89" spans="1:16" ht="18" thickBot="1" x14ac:dyDescent="0.3">
      <c r="A89" s="27" t="s">
        <v>67</v>
      </c>
      <c r="B89" s="28">
        <f>(B85+(B87*2))*B86*2</f>
        <v>2448</v>
      </c>
      <c r="C89" s="23" t="s">
        <v>22</v>
      </c>
      <c r="D89" s="108" t="s">
        <v>43</v>
      </c>
      <c r="E89" s="109"/>
      <c r="F89" s="20">
        <f>ROUNDUP((B89)/9,0)</f>
        <v>272</v>
      </c>
      <c r="G89" s="21" t="s">
        <v>39</v>
      </c>
    </row>
    <row r="90" spans="1:16" x14ac:dyDescent="0.25">
      <c r="A90" s="14"/>
      <c r="H90" s="23"/>
    </row>
    <row r="91" spans="1:16" x14ac:dyDescent="0.25">
      <c r="A91" s="26" t="s">
        <v>76</v>
      </c>
      <c r="B91" s="23"/>
      <c r="C91" s="23"/>
      <c r="D91" s="23"/>
      <c r="E91" s="23"/>
      <c r="F91" s="23"/>
      <c r="G91" s="23"/>
      <c r="H91" s="23"/>
    </row>
    <row r="92" spans="1:16" x14ac:dyDescent="0.25">
      <c r="A92" s="32" t="s">
        <v>8</v>
      </c>
      <c r="B92" s="75">
        <v>100</v>
      </c>
      <c r="C92" s="33" t="s">
        <v>11</v>
      </c>
      <c r="D92" s="23"/>
      <c r="E92" s="23"/>
      <c r="F92" s="23"/>
      <c r="G92" s="23"/>
      <c r="H92" s="23"/>
    </row>
    <row r="93" spans="1:16" x14ac:dyDescent="0.25">
      <c r="A93" s="76" t="s">
        <v>48</v>
      </c>
      <c r="B93" s="36">
        <v>22</v>
      </c>
      <c r="C93" s="35" t="s">
        <v>11</v>
      </c>
      <c r="D93" s="23"/>
      <c r="E93" s="23"/>
      <c r="F93" s="23"/>
      <c r="G93" s="23"/>
      <c r="H93" s="23"/>
    </row>
    <row r="94" spans="1:16" x14ac:dyDescent="0.25">
      <c r="A94" s="76" t="s">
        <v>47</v>
      </c>
      <c r="B94" s="70">
        <v>1</v>
      </c>
      <c r="C94" s="35" t="s">
        <v>11</v>
      </c>
      <c r="D94" s="23"/>
      <c r="E94" s="23"/>
      <c r="F94" s="23"/>
      <c r="G94" s="23"/>
      <c r="H94" s="23"/>
    </row>
    <row r="95" spans="1:16" ht="15.75" thickBot="1" x14ac:dyDescent="0.3">
      <c r="A95" s="71" t="s">
        <v>41</v>
      </c>
      <c r="B95" s="37">
        <v>2</v>
      </c>
      <c r="C95" s="38"/>
      <c r="D95" s="23"/>
      <c r="E95" s="23"/>
      <c r="F95" s="23"/>
      <c r="G95" s="23"/>
      <c r="H95" s="23"/>
    </row>
    <row r="96" spans="1:16" ht="18" thickBot="1" x14ac:dyDescent="0.3">
      <c r="A96" s="27" t="s">
        <v>66</v>
      </c>
      <c r="B96" s="28">
        <f>B92*(B93+(B94*B95))</f>
        <v>2400</v>
      </c>
      <c r="C96" s="23" t="s">
        <v>22</v>
      </c>
      <c r="D96" s="108" t="s">
        <v>43</v>
      </c>
      <c r="E96" s="109"/>
      <c r="F96" s="20">
        <f>ROUNDUP((B96)/9,0)</f>
        <v>267</v>
      </c>
      <c r="G96" s="21" t="s">
        <v>39</v>
      </c>
      <c r="H96" s="23"/>
    </row>
    <row r="97" spans="1:12" x14ac:dyDescent="0.25">
      <c r="A97" s="53"/>
      <c r="H97" s="23"/>
    </row>
    <row r="98" spans="1:12" x14ac:dyDescent="0.25">
      <c r="A98" s="6" t="s">
        <v>36</v>
      </c>
    </row>
    <row r="99" spans="1:12" x14ac:dyDescent="0.25">
      <c r="A99" s="111" t="s">
        <v>37</v>
      </c>
      <c r="B99" s="112"/>
      <c r="C99" s="113"/>
      <c r="D99" s="96" t="s">
        <v>38</v>
      </c>
      <c r="E99" s="97"/>
      <c r="F99" s="98"/>
    </row>
    <row r="100" spans="1:12" x14ac:dyDescent="0.25">
      <c r="A100" s="78" t="s">
        <v>10</v>
      </c>
      <c r="B100" s="50">
        <v>12.5</v>
      </c>
      <c r="C100" s="35" t="s">
        <v>11</v>
      </c>
      <c r="D100" s="78" t="s">
        <v>10</v>
      </c>
      <c r="E100" s="50">
        <f>B100</f>
        <v>12.5</v>
      </c>
      <c r="F100" s="35" t="s">
        <v>11</v>
      </c>
    </row>
    <row r="101" spans="1:12" x14ac:dyDescent="0.25">
      <c r="A101" s="78" t="s">
        <v>9</v>
      </c>
      <c r="B101" s="34">
        <v>1.25</v>
      </c>
      <c r="C101" s="35" t="s">
        <v>11</v>
      </c>
      <c r="D101" s="78" t="s">
        <v>9</v>
      </c>
      <c r="E101" s="34">
        <v>1.25</v>
      </c>
      <c r="F101" s="35" t="s">
        <v>11</v>
      </c>
    </row>
    <row r="102" spans="1:12" x14ac:dyDescent="0.25">
      <c r="A102" s="79" t="s">
        <v>41</v>
      </c>
      <c r="B102" s="37">
        <v>2</v>
      </c>
      <c r="C102" s="38"/>
      <c r="D102" s="79" t="s">
        <v>41</v>
      </c>
      <c r="E102" s="37">
        <v>2</v>
      </c>
      <c r="F102" s="38"/>
    </row>
    <row r="103" spans="1:12" ht="18" thickBot="1" x14ac:dyDescent="0.3">
      <c r="A103" s="80" t="s">
        <v>42</v>
      </c>
      <c r="B103" s="28">
        <f>B100*B101*B102</f>
        <v>31.25</v>
      </c>
      <c r="C103" s="23" t="s">
        <v>22</v>
      </c>
      <c r="D103" s="81" t="s">
        <v>18</v>
      </c>
      <c r="E103" s="28">
        <f>E100*E101*E102</f>
        <v>31.25</v>
      </c>
      <c r="F103" s="23" t="s">
        <v>22</v>
      </c>
    </row>
    <row r="104" spans="1:12" ht="15.75" thickBot="1" x14ac:dyDescent="0.3">
      <c r="A104" s="16"/>
      <c r="B104" s="1"/>
      <c r="D104" s="22" t="s">
        <v>20</v>
      </c>
      <c r="E104" s="20">
        <f>ROUNDUP((B103+E103),0)</f>
        <v>63</v>
      </c>
      <c r="F104" s="21" t="s">
        <v>40</v>
      </c>
    </row>
    <row r="106" spans="1:12" x14ac:dyDescent="0.25">
      <c r="A106" s="26" t="s">
        <v>49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x14ac:dyDescent="0.25">
      <c r="A107" s="93" t="s">
        <v>7</v>
      </c>
      <c r="B107" s="94"/>
      <c r="C107" s="95"/>
      <c r="D107" s="93" t="s">
        <v>14</v>
      </c>
      <c r="E107" s="94"/>
      <c r="F107" s="95"/>
      <c r="G107" s="93" t="s">
        <v>15</v>
      </c>
      <c r="H107" s="94"/>
      <c r="I107" s="95"/>
      <c r="J107" s="93" t="s">
        <v>16</v>
      </c>
      <c r="K107" s="94"/>
      <c r="L107" s="95"/>
    </row>
    <row r="108" spans="1:12" x14ac:dyDescent="0.25">
      <c r="A108" s="76" t="s">
        <v>8</v>
      </c>
      <c r="B108" s="70">
        <f>B23</f>
        <v>2.229166666666667</v>
      </c>
      <c r="C108" s="35" t="s">
        <v>11</v>
      </c>
      <c r="D108" s="76" t="s">
        <v>8</v>
      </c>
      <c r="E108" s="70">
        <f>E23</f>
        <v>12</v>
      </c>
      <c r="F108" s="35" t="s">
        <v>11</v>
      </c>
      <c r="G108" s="76" t="s">
        <v>8</v>
      </c>
      <c r="H108" s="70">
        <f>H23</f>
        <v>12</v>
      </c>
      <c r="I108" s="35" t="s">
        <v>11</v>
      </c>
      <c r="J108" s="76" t="s">
        <v>8</v>
      </c>
      <c r="K108" s="70">
        <f>K23</f>
        <v>20</v>
      </c>
      <c r="L108" s="35" t="s">
        <v>11</v>
      </c>
    </row>
    <row r="109" spans="1:12" x14ac:dyDescent="0.25">
      <c r="A109" s="76" t="s">
        <v>9</v>
      </c>
      <c r="B109" s="70">
        <v>2</v>
      </c>
      <c r="C109" s="35" t="s">
        <v>11</v>
      </c>
      <c r="D109" s="76" t="s">
        <v>9</v>
      </c>
      <c r="E109" s="70">
        <v>2</v>
      </c>
      <c r="F109" s="35" t="s">
        <v>11</v>
      </c>
      <c r="G109" s="76" t="s">
        <v>9</v>
      </c>
      <c r="H109" s="70">
        <v>2</v>
      </c>
      <c r="I109" s="35" t="s">
        <v>11</v>
      </c>
      <c r="J109" s="76" t="s">
        <v>9</v>
      </c>
      <c r="K109" s="70">
        <v>2</v>
      </c>
      <c r="L109" s="35" t="s">
        <v>11</v>
      </c>
    </row>
    <row r="110" spans="1:12" x14ac:dyDescent="0.25">
      <c r="A110" s="76" t="s">
        <v>12</v>
      </c>
      <c r="B110" s="36">
        <f>B25-0.5</f>
        <v>12</v>
      </c>
      <c r="C110" s="35" t="s">
        <v>11</v>
      </c>
      <c r="D110" s="76" t="s">
        <v>12</v>
      </c>
      <c r="E110" s="36">
        <f>E25-0.5</f>
        <v>12</v>
      </c>
      <c r="F110" s="35" t="s">
        <v>11</v>
      </c>
      <c r="G110" s="76" t="s">
        <v>12</v>
      </c>
      <c r="H110" s="36">
        <f>H25-0.5</f>
        <v>12</v>
      </c>
      <c r="I110" s="35" t="s">
        <v>11</v>
      </c>
      <c r="J110" s="76" t="s">
        <v>12</v>
      </c>
      <c r="K110" s="36">
        <f>K25-0.5</f>
        <v>12</v>
      </c>
      <c r="L110" s="35" t="s">
        <v>11</v>
      </c>
    </row>
    <row r="111" spans="1:12" x14ac:dyDescent="0.25">
      <c r="A111" s="71" t="s">
        <v>13</v>
      </c>
      <c r="B111" s="52">
        <f>B26-0.5</f>
        <v>12</v>
      </c>
      <c r="C111" s="38" t="s">
        <v>11</v>
      </c>
      <c r="D111" s="71" t="s">
        <v>13</v>
      </c>
      <c r="E111" s="52">
        <f>E26-0.5</f>
        <v>7</v>
      </c>
      <c r="F111" s="38" t="s">
        <v>11</v>
      </c>
      <c r="G111" s="71" t="s">
        <v>13</v>
      </c>
      <c r="H111" s="52">
        <f>H26-0.5</f>
        <v>7</v>
      </c>
      <c r="I111" s="38" t="s">
        <v>11</v>
      </c>
      <c r="J111" s="71" t="s">
        <v>13</v>
      </c>
      <c r="K111" s="52">
        <f>K26-0.5</f>
        <v>6.5</v>
      </c>
      <c r="L111" s="38" t="s">
        <v>11</v>
      </c>
    </row>
    <row r="112" spans="1:12" ht="17.25" x14ac:dyDescent="0.25">
      <c r="A112" s="77" t="s">
        <v>18</v>
      </c>
      <c r="B112" s="70">
        <f>B108*B109*((B110+B111)/2)</f>
        <v>53.500000000000007</v>
      </c>
      <c r="C112" s="5" t="s">
        <v>19</v>
      </c>
      <c r="D112" s="77" t="s">
        <v>18</v>
      </c>
      <c r="E112" s="70">
        <f>E108*E109*((E110+E111)/2)</f>
        <v>228</v>
      </c>
      <c r="F112" s="5" t="s">
        <v>19</v>
      </c>
      <c r="G112" s="77" t="s">
        <v>18</v>
      </c>
      <c r="H112" s="70">
        <f>H108*H109*((H110+H111)/2)</f>
        <v>228</v>
      </c>
      <c r="I112" s="5" t="s">
        <v>19</v>
      </c>
      <c r="J112" s="77" t="s">
        <v>18</v>
      </c>
      <c r="K112" s="70">
        <f>K108*K109*((K110+K111)/2)</f>
        <v>370</v>
      </c>
      <c r="L112" s="5" t="s">
        <v>19</v>
      </c>
    </row>
    <row r="113" spans="1:12" ht="15.75" thickBot="1" x14ac:dyDescent="0.3">
      <c r="A113" s="23" t="s">
        <v>17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ht="15.75" thickBot="1" x14ac:dyDescent="0.3">
      <c r="A114" s="23"/>
      <c r="B114" s="23"/>
      <c r="C114" s="105" t="s">
        <v>30</v>
      </c>
      <c r="D114" s="106"/>
      <c r="E114" s="18">
        <f>ROUNDUP((B112+E112+H112+K112)/27,0)</f>
        <v>33</v>
      </c>
      <c r="F114" s="19" t="s">
        <v>21</v>
      </c>
      <c r="G114" s="23"/>
      <c r="H114" s="23"/>
      <c r="I114" s="23"/>
      <c r="J114" s="23"/>
      <c r="K114" s="23"/>
      <c r="L114" s="23"/>
    </row>
    <row r="116" spans="1:12" x14ac:dyDescent="0.25">
      <c r="A116" s="26" t="s">
        <v>74</v>
      </c>
      <c r="B116" s="23"/>
      <c r="C116" s="23"/>
      <c r="D116" s="23"/>
      <c r="E116" s="23"/>
      <c r="F116" s="23"/>
    </row>
    <row r="117" spans="1:12" ht="17.25" x14ac:dyDescent="0.25">
      <c r="A117" s="58"/>
      <c r="B117" s="59"/>
      <c r="C117" s="60" t="s">
        <v>34</v>
      </c>
      <c r="D117" s="61">
        <f>398.75+272.9175</f>
        <v>671.66750000000002</v>
      </c>
      <c r="E117" s="33" t="s">
        <v>22</v>
      </c>
      <c r="F117" s="23"/>
    </row>
    <row r="118" spans="1:12" x14ac:dyDescent="0.25">
      <c r="A118" s="45"/>
      <c r="B118" s="5"/>
      <c r="C118" s="77" t="s">
        <v>33</v>
      </c>
      <c r="D118" s="34">
        <v>4</v>
      </c>
      <c r="E118" s="35" t="s">
        <v>11</v>
      </c>
      <c r="F118" s="23"/>
    </row>
    <row r="119" spans="1:12" ht="17.25" x14ac:dyDescent="0.25">
      <c r="A119" s="62"/>
      <c r="B119" s="63"/>
      <c r="C119" s="72" t="s">
        <v>18</v>
      </c>
      <c r="D119" s="52">
        <f>D117*D118</f>
        <v>2686.67</v>
      </c>
      <c r="E119" s="38" t="s">
        <v>19</v>
      </c>
      <c r="F119" s="23"/>
    </row>
    <row r="120" spans="1:12" ht="15.75" thickBot="1" x14ac:dyDescent="0.3">
      <c r="A120" s="23" t="s">
        <v>35</v>
      </c>
      <c r="B120" s="23"/>
      <c r="C120" s="23"/>
      <c r="D120" s="23"/>
      <c r="E120" s="23"/>
      <c r="F120" s="23"/>
    </row>
    <row r="121" spans="1:12" ht="15.75" thickBot="1" x14ac:dyDescent="0.3">
      <c r="A121" s="23"/>
      <c r="B121" s="23"/>
      <c r="C121" s="108" t="s">
        <v>30</v>
      </c>
      <c r="D121" s="109"/>
      <c r="E121" s="20">
        <f>ROUNDUP((D119)/27,0)</f>
        <v>100</v>
      </c>
      <c r="F121" s="21" t="s">
        <v>21</v>
      </c>
    </row>
  </sheetData>
  <mergeCells count="53">
    <mergeCell ref="A41:F41"/>
    <mergeCell ref="G41:L41"/>
    <mergeCell ref="A1:F1"/>
    <mergeCell ref="C37:D37"/>
    <mergeCell ref="C50:D50"/>
    <mergeCell ref="A21:C21"/>
    <mergeCell ref="D21:F21"/>
    <mergeCell ref="G21:I21"/>
    <mergeCell ref="J21:L21"/>
    <mergeCell ref="C38:D38"/>
    <mergeCell ref="A9:E9"/>
    <mergeCell ref="F9:K9"/>
    <mergeCell ref="B18:C18"/>
    <mergeCell ref="A53:C53"/>
    <mergeCell ref="D53:F53"/>
    <mergeCell ref="C60:D60"/>
    <mergeCell ref="C121:D121"/>
    <mergeCell ref="A99:C99"/>
    <mergeCell ref="D99:F99"/>
    <mergeCell ref="D89:E89"/>
    <mergeCell ref="A107:C107"/>
    <mergeCell ref="D107:F107"/>
    <mergeCell ref="E82:F82"/>
    <mergeCell ref="B77:C77"/>
    <mergeCell ref="F77:G77"/>
    <mergeCell ref="A74:D74"/>
    <mergeCell ref="E74:H74"/>
    <mergeCell ref="C61:D61"/>
    <mergeCell ref="M64:P64"/>
    <mergeCell ref="B71:C71"/>
    <mergeCell ref="F71:G71"/>
    <mergeCell ref="J71:K71"/>
    <mergeCell ref="N71:O71"/>
    <mergeCell ref="B67:C67"/>
    <mergeCell ref="F67:G67"/>
    <mergeCell ref="J67:K67"/>
    <mergeCell ref="A64:D64"/>
    <mergeCell ref="E64:H64"/>
    <mergeCell ref="I64:L64"/>
    <mergeCell ref="N67:O67"/>
    <mergeCell ref="L78:M78"/>
    <mergeCell ref="L79:M79"/>
    <mergeCell ref="G107:I107"/>
    <mergeCell ref="J107:L107"/>
    <mergeCell ref="C114:D114"/>
    <mergeCell ref="B80:C80"/>
    <mergeCell ref="F80:G80"/>
    <mergeCell ref="D96:E96"/>
    <mergeCell ref="I74:K74"/>
    <mergeCell ref="L74:O74"/>
    <mergeCell ref="L75:M75"/>
    <mergeCell ref="L76:M76"/>
    <mergeCell ref="L77:M7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Structure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Zickafoose</dc:creator>
  <cp:lastModifiedBy>Joshua Zickafoose</cp:lastModifiedBy>
  <dcterms:created xsi:type="dcterms:W3CDTF">2015-06-30T11:25:24Z</dcterms:created>
  <dcterms:modified xsi:type="dcterms:W3CDTF">2020-10-26T18:51:28Z</dcterms:modified>
</cp:coreProperties>
</file>