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s\2017\STA62T_0137\102870\MOT\Spreadsheets\"/>
    </mc:Choice>
  </mc:AlternateContent>
  <xr:revisionPtr revIDLastSave="0" documentId="8_{AC509C09-0FB2-44D4-81F0-4A676E550BE4}" xr6:coauthVersionLast="47" xr6:coauthVersionMax="47" xr10:uidLastSave="{00000000-0000-0000-0000-000000000000}"/>
  <bookViews>
    <workbookView xWindow="22932" yWindow="-108" windowWidth="23256" windowHeight="13176" activeTab="5" xr2:uid="{B56901AE-1153-48DA-B318-D085A47798DC}"/>
  </bookViews>
  <sheets>
    <sheet name="Crossover 1" sheetId="5" r:id="rId1"/>
    <sheet name="Crossover 2" sheetId="6" r:id="rId2"/>
    <sheet name="Crossover 3" sheetId="7" r:id="rId3"/>
    <sheet name="Crossover 4" sheetId="8" r:id="rId4"/>
    <sheet name="Crossover 5 EW" sheetId="1" r:id="rId5"/>
    <sheet name="Crossover 6 EW" sheetId="3" r:id="rId6"/>
  </sheets>
  <definedNames>
    <definedName name="_xlnm.Print_Titles" localSheetId="0">'Crossover 1'!$3:$7</definedName>
    <definedName name="_xlnm.Print_Titles" localSheetId="1">'Crossover 2'!$3:$7</definedName>
    <definedName name="_xlnm.Print_Titles" localSheetId="2">'Crossover 3'!$3:$7</definedName>
    <definedName name="_xlnm.Print_Titles" localSheetId="3">'Crossover 4'!$3:$7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8" l="1"/>
  <c r="D41" i="8" s="1"/>
  <c r="N37" i="8"/>
  <c r="J37" i="8"/>
  <c r="H37" i="8"/>
  <c r="N35" i="8"/>
  <c r="J35" i="8"/>
  <c r="D34" i="8"/>
  <c r="H35" i="8" s="1"/>
  <c r="N33" i="8"/>
  <c r="J33" i="8"/>
  <c r="D32" i="8"/>
  <c r="H33" i="8" s="1"/>
  <c r="N31" i="8"/>
  <c r="J31" i="8"/>
  <c r="D30" i="8"/>
  <c r="H31" i="8" s="1"/>
  <c r="N29" i="8"/>
  <c r="J29" i="8"/>
  <c r="D28" i="8"/>
  <c r="H29" i="8" s="1"/>
  <c r="N27" i="8"/>
  <c r="J27" i="8"/>
  <c r="F26" i="8"/>
  <c r="D26" i="8"/>
  <c r="H27" i="8" s="1"/>
  <c r="N25" i="8"/>
  <c r="H25" i="8"/>
  <c r="F24" i="8"/>
  <c r="J25" i="8" s="1"/>
  <c r="D24" i="8"/>
  <c r="H23" i="8" s="1"/>
  <c r="N23" i="8"/>
  <c r="J23" i="8"/>
  <c r="F22" i="8"/>
  <c r="D22" i="8"/>
  <c r="N21" i="8"/>
  <c r="F20" i="8"/>
  <c r="J21" i="8" s="1"/>
  <c r="D20" i="8"/>
  <c r="H21" i="8" s="1"/>
  <c r="N19" i="8"/>
  <c r="D18" i="8"/>
  <c r="H19" i="8" s="1"/>
  <c r="N17" i="8"/>
  <c r="J17" i="8"/>
  <c r="D16" i="8"/>
  <c r="H17" i="8" s="1"/>
  <c r="N15" i="8"/>
  <c r="J15" i="8"/>
  <c r="H15" i="8"/>
  <c r="N13" i="8"/>
  <c r="N40" i="8" s="1"/>
  <c r="M5" i="8" s="1"/>
  <c r="J13" i="8"/>
  <c r="H13" i="8"/>
  <c r="N11" i="8"/>
  <c r="J11" i="8"/>
  <c r="D10" i="8"/>
  <c r="H11" i="8" s="1"/>
  <c r="N9" i="8"/>
  <c r="J9" i="8"/>
  <c r="D43" i="7"/>
  <c r="D42" i="7"/>
  <c r="N39" i="7"/>
  <c r="J39" i="7"/>
  <c r="H39" i="7"/>
  <c r="N37" i="7"/>
  <c r="J37" i="7"/>
  <c r="H37" i="7"/>
  <c r="N35" i="7"/>
  <c r="J35" i="7"/>
  <c r="F34" i="7"/>
  <c r="D34" i="7"/>
  <c r="H35" i="7" s="1"/>
  <c r="N33" i="7"/>
  <c r="J33" i="7"/>
  <c r="F32" i="7"/>
  <c r="D32" i="7"/>
  <c r="H33" i="7" s="1"/>
  <c r="N31" i="7"/>
  <c r="H31" i="7"/>
  <c r="F30" i="7"/>
  <c r="J31" i="7" s="1"/>
  <c r="D30" i="7"/>
  <c r="N29" i="7"/>
  <c r="J29" i="7"/>
  <c r="D28" i="7"/>
  <c r="H29" i="7" s="1"/>
  <c r="N27" i="7"/>
  <c r="J27" i="7"/>
  <c r="N25" i="7"/>
  <c r="J25" i="7"/>
  <c r="D24" i="7"/>
  <c r="H25" i="7" s="1"/>
  <c r="N23" i="7"/>
  <c r="J23" i="7"/>
  <c r="H23" i="7"/>
  <c r="N21" i="7"/>
  <c r="J21" i="7"/>
  <c r="H21" i="7"/>
  <c r="N19" i="7"/>
  <c r="J19" i="7"/>
  <c r="H19" i="7"/>
  <c r="N17" i="7"/>
  <c r="J17" i="7"/>
  <c r="H17" i="7"/>
  <c r="N15" i="7"/>
  <c r="J15" i="7"/>
  <c r="H15" i="7"/>
  <c r="N13" i="7"/>
  <c r="J13" i="7"/>
  <c r="H13" i="7"/>
  <c r="N11" i="7"/>
  <c r="F10" i="7"/>
  <c r="J11" i="7" s="1"/>
  <c r="D10" i="7"/>
  <c r="H11" i="7" s="1"/>
  <c r="N9" i="7"/>
  <c r="N42" i="7" s="1"/>
  <c r="M5" i="7" s="1"/>
  <c r="D48" i="6"/>
  <c r="D49" i="6" s="1"/>
  <c r="N45" i="6"/>
  <c r="J45" i="6"/>
  <c r="H45" i="6"/>
  <c r="N43" i="6"/>
  <c r="J43" i="6"/>
  <c r="H43" i="6"/>
  <c r="N41" i="6"/>
  <c r="H41" i="6"/>
  <c r="F40" i="6"/>
  <c r="J41" i="6" s="1"/>
  <c r="D40" i="6"/>
  <c r="N39" i="6"/>
  <c r="J39" i="6"/>
  <c r="H39" i="6"/>
  <c r="N37" i="6"/>
  <c r="J37" i="6"/>
  <c r="H37" i="6"/>
  <c r="F36" i="6"/>
  <c r="D36" i="6"/>
  <c r="N35" i="6"/>
  <c r="J35" i="6"/>
  <c r="F34" i="6"/>
  <c r="D34" i="6"/>
  <c r="H35" i="6" s="1"/>
  <c r="N33" i="6"/>
  <c r="J33" i="6"/>
  <c r="F32" i="6"/>
  <c r="D32" i="6"/>
  <c r="H33" i="6" s="1"/>
  <c r="N31" i="6"/>
  <c r="J31" i="6"/>
  <c r="F30" i="6"/>
  <c r="D30" i="6"/>
  <c r="H31" i="6" s="1"/>
  <c r="N29" i="6"/>
  <c r="H29" i="6"/>
  <c r="F28" i="6"/>
  <c r="J29" i="6" s="1"/>
  <c r="D28" i="6"/>
  <c r="N27" i="6"/>
  <c r="D26" i="6"/>
  <c r="H27" i="6" s="1"/>
  <c r="N25" i="6"/>
  <c r="J25" i="6"/>
  <c r="N23" i="6"/>
  <c r="J23" i="6"/>
  <c r="H23" i="6"/>
  <c r="N21" i="6"/>
  <c r="J21" i="6"/>
  <c r="H21" i="6"/>
  <c r="N19" i="6"/>
  <c r="J19" i="6"/>
  <c r="H19" i="6"/>
  <c r="N17" i="6"/>
  <c r="J17" i="6"/>
  <c r="H17" i="6"/>
  <c r="N15" i="6"/>
  <c r="J15" i="6"/>
  <c r="H15" i="6"/>
  <c r="N13" i="6"/>
  <c r="J13" i="6"/>
  <c r="H13" i="6"/>
  <c r="N11" i="6"/>
  <c r="J11" i="6"/>
  <c r="H11" i="6"/>
  <c r="N9" i="6"/>
  <c r="N48" i="6" s="1"/>
  <c r="M5" i="6" s="1"/>
  <c r="J9" i="6"/>
  <c r="H9" i="6"/>
  <c r="D47" i="5"/>
  <c r="D46" i="5"/>
  <c r="N43" i="5"/>
  <c r="J43" i="5"/>
  <c r="H43" i="5"/>
  <c r="F42" i="5"/>
  <c r="N41" i="5"/>
  <c r="J41" i="5"/>
  <c r="H41" i="5"/>
  <c r="N39" i="5"/>
  <c r="J39" i="5"/>
  <c r="H39" i="5"/>
  <c r="N37" i="5"/>
  <c r="J37" i="5"/>
  <c r="H37" i="5"/>
  <c r="N35" i="5"/>
  <c r="J35" i="5"/>
  <c r="H35" i="5"/>
  <c r="N33" i="5"/>
  <c r="J33" i="5"/>
  <c r="H33" i="5"/>
  <c r="N31" i="5"/>
  <c r="J31" i="5"/>
  <c r="H31" i="5"/>
  <c r="N29" i="5"/>
  <c r="H29" i="5"/>
  <c r="L28" i="5"/>
  <c r="F28" i="5"/>
  <c r="J29" i="5" s="1"/>
  <c r="D28" i="5"/>
  <c r="N27" i="5"/>
  <c r="H27" i="5"/>
  <c r="F26" i="5"/>
  <c r="J27" i="5" s="1"/>
  <c r="D26" i="5"/>
  <c r="N25" i="5"/>
  <c r="F24" i="5"/>
  <c r="D24" i="5"/>
  <c r="H25" i="5" s="1"/>
  <c r="N23" i="5"/>
  <c r="F22" i="5"/>
  <c r="J23" i="5" s="1"/>
  <c r="D22" i="5"/>
  <c r="H23" i="5" s="1"/>
  <c r="N21" i="5"/>
  <c r="N19" i="5"/>
  <c r="J19" i="5"/>
  <c r="H19" i="5"/>
  <c r="N17" i="5"/>
  <c r="J17" i="5"/>
  <c r="H17" i="5"/>
  <c r="N15" i="5"/>
  <c r="J15" i="5"/>
  <c r="H15" i="5"/>
  <c r="N13" i="5"/>
  <c r="J13" i="5"/>
  <c r="H13" i="5"/>
  <c r="N11" i="5"/>
  <c r="J11" i="5"/>
  <c r="H11" i="5"/>
  <c r="N9" i="5"/>
  <c r="N46" i="5" s="1"/>
  <c r="M5" i="5" s="1"/>
  <c r="J9" i="5"/>
  <c r="H9" i="5"/>
  <c r="G12" i="3"/>
  <c r="F12" i="3"/>
  <c r="G16" i="3"/>
  <c r="F16" i="3"/>
  <c r="G14" i="3"/>
  <c r="F14" i="3"/>
  <c r="G10" i="3"/>
  <c r="F10" i="3"/>
  <c r="G8" i="3"/>
  <c r="F8" i="3"/>
  <c r="G6" i="3"/>
  <c r="F6" i="3"/>
  <c r="J40" i="8" l="1"/>
  <c r="I5" i="8" s="1"/>
  <c r="J27" i="6"/>
  <c r="J48" i="6" s="1"/>
  <c r="I5" i="6" s="1"/>
  <c r="H21" i="5"/>
  <c r="H46" i="5" s="1"/>
  <c r="E5" i="5" s="1"/>
  <c r="H9" i="7"/>
  <c r="H42" i="7" s="1"/>
  <c r="E5" i="7" s="1"/>
  <c r="J25" i="5"/>
  <c r="J21" i="5"/>
  <c r="J46" i="5" s="1"/>
  <c r="I5" i="5" s="1"/>
  <c r="J9" i="7"/>
  <c r="J42" i="7" s="1"/>
  <c r="I5" i="7" s="1"/>
  <c r="J19" i="8"/>
  <c r="H25" i="6"/>
  <c r="H48" i="6" s="1"/>
  <c r="E5" i="6" s="1"/>
  <c r="H27" i="7"/>
  <c r="H9" i="8"/>
  <c r="H40" i="8" s="1"/>
  <c r="E5" i="8" s="1"/>
  <c r="F18" i="3"/>
  <c r="G18" i="3"/>
  <c r="G32" i="1"/>
  <c r="F32" i="1"/>
  <c r="G30" i="1"/>
  <c r="G28" i="1"/>
  <c r="G26" i="1"/>
  <c r="G24" i="1"/>
  <c r="G22" i="1"/>
  <c r="G20" i="1"/>
  <c r="G18" i="1"/>
  <c r="G16" i="1"/>
  <c r="G14" i="1"/>
  <c r="G12" i="1"/>
  <c r="G10" i="1"/>
  <c r="G8" i="1"/>
  <c r="G6" i="1"/>
  <c r="F8" i="1"/>
  <c r="F6" i="1"/>
  <c r="F30" i="1"/>
  <c r="F28" i="1"/>
  <c r="F26" i="1"/>
  <c r="F24" i="1"/>
  <c r="F22" i="1"/>
  <c r="F20" i="1"/>
  <c r="F18" i="1"/>
  <c r="F16" i="1"/>
  <c r="F14" i="1"/>
  <c r="F12" i="1"/>
  <c r="F10" i="1"/>
  <c r="F34" i="1" l="1"/>
  <c r="G34" i="1"/>
</calcChain>
</file>

<file path=xl/sharedStrings.xml><?xml version="1.0" encoding="utf-8"?>
<sst xmlns="http://schemas.openxmlformats.org/spreadsheetml/2006/main" count="80" uniqueCount="23">
  <si>
    <t>102870 MOT CROSSOVER EARTHWORK CALCULATION</t>
  </si>
  <si>
    <t>TOTAL CUT =</t>
  </si>
  <si>
    <t>CU YD</t>
  </si>
  <si>
    <t>TOTAL FILL =</t>
  </si>
  <si>
    <t>TOTAL S/M =</t>
  </si>
  <si>
    <t>SQ YD</t>
  </si>
  <si>
    <t>CUT-SQ-FT</t>
  </si>
  <si>
    <t>FILL SQ FT</t>
  </si>
  <si>
    <t>CUT-CU YD</t>
  </si>
  <si>
    <t>FILL CU YD</t>
  </si>
  <si>
    <t>WIDTH</t>
  </si>
  <si>
    <t>Total Length (ft)=</t>
  </si>
  <si>
    <t>Total Cut=</t>
  </si>
  <si>
    <t>Total Fill=</t>
  </si>
  <si>
    <t>Total S/M:</t>
  </si>
  <si>
    <t>Total Length (miles)=</t>
  </si>
  <si>
    <t>TOTAL</t>
  </si>
  <si>
    <t>CUT (SF)</t>
  </si>
  <si>
    <t>FILL (SF)</t>
  </si>
  <si>
    <t xml:space="preserve">CUT (CY) </t>
  </si>
  <si>
    <t>FILL (CY)</t>
  </si>
  <si>
    <t>CROSSOVER 5 EARTHWORK</t>
  </si>
  <si>
    <t>CROSSOVER 6 EARTHWORK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</si>
</sst>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+00.00"/>
    <numFmt numFmtId="165" formatCode="0.0"/>
    <numFmt numFmtId="166" formatCode="#\+##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1"/>
    <xf numFmtId="165" fontId="1" fillId="0" borderId="0" xfId="1" applyNumberFormat="1"/>
    <xf numFmtId="0" fontId="1" fillId="0" borderId="1" xfId="1" applyBorder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0" borderId="8" xfId="1" applyBorder="1"/>
    <xf numFmtId="165" fontId="1" fillId="0" borderId="8" xfId="1" applyNumberFormat="1" applyBorder="1"/>
    <xf numFmtId="0" fontId="1" fillId="0" borderId="9" xfId="1" applyBorder="1"/>
    <xf numFmtId="0" fontId="3" fillId="0" borderId="10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" fontId="3" fillId="0" borderId="11" xfId="1" applyNumberFormat="1" applyFont="1" applyBorder="1"/>
    <xf numFmtId="1" fontId="3" fillId="0" borderId="12" xfId="1" applyNumberFormat="1" applyFont="1" applyBorder="1"/>
    <xf numFmtId="1" fontId="3" fillId="0" borderId="12" xfId="1" applyNumberFormat="1" applyFont="1" applyBorder="1" applyAlignment="1">
      <alignment horizontal="left"/>
    </xf>
    <xf numFmtId="165" fontId="3" fillId="0" borderId="10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" fontId="3" fillId="0" borderId="8" xfId="1" applyNumberFormat="1" applyFont="1" applyBorder="1"/>
    <xf numFmtId="1" fontId="3" fillId="0" borderId="13" xfId="1" applyNumberFormat="1" applyFont="1" applyBorder="1" applyAlignment="1">
      <alignment horizontal="center"/>
    </xf>
    <xf numFmtId="0" fontId="3" fillId="0" borderId="0" xfId="1" applyFont="1"/>
    <xf numFmtId="165" fontId="3" fillId="0" borderId="0" xfId="1" applyNumberFormat="1" applyFont="1"/>
    <xf numFmtId="0" fontId="4" fillId="0" borderId="0" xfId="1" applyFont="1"/>
    <xf numFmtId="166" fontId="4" fillId="0" borderId="0" xfId="1" applyNumberFormat="1" applyFont="1"/>
    <xf numFmtId="1" fontId="4" fillId="0" borderId="0" xfId="1" applyNumberFormat="1" applyFont="1"/>
    <xf numFmtId="1" fontId="1" fillId="0" borderId="0" xfId="1" applyNumberFormat="1"/>
    <xf numFmtId="1" fontId="3" fillId="0" borderId="0" xfId="1" applyNumberFormat="1" applyFont="1"/>
    <xf numFmtId="1" fontId="4" fillId="0" borderId="0" xfId="1" quotePrefix="1" applyNumberFormat="1" applyFont="1"/>
    <xf numFmtId="2" fontId="1" fillId="0" borderId="0" xfId="1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</cellXfs>
  <cellStyles count="2">
    <cellStyle name="Normal" xfId="0" builtinId="0"/>
    <cellStyle name="Normal 2" xfId="1" xr:uid="{EE718507-C2EF-4510-9487-E7BEDB9222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CAAF-ECC0-44A8-88B5-C2864A9CC4CD}">
  <sheetPr>
    <pageSetUpPr fitToPage="1"/>
  </sheetPr>
  <dimension ref="B1:P48"/>
  <sheetViews>
    <sheetView topLeftCell="B1" zoomScaleNormal="100" workbookViewId="0">
      <selection activeCell="B2" sqref="B2:N3"/>
    </sheetView>
  </sheetViews>
  <sheetFormatPr defaultRowHeight="12.75" x14ac:dyDescent="0.2"/>
  <cols>
    <col min="1" max="5" width="9.140625" style="4"/>
    <col min="6" max="6" width="10.140625" style="4" bestFit="1" customWidth="1"/>
    <col min="7" max="7" width="9.140625" style="4"/>
    <col min="8" max="8" width="9.140625" style="5"/>
    <col min="9" max="9" width="9.140625" style="4"/>
    <col min="10" max="10" width="9.140625" style="5"/>
    <col min="11" max="13" width="9.140625" style="4"/>
    <col min="14" max="14" width="12.5703125" style="5" customWidth="1"/>
    <col min="15" max="261" width="9.140625" style="4"/>
    <col min="262" max="262" width="10.140625" style="4" bestFit="1" customWidth="1"/>
    <col min="263" max="269" width="9.140625" style="4"/>
    <col min="270" max="270" width="12.5703125" style="4" customWidth="1"/>
    <col min="271" max="517" width="9.140625" style="4"/>
    <col min="518" max="518" width="10.140625" style="4" bestFit="1" customWidth="1"/>
    <col min="519" max="525" width="9.140625" style="4"/>
    <col min="526" max="526" width="12.5703125" style="4" customWidth="1"/>
    <col min="527" max="773" width="9.140625" style="4"/>
    <col min="774" max="774" width="10.140625" style="4" bestFit="1" customWidth="1"/>
    <col min="775" max="781" width="9.140625" style="4"/>
    <col min="782" max="782" width="12.5703125" style="4" customWidth="1"/>
    <col min="783" max="1029" width="9.140625" style="4"/>
    <col min="1030" max="1030" width="10.140625" style="4" bestFit="1" customWidth="1"/>
    <col min="1031" max="1037" width="9.140625" style="4"/>
    <col min="1038" max="1038" width="12.5703125" style="4" customWidth="1"/>
    <col min="1039" max="1285" width="9.140625" style="4"/>
    <col min="1286" max="1286" width="10.140625" style="4" bestFit="1" customWidth="1"/>
    <col min="1287" max="1293" width="9.140625" style="4"/>
    <col min="1294" max="1294" width="12.5703125" style="4" customWidth="1"/>
    <col min="1295" max="1541" width="9.140625" style="4"/>
    <col min="1542" max="1542" width="10.140625" style="4" bestFit="1" customWidth="1"/>
    <col min="1543" max="1549" width="9.140625" style="4"/>
    <col min="1550" max="1550" width="12.5703125" style="4" customWidth="1"/>
    <col min="1551" max="1797" width="9.140625" style="4"/>
    <col min="1798" max="1798" width="10.140625" style="4" bestFit="1" customWidth="1"/>
    <col min="1799" max="1805" width="9.140625" style="4"/>
    <col min="1806" max="1806" width="12.5703125" style="4" customWidth="1"/>
    <col min="1807" max="2053" width="9.140625" style="4"/>
    <col min="2054" max="2054" width="10.140625" style="4" bestFit="1" customWidth="1"/>
    <col min="2055" max="2061" width="9.140625" style="4"/>
    <col min="2062" max="2062" width="12.5703125" style="4" customWidth="1"/>
    <col min="2063" max="2309" width="9.140625" style="4"/>
    <col min="2310" max="2310" width="10.140625" style="4" bestFit="1" customWidth="1"/>
    <col min="2311" max="2317" width="9.140625" style="4"/>
    <col min="2318" max="2318" width="12.5703125" style="4" customWidth="1"/>
    <col min="2319" max="2565" width="9.140625" style="4"/>
    <col min="2566" max="2566" width="10.140625" style="4" bestFit="1" customWidth="1"/>
    <col min="2567" max="2573" width="9.140625" style="4"/>
    <col min="2574" max="2574" width="12.5703125" style="4" customWidth="1"/>
    <col min="2575" max="2821" width="9.140625" style="4"/>
    <col min="2822" max="2822" width="10.140625" style="4" bestFit="1" customWidth="1"/>
    <col min="2823" max="2829" width="9.140625" style="4"/>
    <col min="2830" max="2830" width="12.5703125" style="4" customWidth="1"/>
    <col min="2831" max="3077" width="9.140625" style="4"/>
    <col min="3078" max="3078" width="10.140625" style="4" bestFit="1" customWidth="1"/>
    <col min="3079" max="3085" width="9.140625" style="4"/>
    <col min="3086" max="3086" width="12.5703125" style="4" customWidth="1"/>
    <col min="3087" max="3333" width="9.140625" style="4"/>
    <col min="3334" max="3334" width="10.140625" style="4" bestFit="1" customWidth="1"/>
    <col min="3335" max="3341" width="9.140625" style="4"/>
    <col min="3342" max="3342" width="12.5703125" style="4" customWidth="1"/>
    <col min="3343" max="3589" width="9.140625" style="4"/>
    <col min="3590" max="3590" width="10.140625" style="4" bestFit="1" customWidth="1"/>
    <col min="3591" max="3597" width="9.140625" style="4"/>
    <col min="3598" max="3598" width="12.5703125" style="4" customWidth="1"/>
    <col min="3599" max="3845" width="9.140625" style="4"/>
    <col min="3846" max="3846" width="10.140625" style="4" bestFit="1" customWidth="1"/>
    <col min="3847" max="3853" width="9.140625" style="4"/>
    <col min="3854" max="3854" width="12.5703125" style="4" customWidth="1"/>
    <col min="3855" max="4101" width="9.140625" style="4"/>
    <col min="4102" max="4102" width="10.140625" style="4" bestFit="1" customWidth="1"/>
    <col min="4103" max="4109" width="9.140625" style="4"/>
    <col min="4110" max="4110" width="12.5703125" style="4" customWidth="1"/>
    <col min="4111" max="4357" width="9.140625" style="4"/>
    <col min="4358" max="4358" width="10.140625" style="4" bestFit="1" customWidth="1"/>
    <col min="4359" max="4365" width="9.140625" style="4"/>
    <col min="4366" max="4366" width="12.5703125" style="4" customWidth="1"/>
    <col min="4367" max="4613" width="9.140625" style="4"/>
    <col min="4614" max="4614" width="10.140625" style="4" bestFit="1" customWidth="1"/>
    <col min="4615" max="4621" width="9.140625" style="4"/>
    <col min="4622" max="4622" width="12.5703125" style="4" customWidth="1"/>
    <col min="4623" max="4869" width="9.140625" style="4"/>
    <col min="4870" max="4870" width="10.140625" style="4" bestFit="1" customWidth="1"/>
    <col min="4871" max="4877" width="9.140625" style="4"/>
    <col min="4878" max="4878" width="12.5703125" style="4" customWidth="1"/>
    <col min="4879" max="5125" width="9.140625" style="4"/>
    <col min="5126" max="5126" width="10.140625" style="4" bestFit="1" customWidth="1"/>
    <col min="5127" max="5133" width="9.140625" style="4"/>
    <col min="5134" max="5134" width="12.5703125" style="4" customWidth="1"/>
    <col min="5135" max="5381" width="9.140625" style="4"/>
    <col min="5382" max="5382" width="10.140625" style="4" bestFit="1" customWidth="1"/>
    <col min="5383" max="5389" width="9.140625" style="4"/>
    <col min="5390" max="5390" width="12.5703125" style="4" customWidth="1"/>
    <col min="5391" max="5637" width="9.140625" style="4"/>
    <col min="5638" max="5638" width="10.140625" style="4" bestFit="1" customWidth="1"/>
    <col min="5639" max="5645" width="9.140625" style="4"/>
    <col min="5646" max="5646" width="12.5703125" style="4" customWidth="1"/>
    <col min="5647" max="5893" width="9.140625" style="4"/>
    <col min="5894" max="5894" width="10.140625" style="4" bestFit="1" customWidth="1"/>
    <col min="5895" max="5901" width="9.140625" style="4"/>
    <col min="5902" max="5902" width="12.5703125" style="4" customWidth="1"/>
    <col min="5903" max="6149" width="9.140625" style="4"/>
    <col min="6150" max="6150" width="10.140625" style="4" bestFit="1" customWidth="1"/>
    <col min="6151" max="6157" width="9.140625" style="4"/>
    <col min="6158" max="6158" width="12.5703125" style="4" customWidth="1"/>
    <col min="6159" max="6405" width="9.140625" style="4"/>
    <col min="6406" max="6406" width="10.140625" style="4" bestFit="1" customWidth="1"/>
    <col min="6407" max="6413" width="9.140625" style="4"/>
    <col min="6414" max="6414" width="12.5703125" style="4" customWidth="1"/>
    <col min="6415" max="6661" width="9.140625" style="4"/>
    <col min="6662" max="6662" width="10.140625" style="4" bestFit="1" customWidth="1"/>
    <col min="6663" max="6669" width="9.140625" style="4"/>
    <col min="6670" max="6670" width="12.5703125" style="4" customWidth="1"/>
    <col min="6671" max="6917" width="9.140625" style="4"/>
    <col min="6918" max="6918" width="10.140625" style="4" bestFit="1" customWidth="1"/>
    <col min="6919" max="6925" width="9.140625" style="4"/>
    <col min="6926" max="6926" width="12.5703125" style="4" customWidth="1"/>
    <col min="6927" max="7173" width="9.140625" style="4"/>
    <col min="7174" max="7174" width="10.140625" style="4" bestFit="1" customWidth="1"/>
    <col min="7175" max="7181" width="9.140625" style="4"/>
    <col min="7182" max="7182" width="12.5703125" style="4" customWidth="1"/>
    <col min="7183" max="7429" width="9.140625" style="4"/>
    <col min="7430" max="7430" width="10.140625" style="4" bestFit="1" customWidth="1"/>
    <col min="7431" max="7437" width="9.140625" style="4"/>
    <col min="7438" max="7438" width="12.5703125" style="4" customWidth="1"/>
    <col min="7439" max="7685" width="9.140625" style="4"/>
    <col min="7686" max="7686" width="10.140625" style="4" bestFit="1" customWidth="1"/>
    <col min="7687" max="7693" width="9.140625" style="4"/>
    <col min="7694" max="7694" width="12.5703125" style="4" customWidth="1"/>
    <col min="7695" max="7941" width="9.140625" style="4"/>
    <col min="7942" max="7942" width="10.140625" style="4" bestFit="1" customWidth="1"/>
    <col min="7943" max="7949" width="9.140625" style="4"/>
    <col min="7950" max="7950" width="12.5703125" style="4" customWidth="1"/>
    <col min="7951" max="8197" width="9.140625" style="4"/>
    <col min="8198" max="8198" width="10.140625" style="4" bestFit="1" customWidth="1"/>
    <col min="8199" max="8205" width="9.140625" style="4"/>
    <col min="8206" max="8206" width="12.5703125" style="4" customWidth="1"/>
    <col min="8207" max="8453" width="9.140625" style="4"/>
    <col min="8454" max="8454" width="10.140625" style="4" bestFit="1" customWidth="1"/>
    <col min="8455" max="8461" width="9.140625" style="4"/>
    <col min="8462" max="8462" width="12.5703125" style="4" customWidth="1"/>
    <col min="8463" max="8709" width="9.140625" style="4"/>
    <col min="8710" max="8710" width="10.140625" style="4" bestFit="1" customWidth="1"/>
    <col min="8711" max="8717" width="9.140625" style="4"/>
    <col min="8718" max="8718" width="12.5703125" style="4" customWidth="1"/>
    <col min="8719" max="8965" width="9.140625" style="4"/>
    <col min="8966" max="8966" width="10.140625" style="4" bestFit="1" customWidth="1"/>
    <col min="8967" max="8973" width="9.140625" style="4"/>
    <col min="8974" max="8974" width="12.5703125" style="4" customWidth="1"/>
    <col min="8975" max="9221" width="9.140625" style="4"/>
    <col min="9222" max="9222" width="10.140625" style="4" bestFit="1" customWidth="1"/>
    <col min="9223" max="9229" width="9.140625" style="4"/>
    <col min="9230" max="9230" width="12.5703125" style="4" customWidth="1"/>
    <col min="9231" max="9477" width="9.140625" style="4"/>
    <col min="9478" max="9478" width="10.140625" style="4" bestFit="1" customWidth="1"/>
    <col min="9479" max="9485" width="9.140625" style="4"/>
    <col min="9486" max="9486" width="12.5703125" style="4" customWidth="1"/>
    <col min="9487" max="9733" width="9.140625" style="4"/>
    <col min="9734" max="9734" width="10.140625" style="4" bestFit="1" customWidth="1"/>
    <col min="9735" max="9741" width="9.140625" style="4"/>
    <col min="9742" max="9742" width="12.5703125" style="4" customWidth="1"/>
    <col min="9743" max="9989" width="9.140625" style="4"/>
    <col min="9990" max="9990" width="10.140625" style="4" bestFit="1" customWidth="1"/>
    <col min="9991" max="9997" width="9.140625" style="4"/>
    <col min="9998" max="9998" width="12.5703125" style="4" customWidth="1"/>
    <col min="9999" max="10245" width="9.140625" style="4"/>
    <col min="10246" max="10246" width="10.140625" style="4" bestFit="1" customWidth="1"/>
    <col min="10247" max="10253" width="9.140625" style="4"/>
    <col min="10254" max="10254" width="12.5703125" style="4" customWidth="1"/>
    <col min="10255" max="10501" width="9.140625" style="4"/>
    <col min="10502" max="10502" width="10.140625" style="4" bestFit="1" customWidth="1"/>
    <col min="10503" max="10509" width="9.140625" style="4"/>
    <col min="10510" max="10510" width="12.5703125" style="4" customWidth="1"/>
    <col min="10511" max="10757" width="9.140625" style="4"/>
    <col min="10758" max="10758" width="10.140625" style="4" bestFit="1" customWidth="1"/>
    <col min="10759" max="10765" width="9.140625" style="4"/>
    <col min="10766" max="10766" width="12.5703125" style="4" customWidth="1"/>
    <col min="10767" max="11013" width="9.140625" style="4"/>
    <col min="11014" max="11014" width="10.140625" style="4" bestFit="1" customWidth="1"/>
    <col min="11015" max="11021" width="9.140625" style="4"/>
    <col min="11022" max="11022" width="12.5703125" style="4" customWidth="1"/>
    <col min="11023" max="11269" width="9.140625" style="4"/>
    <col min="11270" max="11270" width="10.140625" style="4" bestFit="1" customWidth="1"/>
    <col min="11271" max="11277" width="9.140625" style="4"/>
    <col min="11278" max="11278" width="12.5703125" style="4" customWidth="1"/>
    <col min="11279" max="11525" width="9.140625" style="4"/>
    <col min="11526" max="11526" width="10.140625" style="4" bestFit="1" customWidth="1"/>
    <col min="11527" max="11533" width="9.140625" style="4"/>
    <col min="11534" max="11534" width="12.5703125" style="4" customWidth="1"/>
    <col min="11535" max="11781" width="9.140625" style="4"/>
    <col min="11782" max="11782" width="10.140625" style="4" bestFit="1" customWidth="1"/>
    <col min="11783" max="11789" width="9.140625" style="4"/>
    <col min="11790" max="11790" width="12.5703125" style="4" customWidth="1"/>
    <col min="11791" max="12037" width="9.140625" style="4"/>
    <col min="12038" max="12038" width="10.140625" style="4" bestFit="1" customWidth="1"/>
    <col min="12039" max="12045" width="9.140625" style="4"/>
    <col min="12046" max="12046" width="12.5703125" style="4" customWidth="1"/>
    <col min="12047" max="12293" width="9.140625" style="4"/>
    <col min="12294" max="12294" width="10.140625" style="4" bestFit="1" customWidth="1"/>
    <col min="12295" max="12301" width="9.140625" style="4"/>
    <col min="12302" max="12302" width="12.5703125" style="4" customWidth="1"/>
    <col min="12303" max="12549" width="9.140625" style="4"/>
    <col min="12550" max="12550" width="10.140625" style="4" bestFit="1" customWidth="1"/>
    <col min="12551" max="12557" width="9.140625" style="4"/>
    <col min="12558" max="12558" width="12.5703125" style="4" customWidth="1"/>
    <col min="12559" max="12805" width="9.140625" style="4"/>
    <col min="12806" max="12806" width="10.140625" style="4" bestFit="1" customWidth="1"/>
    <col min="12807" max="12813" width="9.140625" style="4"/>
    <col min="12814" max="12814" width="12.5703125" style="4" customWidth="1"/>
    <col min="12815" max="13061" width="9.140625" style="4"/>
    <col min="13062" max="13062" width="10.140625" style="4" bestFit="1" customWidth="1"/>
    <col min="13063" max="13069" width="9.140625" style="4"/>
    <col min="13070" max="13070" width="12.5703125" style="4" customWidth="1"/>
    <col min="13071" max="13317" width="9.140625" style="4"/>
    <col min="13318" max="13318" width="10.140625" style="4" bestFit="1" customWidth="1"/>
    <col min="13319" max="13325" width="9.140625" style="4"/>
    <col min="13326" max="13326" width="12.5703125" style="4" customWidth="1"/>
    <col min="13327" max="13573" width="9.140625" style="4"/>
    <col min="13574" max="13574" width="10.140625" style="4" bestFit="1" customWidth="1"/>
    <col min="13575" max="13581" width="9.140625" style="4"/>
    <col min="13582" max="13582" width="12.5703125" style="4" customWidth="1"/>
    <col min="13583" max="13829" width="9.140625" style="4"/>
    <col min="13830" max="13830" width="10.140625" style="4" bestFit="1" customWidth="1"/>
    <col min="13831" max="13837" width="9.140625" style="4"/>
    <col min="13838" max="13838" width="12.5703125" style="4" customWidth="1"/>
    <col min="13839" max="14085" width="9.140625" style="4"/>
    <col min="14086" max="14086" width="10.140625" style="4" bestFit="1" customWidth="1"/>
    <col min="14087" max="14093" width="9.140625" style="4"/>
    <col min="14094" max="14094" width="12.5703125" style="4" customWidth="1"/>
    <col min="14095" max="14341" width="9.140625" style="4"/>
    <col min="14342" max="14342" width="10.140625" style="4" bestFit="1" customWidth="1"/>
    <col min="14343" max="14349" width="9.140625" style="4"/>
    <col min="14350" max="14350" width="12.5703125" style="4" customWidth="1"/>
    <col min="14351" max="14597" width="9.140625" style="4"/>
    <col min="14598" max="14598" width="10.140625" style="4" bestFit="1" customWidth="1"/>
    <col min="14599" max="14605" width="9.140625" style="4"/>
    <col min="14606" max="14606" width="12.5703125" style="4" customWidth="1"/>
    <col min="14607" max="14853" width="9.140625" style="4"/>
    <col min="14854" max="14854" width="10.140625" style="4" bestFit="1" customWidth="1"/>
    <col min="14855" max="14861" width="9.140625" style="4"/>
    <col min="14862" max="14862" width="12.5703125" style="4" customWidth="1"/>
    <col min="14863" max="15109" width="9.140625" style="4"/>
    <col min="15110" max="15110" width="10.140625" style="4" bestFit="1" customWidth="1"/>
    <col min="15111" max="15117" width="9.140625" style="4"/>
    <col min="15118" max="15118" width="12.5703125" style="4" customWidth="1"/>
    <col min="15119" max="15365" width="9.140625" style="4"/>
    <col min="15366" max="15366" width="10.140625" style="4" bestFit="1" customWidth="1"/>
    <col min="15367" max="15373" width="9.140625" style="4"/>
    <col min="15374" max="15374" width="12.5703125" style="4" customWidth="1"/>
    <col min="15375" max="15621" width="9.140625" style="4"/>
    <col min="15622" max="15622" width="10.140625" style="4" bestFit="1" customWidth="1"/>
    <col min="15623" max="15629" width="9.140625" style="4"/>
    <col min="15630" max="15630" width="12.5703125" style="4" customWidth="1"/>
    <col min="15631" max="15877" width="9.140625" style="4"/>
    <col min="15878" max="15878" width="10.140625" style="4" bestFit="1" customWidth="1"/>
    <col min="15879" max="15885" width="9.140625" style="4"/>
    <col min="15886" max="15886" width="12.5703125" style="4" customWidth="1"/>
    <col min="15887" max="16133" width="9.140625" style="4"/>
    <col min="16134" max="16134" width="10.140625" style="4" bestFit="1" customWidth="1"/>
    <col min="16135" max="16141" width="9.140625" style="4"/>
    <col min="16142" max="16142" width="12.5703125" style="4" customWidth="1"/>
    <col min="16143" max="16384" width="9.140625" style="4"/>
  </cols>
  <sheetData>
    <row r="1" spans="2:16" ht="13.5" thickBot="1" x14ac:dyDescent="0.25">
      <c r="M1" s="6"/>
      <c r="N1" s="6"/>
    </row>
    <row r="2" spans="2:16" ht="12.75" customHeight="1" x14ac:dyDescent="0.2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6" ht="15.75" customHeight="1" thickBot="1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2:16" ht="15.75" customHeight="1" x14ac:dyDescent="0.2"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6"/>
    </row>
    <row r="5" spans="2:16" x14ac:dyDescent="0.2">
      <c r="B5" s="17"/>
      <c r="C5" s="18" t="s">
        <v>1</v>
      </c>
      <c r="D5" s="19"/>
      <c r="E5" s="20">
        <f>H46</f>
        <v>163.46911111111115</v>
      </c>
      <c r="F5" s="21" t="s">
        <v>2</v>
      </c>
      <c r="G5" s="18" t="s">
        <v>3</v>
      </c>
      <c r="H5" s="19"/>
      <c r="I5" s="20">
        <f>J46</f>
        <v>148.5694074074074</v>
      </c>
      <c r="J5" s="22" t="s">
        <v>2</v>
      </c>
      <c r="K5" s="23" t="s">
        <v>4</v>
      </c>
      <c r="L5" s="24"/>
      <c r="M5" s="25">
        <f>N46</f>
        <v>749.84911111111103</v>
      </c>
      <c r="N5" s="26" t="s">
        <v>5</v>
      </c>
      <c r="O5" s="27"/>
    </row>
    <row r="6" spans="2:16" x14ac:dyDescent="0.2">
      <c r="L6" s="27"/>
    </row>
    <row r="7" spans="2:16" x14ac:dyDescent="0.2">
      <c r="D7" s="27" t="s">
        <v>6</v>
      </c>
      <c r="E7" s="27"/>
      <c r="F7" s="27" t="s">
        <v>7</v>
      </c>
      <c r="G7" s="27"/>
      <c r="H7" s="28" t="s">
        <v>8</v>
      </c>
      <c r="I7" s="27"/>
      <c r="J7" s="28" t="s">
        <v>9</v>
      </c>
      <c r="L7" s="27" t="s">
        <v>10</v>
      </c>
      <c r="M7" s="27"/>
      <c r="N7" s="28"/>
      <c r="P7" s="27"/>
    </row>
    <row r="8" spans="2:16" x14ac:dyDescent="0.2">
      <c r="B8" s="29"/>
      <c r="C8" s="30">
        <v>10350</v>
      </c>
      <c r="D8" s="31">
        <v>0</v>
      </c>
      <c r="E8" s="31"/>
      <c r="F8" s="31">
        <v>0</v>
      </c>
      <c r="G8" s="31"/>
      <c r="H8" s="31"/>
      <c r="I8" s="31"/>
      <c r="J8" s="31"/>
      <c r="K8" s="31"/>
      <c r="L8" s="31">
        <v>0</v>
      </c>
      <c r="M8" s="31"/>
      <c r="N8" s="31"/>
      <c r="O8" s="32"/>
      <c r="P8" s="27"/>
    </row>
    <row r="9" spans="2:16" x14ac:dyDescent="0.2">
      <c r="B9" s="29"/>
      <c r="C9" s="30"/>
      <c r="D9" s="33"/>
      <c r="E9" s="33"/>
      <c r="F9" s="33"/>
      <c r="G9" s="33"/>
      <c r="H9" s="31">
        <f>(((D8+D10)/2)*(C10-C8))/27</f>
        <v>0</v>
      </c>
      <c r="I9" s="33"/>
      <c r="J9" s="31">
        <f>(((F8+F10)/2)*(C10-C8))/27</f>
        <v>2.0370370370370372</v>
      </c>
      <c r="K9" s="31"/>
      <c r="L9" s="33"/>
      <c r="M9" s="33"/>
      <c r="N9" s="31">
        <f>(((L8+L10)/2)*(C10-C8))/9</f>
        <v>16.388888888888889</v>
      </c>
      <c r="O9" s="32"/>
      <c r="P9" s="27"/>
    </row>
    <row r="10" spans="2:16" x14ac:dyDescent="0.2">
      <c r="B10" s="29"/>
      <c r="C10" s="30">
        <v>10400</v>
      </c>
      <c r="D10" s="31">
        <v>0</v>
      </c>
      <c r="E10" s="31"/>
      <c r="F10" s="31">
        <v>2.2000000000000002</v>
      </c>
      <c r="G10" s="31"/>
      <c r="H10" s="31"/>
      <c r="I10" s="31"/>
      <c r="J10" s="31"/>
      <c r="K10" s="31"/>
      <c r="L10" s="31">
        <v>5.9</v>
      </c>
      <c r="M10" s="33"/>
      <c r="N10" s="31"/>
      <c r="O10" s="32"/>
      <c r="P10" s="27"/>
    </row>
    <row r="11" spans="2:16" x14ac:dyDescent="0.2">
      <c r="B11" s="29"/>
      <c r="C11" s="30"/>
      <c r="D11" s="33"/>
      <c r="E11" s="33"/>
      <c r="F11" s="33"/>
      <c r="G11" s="33"/>
      <c r="H11" s="31">
        <f>(((D10+D12)/2)*(C12-C10))/27</f>
        <v>0</v>
      </c>
      <c r="I11" s="33"/>
      <c r="J11" s="31">
        <f>(((F10+F12)/2)*(C12-C10))/27</f>
        <v>6.7592592592592595</v>
      </c>
      <c r="K11" s="31"/>
      <c r="L11" s="33"/>
      <c r="M11" s="33"/>
      <c r="N11" s="31">
        <f>(((L10+L12)/2)*(C12-C10))/9</f>
        <v>48.055555555555557</v>
      </c>
      <c r="O11" s="32"/>
      <c r="P11" s="27"/>
    </row>
    <row r="12" spans="2:16" x14ac:dyDescent="0.2">
      <c r="B12" s="29"/>
      <c r="C12" s="30">
        <v>10450</v>
      </c>
      <c r="D12" s="31">
        <v>0</v>
      </c>
      <c r="E12" s="31"/>
      <c r="F12" s="31">
        <v>5.0999999999999996</v>
      </c>
      <c r="G12" s="31"/>
      <c r="H12" s="31"/>
      <c r="I12" s="31"/>
      <c r="J12" s="31"/>
      <c r="K12" s="31"/>
      <c r="L12" s="31">
        <v>11.4</v>
      </c>
      <c r="M12" s="33"/>
      <c r="N12" s="31"/>
      <c r="O12" s="32"/>
      <c r="P12" s="27"/>
    </row>
    <row r="13" spans="2:16" x14ac:dyDescent="0.2">
      <c r="B13" s="29"/>
      <c r="C13" s="30"/>
      <c r="D13" s="33"/>
      <c r="E13" s="33"/>
      <c r="F13" s="33"/>
      <c r="G13" s="33"/>
      <c r="H13" s="31">
        <f>(((D12+D14)/2)*(C14-C12))/27</f>
        <v>4.8148148148148149</v>
      </c>
      <c r="I13" s="33"/>
      <c r="J13" s="31">
        <f>(((F12+F14)/2)*(C14-C12))/27</f>
        <v>10.09259259259259</v>
      </c>
      <c r="K13" s="31"/>
      <c r="L13" s="33"/>
      <c r="M13" s="33"/>
      <c r="N13" s="31">
        <f>(((L12+L14)/2)*(C14-C12))/9</f>
        <v>53.888888888888886</v>
      </c>
      <c r="O13" s="32"/>
      <c r="P13" s="27"/>
    </row>
    <row r="14" spans="2:16" x14ac:dyDescent="0.2">
      <c r="B14" s="29"/>
      <c r="C14" s="30">
        <v>10500</v>
      </c>
      <c r="D14" s="31">
        <v>5.2</v>
      </c>
      <c r="E14" s="31"/>
      <c r="F14" s="31">
        <v>5.8</v>
      </c>
      <c r="G14" s="31"/>
      <c r="H14" s="31"/>
      <c r="I14" s="31"/>
      <c r="J14" s="31"/>
      <c r="K14" s="31"/>
      <c r="L14" s="31">
        <v>8</v>
      </c>
      <c r="M14" s="33"/>
      <c r="N14" s="31"/>
      <c r="O14" s="32"/>
      <c r="P14" s="27"/>
    </row>
    <row r="15" spans="2:16" x14ac:dyDescent="0.2">
      <c r="B15" s="29"/>
      <c r="C15" s="30"/>
      <c r="D15" s="33"/>
      <c r="E15" s="33"/>
      <c r="F15" s="33"/>
      <c r="G15" s="33"/>
      <c r="H15" s="31">
        <f>(((D14+D16)/2)*(C16-C14))/27</f>
        <v>12.962962962962964</v>
      </c>
      <c r="I15" s="33"/>
      <c r="J15" s="31">
        <f>(((F14+F16)/2)*(C16-C14))/27</f>
        <v>12.777777777777779</v>
      </c>
      <c r="K15" s="31"/>
      <c r="L15" s="33"/>
      <c r="M15" s="33"/>
      <c r="N15" s="31">
        <f>(((L14+L16)/2)*(C16-C14))/9</f>
        <v>40.833333333333336</v>
      </c>
      <c r="O15" s="32"/>
      <c r="P15" s="27"/>
    </row>
    <row r="16" spans="2:16" x14ac:dyDescent="0.2">
      <c r="B16" s="29"/>
      <c r="C16" s="30">
        <v>10550</v>
      </c>
      <c r="D16" s="31">
        <v>8.8000000000000007</v>
      </c>
      <c r="E16" s="31"/>
      <c r="F16" s="31">
        <v>8</v>
      </c>
      <c r="G16" s="31"/>
      <c r="H16" s="31"/>
      <c r="I16" s="31"/>
      <c r="J16" s="31"/>
      <c r="K16" s="31"/>
      <c r="L16" s="31">
        <v>6.7</v>
      </c>
      <c r="M16" s="33"/>
      <c r="N16" s="31"/>
      <c r="O16" s="31"/>
      <c r="P16" s="27"/>
    </row>
    <row r="17" spans="2:16" x14ac:dyDescent="0.2">
      <c r="B17" s="29"/>
      <c r="C17" s="30"/>
      <c r="D17" s="33"/>
      <c r="E17" s="33"/>
      <c r="F17" s="33"/>
      <c r="G17" s="33"/>
      <c r="H17" s="31">
        <f>(((D16+D18)/2)*(C18-C16))/27</f>
        <v>6.5991851851852052</v>
      </c>
      <c r="I17" s="33"/>
      <c r="J17" s="31">
        <f>(((F16+F18)/2)*(C18-C16))/27</f>
        <v>7.4760000000000213</v>
      </c>
      <c r="K17" s="31"/>
      <c r="L17" s="33"/>
      <c r="M17" s="33"/>
      <c r="N17" s="31">
        <f>(((L16+L18)/2)*(C18-C16))/9</f>
        <v>17.167111111111161</v>
      </c>
      <c r="O17" s="32"/>
      <c r="P17" s="27"/>
    </row>
    <row r="18" spans="2:16" x14ac:dyDescent="0.2">
      <c r="B18" s="29"/>
      <c r="C18" s="30">
        <v>10574.92</v>
      </c>
      <c r="D18" s="31">
        <v>5.5</v>
      </c>
      <c r="E18" s="31"/>
      <c r="F18" s="31">
        <v>8.1999999999999993</v>
      </c>
      <c r="G18" s="31"/>
      <c r="H18" s="31"/>
      <c r="I18" s="31"/>
      <c r="J18" s="31"/>
      <c r="K18" s="31"/>
      <c r="L18" s="31">
        <v>5.7</v>
      </c>
      <c r="M18" s="33"/>
      <c r="N18" s="31"/>
      <c r="O18" s="32"/>
      <c r="P18" s="27"/>
    </row>
    <row r="19" spans="2:16" x14ac:dyDescent="0.2">
      <c r="B19" s="29"/>
      <c r="C19" s="30"/>
      <c r="D19" s="33"/>
      <c r="E19" s="33"/>
      <c r="F19" s="33"/>
      <c r="G19" s="33"/>
      <c r="H19" s="31">
        <f>(((D18+D20)/2)*(C20-C18))/27</f>
        <v>5.6662222222222054</v>
      </c>
      <c r="I19" s="31"/>
      <c r="J19" s="31">
        <f>(((F18+F20)/2)*(C20-C18))/27</f>
        <v>8.9637777777777501</v>
      </c>
      <c r="K19" s="31"/>
      <c r="L19" s="31"/>
      <c r="M19" s="31"/>
      <c r="N19" s="31">
        <f>(((L18+L20)/2)*(C20-C18))/9</f>
        <v>13.515333333333293</v>
      </c>
      <c r="O19" s="32"/>
      <c r="P19" s="27"/>
    </row>
    <row r="20" spans="2:16" x14ac:dyDescent="0.2">
      <c r="B20" s="29"/>
      <c r="C20" s="30">
        <v>10600</v>
      </c>
      <c r="D20" s="31">
        <v>6.7</v>
      </c>
      <c r="E20" s="31"/>
      <c r="F20" s="31">
        <v>11.1</v>
      </c>
      <c r="G20" s="31"/>
      <c r="H20" s="31"/>
      <c r="I20" s="31"/>
      <c r="J20" s="31"/>
      <c r="K20" s="31"/>
      <c r="L20" s="31">
        <v>4</v>
      </c>
      <c r="M20" s="31"/>
      <c r="N20" s="31"/>
      <c r="O20" s="32"/>
    </row>
    <row r="21" spans="2:16" x14ac:dyDescent="0.2">
      <c r="B21" s="29"/>
      <c r="C21" s="30"/>
      <c r="D21" s="33"/>
      <c r="E21" s="33"/>
      <c r="F21" s="33"/>
      <c r="G21" s="33"/>
      <c r="H21" s="31">
        <f>(((D20+D22)/2)*(C22-C20))/27</f>
        <v>10.833333333333334</v>
      </c>
      <c r="I21" s="33"/>
      <c r="J21" s="31">
        <f>(((F20+F22)/2)*(C22-C20))/27</f>
        <v>12.407407407407407</v>
      </c>
      <c r="K21" s="31"/>
      <c r="L21" s="31"/>
      <c r="M21" s="33"/>
      <c r="N21" s="31">
        <f>(((L20+L22)/2)*(C22-C20))/9</f>
        <v>30.277777777777779</v>
      </c>
      <c r="O21" s="32"/>
    </row>
    <row r="22" spans="2:16" x14ac:dyDescent="0.2">
      <c r="B22" s="29"/>
      <c r="C22" s="30">
        <v>10650</v>
      </c>
      <c r="D22" s="31">
        <f>1.5+2.4+0.3+0.8</f>
        <v>5</v>
      </c>
      <c r="E22" s="31"/>
      <c r="F22" s="31">
        <f>0.4+0.2+1.6+0.1</f>
        <v>2.3000000000000003</v>
      </c>
      <c r="G22" s="31"/>
      <c r="H22" s="31"/>
      <c r="I22" s="31"/>
      <c r="J22" s="31"/>
      <c r="K22" s="31"/>
      <c r="L22" s="31">
        <v>6.9</v>
      </c>
      <c r="M22" s="33"/>
      <c r="N22" s="31"/>
      <c r="O22" s="32"/>
    </row>
    <row r="23" spans="2:16" x14ac:dyDescent="0.2">
      <c r="B23" s="29"/>
      <c r="C23" s="30"/>
      <c r="D23" s="33"/>
      <c r="E23" s="33"/>
      <c r="F23" s="33"/>
      <c r="G23" s="33"/>
      <c r="H23" s="31">
        <f>(((D22+D24)/2)*(C24-C22))/27</f>
        <v>16.018518518518519</v>
      </c>
      <c r="I23" s="33"/>
      <c r="J23" s="31">
        <f>(((F22+F24)/2)*(C24-C22))/27</f>
        <v>4.3518518518518521</v>
      </c>
      <c r="K23" s="31"/>
      <c r="L23" s="31"/>
      <c r="M23" s="33"/>
      <c r="N23" s="31">
        <f>(((L22+L24)/2)*(C24-C22))/9</f>
        <v>47.777777777777786</v>
      </c>
      <c r="O23" s="32"/>
    </row>
    <row r="24" spans="2:16" x14ac:dyDescent="0.2">
      <c r="B24" s="29"/>
      <c r="C24" s="30">
        <v>10700</v>
      </c>
      <c r="D24" s="31">
        <f>7.4+4.9</f>
        <v>12.3</v>
      </c>
      <c r="E24" s="31"/>
      <c r="F24" s="31">
        <f>0.7+1.7</f>
        <v>2.4</v>
      </c>
      <c r="G24" s="31"/>
      <c r="H24" s="31"/>
      <c r="I24" s="31"/>
      <c r="J24" s="31"/>
      <c r="K24" s="31"/>
      <c r="L24" s="31">
        <v>10.3</v>
      </c>
      <c r="M24" s="33"/>
      <c r="N24" s="31"/>
      <c r="O24" s="32"/>
    </row>
    <row r="25" spans="2:16" x14ac:dyDescent="0.2">
      <c r="B25" s="29"/>
      <c r="C25" s="30"/>
      <c r="D25" s="33"/>
      <c r="E25" s="33"/>
      <c r="F25" s="33"/>
      <c r="G25" s="33"/>
      <c r="H25" s="31">
        <f>(((D24+D26)/2)*(C26-C24))/27</f>
        <v>23.981481481481481</v>
      </c>
      <c r="I25" s="33"/>
      <c r="J25" s="31">
        <f>(((F24+F26)/2)*(C26-C24))/27</f>
        <v>5</v>
      </c>
      <c r="K25" s="31"/>
      <c r="L25" s="33"/>
      <c r="M25" s="33"/>
      <c r="N25" s="31">
        <f>(((L24+L26)/2)*(C26-C24))/9</f>
        <v>60.833333333333336</v>
      </c>
      <c r="O25" s="32"/>
    </row>
    <row r="26" spans="2:16" x14ac:dyDescent="0.2">
      <c r="B26" s="29"/>
      <c r="C26" s="30">
        <v>10750</v>
      </c>
      <c r="D26" s="31">
        <f>8.1+5.5</f>
        <v>13.6</v>
      </c>
      <c r="E26" s="31"/>
      <c r="F26" s="31">
        <f>3</f>
        <v>3</v>
      </c>
      <c r="G26" s="31"/>
      <c r="H26" s="31"/>
      <c r="I26" s="31"/>
      <c r="J26" s="31"/>
      <c r="K26" s="31"/>
      <c r="L26" s="31">
        <v>11.6</v>
      </c>
      <c r="M26" s="33"/>
      <c r="N26" s="31"/>
      <c r="O26" s="32"/>
    </row>
    <row r="27" spans="2:16" x14ac:dyDescent="0.2">
      <c r="B27" s="29"/>
      <c r="C27" s="30"/>
      <c r="D27" s="33"/>
      <c r="E27" s="33"/>
      <c r="F27" s="33"/>
      <c r="G27" s="33"/>
      <c r="H27" s="31">
        <f>(((D26+D28)/2)*(C28-C26))/27</f>
        <v>19.722222222222221</v>
      </c>
      <c r="I27" s="33"/>
      <c r="J27" s="31">
        <f>(((F26+F28)/2)*(C28-C26))/27</f>
        <v>12.12962962962963</v>
      </c>
      <c r="K27" s="31"/>
      <c r="L27" s="33"/>
      <c r="M27" s="33"/>
      <c r="N27" s="31">
        <f>(((L26+L28)/2)*(C28-C26))/9</f>
        <v>51.388888888888886</v>
      </c>
      <c r="O27" s="32"/>
    </row>
    <row r="28" spans="2:16" x14ac:dyDescent="0.2">
      <c r="B28" s="29"/>
      <c r="C28" s="30">
        <v>10800</v>
      </c>
      <c r="D28" s="31">
        <f>7.7</f>
        <v>7.7</v>
      </c>
      <c r="E28" s="31"/>
      <c r="F28" s="31">
        <f>10.1</f>
        <v>10.1</v>
      </c>
      <c r="G28" s="31"/>
      <c r="H28" s="31"/>
      <c r="I28" s="31"/>
      <c r="J28" s="31"/>
      <c r="K28" s="31"/>
      <c r="L28" s="31">
        <f>6.9</f>
        <v>6.9</v>
      </c>
      <c r="M28" s="33"/>
      <c r="N28" s="31"/>
      <c r="O28" s="32"/>
    </row>
    <row r="29" spans="2:16" x14ac:dyDescent="0.2">
      <c r="B29" s="29"/>
      <c r="C29" s="30"/>
      <c r="D29" s="33"/>
      <c r="E29" s="33"/>
      <c r="F29" s="33"/>
      <c r="G29" s="33"/>
      <c r="H29" s="31">
        <f>(((D28+D30)/2)*(C30-C28))/27</f>
        <v>13.148148148148149</v>
      </c>
      <c r="I29" s="33"/>
      <c r="J29" s="31">
        <f>(((F28+F30)/2)*(C30-C28))/27</f>
        <v>18.981481481481481</v>
      </c>
      <c r="K29" s="31"/>
      <c r="L29" s="33"/>
      <c r="M29" s="33"/>
      <c r="N29" s="31">
        <f>(((L28+L30)/2)*(C30-C28))/9</f>
        <v>44.722222222222229</v>
      </c>
      <c r="O29" s="32"/>
    </row>
    <row r="30" spans="2:16" x14ac:dyDescent="0.2">
      <c r="B30" s="29"/>
      <c r="C30" s="30">
        <v>10850</v>
      </c>
      <c r="D30" s="31">
        <v>6.5</v>
      </c>
      <c r="E30" s="31"/>
      <c r="F30" s="31">
        <v>10.4</v>
      </c>
      <c r="G30" s="31"/>
      <c r="H30" s="31"/>
      <c r="I30" s="31"/>
      <c r="J30" s="31"/>
      <c r="K30" s="31"/>
      <c r="L30" s="31">
        <v>9.1999999999999993</v>
      </c>
      <c r="M30" s="33"/>
      <c r="N30" s="31"/>
      <c r="O30" s="32"/>
    </row>
    <row r="31" spans="2:16" x14ac:dyDescent="0.2">
      <c r="B31" s="29"/>
      <c r="C31" s="30"/>
      <c r="D31" s="33"/>
      <c r="E31" s="33"/>
      <c r="F31" s="33"/>
      <c r="G31" s="33"/>
      <c r="H31" s="31">
        <f>(((D30+D32)/2)*(C32-C30))/27</f>
        <v>12.407407407407407</v>
      </c>
      <c r="I31" s="33"/>
      <c r="J31" s="31">
        <f>(((F30+F32)/2)*(C32-C30))/27</f>
        <v>16.759259259259263</v>
      </c>
      <c r="K31" s="31"/>
      <c r="L31" s="33"/>
      <c r="M31" s="33"/>
      <c r="N31" s="31">
        <f>(((L30+L32)/2)*(C32-C30))/9</f>
        <v>50</v>
      </c>
      <c r="O31" s="32"/>
    </row>
    <row r="32" spans="2:16" x14ac:dyDescent="0.2">
      <c r="B32" s="29"/>
      <c r="C32" s="30">
        <v>10900</v>
      </c>
      <c r="D32" s="31">
        <v>6.9</v>
      </c>
      <c r="E32" s="31"/>
      <c r="F32" s="31">
        <v>7.7</v>
      </c>
      <c r="G32" s="31"/>
      <c r="H32" s="31"/>
      <c r="I32" s="31"/>
      <c r="J32" s="31"/>
      <c r="K32" s="31"/>
      <c r="L32" s="31">
        <v>8.8000000000000007</v>
      </c>
      <c r="M32" s="33"/>
      <c r="N32" s="31"/>
      <c r="O32" s="32"/>
    </row>
    <row r="33" spans="2:15" x14ac:dyDescent="0.2">
      <c r="B33" s="29"/>
      <c r="C33" s="30"/>
      <c r="D33" s="33"/>
      <c r="E33" s="33"/>
      <c r="F33" s="33"/>
      <c r="G33" s="33"/>
      <c r="H33" s="31">
        <f>(((D32+D34)/2)*(C34-C32))/27</f>
        <v>11.851851851851851</v>
      </c>
      <c r="I33" s="31"/>
      <c r="J33" s="31">
        <f>(((F32+F34)/2)*(C34-C32))/27</f>
        <v>11.018518518518519</v>
      </c>
      <c r="K33" s="31"/>
      <c r="L33" s="31"/>
      <c r="M33" s="31"/>
      <c r="N33" s="31">
        <f>(((L32+L34)/2)*(C34-C32))/9</f>
        <v>49.166666666666671</v>
      </c>
      <c r="O33" s="32"/>
    </row>
    <row r="34" spans="2:15" x14ac:dyDescent="0.2">
      <c r="B34" s="29"/>
      <c r="C34" s="30">
        <v>10950</v>
      </c>
      <c r="D34" s="31">
        <v>5.9</v>
      </c>
      <c r="E34" s="31"/>
      <c r="F34" s="31">
        <v>4.2</v>
      </c>
      <c r="G34" s="31"/>
      <c r="H34" s="31"/>
      <c r="I34" s="31"/>
      <c r="J34" s="31"/>
      <c r="K34" s="31"/>
      <c r="L34" s="31">
        <v>8.9</v>
      </c>
      <c r="M34" s="31"/>
      <c r="N34" s="31"/>
      <c r="O34" s="32"/>
    </row>
    <row r="35" spans="2:15" x14ac:dyDescent="0.2">
      <c r="B35" s="29"/>
      <c r="C35" s="30"/>
      <c r="D35" s="33"/>
      <c r="E35" s="33"/>
      <c r="F35" s="33"/>
      <c r="G35" s="33"/>
      <c r="H35" s="31">
        <f>(((D34+D36)/2)*(C36-C34))/27</f>
        <v>9.9074074074074066</v>
      </c>
      <c r="I35" s="33"/>
      <c r="J35" s="31">
        <f>(((F34+F36)/2)*(C36-C34))/27</f>
        <v>5.9259259259259256</v>
      </c>
      <c r="K35" s="31"/>
      <c r="L35" s="33"/>
      <c r="M35" s="33"/>
      <c r="N35" s="31">
        <f>(((L34+L36)/2)*(C36-C34))/9</f>
        <v>50.555555555555564</v>
      </c>
      <c r="O35" s="32"/>
    </row>
    <row r="36" spans="2:15" x14ac:dyDescent="0.2">
      <c r="B36" s="29"/>
      <c r="C36" s="30">
        <v>11000</v>
      </c>
      <c r="D36" s="31">
        <v>4.8</v>
      </c>
      <c r="E36" s="31"/>
      <c r="F36" s="31">
        <v>2.2000000000000002</v>
      </c>
      <c r="G36" s="31"/>
      <c r="H36" s="31"/>
      <c r="I36" s="31"/>
      <c r="J36" s="31"/>
      <c r="K36" s="31"/>
      <c r="L36" s="31">
        <v>9.3000000000000007</v>
      </c>
      <c r="M36" s="33"/>
      <c r="N36" s="31"/>
      <c r="O36" s="32"/>
    </row>
    <row r="37" spans="2:15" x14ac:dyDescent="0.2">
      <c r="B37" s="29"/>
      <c r="C37" s="30"/>
      <c r="D37" s="33"/>
      <c r="E37" s="33"/>
      <c r="F37" s="33"/>
      <c r="G37" s="33"/>
      <c r="H37" s="31">
        <f t="shared" ref="H37:H43" si="0">(((D36+D38)/2)*(C38-C36))/27</f>
        <v>7.1296296296296289</v>
      </c>
      <c r="I37" s="33"/>
      <c r="J37" s="31">
        <f t="shared" ref="J37:J43" si="1">(((F36+F38)/2)*(C38-C36))/27</f>
        <v>5.9259259259259256</v>
      </c>
      <c r="K37" s="31"/>
      <c r="L37" s="33"/>
      <c r="M37" s="33"/>
      <c r="N37" s="31">
        <f>(((L36+L38)/2)*(C38-C36))/9</f>
        <v>58.611111111111114</v>
      </c>
      <c r="O37" s="32"/>
    </row>
    <row r="38" spans="2:15" x14ac:dyDescent="0.2">
      <c r="B38" s="29"/>
      <c r="C38" s="30">
        <v>11050</v>
      </c>
      <c r="D38" s="31">
        <v>2.9</v>
      </c>
      <c r="E38" s="31"/>
      <c r="F38" s="31">
        <v>4.2</v>
      </c>
      <c r="G38" s="31"/>
      <c r="H38" s="31"/>
      <c r="I38" s="31"/>
      <c r="J38" s="31"/>
      <c r="K38" s="31"/>
      <c r="L38" s="31">
        <v>11.8</v>
      </c>
      <c r="M38" s="33"/>
      <c r="N38" s="31"/>
      <c r="O38" s="32"/>
    </row>
    <row r="39" spans="2:15" x14ac:dyDescent="0.2">
      <c r="B39" s="29"/>
      <c r="C39" s="30"/>
      <c r="D39" s="33"/>
      <c r="E39" s="33"/>
      <c r="F39" s="33"/>
      <c r="G39" s="33"/>
      <c r="H39" s="31">
        <f t="shared" si="0"/>
        <v>4.7222222222222214</v>
      </c>
      <c r="I39" s="33"/>
      <c r="J39" s="31">
        <f t="shared" si="1"/>
        <v>4.166666666666667</v>
      </c>
      <c r="K39" s="31"/>
      <c r="L39" s="33"/>
      <c r="M39" s="33"/>
      <c r="N39" s="31">
        <f>(((L38+L40)/2)*(C40-C38))/9</f>
        <v>41.666666666666664</v>
      </c>
      <c r="O39" s="32"/>
    </row>
    <row r="40" spans="2:15" x14ac:dyDescent="0.2">
      <c r="B40" s="29"/>
      <c r="C40" s="30">
        <v>11100</v>
      </c>
      <c r="D40" s="31">
        <v>2.2000000000000002</v>
      </c>
      <c r="E40" s="31"/>
      <c r="F40" s="31">
        <v>0.3</v>
      </c>
      <c r="G40" s="31"/>
      <c r="H40" s="31"/>
      <c r="I40" s="31"/>
      <c r="J40" s="31"/>
      <c r="K40" s="31"/>
      <c r="L40" s="31">
        <v>3.2</v>
      </c>
      <c r="M40" s="33"/>
      <c r="N40" s="31"/>
      <c r="O40" s="32"/>
    </row>
    <row r="41" spans="2:15" x14ac:dyDescent="0.2">
      <c r="B41" s="29"/>
      <c r="C41" s="30"/>
      <c r="D41" s="33"/>
      <c r="E41" s="33"/>
      <c r="F41" s="33"/>
      <c r="G41" s="33"/>
      <c r="H41" s="31">
        <f>(((D40+D42)/2)*(C42-C40))/27</f>
        <v>2.8703703703703702</v>
      </c>
      <c r="I41" s="33"/>
      <c r="J41" s="31">
        <f>(((F40+F42)/2)*(C42-C40))/27</f>
        <v>2.0370370370370372</v>
      </c>
      <c r="K41" s="31"/>
      <c r="L41" s="33"/>
      <c r="M41" s="33"/>
      <c r="N41" s="31">
        <f>(((L40+L42)/2)*(C42-C40))/9</f>
        <v>41.94444444444445</v>
      </c>
      <c r="O41" s="32"/>
    </row>
    <row r="42" spans="2:15" x14ac:dyDescent="0.2">
      <c r="B42" s="29"/>
      <c r="C42" s="30">
        <v>11150</v>
      </c>
      <c r="D42" s="31">
        <v>0.9</v>
      </c>
      <c r="E42" s="31"/>
      <c r="F42" s="31">
        <f>1.1+0.8</f>
        <v>1.9000000000000001</v>
      </c>
      <c r="G42" s="31"/>
      <c r="H42" s="31"/>
      <c r="I42" s="31"/>
      <c r="J42" s="31"/>
      <c r="K42" s="31"/>
      <c r="L42" s="31">
        <v>11.9</v>
      </c>
      <c r="M42" s="33"/>
      <c r="N42" s="31"/>
      <c r="O42" s="32"/>
    </row>
    <row r="43" spans="2:15" x14ac:dyDescent="0.2">
      <c r="B43" s="29"/>
      <c r="C43" s="30"/>
      <c r="D43" s="33"/>
      <c r="E43" s="33"/>
      <c r="F43" s="33"/>
      <c r="G43" s="33"/>
      <c r="H43" s="31">
        <f t="shared" si="0"/>
        <v>0.83333333333333337</v>
      </c>
      <c r="I43" s="33"/>
      <c r="J43" s="31">
        <f t="shared" si="1"/>
        <v>1.7592592592592593</v>
      </c>
      <c r="K43" s="31"/>
      <c r="L43" s="33"/>
      <c r="M43" s="33"/>
      <c r="N43" s="31">
        <f>(((L42+L44)/2)*(C44-C42))/9</f>
        <v>33.055555555555557</v>
      </c>
      <c r="O43" s="32"/>
    </row>
    <row r="44" spans="2:15" x14ac:dyDescent="0.2">
      <c r="B44" s="29"/>
      <c r="C44" s="30">
        <v>11200</v>
      </c>
      <c r="D44" s="31">
        <v>0</v>
      </c>
      <c r="E44" s="31"/>
      <c r="F44" s="31">
        <v>0</v>
      </c>
      <c r="G44" s="31"/>
      <c r="H44" s="31"/>
      <c r="I44" s="31"/>
      <c r="J44" s="31"/>
      <c r="K44" s="31"/>
      <c r="L44" s="31">
        <v>0</v>
      </c>
      <c r="M44" s="31"/>
      <c r="N44" s="31"/>
      <c r="O44" s="32"/>
    </row>
    <row r="45" spans="2:15" x14ac:dyDescent="0.2">
      <c r="D45" s="32"/>
      <c r="E45" s="32"/>
      <c r="F45" s="32"/>
      <c r="H45" s="32"/>
      <c r="O45" s="32"/>
    </row>
    <row r="46" spans="2:15" x14ac:dyDescent="0.2">
      <c r="B46" s="32" t="s">
        <v>11</v>
      </c>
      <c r="D46" s="32">
        <f>C44-C8</f>
        <v>850</v>
      </c>
      <c r="E46" s="32"/>
      <c r="F46" s="32"/>
      <c r="G46" s="32" t="s">
        <v>12</v>
      </c>
      <c r="H46" s="32">
        <f>SUM(H8:H45)</f>
        <v>163.46911111111115</v>
      </c>
      <c r="I46" s="32" t="s">
        <v>13</v>
      </c>
      <c r="J46" s="32">
        <f>SUM(J8:J45)</f>
        <v>148.5694074074074</v>
      </c>
      <c r="K46" s="32"/>
      <c r="L46" s="32"/>
      <c r="M46" s="34" t="s">
        <v>14</v>
      </c>
      <c r="N46" s="32">
        <f>SUM(N6:N45)</f>
        <v>749.84911111111103</v>
      </c>
      <c r="O46" s="32"/>
    </row>
    <row r="47" spans="2:15" x14ac:dyDescent="0.2">
      <c r="B47" s="32" t="s">
        <v>15</v>
      </c>
      <c r="D47" s="35">
        <f>D46/5280</f>
        <v>0.16098484848484848</v>
      </c>
      <c r="E47" s="32"/>
      <c r="F47" s="32"/>
      <c r="K47" s="32"/>
      <c r="M47" s="32"/>
      <c r="N47" s="32"/>
    </row>
    <row r="48" spans="2:15" x14ac:dyDescent="0.2">
      <c r="D48" s="32"/>
      <c r="E48" s="32"/>
      <c r="F48" s="32"/>
      <c r="G48" s="32"/>
      <c r="H48" s="32"/>
      <c r="I48" s="32"/>
      <c r="J48" s="32"/>
      <c r="K48" s="32"/>
      <c r="M48" s="32"/>
      <c r="N48" s="32"/>
    </row>
  </sheetData>
  <mergeCells count="4">
    <mergeCell ref="B2:N3"/>
    <mergeCell ref="C5:D5"/>
    <mergeCell ref="G5:H5"/>
    <mergeCell ref="K5:L5"/>
  </mergeCells>
  <pageMargins left="0.75" right="0.75" top="0.5" bottom="0.5" header="0.5" footer="0.5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78E7-E05E-432B-8DB4-9FF49C76580C}">
  <sheetPr>
    <pageSetUpPr fitToPage="1"/>
  </sheetPr>
  <dimension ref="B1:P50"/>
  <sheetViews>
    <sheetView topLeftCell="B1" zoomScaleNormal="100" workbookViewId="0">
      <selection activeCell="B2" sqref="B2:N3"/>
    </sheetView>
  </sheetViews>
  <sheetFormatPr defaultRowHeight="12.75" x14ac:dyDescent="0.2"/>
  <cols>
    <col min="1" max="5" width="9.140625" style="4"/>
    <col min="6" max="6" width="10.140625" style="4" bestFit="1" customWidth="1"/>
    <col min="7" max="7" width="9.140625" style="4"/>
    <col min="8" max="8" width="9.140625" style="5"/>
    <col min="9" max="9" width="9.140625" style="4"/>
    <col min="10" max="10" width="9.140625" style="5"/>
    <col min="11" max="13" width="9.140625" style="4"/>
    <col min="14" max="14" width="9.140625" style="5"/>
    <col min="15" max="261" width="9.140625" style="4"/>
    <col min="262" max="262" width="10.140625" style="4" bestFit="1" customWidth="1"/>
    <col min="263" max="517" width="9.140625" style="4"/>
    <col min="518" max="518" width="10.140625" style="4" bestFit="1" customWidth="1"/>
    <col min="519" max="773" width="9.140625" style="4"/>
    <col min="774" max="774" width="10.140625" style="4" bestFit="1" customWidth="1"/>
    <col min="775" max="1029" width="9.140625" style="4"/>
    <col min="1030" max="1030" width="10.140625" style="4" bestFit="1" customWidth="1"/>
    <col min="1031" max="1285" width="9.140625" style="4"/>
    <col min="1286" max="1286" width="10.140625" style="4" bestFit="1" customWidth="1"/>
    <col min="1287" max="1541" width="9.140625" style="4"/>
    <col min="1542" max="1542" width="10.140625" style="4" bestFit="1" customWidth="1"/>
    <col min="1543" max="1797" width="9.140625" style="4"/>
    <col min="1798" max="1798" width="10.140625" style="4" bestFit="1" customWidth="1"/>
    <col min="1799" max="2053" width="9.140625" style="4"/>
    <col min="2054" max="2054" width="10.140625" style="4" bestFit="1" customWidth="1"/>
    <col min="2055" max="2309" width="9.140625" style="4"/>
    <col min="2310" max="2310" width="10.140625" style="4" bestFit="1" customWidth="1"/>
    <col min="2311" max="2565" width="9.140625" style="4"/>
    <col min="2566" max="2566" width="10.140625" style="4" bestFit="1" customWidth="1"/>
    <col min="2567" max="2821" width="9.140625" style="4"/>
    <col min="2822" max="2822" width="10.140625" style="4" bestFit="1" customWidth="1"/>
    <col min="2823" max="3077" width="9.140625" style="4"/>
    <col min="3078" max="3078" width="10.140625" style="4" bestFit="1" customWidth="1"/>
    <col min="3079" max="3333" width="9.140625" style="4"/>
    <col min="3334" max="3334" width="10.140625" style="4" bestFit="1" customWidth="1"/>
    <col min="3335" max="3589" width="9.140625" style="4"/>
    <col min="3590" max="3590" width="10.140625" style="4" bestFit="1" customWidth="1"/>
    <col min="3591" max="3845" width="9.140625" style="4"/>
    <col min="3846" max="3846" width="10.140625" style="4" bestFit="1" customWidth="1"/>
    <col min="3847" max="4101" width="9.140625" style="4"/>
    <col min="4102" max="4102" width="10.140625" style="4" bestFit="1" customWidth="1"/>
    <col min="4103" max="4357" width="9.140625" style="4"/>
    <col min="4358" max="4358" width="10.140625" style="4" bestFit="1" customWidth="1"/>
    <col min="4359" max="4613" width="9.140625" style="4"/>
    <col min="4614" max="4614" width="10.140625" style="4" bestFit="1" customWidth="1"/>
    <col min="4615" max="4869" width="9.140625" style="4"/>
    <col min="4870" max="4870" width="10.140625" style="4" bestFit="1" customWidth="1"/>
    <col min="4871" max="5125" width="9.140625" style="4"/>
    <col min="5126" max="5126" width="10.140625" style="4" bestFit="1" customWidth="1"/>
    <col min="5127" max="5381" width="9.140625" style="4"/>
    <col min="5382" max="5382" width="10.140625" style="4" bestFit="1" customWidth="1"/>
    <col min="5383" max="5637" width="9.140625" style="4"/>
    <col min="5638" max="5638" width="10.140625" style="4" bestFit="1" customWidth="1"/>
    <col min="5639" max="5893" width="9.140625" style="4"/>
    <col min="5894" max="5894" width="10.140625" style="4" bestFit="1" customWidth="1"/>
    <col min="5895" max="6149" width="9.140625" style="4"/>
    <col min="6150" max="6150" width="10.140625" style="4" bestFit="1" customWidth="1"/>
    <col min="6151" max="6405" width="9.140625" style="4"/>
    <col min="6406" max="6406" width="10.140625" style="4" bestFit="1" customWidth="1"/>
    <col min="6407" max="6661" width="9.140625" style="4"/>
    <col min="6662" max="6662" width="10.140625" style="4" bestFit="1" customWidth="1"/>
    <col min="6663" max="6917" width="9.140625" style="4"/>
    <col min="6918" max="6918" width="10.140625" style="4" bestFit="1" customWidth="1"/>
    <col min="6919" max="7173" width="9.140625" style="4"/>
    <col min="7174" max="7174" width="10.140625" style="4" bestFit="1" customWidth="1"/>
    <col min="7175" max="7429" width="9.140625" style="4"/>
    <col min="7430" max="7430" width="10.140625" style="4" bestFit="1" customWidth="1"/>
    <col min="7431" max="7685" width="9.140625" style="4"/>
    <col min="7686" max="7686" width="10.140625" style="4" bestFit="1" customWidth="1"/>
    <col min="7687" max="7941" width="9.140625" style="4"/>
    <col min="7942" max="7942" width="10.140625" style="4" bestFit="1" customWidth="1"/>
    <col min="7943" max="8197" width="9.140625" style="4"/>
    <col min="8198" max="8198" width="10.140625" style="4" bestFit="1" customWidth="1"/>
    <col min="8199" max="8453" width="9.140625" style="4"/>
    <col min="8454" max="8454" width="10.140625" style="4" bestFit="1" customWidth="1"/>
    <col min="8455" max="8709" width="9.140625" style="4"/>
    <col min="8710" max="8710" width="10.140625" style="4" bestFit="1" customWidth="1"/>
    <col min="8711" max="8965" width="9.140625" style="4"/>
    <col min="8966" max="8966" width="10.140625" style="4" bestFit="1" customWidth="1"/>
    <col min="8967" max="9221" width="9.140625" style="4"/>
    <col min="9222" max="9222" width="10.140625" style="4" bestFit="1" customWidth="1"/>
    <col min="9223" max="9477" width="9.140625" style="4"/>
    <col min="9478" max="9478" width="10.140625" style="4" bestFit="1" customWidth="1"/>
    <col min="9479" max="9733" width="9.140625" style="4"/>
    <col min="9734" max="9734" width="10.140625" style="4" bestFit="1" customWidth="1"/>
    <col min="9735" max="9989" width="9.140625" style="4"/>
    <col min="9990" max="9990" width="10.140625" style="4" bestFit="1" customWidth="1"/>
    <col min="9991" max="10245" width="9.140625" style="4"/>
    <col min="10246" max="10246" width="10.140625" style="4" bestFit="1" customWidth="1"/>
    <col min="10247" max="10501" width="9.140625" style="4"/>
    <col min="10502" max="10502" width="10.140625" style="4" bestFit="1" customWidth="1"/>
    <col min="10503" max="10757" width="9.140625" style="4"/>
    <col min="10758" max="10758" width="10.140625" style="4" bestFit="1" customWidth="1"/>
    <col min="10759" max="11013" width="9.140625" style="4"/>
    <col min="11014" max="11014" width="10.140625" style="4" bestFit="1" customWidth="1"/>
    <col min="11015" max="11269" width="9.140625" style="4"/>
    <col min="11270" max="11270" width="10.140625" style="4" bestFit="1" customWidth="1"/>
    <col min="11271" max="11525" width="9.140625" style="4"/>
    <col min="11526" max="11526" width="10.140625" style="4" bestFit="1" customWidth="1"/>
    <col min="11527" max="11781" width="9.140625" style="4"/>
    <col min="11782" max="11782" width="10.140625" style="4" bestFit="1" customWidth="1"/>
    <col min="11783" max="12037" width="9.140625" style="4"/>
    <col min="12038" max="12038" width="10.140625" style="4" bestFit="1" customWidth="1"/>
    <col min="12039" max="12293" width="9.140625" style="4"/>
    <col min="12294" max="12294" width="10.140625" style="4" bestFit="1" customWidth="1"/>
    <col min="12295" max="12549" width="9.140625" style="4"/>
    <col min="12550" max="12550" width="10.140625" style="4" bestFit="1" customWidth="1"/>
    <col min="12551" max="12805" width="9.140625" style="4"/>
    <col min="12806" max="12806" width="10.140625" style="4" bestFit="1" customWidth="1"/>
    <col min="12807" max="13061" width="9.140625" style="4"/>
    <col min="13062" max="13062" width="10.140625" style="4" bestFit="1" customWidth="1"/>
    <col min="13063" max="13317" width="9.140625" style="4"/>
    <col min="13318" max="13318" width="10.140625" style="4" bestFit="1" customWidth="1"/>
    <col min="13319" max="13573" width="9.140625" style="4"/>
    <col min="13574" max="13574" width="10.140625" style="4" bestFit="1" customWidth="1"/>
    <col min="13575" max="13829" width="9.140625" style="4"/>
    <col min="13830" max="13830" width="10.140625" style="4" bestFit="1" customWidth="1"/>
    <col min="13831" max="14085" width="9.140625" style="4"/>
    <col min="14086" max="14086" width="10.140625" style="4" bestFit="1" customWidth="1"/>
    <col min="14087" max="14341" width="9.140625" style="4"/>
    <col min="14342" max="14342" width="10.140625" style="4" bestFit="1" customWidth="1"/>
    <col min="14343" max="14597" width="9.140625" style="4"/>
    <col min="14598" max="14598" width="10.140625" style="4" bestFit="1" customWidth="1"/>
    <col min="14599" max="14853" width="9.140625" style="4"/>
    <col min="14854" max="14854" width="10.140625" style="4" bestFit="1" customWidth="1"/>
    <col min="14855" max="15109" width="9.140625" style="4"/>
    <col min="15110" max="15110" width="10.140625" style="4" bestFit="1" customWidth="1"/>
    <col min="15111" max="15365" width="9.140625" style="4"/>
    <col min="15366" max="15366" width="10.140625" style="4" bestFit="1" customWidth="1"/>
    <col min="15367" max="15621" width="9.140625" style="4"/>
    <col min="15622" max="15622" width="10.140625" style="4" bestFit="1" customWidth="1"/>
    <col min="15623" max="15877" width="9.140625" style="4"/>
    <col min="15878" max="15878" width="10.140625" style="4" bestFit="1" customWidth="1"/>
    <col min="15879" max="16133" width="9.140625" style="4"/>
    <col min="16134" max="16134" width="10.140625" style="4" bestFit="1" customWidth="1"/>
    <col min="16135" max="16384" width="9.140625" style="4"/>
  </cols>
  <sheetData>
    <row r="1" spans="2:16" ht="13.5" thickBot="1" x14ac:dyDescent="0.25">
      <c r="M1" s="6"/>
      <c r="N1" s="6"/>
    </row>
    <row r="2" spans="2:16" ht="12.75" customHeight="1" x14ac:dyDescent="0.2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6" ht="15.75" customHeight="1" thickBot="1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2:16" ht="15.75" customHeight="1" x14ac:dyDescent="0.2"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6"/>
    </row>
    <row r="5" spans="2:16" x14ac:dyDescent="0.2">
      <c r="B5" s="17"/>
      <c r="C5" s="18" t="s">
        <v>1</v>
      </c>
      <c r="D5" s="19"/>
      <c r="E5" s="20">
        <f>H48</f>
        <v>257.6745925925926</v>
      </c>
      <c r="F5" s="21" t="s">
        <v>2</v>
      </c>
      <c r="G5" s="18" t="s">
        <v>3</v>
      </c>
      <c r="H5" s="19"/>
      <c r="I5" s="20">
        <f>J48</f>
        <v>117.3588888888889</v>
      </c>
      <c r="J5" s="22" t="s">
        <v>2</v>
      </c>
      <c r="K5" s="23" t="s">
        <v>4</v>
      </c>
      <c r="L5" s="24"/>
      <c r="M5" s="25">
        <f>N48</f>
        <v>770.7642222222222</v>
      </c>
      <c r="N5" s="26" t="s">
        <v>5</v>
      </c>
      <c r="O5" s="27"/>
    </row>
    <row r="6" spans="2:16" x14ac:dyDescent="0.2">
      <c r="L6" s="27"/>
    </row>
    <row r="7" spans="2:16" x14ac:dyDescent="0.2">
      <c r="D7" s="27" t="s">
        <v>6</v>
      </c>
      <c r="E7" s="27"/>
      <c r="F7" s="27" t="s">
        <v>7</v>
      </c>
      <c r="G7" s="27"/>
      <c r="H7" s="28" t="s">
        <v>8</v>
      </c>
      <c r="I7" s="27"/>
      <c r="J7" s="28" t="s">
        <v>9</v>
      </c>
      <c r="L7" s="27" t="s">
        <v>10</v>
      </c>
      <c r="M7" s="27"/>
      <c r="N7" s="28"/>
      <c r="P7" s="27"/>
    </row>
    <row r="8" spans="2:16" x14ac:dyDescent="0.2">
      <c r="B8" s="29"/>
      <c r="C8" s="30">
        <v>20150</v>
      </c>
      <c r="D8" s="31">
        <v>0</v>
      </c>
      <c r="E8" s="31"/>
      <c r="F8" s="31">
        <v>0</v>
      </c>
      <c r="G8" s="31"/>
      <c r="H8" s="31"/>
      <c r="I8" s="31"/>
      <c r="J8" s="31"/>
      <c r="K8" s="31"/>
      <c r="L8" s="31">
        <v>0</v>
      </c>
      <c r="M8" s="31"/>
      <c r="N8" s="31"/>
      <c r="O8" s="32"/>
      <c r="P8" s="27"/>
    </row>
    <row r="9" spans="2:16" x14ac:dyDescent="0.2">
      <c r="B9" s="29"/>
      <c r="C9" s="30"/>
      <c r="D9" s="33"/>
      <c r="E9" s="33"/>
      <c r="F9" s="33"/>
      <c r="G9" s="33"/>
      <c r="H9" s="31">
        <f>(((D8+D10)/2)*(C10-C8))/27</f>
        <v>1.7592592592592593</v>
      </c>
      <c r="I9" s="33"/>
      <c r="J9" s="31">
        <f>(((F8+F10)/2)*(C10-C8))/27</f>
        <v>0</v>
      </c>
      <c r="K9" s="31"/>
      <c r="L9" s="33"/>
      <c r="M9" s="33"/>
      <c r="N9" s="31">
        <f>(((L8+L10)/2)*(C10-C8))/9</f>
        <v>2.2222222222222223</v>
      </c>
      <c r="O9" s="32"/>
      <c r="P9" s="27"/>
    </row>
    <row r="10" spans="2:16" x14ac:dyDescent="0.2">
      <c r="B10" s="29"/>
      <c r="C10" s="30">
        <v>20200</v>
      </c>
      <c r="D10" s="31">
        <v>1.9</v>
      </c>
      <c r="E10" s="31"/>
      <c r="F10" s="31">
        <v>0</v>
      </c>
      <c r="G10" s="31"/>
      <c r="H10" s="31"/>
      <c r="I10" s="31"/>
      <c r="J10" s="31"/>
      <c r="K10" s="31"/>
      <c r="L10" s="31">
        <v>0.8</v>
      </c>
      <c r="M10" s="33"/>
      <c r="N10" s="31"/>
      <c r="O10" s="32"/>
      <c r="P10" s="27"/>
    </row>
    <row r="11" spans="2:16" x14ac:dyDescent="0.2">
      <c r="B11" s="29"/>
      <c r="C11" s="30"/>
      <c r="D11" s="33"/>
      <c r="E11" s="33"/>
      <c r="F11" s="33"/>
      <c r="G11" s="33"/>
      <c r="H11" s="31">
        <f>(((D10+D12)/2)*(C12-C10))/27</f>
        <v>4.7222222222222214</v>
      </c>
      <c r="I11" s="33"/>
      <c r="J11" s="31">
        <f>(((F10+F12)/2)*(C12-C10))/27</f>
        <v>0.83333333333333337</v>
      </c>
      <c r="K11" s="31"/>
      <c r="L11" s="33"/>
      <c r="M11" s="33"/>
      <c r="N11" s="31">
        <f>(((L10+L12)/2)*(C12-C10))/9</f>
        <v>23.611111111111111</v>
      </c>
      <c r="O11" s="32"/>
      <c r="P11" s="27"/>
    </row>
    <row r="12" spans="2:16" x14ac:dyDescent="0.2">
      <c r="B12" s="29"/>
      <c r="C12" s="30">
        <v>20250</v>
      </c>
      <c r="D12" s="31">
        <v>3.2</v>
      </c>
      <c r="E12" s="31"/>
      <c r="F12" s="31">
        <v>0.9</v>
      </c>
      <c r="G12" s="31"/>
      <c r="H12" s="31"/>
      <c r="I12" s="31"/>
      <c r="J12" s="31"/>
      <c r="K12" s="31"/>
      <c r="L12" s="31">
        <v>7.7</v>
      </c>
      <c r="M12" s="33"/>
      <c r="N12" s="31"/>
      <c r="O12" s="32"/>
      <c r="P12" s="27"/>
    </row>
    <row r="13" spans="2:16" x14ac:dyDescent="0.2">
      <c r="B13" s="29"/>
      <c r="C13" s="30"/>
      <c r="D13" s="33"/>
      <c r="E13" s="33"/>
      <c r="F13" s="33"/>
      <c r="G13" s="33"/>
      <c r="H13" s="31">
        <f>(((D12+D14)/2)*(C14-C12))/27</f>
        <v>7.2222222222222223</v>
      </c>
      <c r="I13" s="33"/>
      <c r="J13" s="31">
        <f>(((F12+F14)/2)*(C14-C12))/27</f>
        <v>0.83333333333333337</v>
      </c>
      <c r="K13" s="31"/>
      <c r="L13" s="33"/>
      <c r="M13" s="33"/>
      <c r="N13" s="31">
        <f>(((L12+L14)/2)*(C14-C12))/9</f>
        <v>21.388888888888889</v>
      </c>
      <c r="O13" s="32"/>
      <c r="P13" s="27"/>
    </row>
    <row r="14" spans="2:16" x14ac:dyDescent="0.2">
      <c r="B14" s="29"/>
      <c r="C14" s="30">
        <v>20300</v>
      </c>
      <c r="D14" s="31">
        <v>4.5999999999999996</v>
      </c>
      <c r="E14" s="31"/>
      <c r="F14" s="31">
        <v>0</v>
      </c>
      <c r="G14" s="31"/>
      <c r="H14" s="31"/>
      <c r="I14" s="31"/>
      <c r="J14" s="31"/>
      <c r="K14" s="31"/>
      <c r="L14" s="31">
        <v>0</v>
      </c>
      <c r="M14" s="33"/>
      <c r="N14" s="31"/>
      <c r="O14" s="32"/>
      <c r="P14" s="27"/>
    </row>
    <row r="15" spans="2:16" x14ac:dyDescent="0.2">
      <c r="B15" s="29"/>
      <c r="C15" s="30"/>
      <c r="D15" s="33"/>
      <c r="E15" s="33"/>
      <c r="F15" s="33"/>
      <c r="G15" s="33"/>
      <c r="H15" s="31">
        <f>(((D14+D16)/2)*(C16-C14))/27</f>
        <v>9.4444444444444429</v>
      </c>
      <c r="I15" s="33"/>
      <c r="J15" s="31">
        <f>(((F14+F16)/2)*(C16-C14))/27</f>
        <v>3.7037037037037037</v>
      </c>
      <c r="K15" s="31"/>
      <c r="L15" s="33"/>
      <c r="M15" s="33"/>
      <c r="N15" s="31">
        <f>(((L14+L16)/2)*(C16-C14))/9</f>
        <v>28.333333333333329</v>
      </c>
      <c r="O15" s="32"/>
      <c r="P15" s="27"/>
    </row>
    <row r="16" spans="2:16" x14ac:dyDescent="0.2">
      <c r="B16" s="29"/>
      <c r="C16" s="30">
        <v>20350</v>
      </c>
      <c r="D16" s="31">
        <v>5.6</v>
      </c>
      <c r="E16" s="31"/>
      <c r="F16" s="31">
        <v>4</v>
      </c>
      <c r="G16" s="31"/>
      <c r="H16" s="31"/>
      <c r="I16" s="31"/>
      <c r="J16" s="31"/>
      <c r="K16" s="31"/>
      <c r="L16" s="31">
        <v>10.199999999999999</v>
      </c>
      <c r="M16" s="33"/>
      <c r="N16" s="31"/>
      <c r="O16" s="31"/>
      <c r="P16" s="27"/>
    </row>
    <row r="17" spans="2:16" x14ac:dyDescent="0.2">
      <c r="B17" s="29"/>
      <c r="C17" s="30"/>
      <c r="D17" s="33"/>
      <c r="E17" s="33"/>
      <c r="F17" s="33"/>
      <c r="G17" s="33"/>
      <c r="H17" s="31">
        <f>(((D16+D18)/2)*(C18-C16))/27</f>
        <v>11.203703703703704</v>
      </c>
      <c r="I17" s="33"/>
      <c r="J17" s="31">
        <f>(((F16+F18)/2)*(C18-C16))/27</f>
        <v>9.4444444444444429</v>
      </c>
      <c r="K17" s="31"/>
      <c r="L17" s="33"/>
      <c r="M17" s="33"/>
      <c r="N17" s="31">
        <f>(((L16+L18)/2)*(C18-C16))/9</f>
        <v>60</v>
      </c>
      <c r="O17" s="32"/>
      <c r="P17" s="27"/>
    </row>
    <row r="18" spans="2:16" x14ac:dyDescent="0.2">
      <c r="B18" s="29"/>
      <c r="C18" s="30">
        <v>20400</v>
      </c>
      <c r="D18" s="31">
        <v>6.5</v>
      </c>
      <c r="E18" s="31"/>
      <c r="F18" s="31">
        <v>6.2</v>
      </c>
      <c r="G18" s="31"/>
      <c r="H18" s="31"/>
      <c r="I18" s="31"/>
      <c r="J18" s="31"/>
      <c r="K18" s="31"/>
      <c r="L18" s="31">
        <v>11.4</v>
      </c>
      <c r="M18" s="33"/>
      <c r="N18" s="31"/>
      <c r="O18" s="32"/>
      <c r="P18" s="27"/>
    </row>
    <row r="19" spans="2:16" x14ac:dyDescent="0.2">
      <c r="B19" s="29"/>
      <c r="C19" s="30"/>
      <c r="D19" s="33"/>
      <c r="E19" s="33"/>
      <c r="F19" s="33"/>
      <c r="G19" s="33"/>
      <c r="H19" s="31">
        <f>(((D18+D20)/2)*(C20-C18))/27</f>
        <v>13.888888888888889</v>
      </c>
      <c r="I19" s="31"/>
      <c r="J19" s="31">
        <f>(((F18+F20)/2)*(C20-C18))/27</f>
        <v>7.3148148148148149</v>
      </c>
      <c r="K19" s="31"/>
      <c r="L19" s="31"/>
      <c r="M19" s="31"/>
      <c r="N19" s="31">
        <f>(((L18+L20)/2)*(C20-C18))/9</f>
        <v>50.277777777777786</v>
      </c>
      <c r="O19" s="32"/>
      <c r="P19" s="27"/>
    </row>
    <row r="20" spans="2:16" x14ac:dyDescent="0.2">
      <c r="B20" s="29"/>
      <c r="C20" s="30">
        <v>20450</v>
      </c>
      <c r="D20" s="31">
        <v>8.5</v>
      </c>
      <c r="E20" s="31"/>
      <c r="F20" s="31">
        <v>1.7</v>
      </c>
      <c r="G20" s="31"/>
      <c r="H20" s="31"/>
      <c r="I20" s="31"/>
      <c r="J20" s="31"/>
      <c r="K20" s="31"/>
      <c r="L20" s="31">
        <v>6.7</v>
      </c>
      <c r="M20" s="31"/>
      <c r="N20" s="31"/>
      <c r="O20" s="32"/>
    </row>
    <row r="21" spans="2:16" x14ac:dyDescent="0.2">
      <c r="B21" s="29"/>
      <c r="C21" s="30"/>
      <c r="D21" s="33"/>
      <c r="E21" s="33"/>
      <c r="F21" s="33"/>
      <c r="G21" s="33"/>
      <c r="H21" s="31">
        <f>(((D20+D22)/2)*(C22-C20))/27</f>
        <v>17.12962962962963</v>
      </c>
      <c r="I21" s="33"/>
      <c r="J21" s="31">
        <f>(((F20+F22)/2)*(C22-C20))/27</f>
        <v>7.1296296296296298</v>
      </c>
      <c r="K21" s="31"/>
      <c r="L21" s="31"/>
      <c r="M21" s="33"/>
      <c r="N21" s="31">
        <f>(((L20+L22)/2)*(C22-C20))/9</f>
        <v>40.555555555555564</v>
      </c>
      <c r="O21" s="32"/>
    </row>
    <row r="22" spans="2:16" x14ac:dyDescent="0.2">
      <c r="B22" s="29"/>
      <c r="C22" s="30">
        <v>20500</v>
      </c>
      <c r="D22" s="31">
        <v>10</v>
      </c>
      <c r="E22" s="31"/>
      <c r="F22" s="31">
        <v>6</v>
      </c>
      <c r="G22" s="31"/>
      <c r="H22" s="31"/>
      <c r="I22" s="31"/>
      <c r="J22" s="31"/>
      <c r="K22" s="31"/>
      <c r="L22" s="31">
        <v>7.9</v>
      </c>
      <c r="M22" s="33"/>
      <c r="N22" s="31"/>
      <c r="O22" s="32"/>
    </row>
    <row r="23" spans="2:16" x14ac:dyDescent="0.2">
      <c r="B23" s="29"/>
      <c r="C23" s="30"/>
      <c r="D23" s="33"/>
      <c r="E23" s="33"/>
      <c r="F23" s="33"/>
      <c r="G23" s="33"/>
      <c r="H23" s="31">
        <f>(((D22+D24)/2)*(C24-C22))/27</f>
        <v>17.87037037037037</v>
      </c>
      <c r="I23" s="33"/>
      <c r="J23" s="31">
        <f>(((F22+F24)/2)*(C24-C22))/27</f>
        <v>13.981481481481481</v>
      </c>
      <c r="K23" s="31"/>
      <c r="L23" s="31"/>
      <c r="M23" s="33"/>
      <c r="N23" s="31">
        <f>(((L22+L24)/2)*(C24-C22))/9</f>
        <v>41.111111111111114</v>
      </c>
      <c r="O23" s="32"/>
    </row>
    <row r="24" spans="2:16" x14ac:dyDescent="0.2">
      <c r="B24" s="29"/>
      <c r="C24" s="30">
        <v>20550</v>
      </c>
      <c r="D24" s="31">
        <v>9.3000000000000007</v>
      </c>
      <c r="E24" s="31"/>
      <c r="F24" s="31">
        <v>9.1</v>
      </c>
      <c r="G24" s="31"/>
      <c r="H24" s="31"/>
      <c r="I24" s="31"/>
      <c r="J24" s="31"/>
      <c r="K24" s="31"/>
      <c r="L24" s="31">
        <v>6.9</v>
      </c>
      <c r="M24" s="33"/>
      <c r="N24" s="31"/>
      <c r="O24" s="32"/>
    </row>
    <row r="25" spans="2:16" x14ac:dyDescent="0.2">
      <c r="B25" s="29"/>
      <c r="C25" s="30"/>
      <c r="D25" s="33"/>
      <c r="E25" s="33"/>
      <c r="F25" s="33"/>
      <c r="G25" s="33"/>
      <c r="H25" s="31">
        <f>(((D24+D26)/2)*(C26-C24))/27</f>
        <v>24.444444444444443</v>
      </c>
      <c r="I25" s="33"/>
      <c r="J25" s="31">
        <f>(((F24+F26)/2)*(C26-C24))/27</f>
        <v>12.777777777777779</v>
      </c>
      <c r="K25" s="31"/>
      <c r="L25" s="33"/>
      <c r="M25" s="33"/>
      <c r="N25" s="31">
        <f>(((L24+L26)/2)*(C26-C24))/9</f>
        <v>55.833333333333343</v>
      </c>
      <c r="O25" s="32"/>
    </row>
    <row r="26" spans="2:16" x14ac:dyDescent="0.2">
      <c r="B26" s="29"/>
      <c r="C26" s="30">
        <v>20600</v>
      </c>
      <c r="D26" s="31">
        <f>11.1+6</f>
        <v>17.100000000000001</v>
      </c>
      <c r="E26" s="31"/>
      <c r="F26" s="31">
        <v>4.7</v>
      </c>
      <c r="G26" s="31"/>
      <c r="H26" s="31"/>
      <c r="I26" s="31"/>
      <c r="J26" s="31"/>
      <c r="K26" s="31"/>
      <c r="L26" s="31">
        <v>13.2</v>
      </c>
      <c r="M26" s="33"/>
      <c r="N26" s="31"/>
      <c r="O26" s="32"/>
    </row>
    <row r="27" spans="2:16" x14ac:dyDescent="0.2">
      <c r="B27" s="29"/>
      <c r="C27" s="30"/>
      <c r="D27" s="33"/>
      <c r="E27" s="33"/>
      <c r="F27" s="33"/>
      <c r="G27" s="33"/>
      <c r="H27" s="31">
        <f>(((D26+D28)/2)*(C28-C26))/27</f>
        <v>27.962962962962965</v>
      </c>
      <c r="I27" s="33"/>
      <c r="J27" s="31">
        <f>(((F26+F28)/2)*(C28-C26))/27</f>
        <v>8.1481481481481488</v>
      </c>
      <c r="K27" s="31"/>
      <c r="L27" s="33"/>
      <c r="M27" s="33"/>
      <c r="N27" s="31">
        <f>(((L26+L28)/2)*(C28-C26))/9</f>
        <v>69.444444444444443</v>
      </c>
      <c r="O27" s="32"/>
    </row>
    <row r="28" spans="2:16" x14ac:dyDescent="0.2">
      <c r="B28" s="29"/>
      <c r="C28" s="30">
        <v>20650</v>
      </c>
      <c r="D28" s="31">
        <f>8.9+4.2</f>
        <v>13.100000000000001</v>
      </c>
      <c r="E28" s="31"/>
      <c r="F28" s="31">
        <f>0.8+3.3</f>
        <v>4.0999999999999996</v>
      </c>
      <c r="G28" s="31"/>
      <c r="H28" s="31"/>
      <c r="I28" s="31"/>
      <c r="J28" s="31"/>
      <c r="K28" s="31"/>
      <c r="L28" s="31">
        <v>11.8</v>
      </c>
      <c r="M28" s="33"/>
      <c r="N28" s="31"/>
      <c r="O28" s="32"/>
    </row>
    <row r="29" spans="2:16" x14ac:dyDescent="0.2">
      <c r="B29" s="29"/>
      <c r="C29" s="30"/>
      <c r="D29" s="33"/>
      <c r="E29" s="33"/>
      <c r="F29" s="33"/>
      <c r="G29" s="33"/>
      <c r="H29" s="31">
        <f>(((D28+D30)/2)*(C30-C28))/27</f>
        <v>22.870370370370374</v>
      </c>
      <c r="I29" s="33"/>
      <c r="J29" s="31">
        <f>(((F28+F30)/2)*(C30-C28))/27</f>
        <v>3.9814814814814814</v>
      </c>
      <c r="K29" s="31"/>
      <c r="L29" s="33"/>
      <c r="M29" s="33"/>
      <c r="N29" s="31">
        <f>(((L28+L30)/2)*(C30-C28))/9</f>
        <v>61.111111111111114</v>
      </c>
      <c r="O29" s="32"/>
    </row>
    <row r="30" spans="2:16" x14ac:dyDescent="0.2">
      <c r="B30" s="29"/>
      <c r="C30" s="30">
        <v>20700</v>
      </c>
      <c r="D30" s="31">
        <f>0.8+8.7+1.8+0.3</f>
        <v>11.600000000000001</v>
      </c>
      <c r="E30" s="31"/>
      <c r="F30" s="31">
        <f>0.2</f>
        <v>0.2</v>
      </c>
      <c r="G30" s="31"/>
      <c r="H30" s="31"/>
      <c r="I30" s="31"/>
      <c r="J30" s="31"/>
      <c r="K30" s="31"/>
      <c r="L30" s="31">
        <v>10.199999999999999</v>
      </c>
      <c r="M30" s="33"/>
      <c r="N30" s="31"/>
      <c r="O30" s="32"/>
    </row>
    <row r="31" spans="2:16" x14ac:dyDescent="0.2">
      <c r="B31" s="29"/>
      <c r="C31" s="30"/>
      <c r="D31" s="33"/>
      <c r="E31" s="33"/>
      <c r="F31" s="33"/>
      <c r="G31" s="33"/>
      <c r="H31" s="31">
        <f>(((D30+D32)/2)*(C32-C30))/27</f>
        <v>18.055555555555557</v>
      </c>
      <c r="I31" s="33"/>
      <c r="J31" s="31">
        <f>(((F30+F32)/2)*(C32-C30))/27</f>
        <v>1.3888888888888888</v>
      </c>
      <c r="K31" s="31"/>
      <c r="L31" s="33"/>
      <c r="M31" s="33"/>
      <c r="N31" s="31">
        <f>(((L30+L32)/2)*(C32-C30))/9</f>
        <v>52.222222222222214</v>
      </c>
      <c r="O31" s="32"/>
    </row>
    <row r="32" spans="2:16" x14ac:dyDescent="0.2">
      <c r="B32" s="29"/>
      <c r="C32" s="30">
        <v>20750</v>
      </c>
      <c r="D32" s="31">
        <f>0.8+0.2+1.1+4.7+1.1</f>
        <v>7.9</v>
      </c>
      <c r="E32" s="31"/>
      <c r="F32" s="31">
        <f>0.1+1.2</f>
        <v>1.3</v>
      </c>
      <c r="G32" s="31"/>
      <c r="H32" s="31"/>
      <c r="I32" s="31"/>
      <c r="J32" s="31"/>
      <c r="K32" s="31"/>
      <c r="L32" s="31">
        <v>8.6</v>
      </c>
      <c r="M32" s="33"/>
      <c r="N32" s="31"/>
      <c r="O32" s="32"/>
    </row>
    <row r="33" spans="2:15" x14ac:dyDescent="0.2">
      <c r="B33" s="29"/>
      <c r="C33" s="30"/>
      <c r="D33" s="33"/>
      <c r="E33" s="33"/>
      <c r="F33" s="33"/>
      <c r="G33" s="33"/>
      <c r="H33" s="31">
        <f>(((D32+D34)/2)*(C34-C32))/27</f>
        <v>5.9033333333332445</v>
      </c>
      <c r="I33" s="31"/>
      <c r="J33" s="31">
        <f>(((F32+F34)/2)*(C34-C32))/27</f>
        <v>1.1091111111110945</v>
      </c>
      <c r="K33" s="31"/>
      <c r="L33" s="31"/>
      <c r="M33" s="31"/>
      <c r="N33" s="31">
        <f>(((L32+L34)/2)*(C34-C32))/9</f>
        <v>15.02666666666644</v>
      </c>
      <c r="O33" s="32"/>
    </row>
    <row r="34" spans="2:15" x14ac:dyDescent="0.2">
      <c r="B34" s="29"/>
      <c r="C34" s="30">
        <v>20769.32</v>
      </c>
      <c r="D34" s="31">
        <f>0.4+7.8+0.4</f>
        <v>8.6</v>
      </c>
      <c r="E34" s="31"/>
      <c r="F34" s="31">
        <f>1.5+0.3</f>
        <v>1.8</v>
      </c>
      <c r="G34" s="31"/>
      <c r="H34" s="31"/>
      <c r="I34" s="31"/>
      <c r="J34" s="31"/>
      <c r="K34" s="31"/>
      <c r="L34" s="31">
        <v>5.4</v>
      </c>
      <c r="M34" s="31"/>
      <c r="N34" s="31"/>
      <c r="O34" s="32"/>
    </row>
    <row r="35" spans="2:15" x14ac:dyDescent="0.2">
      <c r="B35" s="29"/>
      <c r="C35" s="30"/>
      <c r="D35" s="33"/>
      <c r="E35" s="33"/>
      <c r="F35" s="33"/>
      <c r="G35" s="33"/>
      <c r="H35" s="31">
        <f>(((D34+D36)/2)*(C36-C34))/27</f>
        <v>10.567555555555657</v>
      </c>
      <c r="I35" s="33"/>
      <c r="J35" s="31">
        <f>(((F34+F36)/2)*(C36-C34))/27</f>
        <v>3.7497777777778132</v>
      </c>
      <c r="K35" s="31"/>
      <c r="L35" s="33"/>
      <c r="M35" s="33"/>
      <c r="N35" s="31">
        <f>(((L34+L36)/2)*(C36-C34))/9</f>
        <v>18.237555555555726</v>
      </c>
      <c r="O35" s="32"/>
    </row>
    <row r="36" spans="2:15" x14ac:dyDescent="0.2">
      <c r="B36" s="29"/>
      <c r="C36" s="30">
        <v>20800</v>
      </c>
      <c r="D36" s="31">
        <f>9.6+0.4</f>
        <v>10</v>
      </c>
      <c r="E36" s="31"/>
      <c r="F36" s="31">
        <f>3.6+1.1+0.1</f>
        <v>4.8</v>
      </c>
      <c r="G36" s="31"/>
      <c r="H36" s="31"/>
      <c r="I36" s="31"/>
      <c r="J36" s="31"/>
      <c r="K36" s="31"/>
      <c r="L36" s="31">
        <v>5.3</v>
      </c>
      <c r="M36" s="33"/>
      <c r="N36" s="31"/>
      <c r="O36" s="32"/>
    </row>
    <row r="37" spans="2:15" x14ac:dyDescent="0.2">
      <c r="B37" s="29"/>
      <c r="C37" s="30"/>
      <c r="D37" s="33"/>
      <c r="E37" s="33"/>
      <c r="F37" s="33"/>
      <c r="G37" s="33"/>
      <c r="H37" s="31">
        <f t="shared" ref="H37:H43" si="0">(((D36+D38)/2)*(C38-C36))/27</f>
        <v>20.37037037037037</v>
      </c>
      <c r="I37" s="33"/>
      <c r="J37" s="31">
        <f t="shared" ref="J37:J43" si="1">(((F36+F38)/2)*(C38-C36))/27</f>
        <v>6.7592592592592595</v>
      </c>
      <c r="K37" s="31"/>
      <c r="L37" s="33"/>
      <c r="M37" s="33"/>
      <c r="N37" s="31">
        <f>(((L36+L38)/2)*(C38-C36))/9</f>
        <v>30.833333333333332</v>
      </c>
      <c r="O37" s="32"/>
    </row>
    <row r="38" spans="2:15" x14ac:dyDescent="0.2">
      <c r="B38" s="29"/>
      <c r="C38" s="30">
        <v>20850</v>
      </c>
      <c r="D38" s="31">
        <v>12</v>
      </c>
      <c r="E38" s="31"/>
      <c r="F38" s="31">
        <v>2.5</v>
      </c>
      <c r="G38" s="31"/>
      <c r="H38" s="31"/>
      <c r="I38" s="31"/>
      <c r="J38" s="31"/>
      <c r="K38" s="31"/>
      <c r="L38" s="31">
        <v>5.8</v>
      </c>
      <c r="M38" s="33"/>
      <c r="N38" s="31"/>
      <c r="O38" s="32"/>
    </row>
    <row r="39" spans="2:15" x14ac:dyDescent="0.2">
      <c r="B39" s="29"/>
      <c r="C39" s="30"/>
      <c r="D39" s="33"/>
      <c r="E39" s="33"/>
      <c r="F39" s="33"/>
      <c r="G39" s="33"/>
      <c r="H39" s="31">
        <f t="shared" si="0"/>
        <v>18.611111111111114</v>
      </c>
      <c r="I39" s="33"/>
      <c r="J39" s="31">
        <f t="shared" si="1"/>
        <v>8.6111111111111125</v>
      </c>
      <c r="K39" s="31"/>
      <c r="L39" s="33"/>
      <c r="M39" s="33"/>
      <c r="N39" s="31">
        <f>(((L38+L40)/2)*(C40-C38))/9</f>
        <v>38.055555555555557</v>
      </c>
      <c r="O39" s="32"/>
    </row>
    <row r="40" spans="2:15" x14ac:dyDescent="0.2">
      <c r="B40" s="29"/>
      <c r="C40" s="30">
        <v>20900</v>
      </c>
      <c r="D40" s="31">
        <f>8.1</f>
        <v>8.1</v>
      </c>
      <c r="E40" s="31"/>
      <c r="F40" s="31">
        <f>2.8+4</f>
        <v>6.8</v>
      </c>
      <c r="G40" s="31"/>
      <c r="H40" s="31"/>
      <c r="I40" s="31"/>
      <c r="J40" s="31"/>
      <c r="K40" s="31"/>
      <c r="L40" s="31">
        <v>7.9</v>
      </c>
      <c r="M40" s="33"/>
      <c r="N40" s="31"/>
      <c r="O40" s="32"/>
    </row>
    <row r="41" spans="2:15" x14ac:dyDescent="0.2">
      <c r="B41" s="29"/>
      <c r="C41" s="30"/>
      <c r="D41" s="33"/>
      <c r="E41" s="33"/>
      <c r="F41" s="33"/>
      <c r="G41" s="33"/>
      <c r="H41" s="31">
        <f>(((D40+D42)/2)*(C42-C40))/27</f>
        <v>13.425925925925926</v>
      </c>
      <c r="I41" s="33"/>
      <c r="J41" s="31">
        <f>(((F40+F42)/2)*(C42-C40))/27</f>
        <v>15.555555555555555</v>
      </c>
      <c r="K41" s="31"/>
      <c r="L41" s="33"/>
      <c r="M41" s="33"/>
      <c r="N41" s="31">
        <f>(((L40+L42)/2)*(C42-C40))/9</f>
        <v>64.166666666666671</v>
      </c>
      <c r="O41" s="32"/>
    </row>
    <row r="42" spans="2:15" x14ac:dyDescent="0.2">
      <c r="B42" s="29"/>
      <c r="C42" s="30">
        <v>20950</v>
      </c>
      <c r="D42" s="31">
        <v>6.4</v>
      </c>
      <c r="E42" s="31"/>
      <c r="F42" s="31">
        <v>10</v>
      </c>
      <c r="G42" s="31"/>
      <c r="H42" s="31"/>
      <c r="I42" s="31"/>
      <c r="J42" s="31"/>
      <c r="K42" s="31"/>
      <c r="L42" s="31">
        <v>15.2</v>
      </c>
      <c r="M42" s="33"/>
      <c r="N42" s="31"/>
      <c r="O42" s="32"/>
    </row>
    <row r="43" spans="2:15" x14ac:dyDescent="0.2">
      <c r="B43" s="29"/>
      <c r="C43" s="30"/>
      <c r="D43" s="33"/>
      <c r="E43" s="33"/>
      <c r="F43" s="33"/>
      <c r="G43" s="33"/>
      <c r="H43" s="31">
        <f t="shared" si="0"/>
        <v>9.0740740740740744</v>
      </c>
      <c r="I43" s="33"/>
      <c r="J43" s="31">
        <f t="shared" si="1"/>
        <v>10.648148148148149</v>
      </c>
      <c r="K43" s="31"/>
      <c r="L43" s="33"/>
      <c r="M43" s="33"/>
      <c r="N43" s="31">
        <f>(((L42+L44)/2)*(C44-C42))/9</f>
        <v>70.277777777777771</v>
      </c>
      <c r="O43" s="32"/>
    </row>
    <row r="44" spans="2:15" x14ac:dyDescent="0.2">
      <c r="B44" s="29"/>
      <c r="C44" s="30">
        <v>21000</v>
      </c>
      <c r="D44" s="31">
        <v>3.4</v>
      </c>
      <c r="E44" s="31"/>
      <c r="F44" s="31">
        <v>1.5</v>
      </c>
      <c r="G44" s="31"/>
      <c r="H44" s="31"/>
      <c r="I44" s="31"/>
      <c r="J44" s="31"/>
      <c r="K44" s="31"/>
      <c r="L44" s="31">
        <v>10.1</v>
      </c>
      <c r="M44" s="31"/>
      <c r="N44" s="31"/>
      <c r="O44" s="32"/>
    </row>
    <row r="45" spans="2:15" x14ac:dyDescent="0.2">
      <c r="B45" s="29"/>
      <c r="C45" s="30"/>
      <c r="D45" s="33"/>
      <c r="E45" s="33"/>
      <c r="F45" s="33"/>
      <c r="G45" s="33"/>
      <c r="H45" s="31">
        <f>(((D44+D46)/2)*(C46-C44))/27</f>
        <v>3.1481481481481484</v>
      </c>
      <c r="I45" s="33"/>
      <c r="J45" s="31">
        <f>(((F44+F46)/2)*(C46-C44))/27</f>
        <v>1.3888888888888888</v>
      </c>
      <c r="K45" s="31"/>
      <c r="L45" s="33"/>
      <c r="M45" s="33"/>
      <c r="N45" s="31">
        <f>(((L44+L46)/2)*(C46-C44))/9</f>
        <v>28.055555555555557</v>
      </c>
      <c r="O45" s="32"/>
    </row>
    <row r="46" spans="2:15" x14ac:dyDescent="0.2">
      <c r="B46" s="29"/>
      <c r="C46" s="30">
        <v>21050</v>
      </c>
      <c r="D46" s="31">
        <v>0</v>
      </c>
      <c r="E46" s="31"/>
      <c r="F46" s="31">
        <v>0</v>
      </c>
      <c r="G46" s="31"/>
      <c r="H46" s="31"/>
      <c r="I46" s="31"/>
      <c r="J46" s="31"/>
      <c r="K46" s="31"/>
      <c r="L46" s="31">
        <v>0</v>
      </c>
      <c r="M46" s="31"/>
      <c r="N46" s="31"/>
      <c r="O46" s="32"/>
    </row>
    <row r="47" spans="2:15" x14ac:dyDescent="0.2">
      <c r="D47" s="32"/>
      <c r="E47" s="32"/>
      <c r="F47" s="32"/>
      <c r="H47" s="32"/>
      <c r="O47" s="32"/>
    </row>
    <row r="48" spans="2:15" x14ac:dyDescent="0.2">
      <c r="B48" s="32" t="s">
        <v>11</v>
      </c>
      <c r="D48" s="32">
        <f>C46-C8</f>
        <v>900</v>
      </c>
      <c r="E48" s="32"/>
      <c r="F48" s="32"/>
      <c r="G48" s="32" t="s">
        <v>12</v>
      </c>
      <c r="H48" s="32">
        <f>SUM(H8:H47)</f>
        <v>257.6745925925926</v>
      </c>
      <c r="I48" s="32" t="s">
        <v>13</v>
      </c>
      <c r="J48" s="32">
        <f>SUM(J8:J47)</f>
        <v>117.3588888888889</v>
      </c>
      <c r="K48" s="32"/>
      <c r="L48" s="32"/>
      <c r="M48" s="34" t="s">
        <v>14</v>
      </c>
      <c r="N48" s="32">
        <f>SUM(N6:N47)</f>
        <v>770.7642222222222</v>
      </c>
      <c r="O48" s="32"/>
    </row>
    <row r="49" spans="2:14" x14ac:dyDescent="0.2">
      <c r="B49" s="32" t="s">
        <v>15</v>
      </c>
      <c r="D49" s="35">
        <f>D48/5280</f>
        <v>0.17045454545454544</v>
      </c>
      <c r="E49" s="32"/>
      <c r="F49" s="32"/>
      <c r="K49" s="32"/>
      <c r="M49" s="32"/>
      <c r="N49" s="32"/>
    </row>
    <row r="50" spans="2:14" x14ac:dyDescent="0.2">
      <c r="D50" s="32"/>
      <c r="E50" s="32"/>
      <c r="F50" s="32"/>
      <c r="G50" s="32"/>
      <c r="H50" s="32"/>
      <c r="I50" s="32"/>
      <c r="J50" s="32"/>
      <c r="K50" s="32"/>
      <c r="M50" s="32"/>
      <c r="N50" s="32"/>
    </row>
  </sheetData>
  <mergeCells count="4">
    <mergeCell ref="B2:N3"/>
    <mergeCell ref="C5:D5"/>
    <mergeCell ref="G5:H5"/>
    <mergeCell ref="K5:L5"/>
  </mergeCells>
  <pageMargins left="0.75" right="0.75" top="0.5" bottom="0.5" header="0.5" footer="0.5"/>
  <pageSetup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2CD45-43DA-4A4D-8CFF-4FF0856DDA1E}">
  <sheetPr>
    <pageSetUpPr fitToPage="1"/>
  </sheetPr>
  <dimension ref="B1:P44"/>
  <sheetViews>
    <sheetView topLeftCell="B1" zoomScaleNormal="100" workbookViewId="0">
      <selection activeCell="B2" sqref="B2:N3"/>
    </sheetView>
  </sheetViews>
  <sheetFormatPr defaultRowHeight="12.75" x14ac:dyDescent="0.2"/>
  <cols>
    <col min="1" max="5" width="9.140625" style="4"/>
    <col min="6" max="6" width="10.140625" style="4" bestFit="1" customWidth="1"/>
    <col min="7" max="7" width="9.140625" style="4"/>
    <col min="8" max="8" width="9.140625" style="5"/>
    <col min="9" max="9" width="9.140625" style="4"/>
    <col min="10" max="10" width="9.140625" style="5"/>
    <col min="11" max="13" width="9.140625" style="4"/>
    <col min="14" max="14" width="9.140625" style="5"/>
    <col min="15" max="261" width="9.140625" style="4"/>
    <col min="262" max="262" width="10.140625" style="4" bestFit="1" customWidth="1"/>
    <col min="263" max="517" width="9.140625" style="4"/>
    <col min="518" max="518" width="10.140625" style="4" bestFit="1" customWidth="1"/>
    <col min="519" max="773" width="9.140625" style="4"/>
    <col min="774" max="774" width="10.140625" style="4" bestFit="1" customWidth="1"/>
    <col min="775" max="1029" width="9.140625" style="4"/>
    <col min="1030" max="1030" width="10.140625" style="4" bestFit="1" customWidth="1"/>
    <col min="1031" max="1285" width="9.140625" style="4"/>
    <col min="1286" max="1286" width="10.140625" style="4" bestFit="1" customWidth="1"/>
    <col min="1287" max="1541" width="9.140625" style="4"/>
    <col min="1542" max="1542" width="10.140625" style="4" bestFit="1" customWidth="1"/>
    <col min="1543" max="1797" width="9.140625" style="4"/>
    <col min="1798" max="1798" width="10.140625" style="4" bestFit="1" customWidth="1"/>
    <col min="1799" max="2053" width="9.140625" style="4"/>
    <col min="2054" max="2054" width="10.140625" style="4" bestFit="1" customWidth="1"/>
    <col min="2055" max="2309" width="9.140625" style="4"/>
    <col min="2310" max="2310" width="10.140625" style="4" bestFit="1" customWidth="1"/>
    <col min="2311" max="2565" width="9.140625" style="4"/>
    <col min="2566" max="2566" width="10.140625" style="4" bestFit="1" customWidth="1"/>
    <col min="2567" max="2821" width="9.140625" style="4"/>
    <col min="2822" max="2822" width="10.140625" style="4" bestFit="1" customWidth="1"/>
    <col min="2823" max="3077" width="9.140625" style="4"/>
    <col min="3078" max="3078" width="10.140625" style="4" bestFit="1" customWidth="1"/>
    <col min="3079" max="3333" width="9.140625" style="4"/>
    <col min="3334" max="3334" width="10.140625" style="4" bestFit="1" customWidth="1"/>
    <col min="3335" max="3589" width="9.140625" style="4"/>
    <col min="3590" max="3590" width="10.140625" style="4" bestFit="1" customWidth="1"/>
    <col min="3591" max="3845" width="9.140625" style="4"/>
    <col min="3846" max="3846" width="10.140625" style="4" bestFit="1" customWidth="1"/>
    <col min="3847" max="4101" width="9.140625" style="4"/>
    <col min="4102" max="4102" width="10.140625" style="4" bestFit="1" customWidth="1"/>
    <col min="4103" max="4357" width="9.140625" style="4"/>
    <col min="4358" max="4358" width="10.140625" style="4" bestFit="1" customWidth="1"/>
    <col min="4359" max="4613" width="9.140625" style="4"/>
    <col min="4614" max="4614" width="10.140625" style="4" bestFit="1" customWidth="1"/>
    <col min="4615" max="4869" width="9.140625" style="4"/>
    <col min="4870" max="4870" width="10.140625" style="4" bestFit="1" customWidth="1"/>
    <col min="4871" max="5125" width="9.140625" style="4"/>
    <col min="5126" max="5126" width="10.140625" style="4" bestFit="1" customWidth="1"/>
    <col min="5127" max="5381" width="9.140625" style="4"/>
    <col min="5382" max="5382" width="10.140625" style="4" bestFit="1" customWidth="1"/>
    <col min="5383" max="5637" width="9.140625" style="4"/>
    <col min="5638" max="5638" width="10.140625" style="4" bestFit="1" customWidth="1"/>
    <col min="5639" max="5893" width="9.140625" style="4"/>
    <col min="5894" max="5894" width="10.140625" style="4" bestFit="1" customWidth="1"/>
    <col min="5895" max="6149" width="9.140625" style="4"/>
    <col min="6150" max="6150" width="10.140625" style="4" bestFit="1" customWidth="1"/>
    <col min="6151" max="6405" width="9.140625" style="4"/>
    <col min="6406" max="6406" width="10.140625" style="4" bestFit="1" customWidth="1"/>
    <col min="6407" max="6661" width="9.140625" style="4"/>
    <col min="6662" max="6662" width="10.140625" style="4" bestFit="1" customWidth="1"/>
    <col min="6663" max="6917" width="9.140625" style="4"/>
    <col min="6918" max="6918" width="10.140625" style="4" bestFit="1" customWidth="1"/>
    <col min="6919" max="7173" width="9.140625" style="4"/>
    <col min="7174" max="7174" width="10.140625" style="4" bestFit="1" customWidth="1"/>
    <col min="7175" max="7429" width="9.140625" style="4"/>
    <col min="7430" max="7430" width="10.140625" style="4" bestFit="1" customWidth="1"/>
    <col min="7431" max="7685" width="9.140625" style="4"/>
    <col min="7686" max="7686" width="10.140625" style="4" bestFit="1" customWidth="1"/>
    <col min="7687" max="7941" width="9.140625" style="4"/>
    <col min="7942" max="7942" width="10.140625" style="4" bestFit="1" customWidth="1"/>
    <col min="7943" max="8197" width="9.140625" style="4"/>
    <col min="8198" max="8198" width="10.140625" style="4" bestFit="1" customWidth="1"/>
    <col min="8199" max="8453" width="9.140625" style="4"/>
    <col min="8454" max="8454" width="10.140625" style="4" bestFit="1" customWidth="1"/>
    <col min="8455" max="8709" width="9.140625" style="4"/>
    <col min="8710" max="8710" width="10.140625" style="4" bestFit="1" customWidth="1"/>
    <col min="8711" max="8965" width="9.140625" style="4"/>
    <col min="8966" max="8966" width="10.140625" style="4" bestFit="1" customWidth="1"/>
    <col min="8967" max="9221" width="9.140625" style="4"/>
    <col min="9222" max="9222" width="10.140625" style="4" bestFit="1" customWidth="1"/>
    <col min="9223" max="9477" width="9.140625" style="4"/>
    <col min="9478" max="9478" width="10.140625" style="4" bestFit="1" customWidth="1"/>
    <col min="9479" max="9733" width="9.140625" style="4"/>
    <col min="9734" max="9734" width="10.140625" style="4" bestFit="1" customWidth="1"/>
    <col min="9735" max="9989" width="9.140625" style="4"/>
    <col min="9990" max="9990" width="10.140625" style="4" bestFit="1" customWidth="1"/>
    <col min="9991" max="10245" width="9.140625" style="4"/>
    <col min="10246" max="10246" width="10.140625" style="4" bestFit="1" customWidth="1"/>
    <col min="10247" max="10501" width="9.140625" style="4"/>
    <col min="10502" max="10502" width="10.140625" style="4" bestFit="1" customWidth="1"/>
    <col min="10503" max="10757" width="9.140625" style="4"/>
    <col min="10758" max="10758" width="10.140625" style="4" bestFit="1" customWidth="1"/>
    <col min="10759" max="11013" width="9.140625" style="4"/>
    <col min="11014" max="11014" width="10.140625" style="4" bestFit="1" customWidth="1"/>
    <col min="11015" max="11269" width="9.140625" style="4"/>
    <col min="11270" max="11270" width="10.140625" style="4" bestFit="1" customWidth="1"/>
    <col min="11271" max="11525" width="9.140625" style="4"/>
    <col min="11526" max="11526" width="10.140625" style="4" bestFit="1" customWidth="1"/>
    <col min="11527" max="11781" width="9.140625" style="4"/>
    <col min="11782" max="11782" width="10.140625" style="4" bestFit="1" customWidth="1"/>
    <col min="11783" max="12037" width="9.140625" style="4"/>
    <col min="12038" max="12038" width="10.140625" style="4" bestFit="1" customWidth="1"/>
    <col min="12039" max="12293" width="9.140625" style="4"/>
    <col min="12294" max="12294" width="10.140625" style="4" bestFit="1" customWidth="1"/>
    <col min="12295" max="12549" width="9.140625" style="4"/>
    <col min="12550" max="12550" width="10.140625" style="4" bestFit="1" customWidth="1"/>
    <col min="12551" max="12805" width="9.140625" style="4"/>
    <col min="12806" max="12806" width="10.140625" style="4" bestFit="1" customWidth="1"/>
    <col min="12807" max="13061" width="9.140625" style="4"/>
    <col min="13062" max="13062" width="10.140625" style="4" bestFit="1" customWidth="1"/>
    <col min="13063" max="13317" width="9.140625" style="4"/>
    <col min="13318" max="13318" width="10.140625" style="4" bestFit="1" customWidth="1"/>
    <col min="13319" max="13573" width="9.140625" style="4"/>
    <col min="13574" max="13574" width="10.140625" style="4" bestFit="1" customWidth="1"/>
    <col min="13575" max="13829" width="9.140625" style="4"/>
    <col min="13830" max="13830" width="10.140625" style="4" bestFit="1" customWidth="1"/>
    <col min="13831" max="14085" width="9.140625" style="4"/>
    <col min="14086" max="14086" width="10.140625" style="4" bestFit="1" customWidth="1"/>
    <col min="14087" max="14341" width="9.140625" style="4"/>
    <col min="14342" max="14342" width="10.140625" style="4" bestFit="1" customWidth="1"/>
    <col min="14343" max="14597" width="9.140625" style="4"/>
    <col min="14598" max="14598" width="10.140625" style="4" bestFit="1" customWidth="1"/>
    <col min="14599" max="14853" width="9.140625" style="4"/>
    <col min="14854" max="14854" width="10.140625" style="4" bestFit="1" customWidth="1"/>
    <col min="14855" max="15109" width="9.140625" style="4"/>
    <col min="15110" max="15110" width="10.140625" style="4" bestFit="1" customWidth="1"/>
    <col min="15111" max="15365" width="9.140625" style="4"/>
    <col min="15366" max="15366" width="10.140625" style="4" bestFit="1" customWidth="1"/>
    <col min="15367" max="15621" width="9.140625" style="4"/>
    <col min="15622" max="15622" width="10.140625" style="4" bestFit="1" customWidth="1"/>
    <col min="15623" max="15877" width="9.140625" style="4"/>
    <col min="15878" max="15878" width="10.140625" style="4" bestFit="1" customWidth="1"/>
    <col min="15879" max="16133" width="9.140625" style="4"/>
    <col min="16134" max="16134" width="10.140625" style="4" bestFit="1" customWidth="1"/>
    <col min="16135" max="16384" width="9.140625" style="4"/>
  </cols>
  <sheetData>
    <row r="1" spans="2:16" ht="13.5" thickBot="1" x14ac:dyDescent="0.25">
      <c r="M1" s="6"/>
      <c r="N1" s="6"/>
    </row>
    <row r="2" spans="2:16" ht="12.75" customHeight="1" x14ac:dyDescent="0.2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6" ht="15.75" customHeight="1" thickBot="1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2:16" ht="15.75" customHeight="1" x14ac:dyDescent="0.2"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6"/>
    </row>
    <row r="5" spans="2:16" x14ac:dyDescent="0.2">
      <c r="B5" s="17"/>
      <c r="C5" s="18" t="s">
        <v>1</v>
      </c>
      <c r="D5" s="19"/>
      <c r="E5" s="20">
        <f>H42</f>
        <v>252.24877777777775</v>
      </c>
      <c r="F5" s="21" t="s">
        <v>2</v>
      </c>
      <c r="G5" s="18" t="s">
        <v>3</v>
      </c>
      <c r="H5" s="19"/>
      <c r="I5" s="20">
        <f>J42</f>
        <v>77.2222222222222</v>
      </c>
      <c r="J5" s="22" t="s">
        <v>2</v>
      </c>
      <c r="K5" s="23" t="s">
        <v>4</v>
      </c>
      <c r="L5" s="24"/>
      <c r="M5" s="25">
        <f>N42</f>
        <v>1079.1544444444446</v>
      </c>
      <c r="N5" s="26" t="s">
        <v>5</v>
      </c>
      <c r="O5" s="27"/>
    </row>
    <row r="6" spans="2:16" x14ac:dyDescent="0.2">
      <c r="L6" s="27"/>
    </row>
    <row r="7" spans="2:16" x14ac:dyDescent="0.2">
      <c r="D7" s="27" t="s">
        <v>6</v>
      </c>
      <c r="E7" s="27"/>
      <c r="F7" s="27" t="s">
        <v>7</v>
      </c>
      <c r="G7" s="27"/>
      <c r="H7" s="28" t="s">
        <v>8</v>
      </c>
      <c r="I7" s="27"/>
      <c r="J7" s="28" t="s">
        <v>9</v>
      </c>
      <c r="L7" s="27" t="s">
        <v>10</v>
      </c>
      <c r="M7" s="27"/>
      <c r="N7" s="28"/>
      <c r="P7" s="27"/>
    </row>
    <row r="8" spans="2:16" x14ac:dyDescent="0.2">
      <c r="B8" s="29"/>
      <c r="C8" s="30">
        <v>30050</v>
      </c>
      <c r="D8" s="31">
        <v>0</v>
      </c>
      <c r="E8" s="31"/>
      <c r="F8" s="31">
        <v>0</v>
      </c>
      <c r="G8" s="31"/>
      <c r="H8" s="31"/>
      <c r="I8" s="31"/>
      <c r="J8" s="31"/>
      <c r="K8" s="31"/>
      <c r="L8" s="31">
        <v>0</v>
      </c>
      <c r="M8" s="31"/>
      <c r="N8" s="31"/>
      <c r="O8" s="32"/>
      <c r="P8" s="27"/>
    </row>
    <row r="9" spans="2:16" x14ac:dyDescent="0.2">
      <c r="B9" s="29"/>
      <c r="C9" s="30"/>
      <c r="D9" s="33"/>
      <c r="E9" s="33"/>
      <c r="F9" s="33"/>
      <c r="G9" s="33"/>
      <c r="H9" s="31">
        <f>(((D8+D10)/2)*(C10-C8))/27</f>
        <v>2.5925925925925926</v>
      </c>
      <c r="I9" s="33"/>
      <c r="J9" s="31">
        <f>(((F8+F10)/2)*(C10-C8))/27</f>
        <v>2.8703703703703702</v>
      </c>
      <c r="K9" s="31"/>
      <c r="L9" s="33"/>
      <c r="M9" s="33"/>
      <c r="N9" s="31">
        <f>(((L8+L10)/2)*(C10-C8))/9</f>
        <v>48.888888888888893</v>
      </c>
      <c r="O9" s="32"/>
      <c r="P9" s="27"/>
    </row>
    <row r="10" spans="2:16" x14ac:dyDescent="0.2">
      <c r="B10" s="29"/>
      <c r="C10" s="30">
        <v>30100</v>
      </c>
      <c r="D10" s="31">
        <f>1.2+1.6</f>
        <v>2.8</v>
      </c>
      <c r="E10" s="31"/>
      <c r="F10" s="31">
        <f>3.1</f>
        <v>3.1</v>
      </c>
      <c r="G10" s="31"/>
      <c r="H10" s="31"/>
      <c r="I10" s="31"/>
      <c r="J10" s="31"/>
      <c r="K10" s="31"/>
      <c r="L10" s="31">
        <v>17.600000000000001</v>
      </c>
      <c r="M10" s="33"/>
      <c r="N10" s="31"/>
      <c r="O10" s="32"/>
      <c r="P10" s="27"/>
    </row>
    <row r="11" spans="2:16" x14ac:dyDescent="0.2">
      <c r="B11" s="29"/>
      <c r="C11" s="30"/>
      <c r="D11" s="33"/>
      <c r="E11" s="33"/>
      <c r="F11" s="33"/>
      <c r="G11" s="33"/>
      <c r="H11" s="31">
        <f>(((D10+D12)/2)*(C12-C10))/27</f>
        <v>5.6481481481481479</v>
      </c>
      <c r="I11" s="33"/>
      <c r="J11" s="31">
        <f>(((F10+F12)/2)*(C12-C10))/27</f>
        <v>4.2592592592592586</v>
      </c>
      <c r="K11" s="31"/>
      <c r="L11" s="33"/>
      <c r="M11" s="33"/>
      <c r="N11" s="31">
        <f>(((L10+L12)/2)*(C12-C10))/9</f>
        <v>78.333333333333343</v>
      </c>
      <c r="O11" s="32"/>
      <c r="P11" s="27"/>
    </row>
    <row r="12" spans="2:16" x14ac:dyDescent="0.2">
      <c r="B12" s="29"/>
      <c r="C12" s="30">
        <v>30150</v>
      </c>
      <c r="D12" s="31">
        <v>3.3</v>
      </c>
      <c r="E12" s="31"/>
      <c r="F12" s="31">
        <v>1.5</v>
      </c>
      <c r="G12" s="31"/>
      <c r="H12" s="31"/>
      <c r="I12" s="31"/>
      <c r="J12" s="31"/>
      <c r="K12" s="31"/>
      <c r="L12" s="31">
        <v>10.6</v>
      </c>
      <c r="M12" s="33"/>
      <c r="N12" s="31"/>
      <c r="O12" s="32"/>
      <c r="P12" s="27"/>
    </row>
    <row r="13" spans="2:16" x14ac:dyDescent="0.2">
      <c r="B13" s="29"/>
      <c r="C13" s="30"/>
      <c r="D13" s="33"/>
      <c r="E13" s="33"/>
      <c r="F13" s="33"/>
      <c r="G13" s="33"/>
      <c r="H13" s="31">
        <f>(((D12+D14)/2)*(C14-C12))/27</f>
        <v>7.4074074074074074</v>
      </c>
      <c r="I13" s="33"/>
      <c r="J13" s="31">
        <f>(((F12+F14)/2)*(C14-C12))/27</f>
        <v>13.703703703703704</v>
      </c>
      <c r="K13" s="31"/>
      <c r="L13" s="33"/>
      <c r="M13" s="33"/>
      <c r="N13" s="31">
        <f>(((L12+L14)/2)*(C14-C12))/9</f>
        <v>81.111111111111128</v>
      </c>
      <c r="O13" s="32"/>
      <c r="P13" s="27"/>
    </row>
    <row r="14" spans="2:16" x14ac:dyDescent="0.2">
      <c r="B14" s="29"/>
      <c r="C14" s="30">
        <v>30200</v>
      </c>
      <c r="D14" s="31">
        <v>4.7</v>
      </c>
      <c r="E14" s="31"/>
      <c r="F14" s="31">
        <v>13.3</v>
      </c>
      <c r="G14" s="31"/>
      <c r="H14" s="31"/>
      <c r="I14" s="31"/>
      <c r="J14" s="31"/>
      <c r="K14" s="31"/>
      <c r="L14" s="31">
        <v>18.600000000000001</v>
      </c>
      <c r="M14" s="33"/>
      <c r="N14" s="31"/>
      <c r="O14" s="32"/>
      <c r="P14" s="27"/>
    </row>
    <row r="15" spans="2:16" x14ac:dyDescent="0.2">
      <c r="B15" s="29"/>
      <c r="C15" s="30"/>
      <c r="D15" s="33"/>
      <c r="E15" s="33"/>
      <c r="F15" s="33"/>
      <c r="G15" s="33"/>
      <c r="H15" s="31">
        <f>(((D14+D16)/2)*(C16-C14))/27</f>
        <v>9.0740740740740744</v>
      </c>
      <c r="I15" s="33"/>
      <c r="J15" s="31">
        <f>(((F14+F16)/2)*(C16-C14))/27</f>
        <v>22.592592592592592</v>
      </c>
      <c r="K15" s="31"/>
      <c r="L15" s="33"/>
      <c r="M15" s="33"/>
      <c r="N15" s="31">
        <f>(((L14+L16)/2)*(C16-C14))/9</f>
        <v>87.5</v>
      </c>
      <c r="O15" s="32"/>
      <c r="P15" s="27"/>
    </row>
    <row r="16" spans="2:16" x14ac:dyDescent="0.2">
      <c r="B16" s="29"/>
      <c r="C16" s="30">
        <v>30250</v>
      </c>
      <c r="D16" s="31">
        <v>5.0999999999999996</v>
      </c>
      <c r="E16" s="31"/>
      <c r="F16" s="31">
        <v>11.1</v>
      </c>
      <c r="G16" s="31"/>
      <c r="H16" s="31"/>
      <c r="I16" s="31"/>
      <c r="J16" s="31"/>
      <c r="K16" s="31"/>
      <c r="L16" s="31">
        <v>12.9</v>
      </c>
      <c r="M16" s="33"/>
      <c r="N16" s="31"/>
      <c r="O16" s="31"/>
      <c r="P16" s="27"/>
    </row>
    <row r="17" spans="2:16" x14ac:dyDescent="0.2">
      <c r="B17" s="29"/>
      <c r="C17" s="30"/>
      <c r="D17" s="33"/>
      <c r="E17" s="33"/>
      <c r="F17" s="33"/>
      <c r="G17" s="33"/>
      <c r="H17" s="31">
        <f>(((D16+D18)/2)*(C18-C16))/27</f>
        <v>13.148148148148149</v>
      </c>
      <c r="I17" s="33"/>
      <c r="J17" s="31">
        <f>(((F16+F18)/2)*(C18-C16))/27</f>
        <v>13.796296296296294</v>
      </c>
      <c r="K17" s="31"/>
      <c r="L17" s="33"/>
      <c r="M17" s="33"/>
      <c r="N17" s="31">
        <f>(((L16+L18)/2)*(C18-C16))/9</f>
        <v>50</v>
      </c>
      <c r="O17" s="32"/>
      <c r="P17" s="27"/>
    </row>
    <row r="18" spans="2:16" x14ac:dyDescent="0.2">
      <c r="B18" s="29"/>
      <c r="C18" s="30">
        <v>30300</v>
      </c>
      <c r="D18" s="31">
        <v>9.1</v>
      </c>
      <c r="E18" s="31"/>
      <c r="F18" s="31">
        <v>3.8</v>
      </c>
      <c r="G18" s="31"/>
      <c r="H18" s="31"/>
      <c r="I18" s="31"/>
      <c r="J18" s="31"/>
      <c r="K18" s="31"/>
      <c r="L18" s="31">
        <v>5.0999999999999996</v>
      </c>
      <c r="M18" s="33"/>
      <c r="N18" s="31"/>
      <c r="O18" s="32"/>
      <c r="P18" s="27"/>
    </row>
    <row r="19" spans="2:16" x14ac:dyDescent="0.2">
      <c r="B19" s="29"/>
      <c r="C19" s="30"/>
      <c r="D19" s="33"/>
      <c r="E19" s="33"/>
      <c r="F19" s="33"/>
      <c r="G19" s="33"/>
      <c r="H19" s="31">
        <f>(((D18+D20)/2)*(C20-C18))/27</f>
        <v>21.75925925925926</v>
      </c>
      <c r="I19" s="31"/>
      <c r="J19" s="31">
        <f>(((F18+F20)/2)*(C20-C18))/27</f>
        <v>3.5185185185185186</v>
      </c>
      <c r="K19" s="31"/>
      <c r="L19" s="31"/>
      <c r="M19" s="31"/>
      <c r="N19" s="31">
        <f>(((L18+L20)/2)*(C20-C18))/9</f>
        <v>55.694444444444436</v>
      </c>
      <c r="O19" s="32"/>
      <c r="P19" s="27"/>
    </row>
    <row r="20" spans="2:16" x14ac:dyDescent="0.2">
      <c r="B20" s="29"/>
      <c r="C20" s="30">
        <v>30350</v>
      </c>
      <c r="D20" s="31">
        <v>14.4</v>
      </c>
      <c r="E20" s="31"/>
      <c r="F20" s="31">
        <v>0</v>
      </c>
      <c r="G20" s="31"/>
      <c r="H20" s="31"/>
      <c r="I20" s="31"/>
      <c r="J20" s="31"/>
      <c r="K20" s="31"/>
      <c r="L20" s="31">
        <v>14.95</v>
      </c>
      <c r="M20" s="31"/>
      <c r="N20" s="31"/>
      <c r="O20" s="32"/>
    </row>
    <row r="21" spans="2:16" x14ac:dyDescent="0.2">
      <c r="B21" s="29"/>
      <c r="C21" s="30"/>
      <c r="D21" s="33"/>
      <c r="E21" s="33"/>
      <c r="F21" s="33"/>
      <c r="G21" s="33"/>
      <c r="H21" s="31">
        <f>(((D20+D22)/2)*(C22-C20))/27</f>
        <v>25.277777777777779</v>
      </c>
      <c r="I21" s="33"/>
      <c r="J21" s="31">
        <f>(((F20+F22)/2)*(C22-C20))/27</f>
        <v>0</v>
      </c>
      <c r="K21" s="31"/>
      <c r="L21" s="31"/>
      <c r="M21" s="33"/>
      <c r="N21" s="31">
        <f>(((L20+L22)/2)*(C22-C20))/9</f>
        <v>70.138888888888886</v>
      </c>
      <c r="O21" s="32"/>
    </row>
    <row r="22" spans="2:16" x14ac:dyDescent="0.2">
      <c r="B22" s="29"/>
      <c r="C22" s="30">
        <v>30400</v>
      </c>
      <c r="D22" s="31">
        <v>12.9</v>
      </c>
      <c r="E22" s="31"/>
      <c r="F22" s="31">
        <v>0</v>
      </c>
      <c r="G22" s="31"/>
      <c r="H22" s="31"/>
      <c r="I22" s="31"/>
      <c r="J22" s="31"/>
      <c r="K22" s="31"/>
      <c r="L22" s="31">
        <v>10.3</v>
      </c>
      <c r="M22" s="33"/>
      <c r="N22" s="31"/>
      <c r="O22" s="32"/>
    </row>
    <row r="23" spans="2:16" x14ac:dyDescent="0.2">
      <c r="B23" s="29"/>
      <c r="C23" s="30"/>
      <c r="D23" s="33"/>
      <c r="E23" s="33"/>
      <c r="F23" s="33"/>
      <c r="G23" s="33"/>
      <c r="H23" s="31">
        <f>(((D22+D24)/2)*(C24-C22))/27</f>
        <v>15.57577777777818</v>
      </c>
      <c r="I23" s="33"/>
      <c r="J23" s="31">
        <f>(((F22+F24)/2)*(C24-C22))/27</f>
        <v>0</v>
      </c>
      <c r="K23" s="31"/>
      <c r="L23" s="31"/>
      <c r="M23" s="33"/>
      <c r="N23" s="31">
        <f>(((L22+L24)/2)*(C24-C22))/9</f>
        <v>39.190666666667681</v>
      </c>
      <c r="O23" s="32"/>
    </row>
    <row r="24" spans="2:16" x14ac:dyDescent="0.2">
      <c r="B24" s="29"/>
      <c r="C24" s="30">
        <v>30445.22</v>
      </c>
      <c r="D24" s="31">
        <f>0.6+1.8+3.2+0.1</f>
        <v>5.6999999999999993</v>
      </c>
      <c r="E24" s="31"/>
      <c r="F24" s="31">
        <v>0</v>
      </c>
      <c r="G24" s="31"/>
      <c r="H24" s="31"/>
      <c r="I24" s="31"/>
      <c r="J24" s="31"/>
      <c r="K24" s="31"/>
      <c r="L24" s="31">
        <v>5.3</v>
      </c>
      <c r="M24" s="33"/>
      <c r="N24" s="31"/>
      <c r="O24" s="32"/>
    </row>
    <row r="25" spans="2:16" x14ac:dyDescent="0.2">
      <c r="B25" s="29"/>
      <c r="C25" s="30"/>
      <c r="D25" s="33"/>
      <c r="E25" s="33"/>
      <c r="F25" s="33"/>
      <c r="G25" s="33"/>
      <c r="H25" s="31">
        <f>(((D24+D26)/2)*(C26-C24))/27</f>
        <v>19.17299999999959</v>
      </c>
      <c r="I25" s="33"/>
      <c r="J25" s="31">
        <f>(((F24+F26)/2)*(C26-C24))/27</f>
        <v>0</v>
      </c>
      <c r="K25" s="31"/>
      <c r="L25" s="33"/>
      <c r="M25" s="33"/>
      <c r="N25" s="31">
        <f>(((L24+L26)/2)*(C26-C24))/9</f>
        <v>50.519333333332263</v>
      </c>
      <c r="O25" s="32"/>
    </row>
    <row r="26" spans="2:16" x14ac:dyDescent="0.2">
      <c r="B26" s="29"/>
      <c r="C26" s="30">
        <v>30500</v>
      </c>
      <c r="D26" s="31">
        <v>13.2</v>
      </c>
      <c r="E26" s="31"/>
      <c r="F26" s="31">
        <v>0</v>
      </c>
      <c r="G26" s="31"/>
      <c r="H26" s="31"/>
      <c r="I26" s="31"/>
      <c r="J26" s="31"/>
      <c r="K26" s="31"/>
      <c r="L26" s="31">
        <v>11.3</v>
      </c>
      <c r="M26" s="33"/>
      <c r="N26" s="31"/>
      <c r="O26" s="32"/>
    </row>
    <row r="27" spans="2:16" x14ac:dyDescent="0.2">
      <c r="B27" s="29"/>
      <c r="C27" s="30"/>
      <c r="D27" s="33"/>
      <c r="E27" s="33"/>
      <c r="F27" s="33"/>
      <c r="G27" s="33"/>
      <c r="H27" s="31">
        <f>(((D26+D28)/2)*(C28-C26))/27</f>
        <v>33.333333333333336</v>
      </c>
      <c r="I27" s="33"/>
      <c r="J27" s="31">
        <f>(((F26+F28)/2)*(C28-C26))/27</f>
        <v>0</v>
      </c>
      <c r="K27" s="31"/>
      <c r="L27" s="33"/>
      <c r="M27" s="33"/>
      <c r="N27" s="31">
        <f>(((L26+L28)/2)*(C28-C26))/9</f>
        <v>75.694444444444443</v>
      </c>
      <c r="O27" s="32"/>
    </row>
    <row r="28" spans="2:16" x14ac:dyDescent="0.2">
      <c r="B28" s="29"/>
      <c r="C28" s="30">
        <v>30550</v>
      </c>
      <c r="D28" s="31">
        <f>8.6+6.9+7.3</f>
        <v>22.8</v>
      </c>
      <c r="E28" s="31"/>
      <c r="F28" s="31">
        <v>0</v>
      </c>
      <c r="G28" s="31"/>
      <c r="H28" s="31"/>
      <c r="I28" s="31"/>
      <c r="J28" s="31"/>
      <c r="K28" s="31"/>
      <c r="L28" s="31">
        <v>15.95</v>
      </c>
      <c r="M28" s="33"/>
      <c r="N28" s="31"/>
      <c r="O28" s="32"/>
    </row>
    <row r="29" spans="2:16" x14ac:dyDescent="0.2">
      <c r="B29" s="29"/>
      <c r="C29" s="30"/>
      <c r="D29" s="33"/>
      <c r="E29" s="33"/>
      <c r="F29" s="33"/>
      <c r="G29" s="33"/>
      <c r="H29" s="31">
        <f>(((D28+D30)/2)*(C30-C28))/27</f>
        <v>34.629629629629626</v>
      </c>
      <c r="I29" s="33"/>
      <c r="J29" s="31">
        <f>(((F28+F30)/2)*(C30-C28))/27</f>
        <v>1.2037037037037037</v>
      </c>
      <c r="K29" s="31"/>
      <c r="L29" s="33"/>
      <c r="M29" s="33"/>
      <c r="N29" s="31">
        <f>(((L28+L30)/2)*(C30-C28))/9</f>
        <v>92.083333333333329</v>
      </c>
      <c r="O29" s="32"/>
    </row>
    <row r="30" spans="2:16" x14ac:dyDescent="0.2">
      <c r="B30" s="29"/>
      <c r="C30" s="30">
        <v>30600</v>
      </c>
      <c r="D30" s="31">
        <f>4+10.6</f>
        <v>14.6</v>
      </c>
      <c r="E30" s="31"/>
      <c r="F30" s="31">
        <f>1.3</f>
        <v>1.3</v>
      </c>
      <c r="G30" s="31"/>
      <c r="H30" s="31"/>
      <c r="I30" s="31"/>
      <c r="J30" s="31"/>
      <c r="K30" s="31"/>
      <c r="L30" s="31">
        <v>17.2</v>
      </c>
      <c r="M30" s="33"/>
      <c r="N30" s="31"/>
      <c r="O30" s="32"/>
    </row>
    <row r="31" spans="2:16" x14ac:dyDescent="0.2">
      <c r="B31" s="29"/>
      <c r="C31" s="30"/>
      <c r="D31" s="33"/>
      <c r="E31" s="33"/>
      <c r="F31" s="33"/>
      <c r="G31" s="33"/>
      <c r="H31" s="31">
        <f>(((D30+D32)/2)*(C32-C30))/27</f>
        <v>26.111111111111114</v>
      </c>
      <c r="I31" s="33"/>
      <c r="J31" s="31">
        <f>(((F30+F32)/2)*(C32-C30))/27</f>
        <v>4.0740740740740744</v>
      </c>
      <c r="K31" s="31"/>
      <c r="L31" s="33"/>
      <c r="M31" s="33"/>
      <c r="N31" s="31">
        <f>(((L30+L32)/2)*(C32-C30))/9</f>
        <v>103.33333333333334</v>
      </c>
      <c r="O31" s="32"/>
    </row>
    <row r="32" spans="2:16" x14ac:dyDescent="0.2">
      <c r="B32" s="29"/>
      <c r="C32" s="30">
        <v>30650</v>
      </c>
      <c r="D32" s="31">
        <f>5.9+7.7</f>
        <v>13.600000000000001</v>
      </c>
      <c r="E32" s="31"/>
      <c r="F32" s="31">
        <f>3.1</f>
        <v>3.1</v>
      </c>
      <c r="G32" s="31"/>
      <c r="H32" s="31"/>
      <c r="I32" s="31"/>
      <c r="J32" s="31"/>
      <c r="K32" s="31"/>
      <c r="L32" s="31">
        <v>20</v>
      </c>
      <c r="M32" s="33"/>
      <c r="N32" s="31"/>
      <c r="O32" s="32"/>
    </row>
    <row r="33" spans="2:15" x14ac:dyDescent="0.2">
      <c r="B33" s="29"/>
      <c r="C33" s="30"/>
      <c r="D33" s="33"/>
      <c r="E33" s="33"/>
      <c r="F33" s="33"/>
      <c r="G33" s="33"/>
      <c r="H33" s="31">
        <f>(((D32+D34)/2)*(C34-C32))/27</f>
        <v>20.74074074074074</v>
      </c>
      <c r="I33" s="31"/>
      <c r="J33" s="31">
        <f>(((F32+F34)/2)*(C34-C32))/27</f>
        <v>5.4629629629629628</v>
      </c>
      <c r="K33" s="31"/>
      <c r="L33" s="31"/>
      <c r="M33" s="31"/>
      <c r="N33" s="31">
        <f>(((L32+L34)/2)*(C34-C32))/9</f>
        <v>113.88888888888889</v>
      </c>
      <c r="O33" s="32"/>
    </row>
    <row r="34" spans="2:15" x14ac:dyDescent="0.2">
      <c r="B34" s="29"/>
      <c r="C34" s="30">
        <v>30700</v>
      </c>
      <c r="D34" s="31">
        <f>3.6+5.2</f>
        <v>8.8000000000000007</v>
      </c>
      <c r="E34" s="31"/>
      <c r="F34" s="31">
        <f>2.8</f>
        <v>2.8</v>
      </c>
      <c r="G34" s="31"/>
      <c r="H34" s="31"/>
      <c r="I34" s="31"/>
      <c r="J34" s="31"/>
      <c r="K34" s="31"/>
      <c r="L34" s="31">
        <v>21</v>
      </c>
      <c r="M34" s="31"/>
      <c r="N34" s="31"/>
      <c r="O34" s="32"/>
    </row>
    <row r="35" spans="2:15" x14ac:dyDescent="0.2">
      <c r="B35" s="29"/>
      <c r="C35" s="30"/>
      <c r="D35" s="33"/>
      <c r="E35" s="33"/>
      <c r="F35" s="33"/>
      <c r="G35" s="33"/>
      <c r="H35" s="31">
        <f>(((D34+D36)/2)*(C36-C34))/27</f>
        <v>11.203703703703706</v>
      </c>
      <c r="I35" s="33"/>
      <c r="J35" s="31">
        <f>(((F34+F36)/2)*(C36-C34))/27</f>
        <v>3.7962962962962958</v>
      </c>
      <c r="K35" s="31"/>
      <c r="L35" s="33"/>
      <c r="M35" s="33"/>
      <c r="N35" s="31">
        <f>(((L34+L36)/2)*(C36-C34))/9</f>
        <v>86.388888888888886</v>
      </c>
      <c r="O35" s="32"/>
    </row>
    <row r="36" spans="2:15" x14ac:dyDescent="0.2">
      <c r="B36" s="29"/>
      <c r="C36" s="30">
        <v>30750</v>
      </c>
      <c r="D36" s="31">
        <v>3.3</v>
      </c>
      <c r="E36" s="31"/>
      <c r="F36" s="31">
        <v>1.3</v>
      </c>
      <c r="G36" s="31"/>
      <c r="H36" s="31"/>
      <c r="I36" s="31"/>
      <c r="J36" s="31"/>
      <c r="K36" s="31"/>
      <c r="L36" s="31">
        <v>10.1</v>
      </c>
      <c r="M36" s="33"/>
      <c r="N36" s="31"/>
      <c r="O36" s="32"/>
    </row>
    <row r="37" spans="2:15" x14ac:dyDescent="0.2">
      <c r="B37" s="29"/>
      <c r="C37" s="30"/>
      <c r="D37" s="33"/>
      <c r="E37" s="33"/>
      <c r="F37" s="33"/>
      <c r="G37" s="33"/>
      <c r="H37" s="31">
        <f>(((D36+D38)/2)*(C38-C36))/27</f>
        <v>4.814814814814814</v>
      </c>
      <c r="I37" s="33"/>
      <c r="J37" s="31">
        <f>(((F36+F38)/2)*(C38-C36))/27</f>
        <v>1.5740740740740744</v>
      </c>
      <c r="K37" s="31"/>
      <c r="L37" s="33"/>
      <c r="M37" s="33"/>
      <c r="N37" s="31">
        <f>(((L36+L38)/2)*(C38-C36))/9</f>
        <v>37.222222222222214</v>
      </c>
      <c r="O37" s="32"/>
    </row>
    <row r="38" spans="2:15" x14ac:dyDescent="0.2">
      <c r="B38" s="29"/>
      <c r="C38" s="30">
        <v>30800</v>
      </c>
      <c r="D38" s="31">
        <v>1.9</v>
      </c>
      <c r="E38" s="31"/>
      <c r="F38" s="31">
        <v>0.4</v>
      </c>
      <c r="G38" s="31"/>
      <c r="H38" s="31"/>
      <c r="I38" s="31"/>
      <c r="J38" s="31"/>
      <c r="K38" s="31"/>
      <c r="L38" s="31">
        <v>3.3</v>
      </c>
      <c r="M38" s="33"/>
      <c r="N38" s="31"/>
      <c r="O38" s="32"/>
    </row>
    <row r="39" spans="2:15" x14ac:dyDescent="0.2">
      <c r="B39" s="29"/>
      <c r="C39" s="30"/>
      <c r="D39" s="33"/>
      <c r="E39" s="33"/>
      <c r="F39" s="33"/>
      <c r="G39" s="33"/>
      <c r="H39" s="31">
        <f>(((D38+D40)/2)*(C40-C38))/27</f>
        <v>1.7592592592592593</v>
      </c>
      <c r="I39" s="33"/>
      <c r="J39" s="31">
        <f>(((F38+F40)/2)*(C40-C38))/27</f>
        <v>0.37037037037037035</v>
      </c>
      <c r="K39" s="31"/>
      <c r="L39" s="33"/>
      <c r="M39" s="33"/>
      <c r="N39" s="31">
        <f>(((L38+L40)/2)*(C40-C38))/9</f>
        <v>9.1666666666666661</v>
      </c>
      <c r="O39" s="32"/>
    </row>
    <row r="40" spans="2:15" x14ac:dyDescent="0.2">
      <c r="B40" s="29"/>
      <c r="C40" s="30">
        <v>30850</v>
      </c>
      <c r="D40" s="31">
        <v>0</v>
      </c>
      <c r="E40" s="31"/>
      <c r="F40" s="31">
        <v>0</v>
      </c>
      <c r="G40" s="31"/>
      <c r="H40" s="31"/>
      <c r="I40" s="31"/>
      <c r="J40" s="31"/>
      <c r="K40" s="31"/>
      <c r="L40" s="31">
        <v>0</v>
      </c>
      <c r="M40" s="33"/>
      <c r="N40" s="31"/>
      <c r="O40" s="32"/>
    </row>
    <row r="41" spans="2:15" x14ac:dyDescent="0.2">
      <c r="D41" s="32"/>
      <c r="E41" s="32"/>
      <c r="F41" s="32"/>
      <c r="H41" s="32"/>
      <c r="O41" s="32"/>
    </row>
    <row r="42" spans="2:15" x14ac:dyDescent="0.2">
      <c r="B42" s="32" t="s">
        <v>11</v>
      </c>
      <c r="D42" s="32">
        <f>C40-C8</f>
        <v>800</v>
      </c>
      <c r="E42" s="32"/>
      <c r="F42" s="32"/>
      <c r="G42" s="32" t="s">
        <v>12</v>
      </c>
      <c r="H42" s="32">
        <f>SUM(H8:H41)</f>
        <v>252.24877777777775</v>
      </c>
      <c r="I42" s="32" t="s">
        <v>13</v>
      </c>
      <c r="J42" s="32">
        <f>SUM(J8:J41)</f>
        <v>77.2222222222222</v>
      </c>
      <c r="K42" s="32"/>
      <c r="L42" s="32"/>
      <c r="M42" s="34" t="s">
        <v>14</v>
      </c>
      <c r="N42" s="32">
        <f>SUM(N6:N41)</f>
        <v>1079.1544444444446</v>
      </c>
      <c r="O42" s="32"/>
    </row>
    <row r="43" spans="2:15" x14ac:dyDescent="0.2">
      <c r="B43" s="32" t="s">
        <v>15</v>
      </c>
      <c r="D43" s="35">
        <f>D42/5280</f>
        <v>0.15151515151515152</v>
      </c>
      <c r="E43" s="32"/>
      <c r="F43" s="32"/>
      <c r="K43" s="32"/>
      <c r="M43" s="32"/>
      <c r="N43" s="32"/>
    </row>
    <row r="44" spans="2:15" x14ac:dyDescent="0.2">
      <c r="D44" s="32"/>
      <c r="E44" s="32"/>
      <c r="F44" s="32"/>
      <c r="G44" s="32"/>
      <c r="H44" s="32"/>
      <c r="I44" s="32"/>
      <c r="J44" s="32"/>
      <c r="K44" s="32"/>
      <c r="M44" s="32"/>
      <c r="N44" s="32"/>
    </row>
  </sheetData>
  <mergeCells count="4">
    <mergeCell ref="B2:N3"/>
    <mergeCell ref="C5:D5"/>
    <mergeCell ref="G5:H5"/>
    <mergeCell ref="K5:L5"/>
  </mergeCells>
  <pageMargins left="0.75" right="0.75" top="0.5" bottom="0.5" header="0.5" footer="0.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2AA9-73E4-4580-912B-229BF114BBE4}">
  <sheetPr>
    <pageSetUpPr fitToPage="1"/>
  </sheetPr>
  <dimension ref="B1:P42"/>
  <sheetViews>
    <sheetView topLeftCell="B1" zoomScaleNormal="100" workbookViewId="0">
      <selection activeCell="B2" sqref="B2:N3"/>
    </sheetView>
  </sheetViews>
  <sheetFormatPr defaultRowHeight="12.75" x14ac:dyDescent="0.2"/>
  <cols>
    <col min="1" max="5" width="9.140625" style="4"/>
    <col min="6" max="6" width="10.140625" style="4" bestFit="1" customWidth="1"/>
    <col min="7" max="7" width="9.140625" style="4"/>
    <col min="8" max="8" width="9.140625" style="5"/>
    <col min="9" max="9" width="9.140625" style="4"/>
    <col min="10" max="10" width="9.140625" style="5"/>
    <col min="11" max="13" width="9.140625" style="4"/>
    <col min="14" max="14" width="9.140625" style="5"/>
    <col min="15" max="261" width="9.140625" style="4"/>
    <col min="262" max="262" width="10.140625" style="4" bestFit="1" customWidth="1"/>
    <col min="263" max="517" width="9.140625" style="4"/>
    <col min="518" max="518" width="10.140625" style="4" bestFit="1" customWidth="1"/>
    <col min="519" max="773" width="9.140625" style="4"/>
    <col min="774" max="774" width="10.140625" style="4" bestFit="1" customWidth="1"/>
    <col min="775" max="1029" width="9.140625" style="4"/>
    <col min="1030" max="1030" width="10.140625" style="4" bestFit="1" customWidth="1"/>
    <col min="1031" max="1285" width="9.140625" style="4"/>
    <col min="1286" max="1286" width="10.140625" style="4" bestFit="1" customWidth="1"/>
    <col min="1287" max="1541" width="9.140625" style="4"/>
    <col min="1542" max="1542" width="10.140625" style="4" bestFit="1" customWidth="1"/>
    <col min="1543" max="1797" width="9.140625" style="4"/>
    <col min="1798" max="1798" width="10.140625" style="4" bestFit="1" customWidth="1"/>
    <col min="1799" max="2053" width="9.140625" style="4"/>
    <col min="2054" max="2054" width="10.140625" style="4" bestFit="1" customWidth="1"/>
    <col min="2055" max="2309" width="9.140625" style="4"/>
    <col min="2310" max="2310" width="10.140625" style="4" bestFit="1" customWidth="1"/>
    <col min="2311" max="2565" width="9.140625" style="4"/>
    <col min="2566" max="2566" width="10.140625" style="4" bestFit="1" customWidth="1"/>
    <col min="2567" max="2821" width="9.140625" style="4"/>
    <col min="2822" max="2822" width="10.140625" style="4" bestFit="1" customWidth="1"/>
    <col min="2823" max="3077" width="9.140625" style="4"/>
    <col min="3078" max="3078" width="10.140625" style="4" bestFit="1" customWidth="1"/>
    <col min="3079" max="3333" width="9.140625" style="4"/>
    <col min="3334" max="3334" width="10.140625" style="4" bestFit="1" customWidth="1"/>
    <col min="3335" max="3589" width="9.140625" style="4"/>
    <col min="3590" max="3590" width="10.140625" style="4" bestFit="1" customWidth="1"/>
    <col min="3591" max="3845" width="9.140625" style="4"/>
    <col min="3846" max="3846" width="10.140625" style="4" bestFit="1" customWidth="1"/>
    <col min="3847" max="4101" width="9.140625" style="4"/>
    <col min="4102" max="4102" width="10.140625" style="4" bestFit="1" customWidth="1"/>
    <col min="4103" max="4357" width="9.140625" style="4"/>
    <col min="4358" max="4358" width="10.140625" style="4" bestFit="1" customWidth="1"/>
    <col min="4359" max="4613" width="9.140625" style="4"/>
    <col min="4614" max="4614" width="10.140625" style="4" bestFit="1" customWidth="1"/>
    <col min="4615" max="4869" width="9.140625" style="4"/>
    <col min="4870" max="4870" width="10.140625" style="4" bestFit="1" customWidth="1"/>
    <col min="4871" max="5125" width="9.140625" style="4"/>
    <col min="5126" max="5126" width="10.140625" style="4" bestFit="1" customWidth="1"/>
    <col min="5127" max="5381" width="9.140625" style="4"/>
    <col min="5382" max="5382" width="10.140625" style="4" bestFit="1" customWidth="1"/>
    <col min="5383" max="5637" width="9.140625" style="4"/>
    <col min="5638" max="5638" width="10.140625" style="4" bestFit="1" customWidth="1"/>
    <col min="5639" max="5893" width="9.140625" style="4"/>
    <col min="5894" max="5894" width="10.140625" style="4" bestFit="1" customWidth="1"/>
    <col min="5895" max="6149" width="9.140625" style="4"/>
    <col min="6150" max="6150" width="10.140625" style="4" bestFit="1" customWidth="1"/>
    <col min="6151" max="6405" width="9.140625" style="4"/>
    <col min="6406" max="6406" width="10.140625" style="4" bestFit="1" customWidth="1"/>
    <col min="6407" max="6661" width="9.140625" style="4"/>
    <col min="6662" max="6662" width="10.140625" style="4" bestFit="1" customWidth="1"/>
    <col min="6663" max="6917" width="9.140625" style="4"/>
    <col min="6918" max="6918" width="10.140625" style="4" bestFit="1" customWidth="1"/>
    <col min="6919" max="7173" width="9.140625" style="4"/>
    <col min="7174" max="7174" width="10.140625" style="4" bestFit="1" customWidth="1"/>
    <col min="7175" max="7429" width="9.140625" style="4"/>
    <col min="7430" max="7430" width="10.140625" style="4" bestFit="1" customWidth="1"/>
    <col min="7431" max="7685" width="9.140625" style="4"/>
    <col min="7686" max="7686" width="10.140625" style="4" bestFit="1" customWidth="1"/>
    <col min="7687" max="7941" width="9.140625" style="4"/>
    <col min="7942" max="7942" width="10.140625" style="4" bestFit="1" customWidth="1"/>
    <col min="7943" max="8197" width="9.140625" style="4"/>
    <col min="8198" max="8198" width="10.140625" style="4" bestFit="1" customWidth="1"/>
    <col min="8199" max="8453" width="9.140625" style="4"/>
    <col min="8454" max="8454" width="10.140625" style="4" bestFit="1" customWidth="1"/>
    <col min="8455" max="8709" width="9.140625" style="4"/>
    <col min="8710" max="8710" width="10.140625" style="4" bestFit="1" customWidth="1"/>
    <col min="8711" max="8965" width="9.140625" style="4"/>
    <col min="8966" max="8966" width="10.140625" style="4" bestFit="1" customWidth="1"/>
    <col min="8967" max="9221" width="9.140625" style="4"/>
    <col min="9222" max="9222" width="10.140625" style="4" bestFit="1" customWidth="1"/>
    <col min="9223" max="9477" width="9.140625" style="4"/>
    <col min="9478" max="9478" width="10.140625" style="4" bestFit="1" customWidth="1"/>
    <col min="9479" max="9733" width="9.140625" style="4"/>
    <col min="9734" max="9734" width="10.140625" style="4" bestFit="1" customWidth="1"/>
    <col min="9735" max="9989" width="9.140625" style="4"/>
    <col min="9990" max="9990" width="10.140625" style="4" bestFit="1" customWidth="1"/>
    <col min="9991" max="10245" width="9.140625" style="4"/>
    <col min="10246" max="10246" width="10.140625" style="4" bestFit="1" customWidth="1"/>
    <col min="10247" max="10501" width="9.140625" style="4"/>
    <col min="10502" max="10502" width="10.140625" style="4" bestFit="1" customWidth="1"/>
    <col min="10503" max="10757" width="9.140625" style="4"/>
    <col min="10758" max="10758" width="10.140625" style="4" bestFit="1" customWidth="1"/>
    <col min="10759" max="11013" width="9.140625" style="4"/>
    <col min="11014" max="11014" width="10.140625" style="4" bestFit="1" customWidth="1"/>
    <col min="11015" max="11269" width="9.140625" style="4"/>
    <col min="11270" max="11270" width="10.140625" style="4" bestFit="1" customWidth="1"/>
    <col min="11271" max="11525" width="9.140625" style="4"/>
    <col min="11526" max="11526" width="10.140625" style="4" bestFit="1" customWidth="1"/>
    <col min="11527" max="11781" width="9.140625" style="4"/>
    <col min="11782" max="11782" width="10.140625" style="4" bestFit="1" customWidth="1"/>
    <col min="11783" max="12037" width="9.140625" style="4"/>
    <col min="12038" max="12038" width="10.140625" style="4" bestFit="1" customWidth="1"/>
    <col min="12039" max="12293" width="9.140625" style="4"/>
    <col min="12294" max="12294" width="10.140625" style="4" bestFit="1" customWidth="1"/>
    <col min="12295" max="12549" width="9.140625" style="4"/>
    <col min="12550" max="12550" width="10.140625" style="4" bestFit="1" customWidth="1"/>
    <col min="12551" max="12805" width="9.140625" style="4"/>
    <col min="12806" max="12806" width="10.140625" style="4" bestFit="1" customWidth="1"/>
    <col min="12807" max="13061" width="9.140625" style="4"/>
    <col min="13062" max="13062" width="10.140625" style="4" bestFit="1" customWidth="1"/>
    <col min="13063" max="13317" width="9.140625" style="4"/>
    <col min="13318" max="13318" width="10.140625" style="4" bestFit="1" customWidth="1"/>
    <col min="13319" max="13573" width="9.140625" style="4"/>
    <col min="13574" max="13574" width="10.140625" style="4" bestFit="1" customWidth="1"/>
    <col min="13575" max="13829" width="9.140625" style="4"/>
    <col min="13830" max="13830" width="10.140625" style="4" bestFit="1" customWidth="1"/>
    <col min="13831" max="14085" width="9.140625" style="4"/>
    <col min="14086" max="14086" width="10.140625" style="4" bestFit="1" customWidth="1"/>
    <col min="14087" max="14341" width="9.140625" style="4"/>
    <col min="14342" max="14342" width="10.140625" style="4" bestFit="1" customWidth="1"/>
    <col min="14343" max="14597" width="9.140625" style="4"/>
    <col min="14598" max="14598" width="10.140625" style="4" bestFit="1" customWidth="1"/>
    <col min="14599" max="14853" width="9.140625" style="4"/>
    <col min="14854" max="14854" width="10.140625" style="4" bestFit="1" customWidth="1"/>
    <col min="14855" max="15109" width="9.140625" style="4"/>
    <col min="15110" max="15110" width="10.140625" style="4" bestFit="1" customWidth="1"/>
    <col min="15111" max="15365" width="9.140625" style="4"/>
    <col min="15366" max="15366" width="10.140625" style="4" bestFit="1" customWidth="1"/>
    <col min="15367" max="15621" width="9.140625" style="4"/>
    <col min="15622" max="15622" width="10.140625" style="4" bestFit="1" customWidth="1"/>
    <col min="15623" max="15877" width="9.140625" style="4"/>
    <col min="15878" max="15878" width="10.140625" style="4" bestFit="1" customWidth="1"/>
    <col min="15879" max="16133" width="9.140625" style="4"/>
    <col min="16134" max="16134" width="10.140625" style="4" bestFit="1" customWidth="1"/>
    <col min="16135" max="16384" width="9.140625" style="4"/>
  </cols>
  <sheetData>
    <row r="1" spans="2:16" ht="13.5" thickBot="1" x14ac:dyDescent="0.25">
      <c r="M1" s="6"/>
      <c r="N1" s="6"/>
    </row>
    <row r="2" spans="2:16" ht="12.75" customHeight="1" x14ac:dyDescent="0.2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6" ht="15.75" customHeight="1" thickBot="1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2:16" ht="15.75" customHeight="1" x14ac:dyDescent="0.2"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6"/>
    </row>
    <row r="5" spans="2:16" x14ac:dyDescent="0.2">
      <c r="B5" s="17"/>
      <c r="C5" s="18" t="s">
        <v>1</v>
      </c>
      <c r="D5" s="19"/>
      <c r="E5" s="20">
        <f>H40</f>
        <v>221.63105555555578</v>
      </c>
      <c r="F5" s="21" t="s">
        <v>2</v>
      </c>
      <c r="G5" s="18" t="s">
        <v>3</v>
      </c>
      <c r="H5" s="19"/>
      <c r="I5" s="20">
        <f>J40</f>
        <v>33.253333333333202</v>
      </c>
      <c r="J5" s="22" t="s">
        <v>2</v>
      </c>
      <c r="K5" s="23" t="s">
        <v>4</v>
      </c>
      <c r="L5" s="24"/>
      <c r="M5" s="25">
        <f>N40</f>
        <v>1044.6698888888891</v>
      </c>
      <c r="N5" s="26" t="s">
        <v>5</v>
      </c>
      <c r="O5" s="27"/>
    </row>
    <row r="6" spans="2:16" x14ac:dyDescent="0.2">
      <c r="L6" s="27"/>
    </row>
    <row r="7" spans="2:16" x14ac:dyDescent="0.2">
      <c r="D7" s="27" t="s">
        <v>6</v>
      </c>
      <c r="E7" s="27"/>
      <c r="F7" s="27" t="s">
        <v>7</v>
      </c>
      <c r="G7" s="27"/>
      <c r="H7" s="28" t="s">
        <v>8</v>
      </c>
      <c r="I7" s="27"/>
      <c r="J7" s="28" t="s">
        <v>9</v>
      </c>
      <c r="L7" s="27" t="s">
        <v>10</v>
      </c>
      <c r="M7" s="27"/>
      <c r="N7" s="28"/>
      <c r="P7" s="27"/>
    </row>
    <row r="8" spans="2:16" x14ac:dyDescent="0.2">
      <c r="B8" s="29"/>
      <c r="C8" s="30">
        <v>39950</v>
      </c>
      <c r="D8" s="31">
        <v>0</v>
      </c>
      <c r="E8" s="31"/>
      <c r="F8" s="31">
        <v>0</v>
      </c>
      <c r="G8" s="31"/>
      <c r="H8" s="31"/>
      <c r="I8" s="31"/>
      <c r="J8" s="31"/>
      <c r="K8" s="31"/>
      <c r="L8" s="31">
        <v>0</v>
      </c>
      <c r="M8" s="31"/>
      <c r="N8" s="31"/>
      <c r="O8" s="32"/>
      <c r="P8" s="27"/>
    </row>
    <row r="9" spans="2:16" x14ac:dyDescent="0.2">
      <c r="B9" s="29"/>
      <c r="C9" s="30"/>
      <c r="D9" s="33"/>
      <c r="E9" s="33"/>
      <c r="F9" s="33"/>
      <c r="G9" s="33"/>
      <c r="H9" s="31">
        <f>(((D8+D10)/2)*(C10-C8))/27</f>
        <v>1.9444444444444444</v>
      </c>
      <c r="I9" s="33"/>
      <c r="J9" s="31">
        <f>(((F8+F10)/2)*(C10-C8))/27</f>
        <v>0</v>
      </c>
      <c r="K9" s="31"/>
      <c r="L9" s="33"/>
      <c r="M9" s="33"/>
      <c r="N9" s="31">
        <f>(((L8+L10)/2)*(C10-C8))/9</f>
        <v>2.5</v>
      </c>
      <c r="O9" s="32"/>
      <c r="P9" s="27"/>
    </row>
    <row r="10" spans="2:16" x14ac:dyDescent="0.2">
      <c r="B10" s="29"/>
      <c r="C10" s="30">
        <v>40000</v>
      </c>
      <c r="D10" s="31">
        <f>2.1</f>
        <v>2.1</v>
      </c>
      <c r="E10" s="31"/>
      <c r="F10" s="31">
        <v>0</v>
      </c>
      <c r="G10" s="31"/>
      <c r="H10" s="31"/>
      <c r="I10" s="31"/>
      <c r="J10" s="31"/>
      <c r="K10" s="31"/>
      <c r="L10" s="31">
        <v>0.9</v>
      </c>
      <c r="M10" s="33"/>
      <c r="N10" s="31"/>
      <c r="O10" s="32"/>
      <c r="P10" s="27"/>
    </row>
    <row r="11" spans="2:16" x14ac:dyDescent="0.2">
      <c r="B11" s="29"/>
      <c r="C11" s="30"/>
      <c r="D11" s="33"/>
      <c r="E11" s="33"/>
      <c r="F11" s="33"/>
      <c r="G11" s="33"/>
      <c r="H11" s="31">
        <f>(((D10+D12)/2)*(C12-C10))/27</f>
        <v>4.0740740740740744</v>
      </c>
      <c r="I11" s="33"/>
      <c r="J11" s="31">
        <f>(((F10+F12)/2)*(C12-C10))/27</f>
        <v>0.83333333333333337</v>
      </c>
      <c r="K11" s="31"/>
      <c r="L11" s="33"/>
      <c r="M11" s="33"/>
      <c r="N11" s="31">
        <f>(((L10+L12)/2)*(C12-C10))/9</f>
        <v>18.333333333333332</v>
      </c>
      <c r="O11" s="32"/>
      <c r="P11" s="27"/>
    </row>
    <row r="12" spans="2:16" x14ac:dyDescent="0.2">
      <c r="B12" s="29"/>
      <c r="C12" s="30">
        <v>40050</v>
      </c>
      <c r="D12" s="31">
        <v>2.2999999999999998</v>
      </c>
      <c r="E12" s="31"/>
      <c r="F12" s="31">
        <v>0.9</v>
      </c>
      <c r="G12" s="31"/>
      <c r="H12" s="31"/>
      <c r="I12" s="31"/>
      <c r="J12" s="31"/>
      <c r="K12" s="31"/>
      <c r="L12" s="31">
        <v>5.7</v>
      </c>
      <c r="M12" s="33"/>
      <c r="N12" s="31"/>
      <c r="O12" s="32"/>
      <c r="P12" s="27"/>
    </row>
    <row r="13" spans="2:16" x14ac:dyDescent="0.2">
      <c r="B13" s="29"/>
      <c r="C13" s="30"/>
      <c r="D13" s="33"/>
      <c r="E13" s="33"/>
      <c r="F13" s="33"/>
      <c r="G13" s="33"/>
      <c r="H13" s="31">
        <f>(((D12+D14)/2)*(C14-C12))/27</f>
        <v>6.3888888888888893</v>
      </c>
      <c r="I13" s="33"/>
      <c r="J13" s="31">
        <f>(((F12+F14)/2)*(C14-C12))/27</f>
        <v>1.1111111111111112</v>
      </c>
      <c r="K13" s="31"/>
      <c r="L13" s="33"/>
      <c r="M13" s="33"/>
      <c r="N13" s="31">
        <f>(((L12+L14)/2)*(C14-C12))/9</f>
        <v>33.611111111111114</v>
      </c>
      <c r="O13" s="32"/>
      <c r="P13" s="27"/>
    </row>
    <row r="14" spans="2:16" x14ac:dyDescent="0.2">
      <c r="B14" s="29"/>
      <c r="C14" s="30">
        <v>40100</v>
      </c>
      <c r="D14" s="31">
        <v>4.5999999999999996</v>
      </c>
      <c r="E14" s="31"/>
      <c r="F14" s="31">
        <v>0.3</v>
      </c>
      <c r="G14" s="31"/>
      <c r="H14" s="31"/>
      <c r="I14" s="31"/>
      <c r="J14" s="31"/>
      <c r="K14" s="31"/>
      <c r="L14" s="31">
        <v>6.4</v>
      </c>
      <c r="M14" s="33"/>
      <c r="N14" s="31"/>
      <c r="O14" s="32"/>
      <c r="P14" s="27"/>
    </row>
    <row r="15" spans="2:16" x14ac:dyDescent="0.2">
      <c r="B15" s="29"/>
      <c r="C15" s="30"/>
      <c r="D15" s="33"/>
      <c r="E15" s="33"/>
      <c r="F15" s="33"/>
      <c r="G15" s="33"/>
      <c r="H15" s="31">
        <f>(((D14+D16)/2)*(C16-C14))/27</f>
        <v>13.888888888888889</v>
      </c>
      <c r="I15" s="33"/>
      <c r="J15" s="31">
        <f>(((F14+F16)/2)*(C16-C14))/27</f>
        <v>6.3888888888888893</v>
      </c>
      <c r="K15" s="31"/>
      <c r="L15" s="33"/>
      <c r="M15" s="33"/>
      <c r="N15" s="31">
        <f>(((L14+L16)/2)*(C16-C14))/9</f>
        <v>73.888888888888886</v>
      </c>
      <c r="O15" s="32"/>
      <c r="P15" s="27"/>
    </row>
    <row r="16" spans="2:16" x14ac:dyDescent="0.2">
      <c r="B16" s="29"/>
      <c r="C16" s="30">
        <v>40150</v>
      </c>
      <c r="D16" s="31">
        <f>5.4+5</f>
        <v>10.4</v>
      </c>
      <c r="E16" s="31"/>
      <c r="F16" s="31">
        <v>6.6</v>
      </c>
      <c r="G16" s="31"/>
      <c r="H16" s="31"/>
      <c r="I16" s="31"/>
      <c r="J16" s="31"/>
      <c r="K16" s="31"/>
      <c r="L16" s="31">
        <v>20.2</v>
      </c>
      <c r="M16" s="33"/>
      <c r="N16" s="31"/>
      <c r="O16" s="31"/>
      <c r="P16" s="27"/>
    </row>
    <row r="17" spans="2:16" x14ac:dyDescent="0.2">
      <c r="B17" s="29"/>
      <c r="C17" s="30"/>
      <c r="D17" s="33"/>
      <c r="E17" s="33"/>
      <c r="F17" s="33"/>
      <c r="G17" s="33"/>
      <c r="H17" s="31">
        <f>(((D16+D18)/2)*(C18-C16))/27</f>
        <v>18.981481481481481</v>
      </c>
      <c r="I17" s="33"/>
      <c r="J17" s="31">
        <f>(((F16+F18)/2)*(C18-C16))/27</f>
        <v>8.5185185185185173</v>
      </c>
      <c r="K17" s="31"/>
      <c r="L17" s="33"/>
      <c r="M17" s="33"/>
      <c r="N17" s="31">
        <f>(((L16+L18)/2)*(C18-C16))/9</f>
        <v>91.1111111111111</v>
      </c>
      <c r="O17" s="32"/>
      <c r="P17" s="27"/>
    </row>
    <row r="18" spans="2:16" x14ac:dyDescent="0.2">
      <c r="B18" s="29"/>
      <c r="C18" s="30">
        <v>40200</v>
      </c>
      <c r="D18" s="31">
        <f>2.2+7.9</f>
        <v>10.100000000000001</v>
      </c>
      <c r="E18" s="31"/>
      <c r="F18" s="31">
        <v>2.6</v>
      </c>
      <c r="G18" s="31"/>
      <c r="H18" s="31"/>
      <c r="I18" s="31"/>
      <c r="J18" s="31"/>
      <c r="K18" s="31"/>
      <c r="L18" s="31">
        <v>12.6</v>
      </c>
      <c r="M18" s="33"/>
      <c r="N18" s="31"/>
      <c r="O18" s="32"/>
      <c r="P18" s="27"/>
    </row>
    <row r="19" spans="2:16" x14ac:dyDescent="0.2">
      <c r="B19" s="29"/>
      <c r="C19" s="30"/>
      <c r="D19" s="33"/>
      <c r="E19" s="33"/>
      <c r="F19" s="33"/>
      <c r="G19" s="33"/>
      <c r="H19" s="31">
        <f>(((D18+D20)/2)*(C20-C18))/27</f>
        <v>21.388888888888889</v>
      </c>
      <c r="I19" s="31"/>
      <c r="J19" s="31">
        <f>(((F18+F20)/2)*(C20-C18))/27</f>
        <v>2.5925925925925926</v>
      </c>
      <c r="K19" s="31"/>
      <c r="L19" s="31"/>
      <c r="M19" s="31"/>
      <c r="N19" s="31">
        <f>(((L18+L20)/2)*(C20-C18))/9</f>
        <v>79.444444444444443</v>
      </c>
      <c r="O19" s="32"/>
      <c r="P19" s="27"/>
    </row>
    <row r="20" spans="2:16" x14ac:dyDescent="0.2">
      <c r="B20" s="29"/>
      <c r="C20" s="30">
        <v>40250</v>
      </c>
      <c r="D20" s="31">
        <f>1.3+1.1+0.3+4.4+0.9+5</f>
        <v>13</v>
      </c>
      <c r="E20" s="31"/>
      <c r="F20" s="31">
        <f>0.2</f>
        <v>0.2</v>
      </c>
      <c r="G20" s="31"/>
      <c r="H20" s="31"/>
      <c r="I20" s="31"/>
      <c r="J20" s="31"/>
      <c r="K20" s="31"/>
      <c r="L20" s="31">
        <v>16</v>
      </c>
      <c r="M20" s="31"/>
      <c r="N20" s="31"/>
      <c r="O20" s="32"/>
    </row>
    <row r="21" spans="2:16" x14ac:dyDescent="0.2">
      <c r="B21" s="29"/>
      <c r="C21" s="30"/>
      <c r="D21" s="33"/>
      <c r="E21" s="33"/>
      <c r="F21" s="33"/>
      <c r="G21" s="33"/>
      <c r="H21" s="31">
        <f>(((D20+D22)/2)*(C22-C20))/27</f>
        <v>17.87037037037037</v>
      </c>
      <c r="I21" s="33"/>
      <c r="J21" s="31">
        <f>(((F20+F22)/2)*(C22-C20))/27</f>
        <v>0.83333333333333315</v>
      </c>
      <c r="K21" s="31"/>
      <c r="L21" s="31"/>
      <c r="M21" s="33"/>
      <c r="N21" s="31">
        <f>(((L20+L22)/2)*(C22-C20))/9</f>
        <v>72.222222222222229</v>
      </c>
      <c r="O21" s="32"/>
    </row>
    <row r="22" spans="2:16" x14ac:dyDescent="0.2">
      <c r="B22" s="29"/>
      <c r="C22" s="30">
        <v>40300</v>
      </c>
      <c r="D22" s="31">
        <f>0.7+5+0.5+0.1</f>
        <v>6.3</v>
      </c>
      <c r="E22" s="31"/>
      <c r="F22" s="31">
        <f>0.5+0.1+0.1</f>
        <v>0.7</v>
      </c>
      <c r="G22" s="31"/>
      <c r="H22" s="31"/>
      <c r="I22" s="31"/>
      <c r="J22" s="31"/>
      <c r="K22" s="31"/>
      <c r="L22" s="31">
        <v>10</v>
      </c>
      <c r="M22" s="33"/>
      <c r="N22" s="31"/>
      <c r="O22" s="32"/>
    </row>
    <row r="23" spans="2:16" x14ac:dyDescent="0.2">
      <c r="B23" s="29"/>
      <c r="C23" s="30"/>
      <c r="D23" s="33"/>
      <c r="E23" s="33"/>
      <c r="F23" s="33"/>
      <c r="G23" s="33"/>
      <c r="H23" s="31">
        <f>(((D22+D24)/2)*(C24-C22))/27</f>
        <v>7.3148148148148149</v>
      </c>
      <c r="I23" s="33"/>
      <c r="J23" s="31">
        <f>(((F22+F24)/2)*(C24-C22))/27</f>
        <v>4.3518518518518521</v>
      </c>
      <c r="K23" s="31"/>
      <c r="L23" s="31"/>
      <c r="M23" s="33"/>
      <c r="N23" s="31">
        <f>(((L22+L24)/2)*(C24-C22))/9</f>
        <v>49.722222222222214</v>
      </c>
      <c r="O23" s="32"/>
    </row>
    <row r="24" spans="2:16" x14ac:dyDescent="0.2">
      <c r="B24" s="29"/>
      <c r="C24" s="30">
        <v>40350</v>
      </c>
      <c r="D24" s="31">
        <f>1.6</f>
        <v>1.6</v>
      </c>
      <c r="E24" s="31"/>
      <c r="F24" s="31">
        <f>1.6+2.4</f>
        <v>4</v>
      </c>
      <c r="G24" s="31"/>
      <c r="H24" s="31"/>
      <c r="I24" s="31"/>
      <c r="J24" s="31"/>
      <c r="K24" s="31"/>
      <c r="L24" s="31">
        <v>7.9</v>
      </c>
      <c r="M24" s="33"/>
      <c r="N24" s="31"/>
      <c r="O24" s="32"/>
    </row>
    <row r="25" spans="2:16" x14ac:dyDescent="0.2">
      <c r="B25" s="29"/>
      <c r="C25" s="30"/>
      <c r="D25" s="33"/>
      <c r="E25" s="33"/>
      <c r="F25" s="33"/>
      <c r="G25" s="33"/>
      <c r="H25" s="31">
        <f>(((D24+D26)/2)*(C26-C24))/27</f>
        <v>0.91622222222213168</v>
      </c>
      <c r="I25" s="33"/>
      <c r="J25" s="31">
        <f>(((F24+F26)/2)*(C26-C24))/27</f>
        <v>3.1740555555552419</v>
      </c>
      <c r="K25" s="31"/>
      <c r="L25" s="33"/>
      <c r="M25" s="33"/>
      <c r="N25" s="31">
        <f>(((L24+L26)/2)*(C26-C24))/9</f>
        <v>13.939666666665289</v>
      </c>
      <c r="O25" s="32"/>
    </row>
    <row r="26" spans="2:16" x14ac:dyDescent="0.2">
      <c r="B26" s="29"/>
      <c r="C26" s="30">
        <v>40367.67</v>
      </c>
      <c r="D26" s="31">
        <f>0.5+0.7</f>
        <v>1.2</v>
      </c>
      <c r="E26" s="31"/>
      <c r="F26" s="31">
        <f>4.8+0.9</f>
        <v>5.7</v>
      </c>
      <c r="G26" s="31"/>
      <c r="H26" s="31"/>
      <c r="I26" s="31"/>
      <c r="J26" s="31"/>
      <c r="K26" s="31"/>
      <c r="L26" s="31">
        <v>6.3</v>
      </c>
      <c r="M26" s="33"/>
      <c r="N26" s="31"/>
      <c r="O26" s="32"/>
    </row>
    <row r="27" spans="2:16" x14ac:dyDescent="0.2">
      <c r="B27" s="29"/>
      <c r="C27" s="30"/>
      <c r="D27" s="33"/>
      <c r="E27" s="33"/>
      <c r="F27" s="33"/>
      <c r="G27" s="33"/>
      <c r="H27" s="31">
        <f>(((D26+D28)/2)*(C28-C26))/27</f>
        <v>5.80742592592624</v>
      </c>
      <c r="I27" s="33"/>
      <c r="J27" s="31">
        <f>(((F26+F28)/2)*(C28-C26))/27</f>
        <v>3.4126111111112953</v>
      </c>
      <c r="K27" s="31"/>
      <c r="L27" s="33"/>
      <c r="M27" s="33"/>
      <c r="N27" s="31">
        <f>(((L26+L28)/2)*(C28-C26))/9</f>
        <v>30.174666666668298</v>
      </c>
      <c r="O27" s="32"/>
    </row>
    <row r="28" spans="2:16" x14ac:dyDescent="0.2">
      <c r="B28" s="29"/>
      <c r="C28" s="30">
        <v>40400</v>
      </c>
      <c r="D28" s="31">
        <f>8.1+0.1+0.3</f>
        <v>8.5</v>
      </c>
      <c r="E28" s="31"/>
      <c r="F28" s="31">
        <v>0</v>
      </c>
      <c r="G28" s="31"/>
      <c r="H28" s="31"/>
      <c r="I28" s="31"/>
      <c r="J28" s="31"/>
      <c r="K28" s="31"/>
      <c r="L28" s="31">
        <v>10.5</v>
      </c>
      <c r="M28" s="33"/>
      <c r="N28" s="31"/>
      <c r="O28" s="32"/>
    </row>
    <row r="29" spans="2:16" x14ac:dyDescent="0.2">
      <c r="B29" s="29"/>
      <c r="C29" s="30"/>
      <c r="D29" s="33"/>
      <c r="E29" s="33"/>
      <c r="F29" s="33"/>
      <c r="G29" s="33"/>
      <c r="H29" s="31">
        <f>(((D28+D30)/2)*(C30-C28))/27</f>
        <v>18.148148148148149</v>
      </c>
      <c r="I29" s="33"/>
      <c r="J29" s="31">
        <f>(((F28+F30)/2)*(C30-C28))/27</f>
        <v>0</v>
      </c>
      <c r="K29" s="31"/>
      <c r="L29" s="33"/>
      <c r="M29" s="33"/>
      <c r="N29" s="31">
        <f>(((L28+L30)/2)*(C30-C28))/9</f>
        <v>72.222222222222229</v>
      </c>
      <c r="O29" s="32"/>
    </row>
    <row r="30" spans="2:16" x14ac:dyDescent="0.2">
      <c r="B30" s="29"/>
      <c r="C30" s="30">
        <v>40450</v>
      </c>
      <c r="D30" s="31">
        <f>11.1</f>
        <v>11.1</v>
      </c>
      <c r="E30" s="31"/>
      <c r="F30" s="31">
        <v>0</v>
      </c>
      <c r="G30" s="31"/>
      <c r="H30" s="31"/>
      <c r="I30" s="31"/>
      <c r="J30" s="31"/>
      <c r="K30" s="31"/>
      <c r="L30" s="31">
        <v>15.5</v>
      </c>
      <c r="M30" s="33"/>
      <c r="N30" s="31"/>
      <c r="O30" s="32"/>
    </row>
    <row r="31" spans="2:16" x14ac:dyDescent="0.2">
      <c r="B31" s="29"/>
      <c r="C31" s="30"/>
      <c r="D31" s="33"/>
      <c r="E31" s="33"/>
      <c r="F31" s="33"/>
      <c r="G31" s="33"/>
      <c r="H31" s="31">
        <f>(((D30+D32)/2)*(C32-C30))/27</f>
        <v>21.111111111111107</v>
      </c>
      <c r="I31" s="33"/>
      <c r="J31" s="31">
        <f>(((F30+F32)/2)*(C32-C30))/27</f>
        <v>0.46296296296296297</v>
      </c>
      <c r="K31" s="31"/>
      <c r="L31" s="33"/>
      <c r="M31" s="33"/>
      <c r="N31" s="31">
        <f>(((L30+L32)/2)*(C32-C30))/9</f>
        <v>104.99999999999999</v>
      </c>
      <c r="O31" s="32"/>
    </row>
    <row r="32" spans="2:16" x14ac:dyDescent="0.2">
      <c r="B32" s="29"/>
      <c r="C32" s="30">
        <v>40500</v>
      </c>
      <c r="D32" s="31">
        <f>7.9+3.8</f>
        <v>11.7</v>
      </c>
      <c r="E32" s="31"/>
      <c r="F32" s="31">
        <v>0.5</v>
      </c>
      <c r="G32" s="31"/>
      <c r="H32" s="31"/>
      <c r="I32" s="31"/>
      <c r="J32" s="31"/>
      <c r="K32" s="31"/>
      <c r="L32" s="31">
        <v>22.3</v>
      </c>
      <c r="M32" s="33"/>
      <c r="N32" s="31"/>
      <c r="O32" s="32"/>
    </row>
    <row r="33" spans="2:15" x14ac:dyDescent="0.2">
      <c r="B33" s="29"/>
      <c r="C33" s="30"/>
      <c r="D33" s="33"/>
      <c r="E33" s="33"/>
      <c r="F33" s="33"/>
      <c r="G33" s="33"/>
      <c r="H33" s="31">
        <f>(((D32+D34)/2)*(C34-C32))/27</f>
        <v>24.814814814814813</v>
      </c>
      <c r="I33" s="31"/>
      <c r="J33" s="31">
        <f>(((F32+F34)/2)*(C34-C32))/27</f>
        <v>1.0185185185185186</v>
      </c>
      <c r="K33" s="31"/>
      <c r="L33" s="31"/>
      <c r="M33" s="31"/>
      <c r="N33" s="31">
        <f>(((L32+L34)/2)*(C34-C32))/9</f>
        <v>142.22222222222223</v>
      </c>
      <c r="O33" s="32"/>
    </row>
    <row r="34" spans="2:15" x14ac:dyDescent="0.2">
      <c r="B34" s="29"/>
      <c r="C34" s="30">
        <v>40550</v>
      </c>
      <c r="D34" s="31">
        <f>2.4+4.9+0.8+0.3+5+0.6+1.1</f>
        <v>15.100000000000001</v>
      </c>
      <c r="E34" s="31"/>
      <c r="F34" s="31">
        <v>0.6</v>
      </c>
      <c r="G34" s="31"/>
      <c r="H34" s="31"/>
      <c r="I34" s="31"/>
      <c r="J34" s="31"/>
      <c r="K34" s="31"/>
      <c r="L34" s="31">
        <v>28.9</v>
      </c>
      <c r="M34" s="31"/>
      <c r="N34" s="31"/>
      <c r="O34" s="32"/>
    </row>
    <row r="35" spans="2:15" x14ac:dyDescent="0.2">
      <c r="B35" s="29"/>
      <c r="C35" s="30"/>
      <c r="D35" s="33"/>
      <c r="E35" s="33"/>
      <c r="F35" s="33"/>
      <c r="G35" s="33"/>
      <c r="H35" s="31">
        <f>(((D34+D36)/2)*(C36-C34))/27</f>
        <v>36.481481481481488</v>
      </c>
      <c r="I35" s="33"/>
      <c r="J35" s="31">
        <f>(((F34+F36)/2)*(C36-C34))/27</f>
        <v>0.55555555555555558</v>
      </c>
      <c r="K35" s="31"/>
      <c r="L35" s="33"/>
      <c r="M35" s="33"/>
      <c r="N35" s="31">
        <f>(((L34+L36)/2)*(C36-C34))/9</f>
        <v>170.27777777777777</v>
      </c>
      <c r="O35" s="32"/>
    </row>
    <row r="36" spans="2:15" x14ac:dyDescent="0.2">
      <c r="B36" s="29"/>
      <c r="C36" s="30">
        <v>40600</v>
      </c>
      <c r="D36" s="31">
        <v>24.3</v>
      </c>
      <c r="E36" s="31"/>
      <c r="F36" s="31">
        <v>0</v>
      </c>
      <c r="G36" s="31"/>
      <c r="H36" s="31"/>
      <c r="I36" s="31"/>
      <c r="J36" s="31"/>
      <c r="K36" s="31"/>
      <c r="L36" s="31">
        <v>32.4</v>
      </c>
      <c r="M36" s="33"/>
      <c r="N36" s="31"/>
      <c r="O36" s="32"/>
    </row>
    <row r="37" spans="2:15" x14ac:dyDescent="0.2">
      <c r="B37" s="29"/>
      <c r="C37" s="30"/>
      <c r="D37" s="33"/>
      <c r="E37" s="33"/>
      <c r="F37" s="33"/>
      <c r="G37" s="33"/>
      <c r="H37" s="31">
        <f>(((D36+D38)/2)*(C38-C36))/27</f>
        <v>22.5</v>
      </c>
      <c r="I37" s="33"/>
      <c r="J37" s="31">
        <f>(((F36+F38)/2)*(C38-C36))/27</f>
        <v>0</v>
      </c>
      <c r="K37" s="31"/>
      <c r="L37" s="33"/>
      <c r="M37" s="33"/>
      <c r="N37" s="31">
        <f>(((L36+L38)/2)*(C38-C36))/9</f>
        <v>90</v>
      </c>
      <c r="O37" s="32"/>
    </row>
    <row r="38" spans="2:15" x14ac:dyDescent="0.2">
      <c r="B38" s="29"/>
      <c r="C38" s="30">
        <v>40650</v>
      </c>
      <c r="D38" s="31">
        <v>0</v>
      </c>
      <c r="E38" s="31"/>
      <c r="F38" s="31">
        <v>0</v>
      </c>
      <c r="G38" s="31"/>
      <c r="H38" s="31"/>
      <c r="I38" s="31"/>
      <c r="J38" s="31"/>
      <c r="K38" s="31"/>
      <c r="L38" s="31">
        <v>0</v>
      </c>
      <c r="M38" s="33"/>
      <c r="N38" s="31"/>
      <c r="O38" s="32"/>
    </row>
    <row r="39" spans="2:15" x14ac:dyDescent="0.2">
      <c r="D39" s="32"/>
      <c r="E39" s="32"/>
      <c r="F39" s="32"/>
      <c r="H39" s="32"/>
      <c r="O39" s="32"/>
    </row>
    <row r="40" spans="2:15" x14ac:dyDescent="0.2">
      <c r="B40" s="32" t="s">
        <v>11</v>
      </c>
      <c r="D40" s="32">
        <f>C38-C8</f>
        <v>700</v>
      </c>
      <c r="E40" s="32"/>
      <c r="F40" s="32"/>
      <c r="G40" s="32" t="s">
        <v>12</v>
      </c>
      <c r="H40" s="32">
        <f>SUM(H8:H39)</f>
        <v>221.63105555555578</v>
      </c>
      <c r="I40" s="32" t="s">
        <v>13</v>
      </c>
      <c r="J40" s="32">
        <f>SUM(J8:J39)</f>
        <v>33.253333333333202</v>
      </c>
      <c r="K40" s="32"/>
      <c r="L40" s="32"/>
      <c r="M40" s="34" t="s">
        <v>14</v>
      </c>
      <c r="N40" s="32">
        <f>SUM(N6:N39)</f>
        <v>1044.6698888888891</v>
      </c>
      <c r="O40" s="32"/>
    </row>
    <row r="41" spans="2:15" x14ac:dyDescent="0.2">
      <c r="B41" s="32" t="s">
        <v>15</v>
      </c>
      <c r="D41" s="35">
        <f>D40/5280</f>
        <v>0.13257575757575757</v>
      </c>
      <c r="E41" s="32"/>
      <c r="F41" s="32"/>
      <c r="K41" s="32"/>
      <c r="M41" s="32"/>
      <c r="N41" s="32"/>
    </row>
    <row r="42" spans="2:15" x14ac:dyDescent="0.2">
      <c r="D42" s="32"/>
      <c r="E42" s="32"/>
      <c r="F42" s="32"/>
      <c r="G42" s="32"/>
      <c r="H42" s="32"/>
      <c r="I42" s="32"/>
      <c r="J42" s="32"/>
      <c r="K42" s="32"/>
      <c r="M42" s="32"/>
      <c r="N42" s="32"/>
    </row>
  </sheetData>
  <mergeCells count="4">
    <mergeCell ref="B2:N3"/>
    <mergeCell ref="C5:D5"/>
    <mergeCell ref="G5:H5"/>
    <mergeCell ref="K5:L5"/>
  </mergeCells>
  <pageMargins left="0.75" right="0.75" top="0.5" bottom="0.5" header="0.5" footer="0.5"/>
  <pageSetup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5C066-BDC3-48C7-879D-B8086BE0431F}">
  <dimension ref="B2:O34"/>
  <sheetViews>
    <sheetView workbookViewId="0">
      <selection activeCell="B4" sqref="B4:G4"/>
    </sheetView>
  </sheetViews>
  <sheetFormatPr defaultRowHeight="15" x14ac:dyDescent="0.25"/>
  <cols>
    <col min="4" max="5" width="9.140625" style="2"/>
    <col min="6" max="7" width="9.5703125" bestFit="1" customWidth="1"/>
  </cols>
  <sheetData>
    <row r="2" spans="2:15" ht="28.5" customHeight="1" x14ac:dyDescent="0.25">
      <c r="B2" s="54" t="s">
        <v>21</v>
      </c>
      <c r="C2" s="54"/>
      <c r="D2" s="54"/>
      <c r="E2" s="54"/>
      <c r="F2" s="54"/>
      <c r="G2" s="54"/>
    </row>
    <row r="3" spans="2:15" ht="15.75" thickBot="1" x14ac:dyDescent="0.3"/>
    <row r="4" spans="2:15" ht="15.75" thickBot="1" x14ac:dyDescent="0.3">
      <c r="B4" s="41"/>
      <c r="C4" s="42"/>
      <c r="D4" s="43" t="s">
        <v>17</v>
      </c>
      <c r="E4" s="43" t="s">
        <v>18</v>
      </c>
      <c r="F4" s="42" t="s">
        <v>19</v>
      </c>
      <c r="G4" s="44" t="s">
        <v>20</v>
      </c>
      <c r="L4" s="2"/>
      <c r="M4" s="2"/>
    </row>
    <row r="5" spans="2:15" ht="15.75" thickTop="1" x14ac:dyDescent="0.25">
      <c r="B5" s="46">
        <v>1307.2</v>
      </c>
      <c r="C5" s="38"/>
      <c r="D5" s="37">
        <v>2.5</v>
      </c>
      <c r="E5" s="37">
        <v>0</v>
      </c>
      <c r="F5" s="38"/>
      <c r="G5" s="39"/>
      <c r="J5" s="1"/>
      <c r="L5" s="2"/>
      <c r="M5" s="2"/>
    </row>
    <row r="6" spans="2:15" x14ac:dyDescent="0.25">
      <c r="B6" s="46"/>
      <c r="C6" s="38"/>
      <c r="D6" s="37"/>
      <c r="E6" s="37"/>
      <c r="F6" s="47">
        <f>(((D7+D5)/2)*(B7-B5))/27</f>
        <v>5.5481481481481421</v>
      </c>
      <c r="G6" s="48">
        <f>(((E7+E5)/2)*(B7-B5))/27</f>
        <v>7.9259259259259176</v>
      </c>
      <c r="J6" s="1"/>
      <c r="L6" s="2"/>
      <c r="M6" s="2"/>
      <c r="N6" s="3"/>
      <c r="O6" s="3"/>
    </row>
    <row r="7" spans="2:15" x14ac:dyDescent="0.25">
      <c r="B7" s="46">
        <v>1350</v>
      </c>
      <c r="C7" s="38"/>
      <c r="D7" s="37">
        <v>4.5</v>
      </c>
      <c r="E7" s="37">
        <v>10</v>
      </c>
      <c r="F7" s="47"/>
      <c r="G7" s="48"/>
      <c r="J7" s="1"/>
      <c r="L7" s="2"/>
      <c r="M7" s="2"/>
    </row>
    <row r="8" spans="2:15" x14ac:dyDescent="0.25">
      <c r="B8" s="46"/>
      <c r="C8" s="38"/>
      <c r="D8" s="37"/>
      <c r="E8" s="37"/>
      <c r="F8" s="47">
        <f>(((D9+D7)/2)*(B9-B7))/27</f>
        <v>13.24074074074074</v>
      </c>
      <c r="G8" s="48">
        <f>(((E9+E7)/2)*(B9-B7))/27</f>
        <v>22.407407407407408</v>
      </c>
      <c r="J8" s="1"/>
      <c r="L8" s="2"/>
      <c r="M8" s="2"/>
      <c r="N8" s="3"/>
      <c r="O8" s="3"/>
    </row>
    <row r="9" spans="2:15" x14ac:dyDescent="0.25">
      <c r="B9" s="46">
        <v>1400</v>
      </c>
      <c r="C9" s="38"/>
      <c r="D9" s="37">
        <v>9.8000000000000007</v>
      </c>
      <c r="E9" s="37">
        <v>14.2</v>
      </c>
      <c r="F9" s="47"/>
      <c r="G9" s="48"/>
      <c r="J9" s="1"/>
      <c r="L9" s="2"/>
      <c r="M9" s="2"/>
      <c r="N9" s="3"/>
      <c r="O9" s="3"/>
    </row>
    <row r="10" spans="2:15" x14ac:dyDescent="0.25">
      <c r="B10" s="46"/>
      <c r="C10" s="38"/>
      <c r="D10" s="37"/>
      <c r="E10" s="37"/>
      <c r="F10" s="47">
        <f>(((D11+D9)/2)*(B11-B9))/27</f>
        <v>19.166666666666671</v>
      </c>
      <c r="G10" s="48">
        <f>(((E11+E9)/2)*(B11-B9))/27</f>
        <v>39.907407407407398</v>
      </c>
      <c r="J10" s="1"/>
      <c r="L10" s="2"/>
      <c r="M10" s="2"/>
      <c r="N10" s="3"/>
      <c r="O10" s="3"/>
    </row>
    <row r="11" spans="2:15" x14ac:dyDescent="0.25">
      <c r="B11" s="46">
        <v>1450</v>
      </c>
      <c r="C11" s="38"/>
      <c r="D11" s="37">
        <v>10.9</v>
      </c>
      <c r="E11" s="37">
        <v>28.9</v>
      </c>
      <c r="F11" s="47"/>
      <c r="G11" s="48"/>
      <c r="J11" s="1"/>
      <c r="L11" s="2"/>
      <c r="M11" s="2"/>
      <c r="N11" s="3"/>
      <c r="O11" s="3"/>
    </row>
    <row r="12" spans="2:15" x14ac:dyDescent="0.25">
      <c r="B12" s="46"/>
      <c r="C12" s="38"/>
      <c r="D12" s="37"/>
      <c r="E12" s="37"/>
      <c r="F12" s="47">
        <f>(((D13+D11)/2)*(B13-B11))/27</f>
        <v>21.481481481481485</v>
      </c>
      <c r="G12" s="48">
        <f>(((E13+E11)/2)*(B13-B11))/27</f>
        <v>33.05555555555555</v>
      </c>
      <c r="J12" s="1"/>
      <c r="L12" s="2"/>
      <c r="M12" s="2"/>
      <c r="N12" s="3"/>
      <c r="O12" s="3"/>
    </row>
    <row r="13" spans="2:15" x14ac:dyDescent="0.25">
      <c r="B13" s="46">
        <v>1500</v>
      </c>
      <c r="C13" s="38"/>
      <c r="D13" s="37">
        <v>12.3</v>
      </c>
      <c r="E13" s="37">
        <v>6.8</v>
      </c>
      <c r="F13" s="47"/>
      <c r="G13" s="48"/>
      <c r="J13" s="1"/>
      <c r="L13" s="2"/>
      <c r="M13" s="2"/>
      <c r="N13" s="3"/>
      <c r="O13" s="3"/>
    </row>
    <row r="14" spans="2:15" x14ac:dyDescent="0.25">
      <c r="B14" s="46"/>
      <c r="C14" s="38"/>
      <c r="D14" s="37"/>
      <c r="E14" s="37"/>
      <c r="F14" s="47">
        <f>(((D15+D13)/2)*(B15-B13))/27</f>
        <v>27.995037037037051</v>
      </c>
      <c r="G14" s="48">
        <f>(((E15+E13)/2)*(B15-B13))/27</f>
        <v>9.1673888888888921</v>
      </c>
      <c r="J14" s="1"/>
      <c r="L14" s="2"/>
      <c r="M14" s="2"/>
      <c r="N14" s="3"/>
      <c r="O14" s="3"/>
    </row>
    <row r="15" spans="2:15" x14ac:dyDescent="0.25">
      <c r="B15" s="46">
        <v>1553.23</v>
      </c>
      <c r="C15" s="38"/>
      <c r="D15" s="37">
        <v>16.100000000000001</v>
      </c>
      <c r="E15" s="37">
        <v>2.5</v>
      </c>
      <c r="F15" s="47"/>
      <c r="G15" s="48"/>
      <c r="J15" s="1"/>
      <c r="L15" s="2"/>
      <c r="M15" s="2"/>
      <c r="N15" s="3"/>
      <c r="O15" s="3"/>
    </row>
    <row r="16" spans="2:15" x14ac:dyDescent="0.25">
      <c r="B16" s="46"/>
      <c r="C16" s="38"/>
      <c r="D16" s="37"/>
      <c r="E16" s="37"/>
      <c r="F16" s="47">
        <f>(((D17+D15)/2)*(B17-B15))/27</f>
        <v>81.241222222222206</v>
      </c>
      <c r="G16" s="48">
        <f>(((E17+E15)/2)*(B17-B15))/27</f>
        <v>14.464055555555548</v>
      </c>
      <c r="J16" s="1"/>
      <c r="L16" s="2"/>
      <c r="M16" s="2"/>
      <c r="N16" s="3"/>
      <c r="O16" s="3"/>
    </row>
    <row r="17" spans="2:15" x14ac:dyDescent="0.25">
      <c r="B17" s="46">
        <v>1600</v>
      </c>
      <c r="C17" s="38"/>
      <c r="D17" s="37">
        <v>77.7</v>
      </c>
      <c r="E17" s="37">
        <v>14.2</v>
      </c>
      <c r="F17" s="47"/>
      <c r="G17" s="48"/>
      <c r="J17" s="1"/>
      <c r="L17" s="2"/>
      <c r="M17" s="2"/>
      <c r="N17" s="3"/>
      <c r="O17" s="3"/>
    </row>
    <row r="18" spans="2:15" x14ac:dyDescent="0.25">
      <c r="B18" s="46"/>
      <c r="C18" s="38"/>
      <c r="D18" s="37"/>
      <c r="E18" s="37"/>
      <c r="F18" s="47">
        <f>(((D19+D17)/2)*(B19-B17))/27</f>
        <v>79.351851851851848</v>
      </c>
      <c r="G18" s="48">
        <f>(((E19+E17)/2)*(B19-B17))/27</f>
        <v>51.388888888888886</v>
      </c>
      <c r="J18" s="1"/>
      <c r="L18" s="2"/>
      <c r="M18" s="2"/>
      <c r="N18" s="3"/>
      <c r="O18" s="3"/>
    </row>
    <row r="19" spans="2:15" x14ac:dyDescent="0.25">
      <c r="B19" s="46">
        <v>1650</v>
      </c>
      <c r="C19" s="38"/>
      <c r="D19" s="37">
        <v>8</v>
      </c>
      <c r="E19" s="37">
        <v>41.3</v>
      </c>
      <c r="F19" s="47"/>
      <c r="G19" s="48"/>
      <c r="J19" s="1"/>
      <c r="L19" s="2"/>
      <c r="M19" s="2"/>
      <c r="N19" s="3"/>
      <c r="O19" s="3"/>
    </row>
    <row r="20" spans="2:15" x14ac:dyDescent="0.25">
      <c r="B20" s="46"/>
      <c r="C20" s="38"/>
      <c r="D20" s="37"/>
      <c r="E20" s="37"/>
      <c r="F20" s="47">
        <f>(((D21+D19)/2)*(B21-B19))/27</f>
        <v>22.037037037037038</v>
      </c>
      <c r="G20" s="48">
        <f>(((E21+E19)/2)*(B21-B19))/27</f>
        <v>69.722222222222229</v>
      </c>
      <c r="J20" s="1"/>
      <c r="L20" s="2"/>
      <c r="M20" s="2"/>
      <c r="N20" s="3"/>
      <c r="O20" s="3"/>
    </row>
    <row r="21" spans="2:15" x14ac:dyDescent="0.25">
      <c r="B21" s="46">
        <v>1700</v>
      </c>
      <c r="C21" s="38"/>
      <c r="D21" s="37">
        <v>15.8</v>
      </c>
      <c r="E21" s="37">
        <v>34</v>
      </c>
      <c r="F21" s="47"/>
      <c r="G21" s="48"/>
      <c r="J21" s="1"/>
      <c r="L21" s="2"/>
      <c r="M21" s="2"/>
      <c r="N21" s="3"/>
      <c r="O21" s="3"/>
    </row>
    <row r="22" spans="2:15" x14ac:dyDescent="0.25">
      <c r="B22" s="46"/>
      <c r="C22" s="38"/>
      <c r="D22" s="37"/>
      <c r="E22" s="37"/>
      <c r="F22" s="47">
        <f>(((D23+D21)/2)*(B23-B21))/27</f>
        <v>27.592592592592592</v>
      </c>
      <c r="G22" s="48">
        <f>(((E23+E21)/2)*(B23-B21))/27</f>
        <v>49.351851851851855</v>
      </c>
      <c r="J22" s="1"/>
      <c r="L22" s="2"/>
      <c r="M22" s="2"/>
      <c r="N22" s="3"/>
      <c r="O22" s="3"/>
    </row>
    <row r="23" spans="2:15" x14ac:dyDescent="0.25">
      <c r="B23" s="46">
        <v>1750</v>
      </c>
      <c r="C23" s="38"/>
      <c r="D23" s="37">
        <v>14</v>
      </c>
      <c r="E23" s="37">
        <v>19.3</v>
      </c>
      <c r="F23" s="47"/>
      <c r="G23" s="48"/>
      <c r="J23" s="1"/>
      <c r="L23" s="2"/>
      <c r="M23" s="2"/>
      <c r="N23" s="3"/>
      <c r="O23" s="3"/>
    </row>
    <row r="24" spans="2:15" x14ac:dyDescent="0.25">
      <c r="B24" s="46"/>
      <c r="C24" s="38"/>
      <c r="D24" s="37"/>
      <c r="E24" s="37"/>
      <c r="F24" s="47">
        <f>(((D25+D23)/2)*(B25-B23))/27</f>
        <v>27.5</v>
      </c>
      <c r="G24" s="48">
        <f>(((E25+E23)/2)*(B25-B23))/27</f>
        <v>18.055555555555557</v>
      </c>
      <c r="J24" s="1"/>
      <c r="L24" s="2"/>
      <c r="M24" s="2"/>
      <c r="N24" s="3"/>
      <c r="O24" s="3"/>
    </row>
    <row r="25" spans="2:15" x14ac:dyDescent="0.25">
      <c r="B25" s="46">
        <v>1800</v>
      </c>
      <c r="C25" s="38"/>
      <c r="D25" s="37">
        <v>15.7</v>
      </c>
      <c r="E25" s="37">
        <v>0.2</v>
      </c>
      <c r="F25" s="47"/>
      <c r="G25" s="48"/>
      <c r="J25" s="1"/>
      <c r="L25" s="2"/>
      <c r="M25" s="2"/>
      <c r="N25" s="3"/>
      <c r="O25" s="3"/>
    </row>
    <row r="26" spans="2:15" x14ac:dyDescent="0.25">
      <c r="B26" s="46"/>
      <c r="C26" s="38"/>
      <c r="D26" s="37"/>
      <c r="E26" s="37"/>
      <c r="F26" s="47">
        <f>(((D27+D25)/2)*(B27-B25))/27</f>
        <v>23.42592592592592</v>
      </c>
      <c r="G26" s="48">
        <f>(((E27+E25)/2)*(B27-B25))/27</f>
        <v>7.6851851851851842</v>
      </c>
      <c r="J26" s="1"/>
      <c r="L26" s="2"/>
      <c r="M26" s="2"/>
      <c r="N26" s="3"/>
      <c r="O26" s="3"/>
    </row>
    <row r="27" spans="2:15" x14ac:dyDescent="0.25">
      <c r="B27" s="46">
        <v>1850</v>
      </c>
      <c r="C27" s="38"/>
      <c r="D27" s="37">
        <v>9.6</v>
      </c>
      <c r="E27" s="37">
        <v>8.1</v>
      </c>
      <c r="F27" s="47"/>
      <c r="G27" s="48"/>
      <c r="J27" s="1"/>
      <c r="L27" s="2"/>
      <c r="M27" s="2"/>
      <c r="N27" s="3"/>
      <c r="O27" s="3"/>
    </row>
    <row r="28" spans="2:15" x14ac:dyDescent="0.25">
      <c r="B28" s="46"/>
      <c r="C28" s="38"/>
      <c r="D28" s="37"/>
      <c r="E28" s="37"/>
      <c r="F28" s="47">
        <f>(((D29+D27)/2)*(B29-B27))/27</f>
        <v>12.222222222222221</v>
      </c>
      <c r="G28" s="48">
        <f>(((E29+E27)/2)*(B29-B27))/27</f>
        <v>16.851851851851851</v>
      </c>
      <c r="J28" s="1"/>
      <c r="L28" s="2"/>
      <c r="M28" s="2"/>
      <c r="N28" s="3"/>
      <c r="O28" s="3"/>
    </row>
    <row r="29" spans="2:15" x14ac:dyDescent="0.25">
      <c r="B29" s="46">
        <v>1900</v>
      </c>
      <c r="C29" s="38"/>
      <c r="D29" s="37">
        <v>3.6</v>
      </c>
      <c r="E29" s="37">
        <v>10.1</v>
      </c>
      <c r="F29" s="47"/>
      <c r="G29" s="48"/>
      <c r="J29" s="1"/>
      <c r="L29" s="2"/>
      <c r="M29" s="2"/>
      <c r="N29" s="3"/>
      <c r="O29" s="3"/>
    </row>
    <row r="30" spans="2:15" x14ac:dyDescent="0.25">
      <c r="B30" s="46"/>
      <c r="C30" s="38"/>
      <c r="D30" s="37"/>
      <c r="E30" s="37"/>
      <c r="F30" s="47">
        <f>(((D31+D29)/2)*(B31-B29))/27</f>
        <v>10</v>
      </c>
      <c r="G30" s="48">
        <f>(((E31+E29)/2)*(B31-B29))/27</f>
        <v>14.72222222222222</v>
      </c>
      <c r="J30" s="1"/>
      <c r="L30" s="2"/>
      <c r="M30" s="2"/>
      <c r="N30" s="3"/>
      <c r="O30" s="3"/>
    </row>
    <row r="31" spans="2:15" x14ac:dyDescent="0.25">
      <c r="B31" s="46">
        <v>1950</v>
      </c>
      <c r="C31" s="38"/>
      <c r="D31" s="37">
        <v>7.2</v>
      </c>
      <c r="E31" s="37">
        <v>5.8</v>
      </c>
      <c r="F31" s="38"/>
      <c r="G31" s="39"/>
      <c r="J31" s="1"/>
      <c r="L31" s="2"/>
      <c r="M31" s="2"/>
    </row>
    <row r="32" spans="2:15" x14ac:dyDescent="0.25">
      <c r="B32" s="46"/>
      <c r="C32" s="38"/>
      <c r="D32" s="37"/>
      <c r="E32" s="37"/>
      <c r="F32" s="47">
        <f>(((D33+D31)/2)*(B33-B31))/27</f>
        <v>19.055555555555557</v>
      </c>
      <c r="G32" s="48">
        <f>(((E33+E31)/2)*(B33-B31))/27</f>
        <v>15.037037037037036</v>
      </c>
      <c r="J32" s="1"/>
      <c r="L32" s="2"/>
      <c r="M32" s="2"/>
      <c r="N32" s="3"/>
      <c r="O32" s="3"/>
    </row>
    <row r="33" spans="2:15" ht="15.75" thickBot="1" x14ac:dyDescent="0.3">
      <c r="B33" s="49">
        <v>2020</v>
      </c>
      <c r="C33" s="50"/>
      <c r="D33" s="40">
        <v>7.5</v>
      </c>
      <c r="E33" s="40">
        <v>5.8</v>
      </c>
      <c r="F33" s="50"/>
      <c r="G33" s="51"/>
      <c r="J33" s="1"/>
      <c r="L33" s="2"/>
      <c r="M33" s="2"/>
    </row>
    <row r="34" spans="2:15" ht="15.75" thickBot="1" x14ac:dyDescent="0.3">
      <c r="B34" s="36"/>
      <c r="C34" s="36"/>
      <c r="E34" s="45" t="s">
        <v>16</v>
      </c>
      <c r="F34" s="52">
        <f>SUM(F6:F32)</f>
        <v>389.85848148148148</v>
      </c>
      <c r="G34" s="53">
        <f>SUM(G6:G32)</f>
        <v>369.7425555555555</v>
      </c>
      <c r="L34" s="2"/>
      <c r="M34" s="2"/>
      <c r="N34" s="3"/>
      <c r="O34" s="3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5231-8476-4E72-B00F-1D31A78A27DE}">
  <dimension ref="B2:G18"/>
  <sheetViews>
    <sheetView tabSelected="1" workbookViewId="0">
      <selection activeCell="I10" sqref="I10"/>
    </sheetView>
  </sheetViews>
  <sheetFormatPr defaultRowHeight="15" x14ac:dyDescent="0.25"/>
  <sheetData>
    <row r="2" spans="2:7" ht="32.25" customHeight="1" x14ac:dyDescent="0.25">
      <c r="B2" s="54" t="s">
        <v>22</v>
      </c>
      <c r="C2" s="54"/>
      <c r="D2" s="54"/>
      <c r="E2" s="54"/>
      <c r="F2" s="54"/>
      <c r="G2" s="54"/>
    </row>
    <row r="3" spans="2:7" ht="15.75" thickBot="1" x14ac:dyDescent="0.3"/>
    <row r="4" spans="2:7" ht="15.75" thickBot="1" x14ac:dyDescent="0.3">
      <c r="B4" s="55"/>
      <c r="C4" s="43"/>
      <c r="D4" s="43" t="s">
        <v>17</v>
      </c>
      <c r="E4" s="43" t="s">
        <v>18</v>
      </c>
      <c r="F4" s="43" t="s">
        <v>19</v>
      </c>
      <c r="G4" s="56" t="s">
        <v>20</v>
      </c>
    </row>
    <row r="5" spans="2:7" ht="15.75" thickTop="1" x14ac:dyDescent="0.25">
      <c r="B5" s="57">
        <v>2000</v>
      </c>
      <c r="C5" s="37"/>
      <c r="D5" s="37">
        <v>0</v>
      </c>
      <c r="E5" s="37">
        <v>0</v>
      </c>
      <c r="F5" s="37"/>
      <c r="G5" s="58"/>
    </row>
    <row r="6" spans="2:7" x14ac:dyDescent="0.25">
      <c r="B6" s="57"/>
      <c r="C6" s="37"/>
      <c r="D6" s="37"/>
      <c r="E6" s="37"/>
      <c r="F6" s="59">
        <f>(((D7+D5)/2)*(B7-B5))/27</f>
        <v>15.092592592592593</v>
      </c>
      <c r="G6" s="60">
        <f>(((E7+E5)/2)*(B7-B5))/27</f>
        <v>8.1481481481481488</v>
      </c>
    </row>
    <row r="7" spans="2:7" x14ac:dyDescent="0.25">
      <c r="B7" s="57">
        <v>2050</v>
      </c>
      <c r="C7" s="37"/>
      <c r="D7" s="37">
        <v>16.3</v>
      </c>
      <c r="E7" s="37">
        <v>8.8000000000000007</v>
      </c>
      <c r="F7" s="37"/>
      <c r="G7" s="58"/>
    </row>
    <row r="8" spans="2:7" x14ac:dyDescent="0.25">
      <c r="B8" s="57"/>
      <c r="C8" s="37"/>
      <c r="D8" s="37"/>
      <c r="E8" s="37"/>
      <c r="F8" s="59">
        <f>(((D9+D7)/2)*(B9-B7))/27</f>
        <v>28.611111111111111</v>
      </c>
      <c r="G8" s="60">
        <f>(((E9+E7)/2)*(B9-B7))/27</f>
        <v>16.666666666666668</v>
      </c>
    </row>
    <row r="9" spans="2:7" x14ac:dyDescent="0.25">
      <c r="B9" s="57">
        <v>2100</v>
      </c>
      <c r="C9" s="37"/>
      <c r="D9" s="37">
        <v>14.6</v>
      </c>
      <c r="E9" s="37">
        <v>9.1999999999999993</v>
      </c>
      <c r="F9" s="59"/>
      <c r="G9" s="60"/>
    </row>
    <row r="10" spans="2:7" x14ac:dyDescent="0.25">
      <c r="B10" s="57"/>
      <c r="C10" s="37"/>
      <c r="D10" s="37"/>
      <c r="E10" s="37"/>
      <c r="F10" s="59">
        <f>(((D13+D9)/2)*(B13-B9))/27</f>
        <v>59.81481481481481</v>
      </c>
      <c r="G10" s="60">
        <f>(((E13+E9)/2)*(B13-B9))/27</f>
        <v>45.925925925925917</v>
      </c>
    </row>
    <row r="11" spans="2:7" x14ac:dyDescent="0.25">
      <c r="B11" s="57">
        <v>2150</v>
      </c>
      <c r="C11" s="37"/>
      <c r="D11" s="37">
        <v>0</v>
      </c>
      <c r="E11" s="37">
        <v>52.4</v>
      </c>
      <c r="F11" s="59"/>
      <c r="G11" s="60"/>
    </row>
    <row r="12" spans="2:7" x14ac:dyDescent="0.25">
      <c r="B12" s="57"/>
      <c r="C12" s="37"/>
      <c r="D12" s="37"/>
      <c r="E12" s="37"/>
      <c r="F12" s="59">
        <f>(((D13+D11)/2)*(B13-B11))/27</f>
        <v>16.388888888888889</v>
      </c>
      <c r="G12" s="60">
        <f>(((E13+E11)/2)*(B13-B11))/27</f>
        <v>62.962962962962962</v>
      </c>
    </row>
    <row r="13" spans="2:7" x14ac:dyDescent="0.25">
      <c r="B13" s="57">
        <v>2200</v>
      </c>
      <c r="C13" s="37"/>
      <c r="D13" s="37">
        <v>17.7</v>
      </c>
      <c r="E13" s="37">
        <v>15.6</v>
      </c>
      <c r="F13" s="59"/>
      <c r="G13" s="60"/>
    </row>
    <row r="14" spans="2:7" x14ac:dyDescent="0.25">
      <c r="B14" s="57"/>
      <c r="C14" s="37"/>
      <c r="D14" s="37"/>
      <c r="E14" s="37"/>
      <c r="F14" s="59">
        <f>(((D15+D13)/2)*(B15-B13))/27</f>
        <v>34.81481481481481</v>
      </c>
      <c r="G14" s="60">
        <f>(((E15+E13)/2)*(B15-B13))/27</f>
        <v>15.092592592592593</v>
      </c>
    </row>
    <row r="15" spans="2:7" x14ac:dyDescent="0.25">
      <c r="B15" s="57">
        <v>2250</v>
      </c>
      <c r="C15" s="37"/>
      <c r="D15" s="37">
        <v>19.899999999999999</v>
      </c>
      <c r="E15" s="37">
        <v>0.7</v>
      </c>
      <c r="F15" s="59"/>
      <c r="G15" s="60"/>
    </row>
    <row r="16" spans="2:7" x14ac:dyDescent="0.25">
      <c r="B16" s="57"/>
      <c r="C16" s="37"/>
      <c r="D16" s="37"/>
      <c r="E16" s="37"/>
      <c r="F16" s="59">
        <f>(((D17+D15)/2)*(B17-B15))/27</f>
        <v>16.841296296296228</v>
      </c>
      <c r="G16" s="60">
        <f>(((E17+E15)/2)*(B17-B15))/27</f>
        <v>0.59240740740740505</v>
      </c>
    </row>
    <row r="17" spans="2:7" ht="15.75" thickBot="1" x14ac:dyDescent="0.3">
      <c r="B17" s="61">
        <v>2272.85</v>
      </c>
      <c r="C17" s="40"/>
      <c r="D17" s="40">
        <v>19.899999999999999</v>
      </c>
      <c r="E17" s="40">
        <v>0.7</v>
      </c>
      <c r="F17" s="62"/>
      <c r="G17" s="63"/>
    </row>
    <row r="18" spans="2:7" ht="15.75" thickBot="1" x14ac:dyDescent="0.3">
      <c r="B18" s="2"/>
      <c r="C18" s="2"/>
      <c r="D18" s="2"/>
      <c r="E18" s="45" t="s">
        <v>16</v>
      </c>
      <c r="F18" s="64">
        <f>SUM(F6:F17)</f>
        <v>171.56351851851844</v>
      </c>
      <c r="G18" s="65">
        <f>SUM(G6:G17)</f>
        <v>149.38870370370367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Crossover 1</vt:lpstr>
      <vt:lpstr>Crossover 2</vt:lpstr>
      <vt:lpstr>Crossover 3</vt:lpstr>
      <vt:lpstr>Crossover 4</vt:lpstr>
      <vt:lpstr>Crossover 5 EW</vt:lpstr>
      <vt:lpstr>Crossover 6 EW</vt:lpstr>
      <vt:lpstr>'Crossover 1'!Print_Titles</vt:lpstr>
      <vt:lpstr>'Crossover 2'!Print_Titles</vt:lpstr>
      <vt:lpstr>'Crossover 3'!Print_Titles</vt:lpstr>
      <vt:lpstr>'Crossover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Killian</dc:creator>
  <cp:lastModifiedBy>Mark Killian</cp:lastModifiedBy>
  <dcterms:created xsi:type="dcterms:W3CDTF">2021-01-06T21:07:20Z</dcterms:created>
  <dcterms:modified xsi:type="dcterms:W3CDTF">2021-10-27T12:12:44Z</dcterms:modified>
</cp:coreProperties>
</file>