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32760" windowWidth="13980" windowHeight="12975" tabRatio="837" activeTab="0"/>
  </bookViews>
  <sheets>
    <sheet name="PVMT Pg 2" sheetId="1" r:id="rId1"/>
    <sheet name="PVMT Pg 3" sheetId="2" r:id="rId2"/>
    <sheet name="PVMT Pg 4" sheetId="3" r:id="rId3"/>
    <sheet name="PVMT Pg 5" sheetId="4" r:id="rId4"/>
    <sheet name="PVMT Pg 6" sheetId="5" r:id="rId5"/>
    <sheet name="PVMT Pg 7" sheetId="6" r:id="rId6"/>
    <sheet name="PVMT Pg 8" sheetId="7" r:id="rId7"/>
    <sheet name="PVMT Pg 9" sheetId="8" r:id="rId8"/>
    <sheet name="PVMT Pg 10" sheetId="9" r:id="rId9"/>
    <sheet name="PVMT Pg 11" sheetId="10" r:id="rId10"/>
    <sheet name="PVMT Pg 12" sheetId="11" r:id="rId11"/>
    <sheet name="PVMT Pg 13" sheetId="12" r:id="rId12"/>
    <sheet name="PVMT Pg 14" sheetId="13" r:id="rId13"/>
    <sheet name="PVMT Pg 15" sheetId="14" r:id="rId14"/>
    <sheet name="PVMT Pg 16" sheetId="15" r:id="rId15"/>
  </sheets>
  <definedNames>
    <definedName name="_xlfn._FV" hidden="1">#NAME?</definedName>
    <definedName name="_xlnm.Print_Area" localSheetId="8">'PVMT Pg 10'!$B$3:$AG$68</definedName>
    <definedName name="_xlnm.Print_Area" localSheetId="9">'PVMT Pg 11'!$B$3:$AG$68</definedName>
    <definedName name="_xlnm.Print_Area" localSheetId="10">'PVMT Pg 12'!$B$3:$AG$68</definedName>
    <definedName name="_xlnm.Print_Area" localSheetId="11">'PVMT Pg 13'!$B$3:$AG$68</definedName>
    <definedName name="_xlnm.Print_Area" localSheetId="12">'PVMT Pg 14'!$B$3:$AG$68</definedName>
    <definedName name="_xlnm.Print_Area" localSheetId="13">'PVMT Pg 15'!$B$3:$AG$68</definedName>
    <definedName name="_xlnm.Print_Area" localSheetId="14">'PVMT Pg 16'!$B$3:$AG$68</definedName>
    <definedName name="_xlnm.Print_Area" localSheetId="0">'PVMT Pg 2'!$B$3:$AG$68</definedName>
    <definedName name="_xlnm.Print_Area" localSheetId="1">'PVMT Pg 3'!$B$3:$AG$68</definedName>
    <definedName name="_xlnm.Print_Area" localSheetId="2">'PVMT Pg 4'!$B$3:$AG$68</definedName>
    <definedName name="_xlnm.Print_Area" localSheetId="3">'PVMT Pg 5'!$B$3:$AG$68</definedName>
    <definedName name="_xlnm.Print_Area" localSheetId="4">'PVMT Pg 6'!$B$3:$AG$68</definedName>
    <definedName name="_xlnm.Print_Area" localSheetId="5">'PVMT Pg 7'!$B$3:$AG$68</definedName>
    <definedName name="_xlnm.Print_Area" localSheetId="6">'PVMT Pg 8'!$B$3:$AG$68</definedName>
    <definedName name="_xlnm.Print_Area" localSheetId="7">'PVMT Pg 9'!$B$3:$AG$68</definedName>
  </definedNames>
  <calcPr fullCalcOnLoad="1"/>
</workbook>
</file>

<file path=xl/sharedStrings.xml><?xml version="1.0" encoding="utf-8"?>
<sst xmlns="http://schemas.openxmlformats.org/spreadsheetml/2006/main" count="1218" uniqueCount="95">
  <si>
    <t>STATION</t>
  </si>
  <si>
    <t>FROM</t>
  </si>
  <si>
    <t>TO</t>
  </si>
  <si>
    <t>SIDE</t>
  </si>
  <si>
    <t>LENGTH (L)</t>
  </si>
  <si>
    <t>AVERAGE WIDTH (W)</t>
  </si>
  <si>
    <t>SURFACE AREA (A=LxW)</t>
  </si>
  <si>
    <t>FT</t>
  </si>
  <si>
    <t>TOTALS CARRIED TO PAVEMENT SUBSUMMARY</t>
  </si>
  <si>
    <t>SF</t>
  </si>
  <si>
    <t>CADD AREA</t>
  </si>
  <si>
    <t>CALCULATED                            
LRK</t>
  </si>
  <si>
    <t>CURVE CORRECTION RATIO</t>
  </si>
  <si>
    <t>CHECKED                       
PJF</t>
  </si>
  <si>
    <t>TABLE 1</t>
  </si>
  <si>
    <t>AREA FOR 18" EXTENSION</t>
  </si>
  <si>
    <t>AREA FOR 20" EXTENSION</t>
  </si>
  <si>
    <t>AREA FOR 22" EXTENSION</t>
  </si>
  <si>
    <t>NORTHBOUND I.R. 77 CL</t>
  </si>
  <si>
    <t>FULL DEPTH LANES</t>
  </si>
  <si>
    <t>RT</t>
  </si>
  <si>
    <t>RT/IN</t>
  </si>
  <si>
    <t>RT/OUT</t>
  </si>
  <si>
    <t>CADD</t>
  </si>
  <si>
    <t>NORTHBOUND I.R. 77 BL</t>
  </si>
  <si>
    <t>LT</t>
  </si>
  <si>
    <t>REFERENCE CELLS FOR FORMULA CONSTANTS (DO NOT PRINT THIS ROW)</t>
  </si>
  <si>
    <t>FULL DEPTH SHOULDER</t>
  </si>
  <si>
    <t>FULL DEPTH SHOULDER CONTD.</t>
  </si>
  <si>
    <t>SOUTHBOUND I.R. 77 BL</t>
  </si>
  <si>
    <t>RAMP A</t>
  </si>
  <si>
    <t>SOUTHBOUND I.R. 77 CL</t>
  </si>
  <si>
    <t>LT/OUT</t>
  </si>
  <si>
    <t>LT/IN</t>
  </si>
  <si>
    <t>GORE AREAS</t>
  </si>
  <si>
    <t>NORTHBOUND I.R. 77/ARLINGTON RD. RAMP D</t>
  </si>
  <si>
    <t>NORTHBOUND I.R. 77/RAMP C</t>
  </si>
  <si>
    <t>NORTHBOUND I.R. 77/RAMP B-2</t>
  </si>
  <si>
    <t>NORTHBOUND I.R. 77/RAMP C-1</t>
  </si>
  <si>
    <t>NORTHBOUND I.R. 77/RAMP D</t>
  </si>
  <si>
    <t>SOUTHBOUND I.R. 77/RAMP A</t>
  </si>
  <si>
    <t>SOUTHBOUND I.R. 77/RAMP C-2</t>
  </si>
  <si>
    <t>SOUTHBOUND I.R. 77/RAMP B-1</t>
  </si>
  <si>
    <t>RAMP C/RAMP C-2</t>
  </si>
  <si>
    <t>EASTBOUND I.R. 277/U.S. 224/RAMP A</t>
  </si>
  <si>
    <t>EASTBOUND I.R. 277/U.S. 224/RAMP C-1</t>
  </si>
  <si>
    <t>EASTBOUND I.R. 277/U.S. 224/RAMP C</t>
  </si>
  <si>
    <t>WESTBOUND I.R. 277/U.S. 224/RAMP B-2</t>
  </si>
  <si>
    <t>WESTBOUND I.R. 277/U.S. 224/RAMP B-1</t>
  </si>
  <si>
    <t>WESTBOUND I.R. 277/U.S. 224/RAMP D</t>
  </si>
  <si>
    <t>RAMP B-2/RAMP B</t>
  </si>
  <si>
    <t>ARLINGTON RD. RAMP D</t>
  </si>
  <si>
    <t>RAMP B</t>
  </si>
  <si>
    <t>RAMP B-1</t>
  </si>
  <si>
    <t>RAMP B-2</t>
  </si>
  <si>
    <t>237+00.00 (I.R. 277)</t>
  </si>
  <si>
    <t>237+37.85 (I.R. 277)</t>
  </si>
  <si>
    <t>RAMP C</t>
  </si>
  <si>
    <t>277+50.00 (I.R. 277)</t>
  </si>
  <si>
    <t>277+72.76 (I.R. 277)</t>
  </si>
  <si>
    <t>279+50.00 (I.R. 277)</t>
  </si>
  <si>
    <t>277+80.00 (I.R. 277)</t>
  </si>
  <si>
    <t>RAMP C-1</t>
  </si>
  <si>
    <t>RAMP C-2</t>
  </si>
  <si>
    <t>RAMP D</t>
  </si>
  <si>
    <t>272+95.00 (I.R. 277)</t>
  </si>
  <si>
    <t>273+25.00 (I.R. 277)</t>
  </si>
  <si>
    <t>269+40.00 (I.R. 277)</t>
  </si>
  <si>
    <t>WARNER RD.</t>
  </si>
  <si>
    <t>LT/RT</t>
  </si>
  <si>
    <t>NORTHBOUND I.R. 77 CL CONTD.</t>
  </si>
  <si>
    <t>SOUTHBOUND I.R. 77 CL CONTD.</t>
  </si>
  <si>
    <t>NORTHBOUND I.R. 77 BL CONTD.</t>
  </si>
  <si>
    <t>SOUTHBOUND I.R. 77 BL CONTD.</t>
  </si>
  <si>
    <t>GORE AREAS CONTD.</t>
  </si>
  <si>
    <t>RAMP B-2 CONTD.</t>
  </si>
  <si>
    <t>RAMP C-2 CONTD.</t>
  </si>
  <si>
    <t>RAMP D CONTD.</t>
  </si>
  <si>
    <t>WARNER RD. CONTD.</t>
  </si>
  <si>
    <t>SUBGRADE STABILIZATION CALCULATIONS</t>
  </si>
  <si>
    <t>CURING COAT</t>
  </si>
  <si>
    <t>CEMENT STABILIZED SUBGRADE, 12" DEEP</t>
  </si>
  <si>
    <t>SUBGRADE COMPACTION</t>
  </si>
  <si>
    <t>PROOF ROLLING
(1 HOUR/2000 SY)</t>
  </si>
  <si>
    <t>HOUR</t>
  </si>
  <si>
    <t>SY</t>
  </si>
  <si>
    <t>TON</t>
  </si>
  <si>
    <t>APPROACH SLABS</t>
  </si>
  <si>
    <t>SUM-77-0802L/R</t>
  </si>
  <si>
    <t>SUM-77-0810L/R</t>
  </si>
  <si>
    <t>SUM-77-0927R</t>
  </si>
  <si>
    <t>SUM-77/277/224 VARIOUS</t>
  </si>
  <si>
    <t>CEMENT
(0.75 x T x 115 x 0.05) LB/SY</t>
  </si>
  <si>
    <t>EDGE EXT. CURVE CORRECTION RATIO</t>
  </si>
  <si>
    <t>AREA FOR 22.875" EXTENSION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</si>
</sst>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+##.##"/>
    <numFmt numFmtId="165" formatCode="00######"/>
    <numFmt numFmtId="166" formatCode="0######"/>
    <numFmt numFmtId="167" formatCode="mmmm\ d\,\ yyyy"/>
    <numFmt numFmtId="168" formatCode="&quot;$&quot;#,##0.00"/>
    <numFmt numFmtId="169" formatCode="&quot;$&quot;#,##0.000"/>
    <numFmt numFmtId="170" formatCode="&quot;$&quot;#,##0.0"/>
    <numFmt numFmtId="171" formatCode="&quot;$&quot;#,##0"/>
    <numFmt numFmtId="172" formatCode="&quot;$&quot;#,##0.0000"/>
    <numFmt numFmtId="173" formatCode="0.0000"/>
    <numFmt numFmtId="174" formatCode="0.000"/>
    <numFmt numFmtId="175" formatCode="0.0"/>
    <numFmt numFmtId="176" formatCode="0.00000"/>
    <numFmt numFmtId="177" formatCode="0.000000"/>
    <numFmt numFmtId="178" formatCode="0.0000000"/>
    <numFmt numFmtId="179" formatCode="##\+##"/>
    <numFmt numFmtId="180" formatCode="0\+00.00"/>
    <numFmt numFmtId="181" formatCode="0.0000000000000"/>
    <numFmt numFmtId="182" formatCode="00\+00.00"/>
    <numFmt numFmtId="183" formatCode="##\+##.####"/>
    <numFmt numFmtId="184" formatCode="0\+00"/>
    <numFmt numFmtId="185" formatCode="000\+00"/>
    <numFmt numFmtId="186" formatCode="000\+00.00"/>
    <numFmt numFmtId="187" formatCode="0.000000000000"/>
    <numFmt numFmtId="188" formatCode="0.00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000000"/>
    <numFmt numFmtId="194" formatCode="0.000000000000000"/>
    <numFmt numFmtId="195" formatCode="0.0000000000"/>
    <numFmt numFmtId="196" formatCode="0.000000000"/>
    <numFmt numFmtId="197" formatCode="0.00000000"/>
    <numFmt numFmtId="198" formatCode="0000\+00.00"/>
    <numFmt numFmtId="199" formatCode="###\+##.00\ \(\I.\R.\ \7\7\)"/>
    <numFmt numFmtId="200" formatCode="###\+##.00\ &quot;(I.R. 224/277)&quot;"/>
    <numFmt numFmtId="201" formatCode="###\+##.00\ &quot;(I.R. 277/224)&quot;"/>
    <numFmt numFmtId="202" formatCode="###\+##.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6"/>
      <color indexed="10"/>
      <name val="Arial"/>
      <family val="2"/>
    </font>
    <font>
      <b/>
      <sz val="2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FF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60">
      <alignment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0" xfId="60" applyFont="1">
      <alignment/>
      <protection/>
    </xf>
    <xf numFmtId="0" fontId="3" fillId="0" borderId="0" xfId="60" applyFont="1">
      <alignment/>
      <protection/>
    </xf>
    <xf numFmtId="0" fontId="0" fillId="0" borderId="0" xfId="60" applyBorder="1">
      <alignment/>
      <protection/>
    </xf>
    <xf numFmtId="0" fontId="3" fillId="0" borderId="12" xfId="60" applyFont="1" applyBorder="1">
      <alignment/>
      <protection/>
    </xf>
    <xf numFmtId="0" fontId="1" fillId="0" borderId="0" xfId="60" applyFont="1" applyAlignment="1">
      <alignment wrapText="1"/>
      <protection/>
    </xf>
    <xf numFmtId="0" fontId="3" fillId="0" borderId="0" xfId="60" applyFont="1" applyBorder="1">
      <alignment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49" fillId="0" borderId="0" xfId="60" applyFont="1" applyAlignment="1">
      <alignment horizontal="center" vertical="center"/>
      <protection/>
    </xf>
    <xf numFmtId="180" fontId="3" fillId="0" borderId="15" xfId="60" applyNumberFormat="1" applyFont="1" applyFill="1" applyBorder="1" applyAlignment="1">
      <alignment horizontal="center" vertical="center"/>
      <protection/>
    </xf>
    <xf numFmtId="180" fontId="3" fillId="0" borderId="16" xfId="60" applyNumberFormat="1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2" fontId="3" fillId="0" borderId="16" xfId="60" applyNumberFormat="1" applyFont="1" applyFill="1" applyBorder="1" applyAlignment="1">
      <alignment horizontal="center" vertical="center"/>
      <protection/>
    </xf>
    <xf numFmtId="2" fontId="3" fillId="0" borderId="17" xfId="60" applyNumberFormat="1" applyFont="1" applyFill="1" applyBorder="1" applyAlignment="1">
      <alignment horizontal="center" vertical="center"/>
      <protection/>
    </xf>
    <xf numFmtId="173" fontId="3" fillId="0" borderId="16" xfId="60" applyNumberFormat="1" applyFont="1" applyFill="1" applyBorder="1" applyAlignment="1">
      <alignment horizontal="center" vertical="center"/>
      <protection/>
    </xf>
    <xf numFmtId="180" fontId="2" fillId="0" borderId="15" xfId="60" applyNumberFormat="1" applyFont="1" applyFill="1" applyBorder="1" applyAlignment="1">
      <alignment horizontal="left" vertical="center"/>
      <protection/>
    </xf>
    <xf numFmtId="180" fontId="2" fillId="0" borderId="17" xfId="60" applyNumberFormat="1" applyFont="1" applyFill="1" applyBorder="1" applyAlignment="1">
      <alignment horizontal="left" vertical="center"/>
      <protection/>
    </xf>
    <xf numFmtId="180" fontId="3" fillId="0" borderId="18" xfId="60" applyNumberFormat="1" applyFont="1" applyFill="1" applyBorder="1" applyAlignment="1">
      <alignment horizontal="center" vertical="center"/>
      <protection/>
    </xf>
    <xf numFmtId="180" fontId="3" fillId="0" borderId="19" xfId="60" applyNumberFormat="1" applyFont="1" applyFill="1" applyBorder="1" applyAlignment="1">
      <alignment horizontal="center" vertical="center"/>
      <protection/>
    </xf>
    <xf numFmtId="2" fontId="3" fillId="0" borderId="20" xfId="60" applyNumberFormat="1" applyFont="1" applyFill="1" applyBorder="1" applyAlignment="1">
      <alignment horizontal="center" vertical="center"/>
      <protection/>
    </xf>
    <xf numFmtId="0" fontId="49" fillId="0" borderId="0" xfId="60" applyFont="1" applyFill="1">
      <alignment/>
      <protection/>
    </xf>
    <xf numFmtId="175" fontId="3" fillId="0" borderId="0" xfId="60" applyNumberFormat="1" applyFont="1">
      <alignment/>
      <protection/>
    </xf>
    <xf numFmtId="0" fontId="2" fillId="0" borderId="0" xfId="60" applyFont="1">
      <alignment/>
      <protection/>
    </xf>
    <xf numFmtId="0" fontId="0" fillId="0" borderId="21" xfId="60" applyBorder="1">
      <alignment/>
      <protection/>
    </xf>
    <xf numFmtId="0" fontId="0" fillId="0" borderId="0" xfId="60" applyFill="1">
      <alignment/>
      <protection/>
    </xf>
    <xf numFmtId="0" fontId="0" fillId="0" borderId="22" xfId="60" applyBorder="1">
      <alignment/>
      <protection/>
    </xf>
    <xf numFmtId="0" fontId="4" fillId="0" borderId="0" xfId="60" applyFont="1" applyFill="1" applyBorder="1">
      <alignment/>
      <protection/>
    </xf>
    <xf numFmtId="0" fontId="49" fillId="0" borderId="0" xfId="60" applyFont="1" applyFill="1" applyBorder="1">
      <alignment/>
      <protection/>
    </xf>
    <xf numFmtId="0" fontId="10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50" fillId="0" borderId="0" xfId="60" applyFont="1" applyAlignment="1">
      <alignment horizontal="center" vertical="center"/>
      <protection/>
    </xf>
    <xf numFmtId="0" fontId="50" fillId="0" borderId="0" xfId="60" applyFont="1" applyFill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>
      <alignment horizontal="center" vertical="center"/>
      <protection/>
    </xf>
    <xf numFmtId="0" fontId="3" fillId="0" borderId="25" xfId="60" applyFont="1" applyFill="1" applyBorder="1" applyAlignment="1">
      <alignment horizontal="center" vertical="center"/>
      <protection/>
    </xf>
    <xf numFmtId="180" fontId="3" fillId="0" borderId="17" xfId="60" applyNumberFormat="1" applyFont="1" applyFill="1" applyBorder="1" applyAlignment="1">
      <alignment horizontal="center" vertical="center"/>
      <protection/>
    </xf>
    <xf numFmtId="2" fontId="3" fillId="0" borderId="16" xfId="60" applyNumberFormat="1" applyFont="1" applyFill="1" applyBorder="1" applyAlignment="1">
      <alignment horizontal="left" vertical="center"/>
      <protection/>
    </xf>
    <xf numFmtId="180" fontId="3" fillId="0" borderId="26" xfId="60" applyNumberFormat="1" applyFont="1" applyFill="1" applyBorder="1" applyAlignment="1">
      <alignment horizontal="center" vertical="center"/>
      <protection/>
    </xf>
    <xf numFmtId="2" fontId="3" fillId="0" borderId="26" xfId="60" applyNumberFormat="1" applyFont="1" applyFill="1" applyBorder="1" applyAlignment="1">
      <alignment horizontal="center" vertical="center"/>
      <protection/>
    </xf>
    <xf numFmtId="0" fontId="12" fillId="0" borderId="0" xfId="60" applyFont="1" applyFill="1" applyAlignment="1">
      <alignment vertical="center"/>
      <protection/>
    </xf>
    <xf numFmtId="2" fontId="12" fillId="0" borderId="0" xfId="60" applyNumberFormat="1" applyFont="1" applyFill="1" applyAlignment="1">
      <alignment vertical="center"/>
      <protection/>
    </xf>
    <xf numFmtId="174" fontId="12" fillId="0" borderId="0" xfId="60" applyNumberFormat="1" applyFont="1" applyFill="1" applyAlignment="1">
      <alignment vertical="center"/>
      <protection/>
    </xf>
    <xf numFmtId="2" fontId="0" fillId="0" borderId="0" xfId="60" applyNumberFormat="1" applyFill="1">
      <alignment/>
      <protection/>
    </xf>
    <xf numFmtId="2" fontId="0" fillId="0" borderId="0" xfId="60" applyNumberFormat="1">
      <alignment/>
      <protection/>
    </xf>
    <xf numFmtId="0" fontId="4" fillId="0" borderId="0" xfId="60" applyFont="1" applyBorder="1" applyAlignment="1">
      <alignment horizontal="center"/>
      <protection/>
    </xf>
    <xf numFmtId="0" fontId="4" fillId="0" borderId="0" xfId="60" applyNumberFormat="1" applyFont="1" applyAlignment="1">
      <alignment horizontal="center" vertical="center"/>
      <protection/>
    </xf>
    <xf numFmtId="2" fontId="4" fillId="0" borderId="0" xfId="60" applyNumberFormat="1" applyFont="1" applyAlignment="1">
      <alignment horizontal="center" vertical="center"/>
      <protection/>
    </xf>
    <xf numFmtId="0" fontId="50" fillId="0" borderId="27" xfId="60" applyFont="1" applyFill="1" applyBorder="1" applyAlignment="1">
      <alignment vertical="center"/>
      <protection/>
    </xf>
    <xf numFmtId="0" fontId="4" fillId="0" borderId="27" xfId="60" applyFont="1" applyBorder="1" applyAlignment="1">
      <alignment horizontal="center"/>
      <protection/>
    </xf>
    <xf numFmtId="2" fontId="3" fillId="0" borderId="17" xfId="60" applyNumberFormat="1" applyFont="1" applyFill="1" applyBorder="1" applyAlignment="1">
      <alignment vertical="center"/>
      <protection/>
    </xf>
    <xf numFmtId="180" fontId="3" fillId="0" borderId="17" xfId="60" applyNumberFormat="1" applyFont="1" applyFill="1" applyBorder="1" applyAlignment="1">
      <alignment vertical="center"/>
      <protection/>
    </xf>
    <xf numFmtId="2" fontId="3" fillId="0" borderId="20" xfId="60" applyNumberFormat="1" applyFont="1" applyFill="1" applyBorder="1" applyAlignment="1">
      <alignment vertical="center"/>
      <protection/>
    </xf>
    <xf numFmtId="186" fontId="3" fillId="0" borderId="18" xfId="60" applyNumberFormat="1" applyFont="1" applyFill="1" applyBorder="1" applyAlignment="1">
      <alignment horizontal="center" vertical="center"/>
      <protection/>
    </xf>
    <xf numFmtId="186" fontId="3" fillId="0" borderId="16" xfId="60" applyNumberFormat="1" applyFont="1" applyFill="1" applyBorder="1" applyAlignment="1">
      <alignment horizontal="center" vertical="center"/>
      <protection/>
    </xf>
    <xf numFmtId="2" fontId="3" fillId="0" borderId="15" xfId="60" applyNumberFormat="1" applyFont="1" applyFill="1" applyBorder="1" applyAlignment="1">
      <alignment vertical="center"/>
      <protection/>
    </xf>
    <xf numFmtId="0" fontId="13" fillId="0" borderId="15" xfId="60" applyFont="1" applyFill="1" applyBorder="1" applyAlignment="1">
      <alignment vertical="center"/>
      <protection/>
    </xf>
    <xf numFmtId="0" fontId="13" fillId="0" borderId="20" xfId="60" applyFont="1" applyFill="1" applyBorder="1" applyAlignment="1">
      <alignment vertical="center"/>
      <protection/>
    </xf>
    <xf numFmtId="0" fontId="13" fillId="0" borderId="17" xfId="60" applyFont="1" applyFill="1" applyBorder="1" applyAlignment="1">
      <alignment vertical="center"/>
      <protection/>
    </xf>
    <xf numFmtId="1" fontId="12" fillId="0" borderId="0" xfId="60" applyNumberFormat="1" applyFont="1" applyFill="1" applyAlignment="1">
      <alignment vertical="center"/>
      <protection/>
    </xf>
    <xf numFmtId="174" fontId="3" fillId="0" borderId="16" xfId="60" applyNumberFormat="1" applyFont="1" applyFill="1" applyBorder="1" applyAlignment="1">
      <alignment horizontal="center" vertical="center"/>
      <protection/>
    </xf>
    <xf numFmtId="0" fontId="2" fillId="0" borderId="0" xfId="60" applyFont="1" applyFill="1" applyAlignment="1">
      <alignment horizontal="center"/>
      <protection/>
    </xf>
    <xf numFmtId="0" fontId="3" fillId="0" borderId="0" xfId="60" applyFont="1" applyFill="1" applyAlignment="1">
      <alignment horizontal="center"/>
      <protection/>
    </xf>
    <xf numFmtId="0" fontId="0" fillId="0" borderId="0" xfId="60" applyFill="1" applyAlignment="1">
      <alignment horizontal="center"/>
      <protection/>
    </xf>
    <xf numFmtId="0" fontId="0" fillId="0" borderId="0" xfId="60" applyFont="1" applyFill="1" applyBorder="1" applyAlignment="1">
      <alignment horizontal="center"/>
      <protection/>
    </xf>
    <xf numFmtId="0" fontId="0" fillId="0" borderId="0" xfId="60" applyFill="1" applyBorder="1" applyAlignment="1">
      <alignment horizontal="center"/>
      <protection/>
    </xf>
    <xf numFmtId="180" fontId="3" fillId="0" borderId="0" xfId="60" applyNumberFormat="1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2" fontId="3" fillId="0" borderId="0" xfId="60" applyNumberFormat="1" applyFont="1" applyFill="1" applyBorder="1" applyAlignment="1">
      <alignment horizontal="center" vertical="center"/>
      <protection/>
    </xf>
    <xf numFmtId="173" fontId="3" fillId="0" borderId="0" xfId="60" applyNumberFormat="1" applyFont="1" applyFill="1" applyBorder="1" applyAlignment="1">
      <alignment horizontal="center" vertical="center"/>
      <protection/>
    </xf>
    <xf numFmtId="174" fontId="3" fillId="0" borderId="0" xfId="60" applyNumberFormat="1" applyFont="1" applyFill="1" applyBorder="1" applyAlignment="1">
      <alignment horizontal="center" vertical="center"/>
      <protection/>
    </xf>
    <xf numFmtId="2" fontId="3" fillId="0" borderId="0" xfId="60" applyNumberFormat="1" applyFont="1" applyFill="1" applyBorder="1" applyAlignment="1">
      <alignment vertical="center"/>
      <protection/>
    </xf>
    <xf numFmtId="2" fontId="49" fillId="0" borderId="16" xfId="60" applyNumberFormat="1" applyFont="1" applyFill="1" applyBorder="1" applyAlignment="1">
      <alignment horizontal="center" vertical="center"/>
      <protection/>
    </xf>
    <xf numFmtId="43" fontId="11" fillId="0" borderId="28" xfId="44" applyFont="1" applyFill="1" applyBorder="1" applyAlignment="1">
      <alignment horizontal="center" vertical="center" textRotation="90"/>
    </xf>
    <xf numFmtId="43" fontId="11" fillId="0" borderId="29" xfId="44" applyFont="1" applyFill="1" applyBorder="1" applyAlignment="1">
      <alignment horizontal="center" vertical="center" textRotation="90"/>
    </xf>
    <xf numFmtId="43" fontId="11" fillId="0" borderId="12" xfId="44" applyFont="1" applyFill="1" applyBorder="1" applyAlignment="1">
      <alignment horizontal="center" vertical="center" textRotation="90"/>
    </xf>
    <xf numFmtId="43" fontId="11" fillId="0" borderId="30" xfId="44" applyFont="1" applyFill="1" applyBorder="1" applyAlignment="1">
      <alignment horizontal="center" vertical="center" textRotation="90"/>
    </xf>
    <xf numFmtId="43" fontId="11" fillId="0" borderId="0" xfId="44" applyFont="1" applyFill="1" applyBorder="1" applyAlignment="1">
      <alignment horizontal="center" vertical="center" textRotation="90"/>
    </xf>
    <xf numFmtId="43" fontId="11" fillId="0" borderId="27" xfId="44" applyFont="1" applyFill="1" applyBorder="1" applyAlignment="1">
      <alignment horizontal="center" vertical="center" textRotation="90"/>
    </xf>
    <xf numFmtId="43" fontId="11" fillId="0" borderId="31" xfId="44" applyFont="1" applyFill="1" applyBorder="1" applyAlignment="1">
      <alignment horizontal="center" vertical="center" textRotation="90"/>
    </xf>
    <xf numFmtId="0" fontId="6" fillId="0" borderId="25" xfId="60" applyFont="1" applyFill="1" applyBorder="1" applyAlignment="1">
      <alignment horizontal="center" vertical="top"/>
      <protection/>
    </xf>
    <xf numFmtId="0" fontId="6" fillId="0" borderId="32" xfId="60" applyFont="1" applyFill="1" applyBorder="1" applyAlignment="1">
      <alignment horizontal="center" vertical="top"/>
      <protection/>
    </xf>
    <xf numFmtId="1" fontId="2" fillId="0" borderId="33" xfId="60" applyNumberFormat="1" applyFont="1" applyFill="1" applyBorder="1" applyAlignment="1">
      <alignment horizontal="center" vertical="center"/>
      <protection/>
    </xf>
    <xf numFmtId="1" fontId="0" fillId="0" borderId="13" xfId="60" applyNumberForma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/>
      <protection/>
    </xf>
    <xf numFmtId="0" fontId="6" fillId="0" borderId="34" xfId="60" applyFont="1" applyFill="1" applyBorder="1" applyAlignment="1">
      <alignment horizontal="center"/>
      <protection/>
    </xf>
    <xf numFmtId="0" fontId="2" fillId="0" borderId="26" xfId="60" applyFont="1" applyFill="1" applyBorder="1" applyAlignment="1">
      <alignment horizontal="center" vertical="center" textRotation="90" wrapText="1"/>
      <protection/>
    </xf>
    <xf numFmtId="0" fontId="2" fillId="0" borderId="35" xfId="60" applyFont="1" applyFill="1" applyBorder="1" applyAlignment="1">
      <alignment horizontal="center" vertical="center" textRotation="90" wrapText="1"/>
      <protection/>
    </xf>
    <xf numFmtId="0" fontId="2" fillId="0" borderId="18" xfId="60" applyFont="1" applyFill="1" applyBorder="1" applyAlignment="1">
      <alignment horizontal="center" vertical="center" textRotation="90" wrapText="1"/>
      <protection/>
    </xf>
    <xf numFmtId="0" fontId="2" fillId="0" borderId="36" xfId="60" applyFont="1" applyFill="1" applyBorder="1" applyAlignment="1">
      <alignment horizontal="center" vertical="center" textRotation="90" wrapText="1"/>
      <protection/>
    </xf>
    <xf numFmtId="0" fontId="2" fillId="0" borderId="12" xfId="60" applyFont="1" applyFill="1" applyBorder="1" applyAlignment="1">
      <alignment horizontal="center" vertical="center" textRotation="90" wrapText="1"/>
      <protection/>
    </xf>
    <xf numFmtId="0" fontId="2" fillId="0" borderId="19" xfId="60" applyFont="1" applyFill="1" applyBorder="1" applyAlignment="1">
      <alignment horizontal="center" vertical="center" textRotation="90" wrapText="1"/>
      <protection/>
    </xf>
    <xf numFmtId="0" fontId="9" fillId="0" borderId="28" xfId="60" applyFont="1" applyFill="1" applyBorder="1" applyAlignment="1">
      <alignment horizontal="center" vertical="center" wrapText="1"/>
      <protection/>
    </xf>
    <xf numFmtId="0" fontId="9" fillId="0" borderId="37" xfId="60" applyFont="1" applyFill="1" applyBorder="1" applyAlignment="1">
      <alignment horizontal="center" vertical="center" wrapText="1"/>
      <protection/>
    </xf>
    <xf numFmtId="0" fontId="9" fillId="0" borderId="29" xfId="60" applyFont="1" applyFill="1" applyBorder="1" applyAlignment="1">
      <alignment horizontal="center" vertical="center" wrapText="1"/>
      <protection/>
    </xf>
    <xf numFmtId="0" fontId="9" fillId="0" borderId="38" xfId="60" applyFont="1" applyFill="1" applyBorder="1" applyAlignment="1">
      <alignment horizontal="center" vertical="center" wrapText="1"/>
      <protection/>
    </xf>
    <xf numFmtId="0" fontId="9" fillId="0" borderId="27" xfId="60" applyFont="1" applyFill="1" applyBorder="1" applyAlignment="1">
      <alignment horizontal="center" vertical="center" wrapText="1"/>
      <protection/>
    </xf>
    <xf numFmtId="0" fontId="9" fillId="0" borderId="31" xfId="60" applyFont="1" applyFill="1" applyBorder="1" applyAlignment="1">
      <alignment horizontal="center" vertical="center" wrapText="1"/>
      <protection/>
    </xf>
    <xf numFmtId="0" fontId="5" fillId="0" borderId="33" xfId="60" applyFont="1" applyFill="1" applyBorder="1" applyAlignment="1">
      <alignment horizontal="center" vertical="center" textRotation="90" wrapText="1"/>
      <protection/>
    </xf>
    <xf numFmtId="0" fontId="0" fillId="0" borderId="35" xfId="60" applyFill="1" applyBorder="1" applyAlignment="1">
      <alignment horizontal="center" vertical="center" textRotation="90"/>
      <protection/>
    </xf>
    <xf numFmtId="43" fontId="11" fillId="0" borderId="38" xfId="44" applyFont="1" applyFill="1" applyBorder="1" applyAlignment="1">
      <alignment horizontal="center" vertical="center" textRotation="90"/>
    </xf>
    <xf numFmtId="2" fontId="3" fillId="0" borderId="15" xfId="60" applyNumberFormat="1" applyFont="1" applyFill="1" applyBorder="1" applyAlignment="1">
      <alignment horizontal="center" vertical="center"/>
      <protection/>
    </xf>
    <xf numFmtId="2" fontId="3" fillId="0" borderId="20" xfId="60" applyNumberFormat="1" applyFont="1" applyFill="1" applyBorder="1" applyAlignment="1">
      <alignment horizontal="center" vertical="center"/>
      <protection/>
    </xf>
    <xf numFmtId="2" fontId="3" fillId="0" borderId="17" xfId="60" applyNumberFormat="1" applyFont="1" applyFill="1" applyBorder="1" applyAlignment="1">
      <alignment horizontal="center" vertical="center"/>
      <protection/>
    </xf>
    <xf numFmtId="0" fontId="2" fillId="0" borderId="33" xfId="60" applyFont="1" applyFill="1" applyBorder="1" applyAlignment="1">
      <alignment horizontal="center" vertical="center" textRotation="90" wrapText="1"/>
      <protection/>
    </xf>
    <xf numFmtId="0" fontId="5" fillId="0" borderId="35" xfId="60" applyFont="1" applyFill="1" applyBorder="1" applyAlignment="1">
      <alignment horizontal="center" vertical="center" textRotation="90" wrapText="1"/>
      <protection/>
    </xf>
    <xf numFmtId="0" fontId="5" fillId="0" borderId="13" xfId="60" applyFont="1" applyFill="1" applyBorder="1" applyAlignment="1">
      <alignment horizontal="center" vertical="center" textRotation="90" wrapText="1"/>
      <protection/>
    </xf>
    <xf numFmtId="0" fontId="13" fillId="0" borderId="15" xfId="60" applyFont="1" applyFill="1" applyBorder="1" applyAlignment="1">
      <alignment horizontal="center" vertical="center"/>
      <protection/>
    </xf>
    <xf numFmtId="0" fontId="13" fillId="0" borderId="20" xfId="60" applyFont="1" applyFill="1" applyBorder="1" applyAlignment="1">
      <alignment horizontal="center" vertical="center"/>
      <protection/>
    </xf>
    <xf numFmtId="0" fontId="13" fillId="0" borderId="17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 wrapText="1"/>
      <protection/>
    </xf>
    <xf numFmtId="0" fontId="9" fillId="0" borderId="30" xfId="60" applyFont="1" applyFill="1" applyBorder="1" applyAlignment="1">
      <alignment horizontal="center" vertical="center" wrapText="1"/>
      <protection/>
    </xf>
    <xf numFmtId="0" fontId="9" fillId="0" borderId="19" xfId="60" applyFont="1" applyFill="1" applyBorder="1" applyAlignment="1">
      <alignment horizontal="center" vertical="center" wrapText="1"/>
      <protection/>
    </xf>
    <xf numFmtId="0" fontId="9" fillId="0" borderId="34" xfId="60" applyFont="1" applyFill="1" applyBorder="1" applyAlignment="1">
      <alignment horizontal="center" vertical="center" wrapText="1"/>
      <protection/>
    </xf>
    <xf numFmtId="0" fontId="9" fillId="0" borderId="33" xfId="60" applyFont="1" applyFill="1" applyBorder="1" applyAlignment="1">
      <alignment horizontal="center" vertical="center" textRotation="90" wrapText="1"/>
      <protection/>
    </xf>
    <xf numFmtId="0" fontId="9" fillId="0" borderId="35" xfId="60" applyFont="1" applyFill="1" applyBorder="1" applyAlignment="1">
      <alignment horizontal="center" vertical="center" textRotation="90" wrapText="1"/>
      <protection/>
    </xf>
    <xf numFmtId="0" fontId="9" fillId="0" borderId="18" xfId="60" applyFont="1" applyFill="1" applyBorder="1" applyAlignment="1">
      <alignment horizontal="center" vertical="center" textRotation="90" wrapText="1"/>
      <protection/>
    </xf>
    <xf numFmtId="0" fontId="0" fillId="0" borderId="0" xfId="60" applyFont="1" applyFill="1" applyBorder="1" applyAlignment="1">
      <alignment horizontal="center"/>
      <protection/>
    </xf>
    <xf numFmtId="0" fontId="0" fillId="0" borderId="0" xfId="60" applyFill="1" applyBorder="1" applyAlignment="1">
      <alignment horizontal="center"/>
      <protection/>
    </xf>
    <xf numFmtId="0" fontId="0" fillId="0" borderId="35" xfId="60" applyFill="1" applyBorder="1" applyAlignment="1">
      <alignment horizontal="center" vertical="center"/>
      <protection/>
    </xf>
    <xf numFmtId="0" fontId="0" fillId="0" borderId="18" xfId="60" applyFill="1" applyBorder="1" applyAlignment="1">
      <alignment horizontal="center" vertical="center"/>
      <protection/>
    </xf>
    <xf numFmtId="0" fontId="3" fillId="0" borderId="33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28575</xdr:colOff>
      <xdr:row>66</xdr:row>
      <xdr:rowOff>152400</xdr:rowOff>
    </xdr:from>
    <xdr:ext cx="838200" cy="876300"/>
    <xdr:sp>
      <xdr:nvSpPr>
        <xdr:cNvPr id="1" name="Oval 1"/>
        <xdr:cNvSpPr>
          <a:spLocks noChangeAspect="1"/>
        </xdr:cNvSpPr>
      </xdr:nvSpPr>
      <xdr:spPr>
        <a:xfrm>
          <a:off x="34309050" y="190595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28575</xdr:colOff>
      <xdr:row>66</xdr:row>
      <xdr:rowOff>152400</xdr:rowOff>
    </xdr:from>
    <xdr:ext cx="838200" cy="876300"/>
    <xdr:sp>
      <xdr:nvSpPr>
        <xdr:cNvPr id="1" name="Oval 1"/>
        <xdr:cNvSpPr>
          <a:spLocks noChangeAspect="1"/>
        </xdr:cNvSpPr>
      </xdr:nvSpPr>
      <xdr:spPr>
        <a:xfrm>
          <a:off x="34309050" y="190595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28575</xdr:colOff>
      <xdr:row>66</xdr:row>
      <xdr:rowOff>152400</xdr:rowOff>
    </xdr:from>
    <xdr:ext cx="838200" cy="876300"/>
    <xdr:sp>
      <xdr:nvSpPr>
        <xdr:cNvPr id="1" name="Oval 1"/>
        <xdr:cNvSpPr>
          <a:spLocks noChangeAspect="1"/>
        </xdr:cNvSpPr>
      </xdr:nvSpPr>
      <xdr:spPr>
        <a:xfrm>
          <a:off x="34309050" y="190595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28575</xdr:colOff>
      <xdr:row>66</xdr:row>
      <xdr:rowOff>152400</xdr:rowOff>
    </xdr:from>
    <xdr:ext cx="838200" cy="876300"/>
    <xdr:sp>
      <xdr:nvSpPr>
        <xdr:cNvPr id="1" name="Oval 1"/>
        <xdr:cNvSpPr>
          <a:spLocks noChangeAspect="1"/>
        </xdr:cNvSpPr>
      </xdr:nvSpPr>
      <xdr:spPr>
        <a:xfrm>
          <a:off x="34309050" y="190595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28575</xdr:colOff>
      <xdr:row>66</xdr:row>
      <xdr:rowOff>152400</xdr:rowOff>
    </xdr:from>
    <xdr:ext cx="838200" cy="876300"/>
    <xdr:sp>
      <xdr:nvSpPr>
        <xdr:cNvPr id="1" name="Oval 1"/>
        <xdr:cNvSpPr>
          <a:spLocks noChangeAspect="1"/>
        </xdr:cNvSpPr>
      </xdr:nvSpPr>
      <xdr:spPr>
        <a:xfrm>
          <a:off x="34309050" y="190595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28575</xdr:colOff>
      <xdr:row>66</xdr:row>
      <xdr:rowOff>152400</xdr:rowOff>
    </xdr:from>
    <xdr:ext cx="838200" cy="876300"/>
    <xdr:sp>
      <xdr:nvSpPr>
        <xdr:cNvPr id="1" name="Oval 1"/>
        <xdr:cNvSpPr>
          <a:spLocks noChangeAspect="1"/>
        </xdr:cNvSpPr>
      </xdr:nvSpPr>
      <xdr:spPr>
        <a:xfrm>
          <a:off x="34309050" y="190595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28575</xdr:colOff>
      <xdr:row>66</xdr:row>
      <xdr:rowOff>152400</xdr:rowOff>
    </xdr:from>
    <xdr:ext cx="838200" cy="876300"/>
    <xdr:sp>
      <xdr:nvSpPr>
        <xdr:cNvPr id="1" name="Oval 1"/>
        <xdr:cNvSpPr>
          <a:spLocks noChangeAspect="1"/>
        </xdr:cNvSpPr>
      </xdr:nvSpPr>
      <xdr:spPr>
        <a:xfrm>
          <a:off x="34309050" y="190595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28575</xdr:colOff>
      <xdr:row>66</xdr:row>
      <xdr:rowOff>152400</xdr:rowOff>
    </xdr:from>
    <xdr:ext cx="838200" cy="876300"/>
    <xdr:sp>
      <xdr:nvSpPr>
        <xdr:cNvPr id="1" name="Oval 1"/>
        <xdr:cNvSpPr>
          <a:spLocks noChangeAspect="1"/>
        </xdr:cNvSpPr>
      </xdr:nvSpPr>
      <xdr:spPr>
        <a:xfrm>
          <a:off x="34309050" y="190595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28575</xdr:colOff>
      <xdr:row>66</xdr:row>
      <xdr:rowOff>152400</xdr:rowOff>
    </xdr:from>
    <xdr:ext cx="838200" cy="876300"/>
    <xdr:sp>
      <xdr:nvSpPr>
        <xdr:cNvPr id="1" name="Oval 1"/>
        <xdr:cNvSpPr>
          <a:spLocks noChangeAspect="1"/>
        </xdr:cNvSpPr>
      </xdr:nvSpPr>
      <xdr:spPr>
        <a:xfrm>
          <a:off x="34309050" y="190595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28575</xdr:colOff>
      <xdr:row>66</xdr:row>
      <xdr:rowOff>152400</xdr:rowOff>
    </xdr:from>
    <xdr:ext cx="838200" cy="876300"/>
    <xdr:sp>
      <xdr:nvSpPr>
        <xdr:cNvPr id="1" name="Oval 1"/>
        <xdr:cNvSpPr>
          <a:spLocks noChangeAspect="1"/>
        </xdr:cNvSpPr>
      </xdr:nvSpPr>
      <xdr:spPr>
        <a:xfrm>
          <a:off x="34309050" y="190595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28575</xdr:colOff>
      <xdr:row>66</xdr:row>
      <xdr:rowOff>152400</xdr:rowOff>
    </xdr:from>
    <xdr:ext cx="838200" cy="876300"/>
    <xdr:sp>
      <xdr:nvSpPr>
        <xdr:cNvPr id="1" name="Oval 1"/>
        <xdr:cNvSpPr>
          <a:spLocks noChangeAspect="1"/>
        </xdr:cNvSpPr>
      </xdr:nvSpPr>
      <xdr:spPr>
        <a:xfrm>
          <a:off x="34309050" y="190595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28575</xdr:colOff>
      <xdr:row>66</xdr:row>
      <xdr:rowOff>152400</xdr:rowOff>
    </xdr:from>
    <xdr:ext cx="838200" cy="876300"/>
    <xdr:sp>
      <xdr:nvSpPr>
        <xdr:cNvPr id="1" name="Oval 1"/>
        <xdr:cNvSpPr>
          <a:spLocks noChangeAspect="1"/>
        </xdr:cNvSpPr>
      </xdr:nvSpPr>
      <xdr:spPr>
        <a:xfrm>
          <a:off x="34309050" y="190595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28575</xdr:colOff>
      <xdr:row>66</xdr:row>
      <xdr:rowOff>152400</xdr:rowOff>
    </xdr:from>
    <xdr:ext cx="838200" cy="876300"/>
    <xdr:sp>
      <xdr:nvSpPr>
        <xdr:cNvPr id="1" name="Oval 1"/>
        <xdr:cNvSpPr>
          <a:spLocks noChangeAspect="1"/>
        </xdr:cNvSpPr>
      </xdr:nvSpPr>
      <xdr:spPr>
        <a:xfrm>
          <a:off x="34309050" y="190595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28575</xdr:colOff>
      <xdr:row>66</xdr:row>
      <xdr:rowOff>152400</xdr:rowOff>
    </xdr:from>
    <xdr:ext cx="838200" cy="876300"/>
    <xdr:sp>
      <xdr:nvSpPr>
        <xdr:cNvPr id="1" name="Oval 1"/>
        <xdr:cNvSpPr>
          <a:spLocks noChangeAspect="1"/>
        </xdr:cNvSpPr>
      </xdr:nvSpPr>
      <xdr:spPr>
        <a:xfrm>
          <a:off x="34309050" y="190595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28575</xdr:colOff>
      <xdr:row>66</xdr:row>
      <xdr:rowOff>152400</xdr:rowOff>
    </xdr:from>
    <xdr:ext cx="838200" cy="876300"/>
    <xdr:sp>
      <xdr:nvSpPr>
        <xdr:cNvPr id="1" name="Oval 1"/>
        <xdr:cNvSpPr>
          <a:spLocks noChangeAspect="1"/>
        </xdr:cNvSpPr>
      </xdr:nvSpPr>
      <xdr:spPr>
        <a:xfrm>
          <a:off x="34309050" y="19059525"/>
          <a:ext cx="838200" cy="8763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tabSelected="1" view="pageBreakPreview" zoomScale="50" zoomScaleNormal="25" zoomScaleSheetLayoutView="50" workbookViewId="0" topLeftCell="A1">
      <selection activeCell="M19" sqref="M19"/>
    </sheetView>
  </sheetViews>
  <sheetFormatPr defaultColWidth="9.140625" defaultRowHeight="12.75"/>
  <cols>
    <col min="1" max="3" width="24.7109375" style="1" customWidth="1"/>
    <col min="4" max="21" width="15.7109375" style="1" customWidth="1"/>
    <col min="22" max="22" width="15.7109375" style="47" customWidth="1"/>
    <col min="23" max="31" width="15.7109375" style="1" customWidth="1"/>
    <col min="32" max="34" width="6.7109375" style="1" customWidth="1"/>
    <col min="35" max="16384" width="9.140625" style="1" customWidth="1"/>
  </cols>
  <sheetData>
    <row r="1" spans="18:27" ht="12.75">
      <c r="R1" s="49"/>
      <c r="S1" s="49"/>
      <c r="T1" s="49"/>
      <c r="U1" s="49"/>
      <c r="V1" s="50"/>
      <c r="W1" s="49"/>
      <c r="X1" s="49"/>
      <c r="Z1" s="49"/>
      <c r="AA1" s="49"/>
    </row>
    <row r="2" spans="1:34" s="4" customFormat="1" ht="36" customHeight="1" thickBot="1">
      <c r="A2" s="2"/>
      <c r="B2" s="32" t="s">
        <v>14</v>
      </c>
      <c r="C2" s="33"/>
      <c r="D2" s="34"/>
      <c r="E2" s="34"/>
      <c r="F2" s="34"/>
      <c r="G2" s="34"/>
      <c r="H2" s="51"/>
      <c r="I2" s="35"/>
      <c r="J2" s="34"/>
      <c r="K2" s="34"/>
      <c r="L2" s="34"/>
      <c r="M2" s="34"/>
      <c r="N2" s="34"/>
      <c r="O2" s="34"/>
      <c r="P2" s="34"/>
      <c r="Q2" s="35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2"/>
      <c r="AD2" s="48"/>
      <c r="AH2" s="3"/>
    </row>
    <row r="3" spans="2:34" s="5" customFormat="1" ht="21.75" customHeight="1">
      <c r="B3" s="95" t="s">
        <v>0</v>
      </c>
      <c r="C3" s="97"/>
      <c r="D3" s="117" t="s">
        <v>3</v>
      </c>
      <c r="E3" s="117" t="s">
        <v>4</v>
      </c>
      <c r="F3" s="117" t="s">
        <v>5</v>
      </c>
      <c r="G3" s="107" t="s">
        <v>12</v>
      </c>
      <c r="H3" s="107" t="s">
        <v>93</v>
      </c>
      <c r="I3" s="117" t="s">
        <v>6</v>
      </c>
      <c r="J3" s="107" t="s">
        <v>10</v>
      </c>
      <c r="K3" s="107"/>
      <c r="L3" s="107"/>
      <c r="M3" s="107"/>
      <c r="N3" s="107"/>
      <c r="O3" s="107" t="s">
        <v>15</v>
      </c>
      <c r="P3" s="107" t="s">
        <v>16</v>
      </c>
      <c r="Q3" s="107" t="s">
        <v>17</v>
      </c>
      <c r="R3" s="36">
        <v>204</v>
      </c>
      <c r="S3" s="37">
        <v>204</v>
      </c>
      <c r="T3" s="36"/>
      <c r="U3" s="37">
        <v>206</v>
      </c>
      <c r="V3" s="37">
        <v>206</v>
      </c>
      <c r="W3" s="36">
        <v>206</v>
      </c>
      <c r="X3" s="37"/>
      <c r="Y3" s="36"/>
      <c r="Z3" s="37"/>
      <c r="AA3" s="36"/>
      <c r="AB3" s="37"/>
      <c r="AC3" s="36"/>
      <c r="AD3" s="37"/>
      <c r="AE3" s="37"/>
      <c r="AF3" s="101" t="s">
        <v>11</v>
      </c>
      <c r="AG3" s="101" t="s">
        <v>13</v>
      </c>
      <c r="AH3" s="6"/>
    </row>
    <row r="4" spans="2:34" s="5" customFormat="1" ht="27.75" customHeight="1">
      <c r="B4" s="113"/>
      <c r="C4" s="114"/>
      <c r="D4" s="118"/>
      <c r="E4" s="118"/>
      <c r="F4" s="118"/>
      <c r="G4" s="90"/>
      <c r="H4" s="90"/>
      <c r="I4" s="118"/>
      <c r="J4" s="90"/>
      <c r="K4" s="90"/>
      <c r="L4" s="90"/>
      <c r="M4" s="90"/>
      <c r="N4" s="90"/>
      <c r="O4" s="90"/>
      <c r="P4" s="90"/>
      <c r="Q4" s="90"/>
      <c r="R4" s="92" t="s">
        <v>82</v>
      </c>
      <c r="S4" s="89" t="s">
        <v>83</v>
      </c>
      <c r="T4" s="92"/>
      <c r="U4" s="92" t="s">
        <v>92</v>
      </c>
      <c r="V4" s="89" t="s">
        <v>80</v>
      </c>
      <c r="W4" s="89" t="s">
        <v>81</v>
      </c>
      <c r="X4" s="89"/>
      <c r="Y4" s="92"/>
      <c r="Z4" s="89"/>
      <c r="AA4" s="92"/>
      <c r="AB4" s="89"/>
      <c r="AC4" s="92"/>
      <c r="AD4" s="89"/>
      <c r="AE4" s="89"/>
      <c r="AF4" s="108"/>
      <c r="AG4" s="102"/>
      <c r="AH4" s="7"/>
    </row>
    <row r="5" spans="2:33" s="5" customFormat="1" ht="27.75" customHeight="1" thickBot="1">
      <c r="B5" s="113"/>
      <c r="C5" s="114"/>
      <c r="D5" s="118"/>
      <c r="E5" s="118"/>
      <c r="F5" s="118"/>
      <c r="G5" s="90"/>
      <c r="H5" s="90"/>
      <c r="I5" s="118"/>
      <c r="J5" s="90"/>
      <c r="K5" s="90"/>
      <c r="L5" s="90"/>
      <c r="M5" s="90"/>
      <c r="N5" s="90"/>
      <c r="O5" s="90"/>
      <c r="P5" s="90"/>
      <c r="Q5" s="90"/>
      <c r="R5" s="93"/>
      <c r="S5" s="90"/>
      <c r="T5" s="93"/>
      <c r="U5" s="93"/>
      <c r="V5" s="90"/>
      <c r="W5" s="90"/>
      <c r="X5" s="90"/>
      <c r="Y5" s="93"/>
      <c r="Z5" s="90"/>
      <c r="AA5" s="93"/>
      <c r="AB5" s="90"/>
      <c r="AC5" s="93"/>
      <c r="AD5" s="90"/>
      <c r="AE5" s="90"/>
      <c r="AF5" s="109"/>
      <c r="AG5" s="102"/>
    </row>
    <row r="6" spans="2:33" s="5" customFormat="1" ht="27.75" customHeight="1">
      <c r="B6" s="113"/>
      <c r="C6" s="114"/>
      <c r="D6" s="118"/>
      <c r="E6" s="118"/>
      <c r="F6" s="118"/>
      <c r="G6" s="90"/>
      <c r="H6" s="90"/>
      <c r="I6" s="118"/>
      <c r="J6" s="90"/>
      <c r="K6" s="90"/>
      <c r="L6" s="90"/>
      <c r="M6" s="90"/>
      <c r="N6" s="90"/>
      <c r="O6" s="90"/>
      <c r="P6" s="90"/>
      <c r="Q6" s="90"/>
      <c r="R6" s="93"/>
      <c r="S6" s="90"/>
      <c r="T6" s="93"/>
      <c r="U6" s="93"/>
      <c r="V6" s="90"/>
      <c r="W6" s="90"/>
      <c r="X6" s="90"/>
      <c r="Y6" s="93"/>
      <c r="Z6" s="90"/>
      <c r="AA6" s="93"/>
      <c r="AB6" s="90"/>
      <c r="AC6" s="93"/>
      <c r="AD6" s="90"/>
      <c r="AE6" s="90"/>
      <c r="AF6" s="76" t="s">
        <v>79</v>
      </c>
      <c r="AG6" s="77"/>
    </row>
    <row r="7" spans="2:33" s="5" customFormat="1" ht="27.75" customHeight="1">
      <c r="B7" s="113"/>
      <c r="C7" s="114"/>
      <c r="D7" s="118"/>
      <c r="E7" s="118"/>
      <c r="F7" s="118"/>
      <c r="G7" s="90"/>
      <c r="H7" s="90"/>
      <c r="I7" s="118"/>
      <c r="J7" s="90"/>
      <c r="K7" s="90"/>
      <c r="L7" s="90"/>
      <c r="M7" s="90"/>
      <c r="N7" s="90"/>
      <c r="O7" s="90"/>
      <c r="P7" s="90"/>
      <c r="Q7" s="90"/>
      <c r="R7" s="93"/>
      <c r="S7" s="90"/>
      <c r="T7" s="93"/>
      <c r="U7" s="93"/>
      <c r="V7" s="90"/>
      <c r="W7" s="90"/>
      <c r="X7" s="90"/>
      <c r="Y7" s="93"/>
      <c r="Z7" s="90"/>
      <c r="AA7" s="93"/>
      <c r="AB7" s="90"/>
      <c r="AC7" s="93"/>
      <c r="AD7" s="90"/>
      <c r="AE7" s="90"/>
      <c r="AF7" s="78"/>
      <c r="AG7" s="79"/>
    </row>
    <row r="8" spans="2:33" s="5" customFormat="1" ht="27.75" customHeight="1">
      <c r="B8" s="113"/>
      <c r="C8" s="114"/>
      <c r="D8" s="118"/>
      <c r="E8" s="118"/>
      <c r="F8" s="118"/>
      <c r="G8" s="90"/>
      <c r="H8" s="90"/>
      <c r="I8" s="118"/>
      <c r="J8" s="90"/>
      <c r="K8" s="90"/>
      <c r="L8" s="90"/>
      <c r="M8" s="90"/>
      <c r="N8" s="90"/>
      <c r="O8" s="90"/>
      <c r="P8" s="90"/>
      <c r="Q8" s="90"/>
      <c r="R8" s="93"/>
      <c r="S8" s="90"/>
      <c r="T8" s="93"/>
      <c r="U8" s="93"/>
      <c r="V8" s="90"/>
      <c r="W8" s="90"/>
      <c r="X8" s="90"/>
      <c r="Y8" s="93"/>
      <c r="Z8" s="90"/>
      <c r="AA8" s="93"/>
      <c r="AB8" s="90"/>
      <c r="AC8" s="93"/>
      <c r="AD8" s="90"/>
      <c r="AE8" s="90"/>
      <c r="AF8" s="78"/>
      <c r="AG8" s="79"/>
    </row>
    <row r="9" spans="2:33" s="5" customFormat="1" ht="27.75" customHeight="1">
      <c r="B9" s="113"/>
      <c r="C9" s="114"/>
      <c r="D9" s="118"/>
      <c r="E9" s="118"/>
      <c r="F9" s="118"/>
      <c r="G9" s="90"/>
      <c r="H9" s="90"/>
      <c r="I9" s="118"/>
      <c r="J9" s="90"/>
      <c r="K9" s="90"/>
      <c r="L9" s="90"/>
      <c r="M9" s="90"/>
      <c r="N9" s="90"/>
      <c r="O9" s="90"/>
      <c r="P9" s="90"/>
      <c r="Q9" s="90"/>
      <c r="R9" s="93"/>
      <c r="S9" s="90"/>
      <c r="T9" s="93"/>
      <c r="U9" s="93"/>
      <c r="V9" s="90"/>
      <c r="W9" s="90"/>
      <c r="X9" s="90"/>
      <c r="Y9" s="93"/>
      <c r="Z9" s="90"/>
      <c r="AA9" s="93"/>
      <c r="AB9" s="90"/>
      <c r="AC9" s="93"/>
      <c r="AD9" s="90"/>
      <c r="AE9" s="90"/>
      <c r="AF9" s="78"/>
      <c r="AG9" s="79"/>
    </row>
    <row r="10" spans="2:33" s="5" customFormat="1" ht="27.75" customHeight="1">
      <c r="B10" s="113"/>
      <c r="C10" s="114"/>
      <c r="D10" s="118"/>
      <c r="E10" s="118"/>
      <c r="F10" s="118"/>
      <c r="G10" s="90"/>
      <c r="H10" s="90"/>
      <c r="I10" s="118"/>
      <c r="J10" s="90"/>
      <c r="K10" s="90"/>
      <c r="L10" s="90"/>
      <c r="M10" s="90"/>
      <c r="N10" s="90"/>
      <c r="O10" s="90"/>
      <c r="P10" s="90"/>
      <c r="Q10" s="90"/>
      <c r="R10" s="93"/>
      <c r="S10" s="90"/>
      <c r="T10" s="93"/>
      <c r="U10" s="93"/>
      <c r="V10" s="90"/>
      <c r="W10" s="90"/>
      <c r="X10" s="90"/>
      <c r="Y10" s="93"/>
      <c r="Z10" s="90"/>
      <c r="AA10" s="93"/>
      <c r="AB10" s="90"/>
      <c r="AC10" s="93"/>
      <c r="AD10" s="90"/>
      <c r="AE10" s="90"/>
      <c r="AF10" s="78"/>
      <c r="AG10" s="79"/>
    </row>
    <row r="11" spans="2:33" s="8" customFormat="1" ht="27.75" customHeight="1">
      <c r="B11" s="115"/>
      <c r="C11" s="116"/>
      <c r="D11" s="119"/>
      <c r="E11" s="119"/>
      <c r="F11" s="119"/>
      <c r="G11" s="91"/>
      <c r="H11" s="91"/>
      <c r="I11" s="119"/>
      <c r="J11" s="91"/>
      <c r="K11" s="91"/>
      <c r="L11" s="91"/>
      <c r="M11" s="91"/>
      <c r="N11" s="91"/>
      <c r="O11" s="91"/>
      <c r="P11" s="91"/>
      <c r="Q11" s="91"/>
      <c r="R11" s="94"/>
      <c r="S11" s="91"/>
      <c r="T11" s="94"/>
      <c r="U11" s="94"/>
      <c r="V11" s="91"/>
      <c r="W11" s="91"/>
      <c r="X11" s="91"/>
      <c r="Y11" s="94"/>
      <c r="Z11" s="91"/>
      <c r="AA11" s="94"/>
      <c r="AB11" s="91"/>
      <c r="AC11" s="94"/>
      <c r="AD11" s="91"/>
      <c r="AE11" s="91"/>
      <c r="AF11" s="78"/>
      <c r="AG11" s="79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38"/>
      <c r="I12" s="11" t="s">
        <v>9</v>
      </c>
      <c r="J12" s="11" t="s">
        <v>9</v>
      </c>
      <c r="K12" s="11"/>
      <c r="L12" s="11"/>
      <c r="M12" s="11"/>
      <c r="N12" s="11"/>
      <c r="O12" s="11" t="s">
        <v>9</v>
      </c>
      <c r="P12" s="11" t="s">
        <v>9</v>
      </c>
      <c r="Q12" s="11" t="s">
        <v>9</v>
      </c>
      <c r="R12" s="38" t="s">
        <v>85</v>
      </c>
      <c r="S12" s="11" t="s">
        <v>84</v>
      </c>
      <c r="T12" s="38"/>
      <c r="U12" s="11" t="s">
        <v>86</v>
      </c>
      <c r="V12" s="11" t="s">
        <v>85</v>
      </c>
      <c r="W12" s="38" t="s">
        <v>85</v>
      </c>
      <c r="X12" s="11"/>
      <c r="Y12" s="38"/>
      <c r="Z12" s="11"/>
      <c r="AA12" s="38"/>
      <c r="AB12" s="11"/>
      <c r="AC12" s="38"/>
      <c r="AD12" s="11"/>
      <c r="AE12" s="11"/>
      <c r="AF12" s="78"/>
      <c r="AG12" s="79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78"/>
      <c r="AG13" s="79"/>
    </row>
    <row r="14" spans="1:33" s="5" customFormat="1" ht="21.75" customHeight="1">
      <c r="A14" s="12">
        <f>A13+1</f>
        <v>2</v>
      </c>
      <c r="B14" s="110" t="s">
        <v>18</v>
      </c>
      <c r="C14" s="111"/>
      <c r="D14" s="111"/>
      <c r="E14" s="111"/>
      <c r="F14" s="111"/>
      <c r="G14" s="111"/>
      <c r="H14" s="111"/>
      <c r="I14" s="112"/>
      <c r="J14" s="16"/>
      <c r="K14" s="16"/>
      <c r="L14" s="15"/>
      <c r="M14" s="15"/>
      <c r="N14" s="15"/>
      <c r="O14" s="15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78"/>
      <c r="AG14" s="79"/>
    </row>
    <row r="15" spans="1:33" s="5" customFormat="1" ht="21.75" customHeight="1">
      <c r="A15" s="12">
        <f>A14+1</f>
        <v>3</v>
      </c>
      <c r="B15" s="19" t="s">
        <v>19</v>
      </c>
      <c r="C15" s="20"/>
      <c r="D15" s="15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78"/>
      <c r="AG15" s="79"/>
    </row>
    <row r="16" spans="1:33" s="5" customFormat="1" ht="21.75" customHeight="1">
      <c r="A16" s="12">
        <f aca="true" t="shared" si="0" ref="A16:A66">A15+1</f>
        <v>4</v>
      </c>
      <c r="B16" s="22">
        <v>37150</v>
      </c>
      <c r="C16" s="21">
        <v>37477.72</v>
      </c>
      <c r="D16" s="15" t="s">
        <v>20</v>
      </c>
      <c r="E16" s="16">
        <f aca="true" t="shared" si="1" ref="E16:E23">C16-B16</f>
        <v>327.72000000000116</v>
      </c>
      <c r="F16" s="17">
        <f>ROUND((48.683+48)/2,2)</f>
        <v>48.34</v>
      </c>
      <c r="G16" s="18">
        <f>ROUND((3900.5-((20.314+17.723)/2)-($F16/2))/3900.5,4)</f>
        <v>0.9889</v>
      </c>
      <c r="H16" s="16"/>
      <c r="I16" s="16">
        <f>IF($G16=0,ROUND($E16*$F16,2),ROUND($E16*$F16*$G16,2))</f>
        <v>15666.14</v>
      </c>
      <c r="J16" s="16"/>
      <c r="K16" s="16"/>
      <c r="L16" s="15"/>
      <c r="M16" s="15"/>
      <c r="N16" s="15"/>
      <c r="O16" s="15"/>
      <c r="P16" s="16"/>
      <c r="Q16" s="16"/>
      <c r="R16" s="16"/>
      <c r="S16" s="63">
        <f>ROUND(($V16/S$72),3)</f>
        <v>0.87</v>
      </c>
      <c r="T16" s="16"/>
      <c r="U16" s="16">
        <f>ROUND((($U$72*$W$72*$U$73*$U$74*$W16)/2000),2)</f>
        <v>45.04</v>
      </c>
      <c r="V16" s="16">
        <f>ROUND((($I16+$J16)/9),2)</f>
        <v>1740.68</v>
      </c>
      <c r="W16" s="16">
        <f>ROUND((($I16+$J16)/9),2)</f>
        <v>1740.68</v>
      </c>
      <c r="X16" s="16"/>
      <c r="Y16" s="16"/>
      <c r="Z16" s="16"/>
      <c r="AA16" s="16"/>
      <c r="AB16" s="16"/>
      <c r="AC16" s="16"/>
      <c r="AD16" s="16"/>
      <c r="AE16" s="16"/>
      <c r="AF16" s="78"/>
      <c r="AG16" s="79"/>
    </row>
    <row r="17" spans="1:33" s="5" customFormat="1" ht="21.75" customHeight="1">
      <c r="A17" s="12">
        <f t="shared" si="0"/>
        <v>5</v>
      </c>
      <c r="B17" s="13">
        <f aca="true" t="shared" si="2" ref="B17:B22">C16</f>
        <v>37477.72</v>
      </c>
      <c r="C17" s="14">
        <v>38824.9</v>
      </c>
      <c r="D17" s="15" t="s">
        <v>20</v>
      </c>
      <c r="E17" s="16">
        <f t="shared" si="1"/>
        <v>1347.1800000000003</v>
      </c>
      <c r="F17" s="17">
        <v>48</v>
      </c>
      <c r="G17" s="18"/>
      <c r="H17" s="16"/>
      <c r="I17" s="16">
        <f>IF($G17=0,ROUND($E17*$F17,2),ROUND($E17*$F17*$G17,2))</f>
        <v>64664.64</v>
      </c>
      <c r="J17" s="16"/>
      <c r="K17" s="16"/>
      <c r="L17" s="16"/>
      <c r="M17" s="16"/>
      <c r="N17" s="16"/>
      <c r="O17" s="16"/>
      <c r="P17" s="16"/>
      <c r="Q17" s="16"/>
      <c r="R17" s="16"/>
      <c r="S17" s="63">
        <f aca="true" t="shared" si="3" ref="S17:S55">ROUND(($V17/S$72),3)</f>
        <v>3.592</v>
      </c>
      <c r="T17" s="16"/>
      <c r="U17" s="16">
        <f>ROUND((($U$72*$W$72*$U$73*$U$74*$W17)/2000),2)</f>
        <v>185.91</v>
      </c>
      <c r="V17" s="16">
        <f aca="true" t="shared" si="4" ref="V17:W32">ROUND((($I17+$J17)/9),2)</f>
        <v>7184.96</v>
      </c>
      <c r="W17" s="16">
        <f t="shared" si="4"/>
        <v>7184.96</v>
      </c>
      <c r="X17" s="16"/>
      <c r="Y17" s="16"/>
      <c r="Z17" s="16"/>
      <c r="AA17" s="16"/>
      <c r="AB17" s="16"/>
      <c r="AC17" s="16"/>
      <c r="AD17" s="16"/>
      <c r="AE17" s="16"/>
      <c r="AF17" s="78"/>
      <c r="AG17" s="79"/>
    </row>
    <row r="18" spans="1:33" s="5" customFormat="1" ht="21.75" customHeight="1">
      <c r="A18" s="12">
        <f t="shared" si="0"/>
        <v>6</v>
      </c>
      <c r="B18" s="13">
        <f t="shared" si="2"/>
        <v>38824.9</v>
      </c>
      <c r="C18" s="14">
        <v>39137.36</v>
      </c>
      <c r="D18" s="15" t="s">
        <v>20</v>
      </c>
      <c r="E18" s="16">
        <f t="shared" si="1"/>
        <v>312.4599999999991</v>
      </c>
      <c r="F18" s="17">
        <v>60</v>
      </c>
      <c r="G18" s="18"/>
      <c r="H18" s="16"/>
      <c r="I18" s="16">
        <f>IF($G18=0,ROUND($E18*$F18,2),ROUND($E18*$F18*$G18,2))</f>
        <v>18747.6</v>
      </c>
      <c r="J18" s="16"/>
      <c r="K18" s="16"/>
      <c r="L18" s="16"/>
      <c r="M18" s="16"/>
      <c r="N18" s="16"/>
      <c r="O18" s="16"/>
      <c r="P18" s="16"/>
      <c r="Q18" s="16"/>
      <c r="R18" s="16"/>
      <c r="S18" s="63">
        <f t="shared" si="3"/>
        <v>1.042</v>
      </c>
      <c r="T18" s="16"/>
      <c r="U18" s="16">
        <f>ROUND((($U$72*$W$72*$U$73*$U$74*$W18)/2000),2)</f>
        <v>53.9</v>
      </c>
      <c r="V18" s="16">
        <f t="shared" si="4"/>
        <v>2083.07</v>
      </c>
      <c r="W18" s="16">
        <f t="shared" si="4"/>
        <v>2083.07</v>
      </c>
      <c r="X18" s="16"/>
      <c r="Y18" s="16"/>
      <c r="Z18" s="16"/>
      <c r="AA18" s="16"/>
      <c r="AB18" s="16"/>
      <c r="AC18" s="16"/>
      <c r="AD18" s="16"/>
      <c r="AE18" s="16"/>
      <c r="AF18" s="78"/>
      <c r="AG18" s="79"/>
    </row>
    <row r="19" spans="1:33" s="5" customFormat="1" ht="21.75" customHeight="1">
      <c r="A19" s="12">
        <f t="shared" si="0"/>
        <v>7</v>
      </c>
      <c r="B19" s="13">
        <f t="shared" si="2"/>
        <v>39137.36</v>
      </c>
      <c r="C19" s="14">
        <v>40459.11</v>
      </c>
      <c r="D19" s="15" t="s">
        <v>20</v>
      </c>
      <c r="E19" s="16">
        <f t="shared" si="1"/>
        <v>1321.75</v>
      </c>
      <c r="F19" s="17">
        <v>60</v>
      </c>
      <c r="G19" s="18">
        <f>ROUND((21630.9102+12+($F19/2))/21630.9102,4)</f>
        <v>1.0019</v>
      </c>
      <c r="H19" s="16"/>
      <c r="I19" s="16">
        <f>IF($G19=0,ROUND($E19*$F19,2),ROUND($E19*$F19*$G19,2))</f>
        <v>79455.68</v>
      </c>
      <c r="J19" s="16"/>
      <c r="K19" s="16"/>
      <c r="L19" s="16"/>
      <c r="M19" s="16"/>
      <c r="N19" s="16"/>
      <c r="O19" s="16"/>
      <c r="P19" s="16"/>
      <c r="Q19" s="16"/>
      <c r="R19" s="16"/>
      <c r="S19" s="63">
        <f t="shared" si="3"/>
        <v>4.414</v>
      </c>
      <c r="T19" s="16"/>
      <c r="U19" s="16">
        <f>ROUND((($U$72*$W$72*$U$73*$U$74*$W19)/2000),2)</f>
        <v>228.44</v>
      </c>
      <c r="V19" s="16">
        <f t="shared" si="4"/>
        <v>8828.41</v>
      </c>
      <c r="W19" s="16">
        <f t="shared" si="4"/>
        <v>8828.41</v>
      </c>
      <c r="X19" s="16"/>
      <c r="Y19" s="16"/>
      <c r="Z19" s="16"/>
      <c r="AA19" s="16"/>
      <c r="AB19" s="16"/>
      <c r="AC19" s="16"/>
      <c r="AD19" s="16"/>
      <c r="AE19" s="16"/>
      <c r="AF19" s="78"/>
      <c r="AG19" s="79"/>
    </row>
    <row r="20" spans="1:33" s="5" customFormat="1" ht="21.75" customHeight="1">
      <c r="A20" s="12">
        <f t="shared" si="0"/>
        <v>8</v>
      </c>
      <c r="B20" s="13">
        <f t="shared" si="2"/>
        <v>40459.11</v>
      </c>
      <c r="C20" s="14">
        <v>41560</v>
      </c>
      <c r="D20" s="15" t="s">
        <v>20</v>
      </c>
      <c r="E20" s="16">
        <f t="shared" si="1"/>
        <v>1100.8899999999994</v>
      </c>
      <c r="F20" s="17">
        <v>60</v>
      </c>
      <c r="G20" s="15"/>
      <c r="H20" s="16"/>
      <c r="I20" s="16">
        <f>IF($G20=0,ROUND($E20*$F20,2),ROUND($E20*$F20*$G20,2))</f>
        <v>66053.4</v>
      </c>
      <c r="J20" s="16"/>
      <c r="K20" s="16"/>
      <c r="L20" s="16"/>
      <c r="M20" s="16"/>
      <c r="N20" s="16"/>
      <c r="O20" s="16"/>
      <c r="P20" s="16"/>
      <c r="Q20" s="16"/>
      <c r="R20" s="16"/>
      <c r="S20" s="63">
        <f t="shared" si="3"/>
        <v>3.67</v>
      </c>
      <c r="T20" s="16"/>
      <c r="U20" s="16">
        <f>ROUND((($U$72*$W$72*$U$73*$U$74*$W20)/2000),2)</f>
        <v>189.9</v>
      </c>
      <c r="V20" s="16">
        <f t="shared" si="4"/>
        <v>7339.27</v>
      </c>
      <c r="W20" s="16">
        <f t="shared" si="4"/>
        <v>7339.27</v>
      </c>
      <c r="X20" s="16"/>
      <c r="Y20" s="16"/>
      <c r="Z20" s="16"/>
      <c r="AA20" s="16"/>
      <c r="AB20" s="16"/>
      <c r="AC20" s="16"/>
      <c r="AD20" s="16"/>
      <c r="AE20" s="16"/>
      <c r="AF20" s="78"/>
      <c r="AG20" s="79"/>
    </row>
    <row r="21" spans="1:33" s="5" customFormat="1" ht="21.75" customHeight="1">
      <c r="A21" s="12">
        <f t="shared" si="0"/>
        <v>9</v>
      </c>
      <c r="B21" s="13">
        <f t="shared" si="2"/>
        <v>41560</v>
      </c>
      <c r="C21" s="14">
        <v>42400</v>
      </c>
      <c r="D21" s="15" t="s">
        <v>20</v>
      </c>
      <c r="E21" s="16">
        <f t="shared" si="1"/>
        <v>840</v>
      </c>
      <c r="F21" s="17">
        <f>ROUND(AVERAGE(60,48),2)</f>
        <v>54</v>
      </c>
      <c r="G21" s="18"/>
      <c r="H21" s="16"/>
      <c r="I21" s="16">
        <f>IF(G21=0,ROUND($E21*$F21,2),ROUND($E21*$F21*$G21,2))</f>
        <v>45360</v>
      </c>
      <c r="J21" s="16"/>
      <c r="K21" s="16"/>
      <c r="L21" s="16"/>
      <c r="M21" s="16"/>
      <c r="N21" s="16"/>
      <c r="O21" s="16"/>
      <c r="P21" s="16"/>
      <c r="Q21" s="16"/>
      <c r="R21" s="16"/>
      <c r="S21" s="63">
        <f t="shared" si="3"/>
        <v>2.52</v>
      </c>
      <c r="T21" s="16"/>
      <c r="U21" s="16">
        <f aca="true" t="shared" si="5" ref="U21:U56">ROUND((($U$72*$W$72*$U$73*$U$74*$W21)/2000),2)</f>
        <v>130.41</v>
      </c>
      <c r="V21" s="16">
        <f t="shared" si="4"/>
        <v>5040</v>
      </c>
      <c r="W21" s="16">
        <f t="shared" si="4"/>
        <v>5040</v>
      </c>
      <c r="X21" s="16"/>
      <c r="Y21" s="16"/>
      <c r="Z21" s="16"/>
      <c r="AA21" s="16"/>
      <c r="AB21" s="16"/>
      <c r="AC21" s="16"/>
      <c r="AD21" s="16"/>
      <c r="AE21" s="16"/>
      <c r="AF21" s="78"/>
      <c r="AG21" s="79"/>
    </row>
    <row r="22" spans="1:33" s="5" customFormat="1" ht="21.75" customHeight="1">
      <c r="A22" s="12">
        <f t="shared" si="0"/>
        <v>10</v>
      </c>
      <c r="B22" s="13">
        <f t="shared" si="2"/>
        <v>42400</v>
      </c>
      <c r="C22" s="14">
        <v>42494.2</v>
      </c>
      <c r="D22" s="15" t="s">
        <v>20</v>
      </c>
      <c r="E22" s="16">
        <f t="shared" si="1"/>
        <v>94.19999999999709</v>
      </c>
      <c r="F22" s="17">
        <v>48</v>
      </c>
      <c r="G22" s="18"/>
      <c r="H22" s="16"/>
      <c r="I22" s="16">
        <f>IF(G22=0,ROUND($E22*$F22,2),ROUND($E22*$F22*$G22,2))</f>
        <v>4521.6</v>
      </c>
      <c r="J22" s="16"/>
      <c r="K22" s="16"/>
      <c r="L22" s="16"/>
      <c r="M22" s="16"/>
      <c r="N22" s="16"/>
      <c r="O22" s="16"/>
      <c r="P22" s="16"/>
      <c r="Q22" s="16"/>
      <c r="R22" s="16"/>
      <c r="S22" s="63">
        <f t="shared" si="3"/>
        <v>0.251</v>
      </c>
      <c r="T22" s="16"/>
      <c r="U22" s="16">
        <f t="shared" si="5"/>
        <v>13</v>
      </c>
      <c r="V22" s="16">
        <f t="shared" si="4"/>
        <v>502.4</v>
      </c>
      <c r="W22" s="16">
        <f t="shared" si="4"/>
        <v>502.4</v>
      </c>
      <c r="X22" s="16"/>
      <c r="Y22" s="16"/>
      <c r="Z22" s="16"/>
      <c r="AA22" s="16"/>
      <c r="AB22" s="16"/>
      <c r="AC22" s="16"/>
      <c r="AD22" s="16"/>
      <c r="AE22" s="16"/>
      <c r="AF22" s="78"/>
      <c r="AG22" s="79"/>
    </row>
    <row r="23" spans="1:33" s="5" customFormat="1" ht="21.75" customHeight="1">
      <c r="A23" s="12">
        <f t="shared" si="0"/>
        <v>11</v>
      </c>
      <c r="B23" s="13">
        <f>C22</f>
        <v>42494.2</v>
      </c>
      <c r="C23" s="14">
        <v>42519.2</v>
      </c>
      <c r="D23" s="15" t="s">
        <v>20</v>
      </c>
      <c r="E23" s="16">
        <f t="shared" si="1"/>
        <v>25</v>
      </c>
      <c r="F23" s="17">
        <v>48</v>
      </c>
      <c r="G23" s="18"/>
      <c r="H23" s="16"/>
      <c r="I23" s="16">
        <f>IF(G23=0,ROUND($E23*$F23,2),ROUND($E23*$F23*$G23,2))</f>
        <v>1200</v>
      </c>
      <c r="J23" s="16"/>
      <c r="K23" s="16"/>
      <c r="L23" s="16"/>
      <c r="M23" s="16"/>
      <c r="N23" s="16"/>
      <c r="O23" s="16"/>
      <c r="P23" s="16"/>
      <c r="Q23" s="16"/>
      <c r="R23" s="16"/>
      <c r="S23" s="63">
        <f t="shared" si="3"/>
        <v>0.067</v>
      </c>
      <c r="T23" s="16"/>
      <c r="U23" s="16">
        <f t="shared" si="5"/>
        <v>3.45</v>
      </c>
      <c r="V23" s="16">
        <f t="shared" si="4"/>
        <v>133.33</v>
      </c>
      <c r="W23" s="16">
        <f t="shared" si="4"/>
        <v>133.33</v>
      </c>
      <c r="X23" s="16"/>
      <c r="Y23" s="16"/>
      <c r="Z23" s="16"/>
      <c r="AA23" s="16"/>
      <c r="AB23" s="16"/>
      <c r="AC23" s="16"/>
      <c r="AD23" s="16"/>
      <c r="AE23" s="16"/>
      <c r="AF23" s="78"/>
      <c r="AG23" s="79"/>
    </row>
    <row r="24" spans="1:33" s="5" customFormat="1" ht="21.75" customHeight="1">
      <c r="A24" s="12">
        <f t="shared" si="0"/>
        <v>12</v>
      </c>
      <c r="B24" s="13"/>
      <c r="C24" s="14"/>
      <c r="D24" s="15"/>
      <c r="E24" s="16"/>
      <c r="F24" s="17"/>
      <c r="G24" s="18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63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78"/>
      <c r="AG24" s="79"/>
    </row>
    <row r="25" spans="1:33" s="5" customFormat="1" ht="21.75" customHeight="1">
      <c r="A25" s="12">
        <f t="shared" si="0"/>
        <v>13</v>
      </c>
      <c r="B25" s="13">
        <v>42674.77</v>
      </c>
      <c r="C25" s="14">
        <v>42699.77</v>
      </c>
      <c r="D25" s="15" t="s">
        <v>20</v>
      </c>
      <c r="E25" s="16">
        <f>C25-B25</f>
        <v>25</v>
      </c>
      <c r="F25" s="17">
        <v>48</v>
      </c>
      <c r="G25" s="18"/>
      <c r="H25" s="16"/>
      <c r="I25" s="16">
        <f>IF(G25=0,ROUND($E25*$F25,2),ROUND($E25*$F25*$G25,2))</f>
        <v>1200</v>
      </c>
      <c r="J25" s="16"/>
      <c r="K25" s="16"/>
      <c r="L25" s="16"/>
      <c r="M25" s="16"/>
      <c r="N25" s="16"/>
      <c r="O25" s="16"/>
      <c r="P25" s="16"/>
      <c r="Q25" s="16"/>
      <c r="R25" s="16"/>
      <c r="S25" s="63">
        <f t="shared" si="3"/>
        <v>0.067</v>
      </c>
      <c r="T25" s="16"/>
      <c r="U25" s="16">
        <f t="shared" si="5"/>
        <v>3.45</v>
      </c>
      <c r="V25" s="16">
        <f t="shared" si="4"/>
        <v>133.33</v>
      </c>
      <c r="W25" s="16">
        <f t="shared" si="4"/>
        <v>133.33</v>
      </c>
      <c r="X25" s="16"/>
      <c r="Y25" s="16"/>
      <c r="Z25" s="16"/>
      <c r="AA25" s="16"/>
      <c r="AB25" s="16"/>
      <c r="AC25" s="16"/>
      <c r="AD25" s="16"/>
      <c r="AE25" s="16"/>
      <c r="AF25" s="78"/>
      <c r="AG25" s="79"/>
    </row>
    <row r="26" spans="1:33" s="5" customFormat="1" ht="21.75" customHeight="1">
      <c r="A26" s="12">
        <f t="shared" si="0"/>
        <v>14</v>
      </c>
      <c r="B26" s="13">
        <f>C25</f>
        <v>42699.77</v>
      </c>
      <c r="C26" s="14">
        <v>42841.24</v>
      </c>
      <c r="D26" s="15" t="s">
        <v>20</v>
      </c>
      <c r="E26" s="16">
        <f>C26-B26</f>
        <v>141.47000000000116</v>
      </c>
      <c r="F26" s="17">
        <v>48</v>
      </c>
      <c r="G26" s="18"/>
      <c r="H26" s="16"/>
      <c r="I26" s="16">
        <f>IF(G26=0,ROUND($E26*$F26,2),ROUND($E26*$F26*$G26,2))</f>
        <v>6790.56</v>
      </c>
      <c r="J26" s="16"/>
      <c r="K26" s="16"/>
      <c r="L26" s="16"/>
      <c r="M26" s="16"/>
      <c r="N26" s="16"/>
      <c r="O26" s="16"/>
      <c r="P26" s="16"/>
      <c r="Q26" s="16"/>
      <c r="R26" s="16"/>
      <c r="S26" s="63">
        <f t="shared" si="3"/>
        <v>0.377</v>
      </c>
      <c r="T26" s="16"/>
      <c r="U26" s="16">
        <f t="shared" si="5"/>
        <v>19.52</v>
      </c>
      <c r="V26" s="16">
        <f t="shared" si="4"/>
        <v>754.51</v>
      </c>
      <c r="W26" s="16">
        <f t="shared" si="4"/>
        <v>754.51</v>
      </c>
      <c r="X26" s="16"/>
      <c r="Y26" s="16"/>
      <c r="Z26" s="16"/>
      <c r="AA26" s="16"/>
      <c r="AB26" s="16"/>
      <c r="AC26" s="16"/>
      <c r="AD26" s="16"/>
      <c r="AE26" s="16"/>
      <c r="AF26" s="78"/>
      <c r="AG26" s="79"/>
    </row>
    <row r="27" spans="1:33" s="5" customFormat="1" ht="21.75" customHeight="1">
      <c r="A27" s="12">
        <f t="shared" si="0"/>
        <v>15</v>
      </c>
      <c r="B27" s="13">
        <f>C26</f>
        <v>42841.24</v>
      </c>
      <c r="C27" s="14">
        <v>42893.61</v>
      </c>
      <c r="D27" s="15" t="s">
        <v>20</v>
      </c>
      <c r="E27" s="16">
        <f>C27-B27</f>
        <v>52.37000000000262</v>
      </c>
      <c r="F27" s="17">
        <v>48</v>
      </c>
      <c r="G27" s="18">
        <f>ROUND((14228.5617+12+($F27/2))/14228.5617,4)</f>
        <v>1.0025</v>
      </c>
      <c r="H27" s="16"/>
      <c r="I27" s="16">
        <f>IF(G27=0,ROUND($E27*$F27,2),ROUND($E27*$F27*$G27,2))</f>
        <v>2520.04</v>
      </c>
      <c r="J27" s="16"/>
      <c r="K27" s="16"/>
      <c r="L27" s="16"/>
      <c r="M27" s="16"/>
      <c r="N27" s="16"/>
      <c r="O27" s="16"/>
      <c r="P27" s="16"/>
      <c r="Q27" s="16"/>
      <c r="R27" s="16"/>
      <c r="S27" s="63">
        <f t="shared" si="3"/>
        <v>0.14</v>
      </c>
      <c r="T27" s="16"/>
      <c r="U27" s="16">
        <f t="shared" si="5"/>
        <v>7.25</v>
      </c>
      <c r="V27" s="16">
        <f t="shared" si="4"/>
        <v>280</v>
      </c>
      <c r="W27" s="16">
        <f t="shared" si="4"/>
        <v>280</v>
      </c>
      <c r="X27" s="16"/>
      <c r="Y27" s="16"/>
      <c r="Z27" s="16"/>
      <c r="AA27" s="16"/>
      <c r="AB27" s="16"/>
      <c r="AC27" s="16"/>
      <c r="AD27" s="16"/>
      <c r="AE27" s="16"/>
      <c r="AF27" s="78"/>
      <c r="AG27" s="79"/>
    </row>
    <row r="28" spans="1:33" s="5" customFormat="1" ht="21.75" customHeight="1">
      <c r="A28" s="12">
        <f t="shared" si="0"/>
        <v>16</v>
      </c>
      <c r="B28" s="22"/>
      <c r="C28" s="14"/>
      <c r="D28" s="15"/>
      <c r="E28" s="16"/>
      <c r="F28" s="17"/>
      <c r="G28" s="1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63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78"/>
      <c r="AG28" s="79"/>
    </row>
    <row r="29" spans="1:33" s="5" customFormat="1" ht="21.75" customHeight="1">
      <c r="A29" s="12">
        <f t="shared" si="0"/>
        <v>17</v>
      </c>
      <c r="B29" s="13">
        <v>43107.76</v>
      </c>
      <c r="C29" s="14">
        <v>44823.91</v>
      </c>
      <c r="D29" s="15" t="s">
        <v>20</v>
      </c>
      <c r="E29" s="16">
        <f>C29-B29</f>
        <v>1716.1500000000015</v>
      </c>
      <c r="F29" s="17">
        <v>48</v>
      </c>
      <c r="G29" s="18">
        <f>ROUND((14228.5617+12+($F29/2))/14228.5617,4)</f>
        <v>1.0025</v>
      </c>
      <c r="H29" s="16"/>
      <c r="I29" s="16">
        <f>IF(G29=0,ROUND($E29*$F29,2),ROUND($E29*$F29*$G29,2))</f>
        <v>82581.14</v>
      </c>
      <c r="J29" s="16"/>
      <c r="K29" s="16"/>
      <c r="L29" s="16"/>
      <c r="M29" s="16"/>
      <c r="N29" s="16"/>
      <c r="O29" s="16"/>
      <c r="P29" s="16"/>
      <c r="Q29" s="16"/>
      <c r="R29" s="16"/>
      <c r="S29" s="63">
        <f t="shared" si="3"/>
        <v>4.588</v>
      </c>
      <c r="T29" s="16"/>
      <c r="U29" s="16">
        <f t="shared" si="5"/>
        <v>237.42</v>
      </c>
      <c r="V29" s="16">
        <f t="shared" si="4"/>
        <v>9175.68</v>
      </c>
      <c r="W29" s="16">
        <f t="shared" si="4"/>
        <v>9175.68</v>
      </c>
      <c r="X29" s="16"/>
      <c r="Y29" s="16"/>
      <c r="Z29" s="16"/>
      <c r="AA29" s="16"/>
      <c r="AB29" s="16"/>
      <c r="AC29" s="16"/>
      <c r="AD29" s="16"/>
      <c r="AE29" s="16"/>
      <c r="AF29" s="78"/>
      <c r="AG29" s="79"/>
    </row>
    <row r="30" spans="1:33" s="5" customFormat="1" ht="21.75" customHeight="1">
      <c r="A30" s="12">
        <f t="shared" si="0"/>
        <v>18</v>
      </c>
      <c r="B30" s="13">
        <f>C29</f>
        <v>44823.91</v>
      </c>
      <c r="C30" s="14">
        <v>45950</v>
      </c>
      <c r="D30" s="15" t="s">
        <v>20</v>
      </c>
      <c r="E30" s="16">
        <f>C30-B30</f>
        <v>1126.0899999999965</v>
      </c>
      <c r="F30" s="17">
        <v>48</v>
      </c>
      <c r="G30" s="18"/>
      <c r="H30" s="16"/>
      <c r="I30" s="16">
        <f>IF(G30=0,ROUND($E30*$F30,2),ROUND($E30*$F30*$G30,2))</f>
        <v>54052.32</v>
      </c>
      <c r="J30" s="16"/>
      <c r="K30" s="16"/>
      <c r="L30" s="16"/>
      <c r="M30" s="16"/>
      <c r="N30" s="16"/>
      <c r="O30" s="16"/>
      <c r="P30" s="16"/>
      <c r="Q30" s="16"/>
      <c r="R30" s="16"/>
      <c r="S30" s="63">
        <f t="shared" si="3"/>
        <v>3.003</v>
      </c>
      <c r="T30" s="16"/>
      <c r="U30" s="16">
        <f t="shared" si="5"/>
        <v>155.4</v>
      </c>
      <c r="V30" s="16">
        <f t="shared" si="4"/>
        <v>6005.81</v>
      </c>
      <c r="W30" s="16">
        <f t="shared" si="4"/>
        <v>6005.81</v>
      </c>
      <c r="X30" s="16"/>
      <c r="Y30" s="16"/>
      <c r="Z30" s="16"/>
      <c r="AA30" s="16"/>
      <c r="AB30" s="16"/>
      <c r="AC30" s="16"/>
      <c r="AD30" s="16"/>
      <c r="AE30" s="16"/>
      <c r="AF30" s="78"/>
      <c r="AG30" s="79"/>
    </row>
    <row r="31" spans="1:33" s="5" customFormat="1" ht="21.75" customHeight="1">
      <c r="A31" s="12">
        <f t="shared" si="0"/>
        <v>19</v>
      </c>
      <c r="B31" s="13">
        <f>C30</f>
        <v>45950</v>
      </c>
      <c r="C31" s="14">
        <v>46050</v>
      </c>
      <c r="D31" s="15" t="s">
        <v>20</v>
      </c>
      <c r="E31" s="16">
        <f>C31-B31</f>
        <v>100</v>
      </c>
      <c r="F31" s="17">
        <f>ROUND(AVERAGE(48,60),2)</f>
        <v>54</v>
      </c>
      <c r="G31" s="18"/>
      <c r="H31" s="16"/>
      <c r="I31" s="16">
        <f>IF(G31=0,ROUND($E31*$F31,2),ROUND($E31*$F31*$G31,2))</f>
        <v>5400</v>
      </c>
      <c r="J31" s="16"/>
      <c r="K31" s="16"/>
      <c r="L31" s="16"/>
      <c r="M31" s="16"/>
      <c r="N31" s="16"/>
      <c r="O31" s="16"/>
      <c r="P31" s="16"/>
      <c r="Q31" s="16"/>
      <c r="R31" s="16"/>
      <c r="S31" s="63">
        <f t="shared" si="3"/>
        <v>0.3</v>
      </c>
      <c r="T31" s="16"/>
      <c r="U31" s="16">
        <f t="shared" si="5"/>
        <v>15.53</v>
      </c>
      <c r="V31" s="16">
        <f t="shared" si="4"/>
        <v>600</v>
      </c>
      <c r="W31" s="16">
        <f t="shared" si="4"/>
        <v>600</v>
      </c>
      <c r="X31" s="16"/>
      <c r="Y31" s="16"/>
      <c r="Z31" s="16"/>
      <c r="AA31" s="16"/>
      <c r="AB31" s="16"/>
      <c r="AC31" s="16"/>
      <c r="AD31" s="16"/>
      <c r="AE31" s="16"/>
      <c r="AF31" s="78"/>
      <c r="AG31" s="79"/>
    </row>
    <row r="32" spans="1:33" s="5" customFormat="1" ht="21.75" customHeight="1">
      <c r="A32" s="12">
        <f t="shared" si="0"/>
        <v>20</v>
      </c>
      <c r="B32" s="13">
        <f>C31</f>
        <v>46050</v>
      </c>
      <c r="C32" s="14">
        <v>46946.33</v>
      </c>
      <c r="D32" s="15" t="s">
        <v>20</v>
      </c>
      <c r="E32" s="16">
        <f>C32-B32</f>
        <v>896.3300000000017</v>
      </c>
      <c r="F32" s="17">
        <v>60</v>
      </c>
      <c r="G32" s="18"/>
      <c r="H32" s="16"/>
      <c r="I32" s="16">
        <f>IF(G32=0,ROUND($E32*$F32,2),ROUND($E32*$F32*$G32,2))</f>
        <v>53779.8</v>
      </c>
      <c r="J32" s="16"/>
      <c r="K32" s="16"/>
      <c r="L32" s="16"/>
      <c r="M32" s="16"/>
      <c r="N32" s="16"/>
      <c r="O32" s="16"/>
      <c r="P32" s="16"/>
      <c r="Q32" s="16"/>
      <c r="R32" s="16"/>
      <c r="S32" s="63">
        <f t="shared" si="3"/>
        <v>2.988</v>
      </c>
      <c r="T32" s="16"/>
      <c r="U32" s="16">
        <f t="shared" si="5"/>
        <v>154.62</v>
      </c>
      <c r="V32" s="16">
        <f t="shared" si="4"/>
        <v>5975.53</v>
      </c>
      <c r="W32" s="16">
        <f t="shared" si="4"/>
        <v>5975.53</v>
      </c>
      <c r="X32" s="16"/>
      <c r="Y32" s="16"/>
      <c r="Z32" s="16"/>
      <c r="AA32" s="16"/>
      <c r="AB32" s="16"/>
      <c r="AC32" s="16"/>
      <c r="AD32" s="16"/>
      <c r="AE32" s="16"/>
      <c r="AF32" s="78"/>
      <c r="AG32" s="79"/>
    </row>
    <row r="33" spans="1:33" s="5" customFormat="1" ht="21.75" customHeight="1">
      <c r="A33" s="12">
        <f t="shared" si="0"/>
        <v>21</v>
      </c>
      <c r="B33" s="13"/>
      <c r="C33" s="14"/>
      <c r="D33" s="15"/>
      <c r="E33" s="16"/>
      <c r="F33" s="17"/>
      <c r="G33" s="18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63"/>
      <c r="S33" s="63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78"/>
      <c r="AG33" s="79"/>
    </row>
    <row r="34" spans="1:33" s="5" customFormat="1" ht="21.75" customHeight="1">
      <c r="A34" s="12">
        <f t="shared" si="0"/>
        <v>22</v>
      </c>
      <c r="B34" s="19" t="s">
        <v>27</v>
      </c>
      <c r="C34" s="39"/>
      <c r="D34" s="15"/>
      <c r="E34" s="16"/>
      <c r="F34" s="1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63"/>
      <c r="S34" s="63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78"/>
      <c r="AG34" s="79"/>
    </row>
    <row r="35" spans="1:33" s="5" customFormat="1" ht="21.75" customHeight="1">
      <c r="A35" s="12">
        <f t="shared" si="0"/>
        <v>23</v>
      </c>
      <c r="B35" s="13">
        <v>37150</v>
      </c>
      <c r="C35" s="14">
        <v>37167.11</v>
      </c>
      <c r="D35" s="15" t="s">
        <v>22</v>
      </c>
      <c r="E35" s="16">
        <f aca="true" t="shared" si="6" ref="E35:E49">C35-B35</f>
        <v>17.110000000000582</v>
      </c>
      <c r="F35" s="17">
        <f>ROUND(AVERAGE(11.855,12),2)</f>
        <v>11.93</v>
      </c>
      <c r="G35" s="18">
        <f>ROUND((3900.5-((68.998+68.827)/2)-($F35/2))/3900.5,4)</f>
        <v>0.9808</v>
      </c>
      <c r="H35" s="18">
        <f>ROUND((3900.5-((68.998+68.827)/2)-($F35))/3900.5,4)</f>
        <v>0.9793</v>
      </c>
      <c r="I35" s="16">
        <f>IF(G35=0,ROUND($E35*$F35,2),ROUND($E35*$F35*$G35,2))</f>
        <v>200.2</v>
      </c>
      <c r="J35" s="16"/>
      <c r="K35" s="16"/>
      <c r="L35" s="16"/>
      <c r="M35" s="16"/>
      <c r="N35" s="16"/>
      <c r="O35" s="16">
        <f>IF($H35=0,ROUND($E35*(O$72/12),2),ROUND($E35*(O$72/12)*$H35,2))</f>
        <v>25.13</v>
      </c>
      <c r="P35" s="16"/>
      <c r="Q35" s="16"/>
      <c r="R35" s="63"/>
      <c r="S35" s="63">
        <f t="shared" si="3"/>
        <v>0.013</v>
      </c>
      <c r="T35" s="16"/>
      <c r="U35" s="16">
        <f t="shared" si="5"/>
        <v>0.65</v>
      </c>
      <c r="V35" s="16">
        <f>ROUND((($I35+$J35+$O35+$P35+$Q35)/9),2)</f>
        <v>25.04</v>
      </c>
      <c r="W35" s="16">
        <f>ROUND((($I35+$J35+$O35+$P35+$Q35)/9),2)</f>
        <v>25.04</v>
      </c>
      <c r="X35" s="16"/>
      <c r="Y35" s="16"/>
      <c r="Z35" s="16"/>
      <c r="AA35" s="16"/>
      <c r="AB35" s="16"/>
      <c r="AC35" s="16"/>
      <c r="AD35" s="16"/>
      <c r="AE35" s="16"/>
      <c r="AF35" s="78"/>
      <c r="AG35" s="79"/>
    </row>
    <row r="36" spans="1:33" s="5" customFormat="1" ht="21.75" customHeight="1">
      <c r="A36" s="12">
        <f t="shared" si="0"/>
        <v>24</v>
      </c>
      <c r="B36" s="13"/>
      <c r="C36" s="14"/>
      <c r="D36" s="15"/>
      <c r="E36" s="16"/>
      <c r="F36" s="23"/>
      <c r="G36" s="18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63"/>
      <c r="S36" s="63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78"/>
      <c r="AG36" s="79"/>
    </row>
    <row r="37" spans="1:33" s="5" customFormat="1" ht="21.75" customHeight="1">
      <c r="A37" s="12">
        <f t="shared" si="0"/>
        <v>25</v>
      </c>
      <c r="B37" s="13">
        <v>38824.9</v>
      </c>
      <c r="C37" s="14">
        <v>39137.36</v>
      </c>
      <c r="D37" s="15" t="s">
        <v>22</v>
      </c>
      <c r="E37" s="16">
        <f t="shared" si="6"/>
        <v>312.4599999999991</v>
      </c>
      <c r="F37" s="23">
        <v>10</v>
      </c>
      <c r="G37" s="18"/>
      <c r="H37" s="18"/>
      <c r="I37" s="16">
        <f aca="true" t="shared" si="7" ref="I37:I46">IF(G37=0,ROUND($E37*$F37,2),ROUND($E37*$F37*$G37,2))</f>
        <v>3124.6</v>
      </c>
      <c r="J37" s="16"/>
      <c r="K37" s="16"/>
      <c r="L37" s="16"/>
      <c r="M37" s="16"/>
      <c r="N37" s="16"/>
      <c r="O37" s="16">
        <f>IF($H37=0,ROUND($E37*(O$72/12),2),ROUND($E37*(O$72/12)*$H37,2))</f>
        <v>468.69</v>
      </c>
      <c r="P37" s="16"/>
      <c r="Q37" s="16"/>
      <c r="R37" s="63"/>
      <c r="S37" s="63">
        <f t="shared" si="3"/>
        <v>0.2</v>
      </c>
      <c r="T37" s="16"/>
      <c r="U37" s="16">
        <f t="shared" si="5"/>
        <v>10.33</v>
      </c>
      <c r="V37" s="16">
        <f aca="true" t="shared" si="8" ref="V37:W56">ROUND((($I37+$J37+$O37+$P37+$Q37)/9),2)</f>
        <v>399.25</v>
      </c>
      <c r="W37" s="16">
        <f t="shared" si="8"/>
        <v>399.25</v>
      </c>
      <c r="X37" s="16"/>
      <c r="Y37" s="16"/>
      <c r="Z37" s="16"/>
      <c r="AA37" s="16"/>
      <c r="AB37" s="16"/>
      <c r="AC37" s="16"/>
      <c r="AD37" s="16"/>
      <c r="AE37" s="16"/>
      <c r="AF37" s="78"/>
      <c r="AG37" s="79"/>
    </row>
    <row r="38" spans="1:33" s="5" customFormat="1" ht="21.75" customHeight="1">
      <c r="A38" s="12">
        <f t="shared" si="0"/>
        <v>26</v>
      </c>
      <c r="B38" s="13">
        <f aca="true" t="shared" si="9" ref="B38:B43">C37</f>
        <v>39137.36</v>
      </c>
      <c r="C38" s="14">
        <v>39212.5</v>
      </c>
      <c r="D38" s="15" t="s">
        <v>22</v>
      </c>
      <c r="E38" s="16">
        <f t="shared" si="6"/>
        <v>75.13999999999942</v>
      </c>
      <c r="F38" s="23">
        <v>10</v>
      </c>
      <c r="G38" s="18">
        <f>ROUND((21630.9102+12+60+($F38/2))/21630.9102,4)</f>
        <v>1.0036</v>
      </c>
      <c r="H38" s="18">
        <f aca="true" t="shared" si="10" ref="H38:H44">ROUND((21630.9102+12+60+($F38))/21630.9102,4)</f>
        <v>1.0038</v>
      </c>
      <c r="I38" s="16">
        <f t="shared" si="7"/>
        <v>754.11</v>
      </c>
      <c r="J38" s="16"/>
      <c r="K38" s="16"/>
      <c r="L38" s="16"/>
      <c r="M38" s="16"/>
      <c r="N38" s="16"/>
      <c r="O38" s="16">
        <f>IF($H38=0,ROUND($E38*(O$72/12),2),ROUND($E38*(O$72/12)*$H38,2))</f>
        <v>113.14</v>
      </c>
      <c r="P38" s="16"/>
      <c r="Q38" s="16"/>
      <c r="R38" s="63"/>
      <c r="S38" s="63">
        <f t="shared" si="3"/>
        <v>0.048</v>
      </c>
      <c r="T38" s="16"/>
      <c r="U38" s="16">
        <f t="shared" si="5"/>
        <v>2.49</v>
      </c>
      <c r="V38" s="16">
        <f t="shared" si="8"/>
        <v>96.36</v>
      </c>
      <c r="W38" s="16">
        <f t="shared" si="8"/>
        <v>96.36</v>
      </c>
      <c r="X38" s="16"/>
      <c r="Y38" s="16"/>
      <c r="Z38" s="16"/>
      <c r="AA38" s="16"/>
      <c r="AB38" s="16"/>
      <c r="AC38" s="16"/>
      <c r="AD38" s="16"/>
      <c r="AE38" s="16"/>
      <c r="AF38" s="78"/>
      <c r="AG38" s="79"/>
    </row>
    <row r="39" spans="1:33" s="5" customFormat="1" ht="21.75" customHeight="1">
      <c r="A39" s="12">
        <f t="shared" si="0"/>
        <v>27</v>
      </c>
      <c r="B39" s="13">
        <f t="shared" si="9"/>
        <v>39212.5</v>
      </c>
      <c r="C39" s="14">
        <v>39325</v>
      </c>
      <c r="D39" s="15" t="s">
        <v>22</v>
      </c>
      <c r="E39" s="16">
        <f t="shared" si="6"/>
        <v>112.5</v>
      </c>
      <c r="F39" s="17">
        <f>ROUND(AVERAGE(10,5.5),2)</f>
        <v>7.75</v>
      </c>
      <c r="G39" s="18">
        <f aca="true" t="shared" si="11" ref="G39:G44">ROUND((21630.9102+12+60+($F39/2))/21630.9102,4)</f>
        <v>1.0035</v>
      </c>
      <c r="H39" s="18">
        <f t="shared" si="10"/>
        <v>1.0037</v>
      </c>
      <c r="I39" s="16">
        <f t="shared" si="7"/>
        <v>874.93</v>
      </c>
      <c r="J39" s="16"/>
      <c r="K39" s="16"/>
      <c r="L39" s="16"/>
      <c r="M39" s="16"/>
      <c r="N39" s="16"/>
      <c r="O39" s="16">
        <f>IF($H39=0,ROUND($E39*(O$72/12),2),ROUND($E39*(O$72/12)*$H39,2))</f>
        <v>169.37</v>
      </c>
      <c r="P39" s="16"/>
      <c r="Q39" s="16"/>
      <c r="R39" s="63"/>
      <c r="S39" s="63">
        <f t="shared" si="3"/>
        <v>0.058</v>
      </c>
      <c r="T39" s="16"/>
      <c r="U39" s="16">
        <f t="shared" si="5"/>
        <v>3</v>
      </c>
      <c r="V39" s="16">
        <f t="shared" si="8"/>
        <v>116.03</v>
      </c>
      <c r="W39" s="16">
        <f t="shared" si="8"/>
        <v>116.03</v>
      </c>
      <c r="X39" s="16"/>
      <c r="Y39" s="16"/>
      <c r="Z39" s="16"/>
      <c r="AA39" s="16"/>
      <c r="AB39" s="16"/>
      <c r="AC39" s="16"/>
      <c r="AD39" s="16"/>
      <c r="AE39" s="16"/>
      <c r="AF39" s="78"/>
      <c r="AG39" s="79"/>
    </row>
    <row r="40" spans="1:33" s="5" customFormat="1" ht="21.75" customHeight="1">
      <c r="A40" s="12">
        <f t="shared" si="0"/>
        <v>28</v>
      </c>
      <c r="B40" s="13">
        <f t="shared" si="9"/>
        <v>39325</v>
      </c>
      <c r="C40" s="14">
        <v>39356.92</v>
      </c>
      <c r="D40" s="15" t="s">
        <v>22</v>
      </c>
      <c r="E40" s="16">
        <f t="shared" si="6"/>
        <v>31.919999999998254</v>
      </c>
      <c r="F40" s="17">
        <v>5.5</v>
      </c>
      <c r="G40" s="18">
        <f t="shared" si="11"/>
        <v>1.0035</v>
      </c>
      <c r="H40" s="18">
        <f t="shared" si="10"/>
        <v>1.0036</v>
      </c>
      <c r="I40" s="16">
        <f t="shared" si="7"/>
        <v>176.17</v>
      </c>
      <c r="J40" s="16"/>
      <c r="K40" s="16"/>
      <c r="L40" s="16"/>
      <c r="M40" s="16"/>
      <c r="N40" s="16"/>
      <c r="O40" s="16">
        <f>IF($H40=0,ROUND($E40*(O$72/12),2),ROUND($E40*(O$72/12)*$H40,2))</f>
        <v>48.05</v>
      </c>
      <c r="P40" s="16"/>
      <c r="Q40" s="16"/>
      <c r="R40" s="63"/>
      <c r="S40" s="63">
        <f t="shared" si="3"/>
        <v>0.012</v>
      </c>
      <c r="T40" s="16"/>
      <c r="U40" s="16">
        <f t="shared" si="5"/>
        <v>0.64</v>
      </c>
      <c r="V40" s="16">
        <f t="shared" si="8"/>
        <v>24.91</v>
      </c>
      <c r="W40" s="16">
        <f t="shared" si="8"/>
        <v>24.91</v>
      </c>
      <c r="X40" s="16"/>
      <c r="Y40" s="16"/>
      <c r="Z40" s="16"/>
      <c r="AA40" s="16"/>
      <c r="AB40" s="16"/>
      <c r="AC40" s="16"/>
      <c r="AD40" s="16"/>
      <c r="AE40" s="16"/>
      <c r="AF40" s="78"/>
      <c r="AG40" s="79"/>
    </row>
    <row r="41" spans="1:33" s="5" customFormat="1" ht="21.75" customHeight="1">
      <c r="A41" s="12">
        <f t="shared" si="0"/>
        <v>29</v>
      </c>
      <c r="B41" s="14">
        <f t="shared" si="9"/>
        <v>39356.92</v>
      </c>
      <c r="C41" s="14">
        <v>39375</v>
      </c>
      <c r="D41" s="15" t="s">
        <v>22</v>
      </c>
      <c r="E41" s="16">
        <f t="shared" si="6"/>
        <v>18.080000000001746</v>
      </c>
      <c r="F41" s="17">
        <v>5.5</v>
      </c>
      <c r="G41" s="18">
        <f t="shared" si="11"/>
        <v>1.0035</v>
      </c>
      <c r="H41" s="18">
        <f t="shared" si="10"/>
        <v>1.0036</v>
      </c>
      <c r="I41" s="16">
        <f t="shared" si="7"/>
        <v>99.79</v>
      </c>
      <c r="J41" s="16"/>
      <c r="K41" s="16"/>
      <c r="L41" s="16"/>
      <c r="M41" s="16"/>
      <c r="N41" s="16"/>
      <c r="O41" s="16">
        <f>IF($H41=0,ROUND($E41*(O$72/12),2),ROUND($E41*(O$72/12)*$H41,2))</f>
        <v>27.22</v>
      </c>
      <c r="P41" s="16"/>
      <c r="Q41" s="16"/>
      <c r="R41" s="63"/>
      <c r="S41" s="63">
        <f t="shared" si="3"/>
        <v>0.007</v>
      </c>
      <c r="T41" s="16"/>
      <c r="U41" s="16">
        <f t="shared" si="5"/>
        <v>0.37</v>
      </c>
      <c r="V41" s="16">
        <f t="shared" si="8"/>
        <v>14.11</v>
      </c>
      <c r="W41" s="16">
        <f t="shared" si="8"/>
        <v>14.11</v>
      </c>
      <c r="X41" s="16"/>
      <c r="Y41" s="16"/>
      <c r="Z41" s="16"/>
      <c r="AA41" s="16"/>
      <c r="AB41" s="16"/>
      <c r="AC41" s="16"/>
      <c r="AD41" s="16"/>
      <c r="AE41" s="16"/>
      <c r="AF41" s="78"/>
      <c r="AG41" s="79"/>
    </row>
    <row r="42" spans="1:33" s="5" customFormat="1" ht="21.75" customHeight="1">
      <c r="A42" s="12">
        <f t="shared" si="0"/>
        <v>30</v>
      </c>
      <c r="B42" s="13">
        <f t="shared" si="9"/>
        <v>39375</v>
      </c>
      <c r="C42" s="14">
        <v>39440</v>
      </c>
      <c r="D42" s="15" t="s">
        <v>22</v>
      </c>
      <c r="E42" s="16">
        <f t="shared" si="6"/>
        <v>65</v>
      </c>
      <c r="F42" s="17">
        <v>5.5</v>
      </c>
      <c r="G42" s="18">
        <f t="shared" si="11"/>
        <v>1.0035</v>
      </c>
      <c r="H42" s="18">
        <f t="shared" si="10"/>
        <v>1.0036</v>
      </c>
      <c r="I42" s="16">
        <f t="shared" si="7"/>
        <v>358.75</v>
      </c>
      <c r="J42" s="16"/>
      <c r="K42" s="16"/>
      <c r="L42" s="16"/>
      <c r="M42" s="16"/>
      <c r="N42" s="16"/>
      <c r="O42" s="16"/>
      <c r="P42" s="16">
        <f>IF($H42=0,ROUND($E42*(P$72/12),2),ROUND($E42*(P$72/12)*$H42,2))</f>
        <v>108.72</v>
      </c>
      <c r="Q42" s="16">
        <f>IF($H42=0,ROUND($E42*(Q$72/12),2),ROUND($E42*(Q$72/12)*$H42,2))</f>
        <v>119.6</v>
      </c>
      <c r="R42" s="63"/>
      <c r="S42" s="63">
        <f t="shared" si="3"/>
        <v>0.033</v>
      </c>
      <c r="T42" s="16"/>
      <c r="U42" s="16">
        <f t="shared" si="5"/>
        <v>1.69</v>
      </c>
      <c r="V42" s="16">
        <f>ROUND((($I42+$J42+$O42+$P42+$Q42)/9),2)</f>
        <v>65.23</v>
      </c>
      <c r="W42" s="16">
        <f t="shared" si="8"/>
        <v>65.23</v>
      </c>
      <c r="X42" s="16"/>
      <c r="Y42" s="16"/>
      <c r="Z42" s="16"/>
      <c r="AA42" s="16"/>
      <c r="AB42" s="16"/>
      <c r="AC42" s="16"/>
      <c r="AD42" s="16"/>
      <c r="AE42" s="16"/>
      <c r="AF42" s="78"/>
      <c r="AG42" s="79"/>
    </row>
    <row r="43" spans="1:33" s="5" customFormat="1" ht="21.75" customHeight="1">
      <c r="A43" s="12">
        <f t="shared" si="0"/>
        <v>31</v>
      </c>
      <c r="B43" s="13">
        <f t="shared" si="9"/>
        <v>39440</v>
      </c>
      <c r="C43" s="14">
        <v>39462.5</v>
      </c>
      <c r="D43" s="15" t="s">
        <v>22</v>
      </c>
      <c r="E43" s="16">
        <f t="shared" si="6"/>
        <v>22.5</v>
      </c>
      <c r="F43" s="17">
        <f>ROUND(AVERAGE(5.5,10),2)</f>
        <v>7.75</v>
      </c>
      <c r="G43" s="18">
        <f t="shared" si="11"/>
        <v>1.0035</v>
      </c>
      <c r="H43" s="18">
        <f t="shared" si="10"/>
        <v>1.0037</v>
      </c>
      <c r="I43" s="16">
        <f t="shared" si="7"/>
        <v>174.99</v>
      </c>
      <c r="J43" s="16"/>
      <c r="K43" s="16"/>
      <c r="L43" s="16"/>
      <c r="M43" s="16"/>
      <c r="N43" s="16"/>
      <c r="O43" s="16">
        <f aca="true" t="shared" si="12" ref="O43:O49">IF($H43=0,ROUND($E43*(O$72/12),2),ROUND($E43*(O$72/12)*$H43,2))</f>
        <v>33.87</v>
      </c>
      <c r="P43" s="16"/>
      <c r="Q43" s="16"/>
      <c r="R43" s="63"/>
      <c r="S43" s="63">
        <f t="shared" si="3"/>
        <v>0.012</v>
      </c>
      <c r="T43" s="16"/>
      <c r="U43" s="16">
        <f t="shared" si="5"/>
        <v>0.6</v>
      </c>
      <c r="V43" s="16">
        <f t="shared" si="8"/>
        <v>23.21</v>
      </c>
      <c r="W43" s="16">
        <f t="shared" si="8"/>
        <v>23.21</v>
      </c>
      <c r="X43" s="16"/>
      <c r="Y43" s="16"/>
      <c r="Z43" s="16"/>
      <c r="AA43" s="16"/>
      <c r="AB43" s="16"/>
      <c r="AC43" s="16"/>
      <c r="AD43" s="16"/>
      <c r="AE43" s="16"/>
      <c r="AF43" s="78"/>
      <c r="AG43" s="79"/>
    </row>
    <row r="44" spans="1:33" s="5" customFormat="1" ht="21.75" customHeight="1">
      <c r="A44" s="12">
        <f t="shared" si="0"/>
        <v>32</v>
      </c>
      <c r="B44" s="13">
        <v>39462.5</v>
      </c>
      <c r="C44" s="14">
        <v>40459.11</v>
      </c>
      <c r="D44" s="15" t="s">
        <v>22</v>
      </c>
      <c r="E44" s="16">
        <f t="shared" si="6"/>
        <v>996.6100000000006</v>
      </c>
      <c r="F44" s="23">
        <v>10</v>
      </c>
      <c r="G44" s="18">
        <f t="shared" si="11"/>
        <v>1.0036</v>
      </c>
      <c r="H44" s="18">
        <f t="shared" si="10"/>
        <v>1.0038</v>
      </c>
      <c r="I44" s="16">
        <f t="shared" si="7"/>
        <v>10001.98</v>
      </c>
      <c r="J44" s="16"/>
      <c r="K44" s="16"/>
      <c r="L44" s="16"/>
      <c r="M44" s="16"/>
      <c r="N44" s="16"/>
      <c r="O44" s="16">
        <f t="shared" si="12"/>
        <v>1500.6</v>
      </c>
      <c r="P44" s="16"/>
      <c r="Q44" s="16"/>
      <c r="R44" s="63"/>
      <c r="S44" s="63">
        <f t="shared" si="3"/>
        <v>0.639</v>
      </c>
      <c r="T44" s="16"/>
      <c r="U44" s="16">
        <f t="shared" si="5"/>
        <v>33.07</v>
      </c>
      <c r="V44" s="16">
        <f t="shared" si="8"/>
        <v>1278.06</v>
      </c>
      <c r="W44" s="16">
        <f t="shared" si="8"/>
        <v>1278.06</v>
      </c>
      <c r="X44" s="16"/>
      <c r="Y44" s="16"/>
      <c r="Z44" s="16"/>
      <c r="AA44" s="16"/>
      <c r="AB44" s="16"/>
      <c r="AC44" s="16"/>
      <c r="AD44" s="16"/>
      <c r="AE44" s="16"/>
      <c r="AF44" s="78"/>
      <c r="AG44" s="79"/>
    </row>
    <row r="45" spans="1:33" s="5" customFormat="1" ht="21.75" customHeight="1">
      <c r="A45" s="12">
        <f t="shared" si="0"/>
        <v>33</v>
      </c>
      <c r="B45" s="13">
        <f>C44</f>
        <v>40459.11</v>
      </c>
      <c r="C45" s="14">
        <v>42425</v>
      </c>
      <c r="D45" s="15" t="s">
        <v>22</v>
      </c>
      <c r="E45" s="16">
        <f t="shared" si="6"/>
        <v>1965.8899999999994</v>
      </c>
      <c r="F45" s="23">
        <v>10</v>
      </c>
      <c r="G45" s="18"/>
      <c r="H45" s="16"/>
      <c r="I45" s="16">
        <f t="shared" si="7"/>
        <v>19658.9</v>
      </c>
      <c r="J45" s="16"/>
      <c r="K45" s="16"/>
      <c r="L45" s="16"/>
      <c r="M45" s="16"/>
      <c r="N45" s="16"/>
      <c r="O45" s="16">
        <f t="shared" si="12"/>
        <v>2948.84</v>
      </c>
      <c r="P45" s="16"/>
      <c r="Q45" s="16"/>
      <c r="R45" s="63"/>
      <c r="S45" s="63">
        <f t="shared" si="3"/>
        <v>1.256</v>
      </c>
      <c r="T45" s="16"/>
      <c r="U45" s="16">
        <f t="shared" si="5"/>
        <v>65</v>
      </c>
      <c r="V45" s="16">
        <f t="shared" si="8"/>
        <v>2511.97</v>
      </c>
      <c r="W45" s="16">
        <f t="shared" si="8"/>
        <v>2511.97</v>
      </c>
      <c r="X45" s="16"/>
      <c r="Y45" s="16"/>
      <c r="Z45" s="16"/>
      <c r="AA45" s="16"/>
      <c r="AB45" s="16"/>
      <c r="AC45" s="16"/>
      <c r="AD45" s="16"/>
      <c r="AE45" s="16"/>
      <c r="AF45" s="78"/>
      <c r="AG45" s="79"/>
    </row>
    <row r="46" spans="1:33" s="5" customFormat="1" ht="21.75" customHeight="1">
      <c r="A46" s="12">
        <f t="shared" si="0"/>
        <v>34</v>
      </c>
      <c r="B46" s="13">
        <f>C45</f>
        <v>42425</v>
      </c>
      <c r="C46" s="14">
        <v>42461.65</v>
      </c>
      <c r="D46" s="15" t="s">
        <v>22</v>
      </c>
      <c r="E46" s="16">
        <f t="shared" si="6"/>
        <v>36.650000000001455</v>
      </c>
      <c r="F46" s="17">
        <f>ROUND(AVERAGE(10,17.33),2)</f>
        <v>13.67</v>
      </c>
      <c r="G46" s="18"/>
      <c r="H46" s="16"/>
      <c r="I46" s="16">
        <f t="shared" si="7"/>
        <v>501.01</v>
      </c>
      <c r="J46" s="16"/>
      <c r="K46" s="16"/>
      <c r="L46" s="16"/>
      <c r="M46" s="16"/>
      <c r="N46" s="16"/>
      <c r="O46" s="16">
        <f t="shared" si="12"/>
        <v>54.98</v>
      </c>
      <c r="P46" s="16"/>
      <c r="Q46" s="16"/>
      <c r="R46" s="63"/>
      <c r="S46" s="63">
        <f t="shared" si="3"/>
        <v>0.031</v>
      </c>
      <c r="T46" s="16"/>
      <c r="U46" s="16">
        <f t="shared" si="5"/>
        <v>1.6</v>
      </c>
      <c r="V46" s="16">
        <f t="shared" si="8"/>
        <v>61.78</v>
      </c>
      <c r="W46" s="16">
        <f t="shared" si="8"/>
        <v>61.78</v>
      </c>
      <c r="X46" s="16"/>
      <c r="Y46" s="16"/>
      <c r="Z46" s="16"/>
      <c r="AA46" s="16"/>
      <c r="AB46" s="16"/>
      <c r="AC46" s="16"/>
      <c r="AD46" s="16"/>
      <c r="AE46" s="16"/>
      <c r="AF46" s="78"/>
      <c r="AG46" s="79"/>
    </row>
    <row r="47" spans="1:33" s="5" customFormat="1" ht="21.75" customHeight="1">
      <c r="A47" s="12">
        <f t="shared" si="0"/>
        <v>35</v>
      </c>
      <c r="B47" s="56">
        <f>C46</f>
        <v>42461.65</v>
      </c>
      <c r="C47" s="57">
        <v>42481.61</v>
      </c>
      <c r="D47" s="15" t="s">
        <v>22</v>
      </c>
      <c r="E47" s="16">
        <f t="shared" si="6"/>
        <v>19.959999999999127</v>
      </c>
      <c r="F47" s="104" t="s">
        <v>23</v>
      </c>
      <c r="G47" s="105"/>
      <c r="H47" s="105"/>
      <c r="I47" s="106"/>
      <c r="J47" s="16">
        <f>ROUND(391.7097,2)</f>
        <v>391.71</v>
      </c>
      <c r="K47" s="16"/>
      <c r="L47" s="16"/>
      <c r="M47" s="16"/>
      <c r="N47" s="16"/>
      <c r="O47" s="16">
        <f t="shared" si="12"/>
        <v>29.94</v>
      </c>
      <c r="P47" s="16"/>
      <c r="Q47" s="16"/>
      <c r="R47" s="63"/>
      <c r="S47" s="63">
        <f t="shared" si="3"/>
        <v>0.023</v>
      </c>
      <c r="T47" s="16"/>
      <c r="U47" s="16">
        <f t="shared" si="5"/>
        <v>1.21</v>
      </c>
      <c r="V47" s="16">
        <f t="shared" si="8"/>
        <v>46.85</v>
      </c>
      <c r="W47" s="16">
        <f t="shared" si="8"/>
        <v>46.85</v>
      </c>
      <c r="X47" s="16"/>
      <c r="Y47" s="16"/>
      <c r="Z47" s="16"/>
      <c r="AA47" s="16"/>
      <c r="AB47" s="16"/>
      <c r="AC47" s="16"/>
      <c r="AD47" s="16"/>
      <c r="AE47" s="16"/>
      <c r="AF47" s="78"/>
      <c r="AG47" s="79"/>
    </row>
    <row r="48" spans="1:33" s="5" customFormat="1" ht="21.75" customHeight="1">
      <c r="A48" s="12">
        <f t="shared" si="0"/>
        <v>36</v>
      </c>
      <c r="B48" s="14">
        <f>C47</f>
        <v>42481.61</v>
      </c>
      <c r="C48" s="41">
        <v>42488.47</v>
      </c>
      <c r="D48" s="15" t="s">
        <v>22</v>
      </c>
      <c r="E48" s="16">
        <f t="shared" si="6"/>
        <v>6.860000000000582</v>
      </c>
      <c r="F48" s="104" t="s">
        <v>23</v>
      </c>
      <c r="G48" s="105"/>
      <c r="H48" s="105"/>
      <c r="I48" s="106"/>
      <c r="J48" s="16">
        <f>ROUND(73.0576,2)</f>
        <v>73.06</v>
      </c>
      <c r="K48" s="16"/>
      <c r="L48" s="16"/>
      <c r="M48" s="16"/>
      <c r="N48" s="16"/>
      <c r="O48" s="16">
        <f t="shared" si="12"/>
        <v>10.29</v>
      </c>
      <c r="P48" s="16"/>
      <c r="Q48" s="16"/>
      <c r="R48" s="63"/>
      <c r="S48" s="63">
        <f t="shared" si="3"/>
        <v>0.005</v>
      </c>
      <c r="T48" s="16"/>
      <c r="U48" s="16">
        <f t="shared" si="5"/>
        <v>0.24</v>
      </c>
      <c r="V48" s="16">
        <f t="shared" si="8"/>
        <v>9.26</v>
      </c>
      <c r="W48" s="16">
        <f t="shared" si="8"/>
        <v>9.26</v>
      </c>
      <c r="X48" s="16"/>
      <c r="Y48" s="16"/>
      <c r="Z48" s="16"/>
      <c r="AA48" s="16"/>
      <c r="AB48" s="16"/>
      <c r="AC48" s="16"/>
      <c r="AD48" s="16"/>
      <c r="AE48" s="16"/>
      <c r="AF48" s="78"/>
      <c r="AG48" s="79"/>
    </row>
    <row r="49" spans="1:33" s="5" customFormat="1" ht="21.75" customHeight="1">
      <c r="A49" s="12">
        <f t="shared" si="0"/>
        <v>37</v>
      </c>
      <c r="B49" s="14">
        <f>C48</f>
        <v>42488.47</v>
      </c>
      <c r="C49" s="39">
        <v>42506.61</v>
      </c>
      <c r="D49" s="15" t="s">
        <v>22</v>
      </c>
      <c r="E49" s="16">
        <f t="shared" si="6"/>
        <v>18.139999999999418</v>
      </c>
      <c r="F49" s="104" t="s">
        <v>23</v>
      </c>
      <c r="G49" s="105"/>
      <c r="H49" s="105"/>
      <c r="I49" s="106"/>
      <c r="J49" s="16">
        <f>ROUND(360.1818,2)</f>
        <v>360.18</v>
      </c>
      <c r="K49" s="16"/>
      <c r="L49" s="16"/>
      <c r="M49" s="16"/>
      <c r="N49" s="16"/>
      <c r="O49" s="16">
        <f t="shared" si="12"/>
        <v>27.21</v>
      </c>
      <c r="P49" s="16"/>
      <c r="Q49" s="16"/>
      <c r="R49" s="63"/>
      <c r="S49" s="63">
        <f t="shared" si="3"/>
        <v>0.022</v>
      </c>
      <c r="T49" s="16"/>
      <c r="U49" s="16">
        <f t="shared" si="5"/>
        <v>1.11</v>
      </c>
      <c r="V49" s="16">
        <f t="shared" si="8"/>
        <v>43.04</v>
      </c>
      <c r="W49" s="16">
        <f t="shared" si="8"/>
        <v>43.04</v>
      </c>
      <c r="X49" s="16"/>
      <c r="Y49" s="16"/>
      <c r="Z49" s="16"/>
      <c r="AA49" s="16"/>
      <c r="AB49" s="16"/>
      <c r="AC49" s="16"/>
      <c r="AD49" s="16"/>
      <c r="AE49" s="16"/>
      <c r="AF49" s="78"/>
      <c r="AG49" s="79"/>
    </row>
    <row r="50" spans="1:33" s="5" customFormat="1" ht="21.75" customHeight="1" thickBot="1">
      <c r="A50" s="12">
        <f t="shared" si="0"/>
        <v>38</v>
      </c>
      <c r="B50" s="13"/>
      <c r="C50" s="14"/>
      <c r="D50" s="15"/>
      <c r="E50" s="16"/>
      <c r="F50" s="17"/>
      <c r="G50" s="18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63"/>
      <c r="S50" s="63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03"/>
      <c r="AG50" s="82"/>
    </row>
    <row r="51" spans="1:33" s="5" customFormat="1" ht="21.75" customHeight="1">
      <c r="A51" s="12">
        <f t="shared" si="0"/>
        <v>39</v>
      </c>
      <c r="B51" s="13">
        <v>42662.18</v>
      </c>
      <c r="C51" s="14">
        <v>42684.43</v>
      </c>
      <c r="D51" s="15" t="s">
        <v>22</v>
      </c>
      <c r="E51" s="16">
        <f aca="true" t="shared" si="13" ref="E51:E56">C51-B51</f>
        <v>22.25</v>
      </c>
      <c r="F51" s="104" t="s">
        <v>23</v>
      </c>
      <c r="G51" s="105"/>
      <c r="H51" s="105"/>
      <c r="I51" s="106"/>
      <c r="J51" s="16">
        <f>ROUND(342.7924,2)</f>
        <v>342.79</v>
      </c>
      <c r="K51" s="16"/>
      <c r="L51" s="16"/>
      <c r="M51" s="16"/>
      <c r="N51" s="16"/>
      <c r="O51" s="16">
        <f aca="true" t="shared" si="14" ref="O51:O56">IF($H51=0,ROUND($E51*(O$72/12),2),ROUND($E51*(O$72/12)*$H51,2))</f>
        <v>33.38</v>
      </c>
      <c r="P51" s="16"/>
      <c r="Q51" s="16"/>
      <c r="R51" s="63"/>
      <c r="S51" s="63">
        <f t="shared" si="3"/>
        <v>0.021</v>
      </c>
      <c r="T51" s="16"/>
      <c r="U51" s="16">
        <f t="shared" si="5"/>
        <v>1.08</v>
      </c>
      <c r="V51" s="16">
        <f t="shared" si="8"/>
        <v>41.8</v>
      </c>
      <c r="W51" s="16">
        <f t="shared" si="8"/>
        <v>41.8</v>
      </c>
      <c r="X51" s="16"/>
      <c r="Y51" s="16"/>
      <c r="Z51" s="16"/>
      <c r="AA51" s="16"/>
      <c r="AB51" s="16"/>
      <c r="AC51" s="16"/>
      <c r="AD51" s="16"/>
      <c r="AE51" s="16"/>
      <c r="AF51" s="76" t="s">
        <v>91</v>
      </c>
      <c r="AG51" s="77"/>
    </row>
    <row r="52" spans="1:33" s="5" customFormat="1" ht="21.75" customHeight="1">
      <c r="A52" s="12">
        <f t="shared" si="0"/>
        <v>40</v>
      </c>
      <c r="B52" s="14">
        <f>C51</f>
        <v>42684.43</v>
      </c>
      <c r="C52" s="14">
        <v>42687.13</v>
      </c>
      <c r="D52" s="15" t="s">
        <v>22</v>
      </c>
      <c r="E52" s="16">
        <f t="shared" si="13"/>
        <v>2.6999999999970896</v>
      </c>
      <c r="F52" s="104" t="s">
        <v>23</v>
      </c>
      <c r="G52" s="105"/>
      <c r="H52" s="105"/>
      <c r="I52" s="106"/>
      <c r="J52" s="16">
        <f>ROUND(93.8606,2)</f>
        <v>93.86</v>
      </c>
      <c r="K52" s="16"/>
      <c r="L52" s="16"/>
      <c r="M52" s="16"/>
      <c r="N52" s="16"/>
      <c r="O52" s="16">
        <f t="shared" si="14"/>
        <v>4.05</v>
      </c>
      <c r="P52" s="16"/>
      <c r="Q52" s="16"/>
      <c r="R52" s="63"/>
      <c r="S52" s="63">
        <f t="shared" si="3"/>
        <v>0.005</v>
      </c>
      <c r="T52" s="16"/>
      <c r="U52" s="16">
        <f t="shared" si="5"/>
        <v>0.28</v>
      </c>
      <c r="V52" s="16">
        <f t="shared" si="8"/>
        <v>10.88</v>
      </c>
      <c r="W52" s="16">
        <f t="shared" si="8"/>
        <v>10.88</v>
      </c>
      <c r="X52" s="16"/>
      <c r="Y52" s="16"/>
      <c r="Z52" s="16"/>
      <c r="AA52" s="16"/>
      <c r="AB52" s="16"/>
      <c r="AC52" s="16"/>
      <c r="AD52" s="16"/>
      <c r="AE52" s="16"/>
      <c r="AF52" s="78"/>
      <c r="AG52" s="79"/>
    </row>
    <row r="53" spans="1:33" s="5" customFormat="1" ht="21.75" customHeight="1">
      <c r="A53" s="12">
        <f t="shared" si="0"/>
        <v>41</v>
      </c>
      <c r="B53" s="13">
        <f>C52</f>
        <v>42687.13</v>
      </c>
      <c r="C53" s="14">
        <v>42692.46</v>
      </c>
      <c r="D53" s="15" t="s">
        <v>22</v>
      </c>
      <c r="E53" s="16">
        <f t="shared" si="13"/>
        <v>5.330000000001746</v>
      </c>
      <c r="F53" s="104" t="s">
        <v>23</v>
      </c>
      <c r="G53" s="105"/>
      <c r="H53" s="105"/>
      <c r="I53" s="106"/>
      <c r="J53" s="16">
        <f>ROUND(46.6259,2)</f>
        <v>46.63</v>
      </c>
      <c r="K53" s="16"/>
      <c r="L53" s="16"/>
      <c r="M53" s="16"/>
      <c r="N53" s="16"/>
      <c r="O53" s="16">
        <f t="shared" si="14"/>
        <v>8</v>
      </c>
      <c r="P53" s="16"/>
      <c r="Q53" s="16"/>
      <c r="R53" s="63"/>
      <c r="S53" s="63">
        <f t="shared" si="3"/>
        <v>0.003</v>
      </c>
      <c r="T53" s="16"/>
      <c r="U53" s="16">
        <f t="shared" si="5"/>
        <v>0.16</v>
      </c>
      <c r="V53" s="16">
        <f t="shared" si="8"/>
        <v>6.07</v>
      </c>
      <c r="W53" s="16">
        <f t="shared" si="8"/>
        <v>6.07</v>
      </c>
      <c r="X53" s="16"/>
      <c r="Y53" s="16"/>
      <c r="Z53" s="16"/>
      <c r="AA53" s="16"/>
      <c r="AB53" s="16"/>
      <c r="AC53" s="16"/>
      <c r="AD53" s="16"/>
      <c r="AE53" s="16"/>
      <c r="AF53" s="78"/>
      <c r="AG53" s="79"/>
    </row>
    <row r="54" spans="1:33" s="5" customFormat="1" ht="21.75" customHeight="1">
      <c r="A54" s="12">
        <f t="shared" si="0"/>
        <v>42</v>
      </c>
      <c r="B54" s="13">
        <f>C53</f>
        <v>42692.46</v>
      </c>
      <c r="C54" s="14">
        <v>42841.24</v>
      </c>
      <c r="D54" s="15" t="s">
        <v>22</v>
      </c>
      <c r="E54" s="16">
        <f t="shared" si="13"/>
        <v>148.77999999999884</v>
      </c>
      <c r="F54" s="23">
        <v>17.5</v>
      </c>
      <c r="G54" s="18"/>
      <c r="H54" s="16"/>
      <c r="I54" s="16">
        <f>IF(G54=0,ROUND($E54*$F54,2),ROUND($E54*$F54*$G54,2))</f>
        <v>2603.65</v>
      </c>
      <c r="J54" s="16"/>
      <c r="K54" s="16"/>
      <c r="L54" s="16"/>
      <c r="M54" s="16"/>
      <c r="N54" s="16"/>
      <c r="O54" s="16">
        <f t="shared" si="14"/>
        <v>223.17</v>
      </c>
      <c r="P54" s="16"/>
      <c r="Q54" s="16"/>
      <c r="R54" s="63"/>
      <c r="S54" s="63">
        <f t="shared" si="3"/>
        <v>0.157</v>
      </c>
      <c r="T54" s="16"/>
      <c r="U54" s="16">
        <f t="shared" si="5"/>
        <v>8.13</v>
      </c>
      <c r="V54" s="16">
        <f t="shared" si="8"/>
        <v>314.09</v>
      </c>
      <c r="W54" s="16">
        <f t="shared" si="8"/>
        <v>314.09</v>
      </c>
      <c r="X54" s="16"/>
      <c r="Y54" s="16"/>
      <c r="Z54" s="16"/>
      <c r="AA54" s="16"/>
      <c r="AB54" s="16"/>
      <c r="AC54" s="16"/>
      <c r="AD54" s="16"/>
      <c r="AE54" s="16"/>
      <c r="AF54" s="78"/>
      <c r="AG54" s="79"/>
    </row>
    <row r="55" spans="1:33" s="5" customFormat="1" ht="21.75" customHeight="1">
      <c r="A55" s="12">
        <f t="shared" si="0"/>
        <v>43</v>
      </c>
      <c r="B55" s="13">
        <f>C54</f>
        <v>42841.24</v>
      </c>
      <c r="C55" s="14">
        <v>42868.64</v>
      </c>
      <c r="D55" s="15" t="s">
        <v>22</v>
      </c>
      <c r="E55" s="16">
        <f t="shared" si="13"/>
        <v>27.400000000001455</v>
      </c>
      <c r="F55" s="23">
        <v>17.5</v>
      </c>
      <c r="G55" s="18">
        <f>ROUND((14228.562+12+48+($F55/2))/14228.562,4)</f>
        <v>1.0048</v>
      </c>
      <c r="H55" s="18">
        <f>ROUND((14228.562+12+48+($F55))/14228.562,4)</f>
        <v>1.0054</v>
      </c>
      <c r="I55" s="16">
        <f>IF(G55=0,ROUND($E55*$F55,2),ROUND($E55*$F55*$G55,2))</f>
        <v>481.8</v>
      </c>
      <c r="J55" s="16"/>
      <c r="K55" s="16"/>
      <c r="L55" s="16"/>
      <c r="M55" s="16"/>
      <c r="N55" s="16"/>
      <c r="O55" s="16">
        <f t="shared" si="14"/>
        <v>41.32</v>
      </c>
      <c r="P55" s="16"/>
      <c r="Q55" s="16"/>
      <c r="R55" s="63"/>
      <c r="S55" s="63">
        <f t="shared" si="3"/>
        <v>0.029</v>
      </c>
      <c r="T55" s="16"/>
      <c r="U55" s="16">
        <f t="shared" si="5"/>
        <v>1.5</v>
      </c>
      <c r="V55" s="16">
        <f t="shared" si="8"/>
        <v>58.12</v>
      </c>
      <c r="W55" s="16">
        <f t="shared" si="8"/>
        <v>58.12</v>
      </c>
      <c r="X55" s="16"/>
      <c r="Y55" s="16"/>
      <c r="Z55" s="16"/>
      <c r="AA55" s="16"/>
      <c r="AB55" s="16"/>
      <c r="AC55" s="16"/>
      <c r="AD55" s="16"/>
      <c r="AE55" s="16"/>
      <c r="AF55" s="78"/>
      <c r="AG55" s="79"/>
    </row>
    <row r="56" spans="1:33" s="5" customFormat="1" ht="21.75" customHeight="1">
      <c r="A56" s="12">
        <f t="shared" si="0"/>
        <v>44</v>
      </c>
      <c r="B56" s="13">
        <f>C55</f>
        <v>42868.64</v>
      </c>
      <c r="C56" s="14">
        <v>42884.65</v>
      </c>
      <c r="D56" s="15" t="s">
        <v>22</v>
      </c>
      <c r="E56" s="16">
        <f t="shared" si="13"/>
        <v>16.010000000002037</v>
      </c>
      <c r="F56" s="104" t="s">
        <v>23</v>
      </c>
      <c r="G56" s="105"/>
      <c r="H56" s="105"/>
      <c r="I56" s="106"/>
      <c r="J56" s="16">
        <f>ROUND(314.7192,2)</f>
        <v>314.72</v>
      </c>
      <c r="K56" s="16"/>
      <c r="L56" s="16"/>
      <c r="M56" s="16"/>
      <c r="N56" s="16"/>
      <c r="O56" s="16">
        <f t="shared" si="14"/>
        <v>24.02</v>
      </c>
      <c r="P56" s="16"/>
      <c r="Q56" s="16"/>
      <c r="R56" s="63"/>
      <c r="S56" s="63">
        <f>ROUND(($V56/S$72),3)</f>
        <v>0.019</v>
      </c>
      <c r="T56" s="16"/>
      <c r="U56" s="16">
        <f t="shared" si="5"/>
        <v>0.97</v>
      </c>
      <c r="V56" s="16">
        <f t="shared" si="8"/>
        <v>37.64</v>
      </c>
      <c r="W56" s="16">
        <f t="shared" si="8"/>
        <v>37.64</v>
      </c>
      <c r="X56" s="16"/>
      <c r="Y56" s="16"/>
      <c r="Z56" s="16"/>
      <c r="AA56" s="16"/>
      <c r="AB56" s="16"/>
      <c r="AC56" s="16"/>
      <c r="AD56" s="16"/>
      <c r="AE56" s="16"/>
      <c r="AF56" s="78"/>
      <c r="AG56" s="79"/>
    </row>
    <row r="57" spans="1:33" s="5" customFormat="1" ht="21.75" customHeight="1">
      <c r="A57" s="12">
        <f t="shared" si="0"/>
        <v>45</v>
      </c>
      <c r="B57" s="13"/>
      <c r="C57" s="14"/>
      <c r="D57" s="15"/>
      <c r="E57" s="16"/>
      <c r="F57" s="17"/>
      <c r="G57" s="18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78"/>
      <c r="AG57" s="79"/>
    </row>
    <row r="58" spans="1:33" s="5" customFormat="1" ht="21.75" customHeight="1">
      <c r="A58" s="12">
        <f t="shared" si="0"/>
        <v>46</v>
      </c>
      <c r="B58" s="13"/>
      <c r="C58" s="14"/>
      <c r="D58" s="15"/>
      <c r="E58" s="16"/>
      <c r="F58" s="17"/>
      <c r="G58" s="18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78"/>
      <c r="AG58" s="79"/>
    </row>
    <row r="59" spans="1:33" s="5" customFormat="1" ht="21.75" customHeight="1">
      <c r="A59" s="12">
        <f t="shared" si="0"/>
        <v>47</v>
      </c>
      <c r="B59" s="13"/>
      <c r="C59" s="14"/>
      <c r="D59" s="15"/>
      <c r="E59" s="16"/>
      <c r="F59" s="17"/>
      <c r="G59" s="18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78"/>
      <c r="AG59" s="79"/>
    </row>
    <row r="60" spans="1:33" s="25" customFormat="1" ht="21.75" customHeight="1">
      <c r="A60" s="12">
        <f t="shared" si="0"/>
        <v>48</v>
      </c>
      <c r="B60" s="13"/>
      <c r="C60" s="14"/>
      <c r="D60" s="15"/>
      <c r="E60" s="16"/>
      <c r="F60" s="17"/>
      <c r="G60" s="18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78"/>
      <c r="AG60" s="79"/>
    </row>
    <row r="61" spans="1:33" s="25" customFormat="1" ht="21.75" customHeight="1">
      <c r="A61" s="12">
        <f t="shared" si="0"/>
        <v>49</v>
      </c>
      <c r="B61" s="13"/>
      <c r="C61" s="14"/>
      <c r="D61" s="15"/>
      <c r="E61" s="16"/>
      <c r="F61" s="17"/>
      <c r="G61" s="18"/>
      <c r="H61" s="16"/>
      <c r="I61" s="17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78"/>
      <c r="AG61" s="79"/>
    </row>
    <row r="62" spans="1:33" s="25" customFormat="1" ht="21.75" customHeight="1">
      <c r="A62" s="12">
        <f t="shared" si="0"/>
        <v>50</v>
      </c>
      <c r="B62" s="13"/>
      <c r="C62" s="14"/>
      <c r="D62" s="15"/>
      <c r="E62" s="16"/>
      <c r="F62" s="17"/>
      <c r="G62" s="18"/>
      <c r="H62" s="16"/>
      <c r="I62" s="53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78"/>
      <c r="AG62" s="79"/>
    </row>
    <row r="63" spans="1:33" s="25" customFormat="1" ht="21.75" customHeight="1">
      <c r="A63" s="12">
        <f t="shared" si="0"/>
        <v>51</v>
      </c>
      <c r="B63" s="13"/>
      <c r="C63" s="14"/>
      <c r="D63" s="15"/>
      <c r="E63" s="16"/>
      <c r="F63" s="17"/>
      <c r="G63" s="18"/>
      <c r="H63" s="16"/>
      <c r="I63" s="53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78"/>
      <c r="AG63" s="79"/>
    </row>
    <row r="64" spans="1:33" s="25" customFormat="1" ht="21.75" customHeight="1">
      <c r="A64" s="12">
        <f t="shared" si="0"/>
        <v>52</v>
      </c>
      <c r="B64" s="13"/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80"/>
      <c r="AG64" s="79"/>
    </row>
    <row r="65" spans="1:33" s="25" customFormat="1" ht="21.75" customHeight="1">
      <c r="A65" s="12">
        <f t="shared" si="0"/>
        <v>53</v>
      </c>
      <c r="B65" s="13"/>
      <c r="C65" s="14"/>
      <c r="D65" s="15"/>
      <c r="E65" s="16"/>
      <c r="F65" s="17"/>
      <c r="G65" s="1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80"/>
      <c r="AG65" s="79"/>
    </row>
    <row r="66" spans="1:33" s="25" customFormat="1" ht="21.75" customHeight="1" thickBot="1">
      <c r="A66" s="12">
        <f t="shared" si="0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81"/>
      <c r="AG66" s="82"/>
    </row>
    <row r="67" spans="2:33" s="26" customFormat="1" ht="46.5" customHeight="1">
      <c r="B67" s="95" t="s">
        <v>8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7"/>
      <c r="R67" s="85" t="str">
        <f>IF(SUM(R13:R66)=0," ",ROUNDUP(SUM(R13:R66),0))</f>
        <v> </v>
      </c>
      <c r="S67" s="85">
        <f aca="true" t="shared" si="15" ref="S67:X67">IF(SUM(S13:S66)=0," ",ROUNDUP(SUM(S13:S66),0))</f>
        <v>31</v>
      </c>
      <c r="T67" s="85" t="str">
        <f t="shared" si="15"/>
        <v> </v>
      </c>
      <c r="U67" s="85">
        <f t="shared" si="15"/>
        <v>1578</v>
      </c>
      <c r="V67" s="85">
        <f t="shared" si="15"/>
        <v>60961</v>
      </c>
      <c r="W67" s="85">
        <f t="shared" si="15"/>
        <v>60961</v>
      </c>
      <c r="X67" s="85" t="str">
        <f t="shared" si="15"/>
        <v> </v>
      </c>
      <c r="Y67" s="85" t="str">
        <f aca="true" t="shared" si="16" ref="Y67:AE67">IF(SUM(Y13:Y66)=0," ",ROUNDUP(SUM(Y13:Y66),0))</f>
        <v> </v>
      </c>
      <c r="Z67" s="85" t="str">
        <f t="shared" si="16"/>
        <v> </v>
      </c>
      <c r="AA67" s="85" t="str">
        <f t="shared" si="16"/>
        <v> </v>
      </c>
      <c r="AB67" s="85" t="str">
        <f t="shared" si="16"/>
        <v> </v>
      </c>
      <c r="AC67" s="85" t="str">
        <f t="shared" si="16"/>
        <v> </v>
      </c>
      <c r="AD67" s="85" t="str">
        <f t="shared" si="16"/>
        <v> </v>
      </c>
      <c r="AE67" s="85" t="str">
        <f t="shared" si="16"/>
        <v> </v>
      </c>
      <c r="AF67" s="87">
        <v>2</v>
      </c>
      <c r="AG67" s="88"/>
    </row>
    <row r="68" spans="2:33" s="26" customFormat="1" ht="46.5" customHeight="1" thickBot="1"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100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3">
        <v>16</v>
      </c>
      <c r="AG68" s="84"/>
    </row>
    <row r="69" spans="1:34" ht="36" customHeight="1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T69" s="28"/>
      <c r="U69" s="28"/>
      <c r="V69" s="1"/>
      <c r="W69" s="28"/>
      <c r="X69" s="28"/>
      <c r="Y69" s="28"/>
      <c r="Z69" s="28"/>
      <c r="AA69" s="28"/>
      <c r="AB69" s="28"/>
      <c r="AF69" s="28"/>
      <c r="AG69" s="28"/>
      <c r="AH69" s="29"/>
    </row>
    <row r="70" spans="2:33" ht="12.7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T70" s="28"/>
      <c r="U70" s="28"/>
      <c r="V70" s="1"/>
      <c r="W70" s="28"/>
      <c r="X70" s="28"/>
      <c r="Y70" s="28"/>
      <c r="Z70" s="28"/>
      <c r="AA70" s="28"/>
      <c r="AB70" s="28"/>
      <c r="AF70" s="28"/>
      <c r="AG70" s="28"/>
    </row>
    <row r="71" spans="2:33" ht="12.7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T71" s="28"/>
      <c r="U71" s="28"/>
      <c r="V71" s="1"/>
      <c r="W71" s="28"/>
      <c r="X71" s="28"/>
      <c r="Y71" s="28"/>
      <c r="Z71" s="28"/>
      <c r="AA71" s="28"/>
      <c r="AB71" s="28"/>
      <c r="AF71" s="28"/>
      <c r="AG71" s="28"/>
    </row>
    <row r="72" spans="2:33" ht="15.75">
      <c r="B72" s="64" t="s">
        <v>26</v>
      </c>
      <c r="C72" s="65"/>
      <c r="D72" s="65"/>
      <c r="E72" s="65"/>
      <c r="F72" s="65"/>
      <c r="G72" s="66"/>
      <c r="H72" s="43"/>
      <c r="I72" s="43"/>
      <c r="J72" s="43"/>
      <c r="K72" s="43">
        <v>4</v>
      </c>
      <c r="L72" s="43">
        <v>6</v>
      </c>
      <c r="M72" s="43">
        <v>10</v>
      </c>
      <c r="N72" s="43">
        <v>16</v>
      </c>
      <c r="O72" s="43">
        <v>18</v>
      </c>
      <c r="P72" s="43">
        <v>20</v>
      </c>
      <c r="Q72" s="43">
        <v>22</v>
      </c>
      <c r="R72" s="45"/>
      <c r="S72" s="62">
        <v>2000</v>
      </c>
      <c r="T72" s="44"/>
      <c r="U72" s="44">
        <v>0.75</v>
      </c>
      <c r="V72" s="62"/>
      <c r="W72" s="62">
        <v>12</v>
      </c>
      <c r="X72" s="45"/>
      <c r="Y72" s="44"/>
      <c r="Z72" s="44"/>
      <c r="AA72" s="44"/>
      <c r="AB72" s="44"/>
      <c r="AC72" s="44"/>
      <c r="AD72" s="44"/>
      <c r="AF72" s="28"/>
      <c r="AG72" s="28"/>
    </row>
    <row r="73" spans="2:33" ht="15">
      <c r="B73" s="28"/>
      <c r="C73" s="28"/>
      <c r="D73" s="28"/>
      <c r="E73" s="28"/>
      <c r="F73" s="28"/>
      <c r="G73" s="28"/>
      <c r="H73" s="24"/>
      <c r="I73" s="28"/>
      <c r="J73" s="28"/>
      <c r="K73" s="28"/>
      <c r="L73" s="28"/>
      <c r="M73" s="28"/>
      <c r="N73" s="28"/>
      <c r="O73" s="28"/>
      <c r="P73" s="28"/>
      <c r="Q73" s="28"/>
      <c r="R73" s="24"/>
      <c r="T73" s="43"/>
      <c r="U73" s="43">
        <v>115</v>
      </c>
      <c r="V73" s="62"/>
      <c r="W73" s="46"/>
      <c r="X73" s="28"/>
      <c r="Y73" s="28"/>
      <c r="Z73" s="28"/>
      <c r="AA73" s="28"/>
      <c r="AB73" s="28"/>
      <c r="AF73" s="28"/>
      <c r="AG73" s="28"/>
    </row>
    <row r="74" spans="2:33" ht="15">
      <c r="B74" s="28"/>
      <c r="C74" s="30"/>
      <c r="D74" s="28"/>
      <c r="E74" s="28"/>
      <c r="F74" s="28"/>
      <c r="G74" s="28"/>
      <c r="H74" s="31"/>
      <c r="I74" s="28"/>
      <c r="J74" s="28"/>
      <c r="K74" s="67"/>
      <c r="L74" s="68"/>
      <c r="M74" s="68"/>
      <c r="N74" s="68"/>
      <c r="O74" s="68"/>
      <c r="P74" s="68"/>
      <c r="Q74" s="68"/>
      <c r="R74" s="31"/>
      <c r="S74" s="31"/>
      <c r="T74" s="31"/>
      <c r="U74" s="31">
        <v>0.05</v>
      </c>
      <c r="V74" s="44"/>
      <c r="W74" s="31"/>
      <c r="X74" s="31"/>
      <c r="Y74" s="31"/>
      <c r="Z74" s="31"/>
      <c r="AA74" s="31"/>
      <c r="AB74" s="31"/>
      <c r="AC74" s="31"/>
      <c r="AD74" s="31"/>
      <c r="AE74" s="31"/>
      <c r="AF74" s="28"/>
      <c r="AG74" s="28"/>
    </row>
  </sheetData>
  <sheetProtection/>
  <mergeCells count="58">
    <mergeCell ref="I3:I11"/>
    <mergeCell ref="H3:H11"/>
    <mergeCell ref="F49:I49"/>
    <mergeCell ref="F56:I56"/>
    <mergeCell ref="F53:I53"/>
    <mergeCell ref="F52:I52"/>
    <mergeCell ref="F51:I51"/>
    <mergeCell ref="F48:I48"/>
    <mergeCell ref="D3:D11"/>
    <mergeCell ref="E3:E11"/>
    <mergeCell ref="F3:F11"/>
    <mergeCell ref="G3:G11"/>
    <mergeCell ref="U4:U11"/>
    <mergeCell ref="N3:N11"/>
    <mergeCell ref="M3:M11"/>
    <mergeCell ref="L3:L11"/>
    <mergeCell ref="K3:K11"/>
    <mergeCell ref="J3:J11"/>
    <mergeCell ref="X4:X11"/>
    <mergeCell ref="Y4:Y11"/>
    <mergeCell ref="F47:I47"/>
    <mergeCell ref="Q3:Q11"/>
    <mergeCell ref="AF3:AF5"/>
    <mergeCell ref="O3:O11"/>
    <mergeCell ref="P3:P11"/>
    <mergeCell ref="B14:I14"/>
    <mergeCell ref="V4:V11"/>
    <mergeCell ref="B3:C11"/>
    <mergeCell ref="B67:Q68"/>
    <mergeCell ref="R67:R68"/>
    <mergeCell ref="S67:S68"/>
    <mergeCell ref="AG3:AG5"/>
    <mergeCell ref="R4:R11"/>
    <mergeCell ref="S4:S11"/>
    <mergeCell ref="T4:T11"/>
    <mergeCell ref="AE4:AE11"/>
    <mergeCell ref="AF6:AG50"/>
    <mergeCell ref="AB4:AB11"/>
    <mergeCell ref="AF67:AG67"/>
    <mergeCell ref="W4:W11"/>
    <mergeCell ref="X67:X68"/>
    <mergeCell ref="Y67:Y68"/>
    <mergeCell ref="Z67:Z68"/>
    <mergeCell ref="AA67:AA68"/>
    <mergeCell ref="AC4:AC11"/>
    <mergeCell ref="Z4:Z11"/>
    <mergeCell ref="AA4:AA11"/>
    <mergeCell ref="AD4:AD11"/>
    <mergeCell ref="AF51:AG66"/>
    <mergeCell ref="AF68:AG68"/>
    <mergeCell ref="AB67:AB68"/>
    <mergeCell ref="AC67:AC68"/>
    <mergeCell ref="AD67:AD68"/>
    <mergeCell ref="T67:T68"/>
    <mergeCell ref="U67:U68"/>
    <mergeCell ref="V67:V68"/>
    <mergeCell ref="W67:W68"/>
    <mergeCell ref="AE67:AE68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2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M55" sqref="M55"/>
    </sheetView>
  </sheetViews>
  <sheetFormatPr defaultColWidth="9.140625" defaultRowHeight="12.75"/>
  <cols>
    <col min="1" max="3" width="24.7109375" style="1" customWidth="1"/>
    <col min="4" max="21" width="15.7109375" style="1" customWidth="1"/>
    <col min="22" max="22" width="15.7109375" style="47" customWidth="1"/>
    <col min="23" max="31" width="15.7109375" style="1" customWidth="1"/>
    <col min="32" max="34" width="6.7109375" style="1" customWidth="1"/>
    <col min="35" max="16384" width="9.140625" style="1" customWidth="1"/>
  </cols>
  <sheetData>
    <row r="1" spans="18:27" ht="12.75">
      <c r="R1" s="49"/>
      <c r="S1" s="49"/>
      <c r="T1" s="49"/>
      <c r="U1" s="49"/>
      <c r="V1" s="50"/>
      <c r="W1" s="49"/>
      <c r="X1" s="49"/>
      <c r="Z1" s="49"/>
      <c r="AA1" s="49"/>
    </row>
    <row r="2" spans="1:34" s="4" customFormat="1" ht="36" customHeight="1" thickBot="1">
      <c r="A2" s="2"/>
      <c r="B2" s="32" t="s">
        <v>14</v>
      </c>
      <c r="C2" s="33"/>
      <c r="D2" s="34"/>
      <c r="E2" s="34"/>
      <c r="F2" s="34"/>
      <c r="G2" s="34"/>
      <c r="H2" s="51"/>
      <c r="I2" s="35"/>
      <c r="J2" s="34"/>
      <c r="K2" s="34"/>
      <c r="L2" s="34"/>
      <c r="M2" s="34"/>
      <c r="N2" s="34"/>
      <c r="O2" s="34"/>
      <c r="P2" s="34"/>
      <c r="Q2" s="35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2"/>
      <c r="AD2" s="48"/>
      <c r="AH2" s="3"/>
    </row>
    <row r="3" spans="2:34" s="5" customFormat="1" ht="21.75" customHeight="1">
      <c r="B3" s="95" t="s">
        <v>0</v>
      </c>
      <c r="C3" s="97"/>
      <c r="D3" s="117" t="s">
        <v>3</v>
      </c>
      <c r="E3" s="117" t="s">
        <v>4</v>
      </c>
      <c r="F3" s="117" t="s">
        <v>5</v>
      </c>
      <c r="G3" s="107" t="s">
        <v>12</v>
      </c>
      <c r="H3" s="107" t="s">
        <v>93</v>
      </c>
      <c r="I3" s="117" t="s">
        <v>6</v>
      </c>
      <c r="J3" s="107" t="s">
        <v>10</v>
      </c>
      <c r="K3" s="107"/>
      <c r="L3" s="107"/>
      <c r="M3" s="107"/>
      <c r="N3" s="107" t="s">
        <v>94</v>
      </c>
      <c r="O3" s="107" t="s">
        <v>15</v>
      </c>
      <c r="P3" s="107" t="s">
        <v>16</v>
      </c>
      <c r="Q3" s="107" t="s">
        <v>17</v>
      </c>
      <c r="R3" s="36">
        <v>204</v>
      </c>
      <c r="S3" s="37">
        <v>204</v>
      </c>
      <c r="T3" s="36"/>
      <c r="U3" s="37">
        <v>206</v>
      </c>
      <c r="V3" s="37">
        <v>206</v>
      </c>
      <c r="W3" s="36">
        <v>206</v>
      </c>
      <c r="X3" s="37"/>
      <c r="Y3" s="36"/>
      <c r="Z3" s="37"/>
      <c r="AA3" s="36"/>
      <c r="AB3" s="37"/>
      <c r="AC3" s="36"/>
      <c r="AD3" s="37"/>
      <c r="AE3" s="37"/>
      <c r="AF3" s="101" t="s">
        <v>11</v>
      </c>
      <c r="AG3" s="101" t="s">
        <v>13</v>
      </c>
      <c r="AH3" s="6"/>
    </row>
    <row r="4" spans="2:34" s="5" customFormat="1" ht="27.75" customHeight="1">
      <c r="B4" s="113"/>
      <c r="C4" s="114"/>
      <c r="D4" s="118"/>
      <c r="E4" s="118"/>
      <c r="F4" s="118"/>
      <c r="G4" s="90"/>
      <c r="H4" s="90"/>
      <c r="I4" s="118"/>
      <c r="J4" s="122"/>
      <c r="K4" s="122"/>
      <c r="L4" s="90"/>
      <c r="M4" s="90"/>
      <c r="N4" s="90"/>
      <c r="O4" s="90"/>
      <c r="P4" s="90"/>
      <c r="Q4" s="90"/>
      <c r="R4" s="92" t="s">
        <v>82</v>
      </c>
      <c r="S4" s="89" t="s">
        <v>83</v>
      </c>
      <c r="T4" s="92"/>
      <c r="U4" s="92" t="s">
        <v>92</v>
      </c>
      <c r="V4" s="89" t="s">
        <v>80</v>
      </c>
      <c r="W4" s="89" t="s">
        <v>81</v>
      </c>
      <c r="X4" s="89"/>
      <c r="Y4" s="92"/>
      <c r="Z4" s="89"/>
      <c r="AA4" s="92"/>
      <c r="AB4" s="89"/>
      <c r="AC4" s="92"/>
      <c r="AD4" s="89"/>
      <c r="AE4" s="89"/>
      <c r="AF4" s="108"/>
      <c r="AG4" s="102"/>
      <c r="AH4" s="7"/>
    </row>
    <row r="5" spans="2:33" s="5" customFormat="1" ht="27.75" customHeight="1" thickBot="1">
      <c r="B5" s="113"/>
      <c r="C5" s="114"/>
      <c r="D5" s="118"/>
      <c r="E5" s="118"/>
      <c r="F5" s="118"/>
      <c r="G5" s="90"/>
      <c r="H5" s="90"/>
      <c r="I5" s="118"/>
      <c r="J5" s="122"/>
      <c r="K5" s="122"/>
      <c r="L5" s="90"/>
      <c r="M5" s="90"/>
      <c r="N5" s="90"/>
      <c r="O5" s="90"/>
      <c r="P5" s="90"/>
      <c r="Q5" s="90"/>
      <c r="R5" s="93"/>
      <c r="S5" s="90"/>
      <c r="T5" s="93"/>
      <c r="U5" s="93"/>
      <c r="V5" s="90"/>
      <c r="W5" s="90"/>
      <c r="X5" s="90"/>
      <c r="Y5" s="93"/>
      <c r="Z5" s="90"/>
      <c r="AA5" s="93"/>
      <c r="AB5" s="90"/>
      <c r="AC5" s="93"/>
      <c r="AD5" s="90"/>
      <c r="AE5" s="90"/>
      <c r="AF5" s="109"/>
      <c r="AG5" s="102"/>
    </row>
    <row r="6" spans="2:33" s="5" customFormat="1" ht="27.75" customHeight="1">
      <c r="B6" s="113"/>
      <c r="C6" s="114"/>
      <c r="D6" s="118"/>
      <c r="E6" s="118"/>
      <c r="F6" s="118"/>
      <c r="G6" s="90"/>
      <c r="H6" s="90"/>
      <c r="I6" s="118"/>
      <c r="J6" s="122"/>
      <c r="K6" s="122"/>
      <c r="L6" s="90"/>
      <c r="M6" s="90"/>
      <c r="N6" s="90"/>
      <c r="O6" s="90"/>
      <c r="P6" s="90"/>
      <c r="Q6" s="90"/>
      <c r="R6" s="93"/>
      <c r="S6" s="90"/>
      <c r="T6" s="93"/>
      <c r="U6" s="93"/>
      <c r="V6" s="90"/>
      <c r="W6" s="90"/>
      <c r="X6" s="90"/>
      <c r="Y6" s="93"/>
      <c r="Z6" s="90"/>
      <c r="AA6" s="93"/>
      <c r="AB6" s="90"/>
      <c r="AC6" s="93"/>
      <c r="AD6" s="90"/>
      <c r="AE6" s="90"/>
      <c r="AF6" s="76" t="s">
        <v>79</v>
      </c>
      <c r="AG6" s="77"/>
    </row>
    <row r="7" spans="2:33" s="5" customFormat="1" ht="27.75" customHeight="1">
      <c r="B7" s="113"/>
      <c r="C7" s="114"/>
      <c r="D7" s="118"/>
      <c r="E7" s="118"/>
      <c r="F7" s="118"/>
      <c r="G7" s="90"/>
      <c r="H7" s="90"/>
      <c r="I7" s="118"/>
      <c r="J7" s="122"/>
      <c r="K7" s="122"/>
      <c r="L7" s="90"/>
      <c r="M7" s="90"/>
      <c r="N7" s="90"/>
      <c r="O7" s="90"/>
      <c r="P7" s="90"/>
      <c r="Q7" s="90"/>
      <c r="R7" s="93"/>
      <c r="S7" s="90"/>
      <c r="T7" s="93"/>
      <c r="U7" s="93"/>
      <c r="V7" s="90"/>
      <c r="W7" s="90"/>
      <c r="X7" s="90"/>
      <c r="Y7" s="93"/>
      <c r="Z7" s="90"/>
      <c r="AA7" s="93"/>
      <c r="AB7" s="90"/>
      <c r="AC7" s="93"/>
      <c r="AD7" s="90"/>
      <c r="AE7" s="90"/>
      <c r="AF7" s="78"/>
      <c r="AG7" s="79"/>
    </row>
    <row r="8" spans="2:33" s="5" customFormat="1" ht="27.75" customHeight="1">
      <c r="B8" s="113"/>
      <c r="C8" s="114"/>
      <c r="D8" s="118"/>
      <c r="E8" s="118"/>
      <c r="F8" s="118"/>
      <c r="G8" s="90"/>
      <c r="H8" s="90"/>
      <c r="I8" s="118"/>
      <c r="J8" s="122"/>
      <c r="K8" s="122"/>
      <c r="L8" s="90"/>
      <c r="M8" s="90"/>
      <c r="N8" s="90"/>
      <c r="O8" s="90"/>
      <c r="P8" s="90"/>
      <c r="Q8" s="90"/>
      <c r="R8" s="93"/>
      <c r="S8" s="90"/>
      <c r="T8" s="93"/>
      <c r="U8" s="93"/>
      <c r="V8" s="90"/>
      <c r="W8" s="90"/>
      <c r="X8" s="90"/>
      <c r="Y8" s="93"/>
      <c r="Z8" s="90"/>
      <c r="AA8" s="93"/>
      <c r="AB8" s="90"/>
      <c r="AC8" s="93"/>
      <c r="AD8" s="90"/>
      <c r="AE8" s="90"/>
      <c r="AF8" s="78"/>
      <c r="AG8" s="79"/>
    </row>
    <row r="9" spans="2:33" s="5" customFormat="1" ht="27.75" customHeight="1">
      <c r="B9" s="113"/>
      <c r="C9" s="114"/>
      <c r="D9" s="118"/>
      <c r="E9" s="118"/>
      <c r="F9" s="118"/>
      <c r="G9" s="90"/>
      <c r="H9" s="90"/>
      <c r="I9" s="118"/>
      <c r="J9" s="122"/>
      <c r="K9" s="122"/>
      <c r="L9" s="90"/>
      <c r="M9" s="90"/>
      <c r="N9" s="90"/>
      <c r="O9" s="90"/>
      <c r="P9" s="90"/>
      <c r="Q9" s="90"/>
      <c r="R9" s="93"/>
      <c r="S9" s="90"/>
      <c r="T9" s="93"/>
      <c r="U9" s="93"/>
      <c r="V9" s="90"/>
      <c r="W9" s="90"/>
      <c r="X9" s="90"/>
      <c r="Y9" s="93"/>
      <c r="Z9" s="90"/>
      <c r="AA9" s="93"/>
      <c r="AB9" s="90"/>
      <c r="AC9" s="93"/>
      <c r="AD9" s="90"/>
      <c r="AE9" s="90"/>
      <c r="AF9" s="78"/>
      <c r="AG9" s="79"/>
    </row>
    <row r="10" spans="2:33" s="5" customFormat="1" ht="27.75" customHeight="1">
      <c r="B10" s="113"/>
      <c r="C10" s="114"/>
      <c r="D10" s="118"/>
      <c r="E10" s="118"/>
      <c r="F10" s="118"/>
      <c r="G10" s="90"/>
      <c r="H10" s="90"/>
      <c r="I10" s="118"/>
      <c r="J10" s="122"/>
      <c r="K10" s="122"/>
      <c r="L10" s="90"/>
      <c r="M10" s="90"/>
      <c r="N10" s="90"/>
      <c r="O10" s="90"/>
      <c r="P10" s="90"/>
      <c r="Q10" s="90"/>
      <c r="R10" s="93"/>
      <c r="S10" s="90"/>
      <c r="T10" s="93"/>
      <c r="U10" s="93"/>
      <c r="V10" s="90"/>
      <c r="W10" s="90"/>
      <c r="X10" s="90"/>
      <c r="Y10" s="93"/>
      <c r="Z10" s="90"/>
      <c r="AA10" s="93"/>
      <c r="AB10" s="90"/>
      <c r="AC10" s="93"/>
      <c r="AD10" s="90"/>
      <c r="AE10" s="90"/>
      <c r="AF10" s="78"/>
      <c r="AG10" s="79"/>
    </row>
    <row r="11" spans="2:33" s="8" customFormat="1" ht="27.75" customHeight="1">
      <c r="B11" s="115"/>
      <c r="C11" s="116"/>
      <c r="D11" s="119"/>
      <c r="E11" s="119"/>
      <c r="F11" s="119"/>
      <c r="G11" s="91"/>
      <c r="H11" s="91"/>
      <c r="I11" s="119"/>
      <c r="J11" s="123"/>
      <c r="K11" s="123"/>
      <c r="L11" s="91"/>
      <c r="M11" s="91"/>
      <c r="N11" s="91"/>
      <c r="O11" s="91"/>
      <c r="P11" s="91"/>
      <c r="Q11" s="91"/>
      <c r="R11" s="94"/>
      <c r="S11" s="91"/>
      <c r="T11" s="94"/>
      <c r="U11" s="94"/>
      <c r="V11" s="91"/>
      <c r="W11" s="91"/>
      <c r="X11" s="91"/>
      <c r="Y11" s="94"/>
      <c r="Z11" s="91"/>
      <c r="AA11" s="94"/>
      <c r="AB11" s="91"/>
      <c r="AC11" s="94"/>
      <c r="AD11" s="91"/>
      <c r="AE11" s="91"/>
      <c r="AF11" s="78"/>
      <c r="AG11" s="79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38"/>
      <c r="I12" s="11" t="s">
        <v>9</v>
      </c>
      <c r="J12" s="11" t="s">
        <v>9</v>
      </c>
      <c r="K12" s="11"/>
      <c r="L12" s="11"/>
      <c r="M12" s="11"/>
      <c r="N12" s="11" t="s">
        <v>9</v>
      </c>
      <c r="O12" s="11" t="s">
        <v>9</v>
      </c>
      <c r="P12" s="11" t="s">
        <v>9</v>
      </c>
      <c r="Q12" s="11" t="s">
        <v>9</v>
      </c>
      <c r="R12" s="38" t="s">
        <v>85</v>
      </c>
      <c r="S12" s="11" t="s">
        <v>84</v>
      </c>
      <c r="T12" s="38"/>
      <c r="U12" s="11" t="s">
        <v>86</v>
      </c>
      <c r="V12" s="11" t="s">
        <v>85</v>
      </c>
      <c r="W12" s="38" t="s">
        <v>85</v>
      </c>
      <c r="X12" s="11"/>
      <c r="Y12" s="38"/>
      <c r="Z12" s="11"/>
      <c r="AA12" s="38"/>
      <c r="AB12" s="11"/>
      <c r="AC12" s="38"/>
      <c r="AD12" s="11"/>
      <c r="AE12" s="11"/>
      <c r="AF12" s="78"/>
      <c r="AG12" s="79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78"/>
      <c r="AG13" s="79"/>
    </row>
    <row r="14" spans="1:33" s="5" customFormat="1" ht="21.75" customHeight="1">
      <c r="A14" s="12">
        <f>A13+1</f>
        <v>2</v>
      </c>
      <c r="B14" s="110" t="s">
        <v>75</v>
      </c>
      <c r="C14" s="111"/>
      <c r="D14" s="111"/>
      <c r="E14" s="111"/>
      <c r="F14" s="111"/>
      <c r="G14" s="111"/>
      <c r="H14" s="111"/>
      <c r="I14" s="1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78"/>
      <c r="AG14" s="79"/>
    </row>
    <row r="15" spans="1:33" s="5" customFormat="1" ht="21.75" customHeight="1">
      <c r="A15" s="12">
        <f>A14+1</f>
        <v>3</v>
      </c>
      <c r="B15" s="19" t="s">
        <v>27</v>
      </c>
      <c r="C15" s="60"/>
      <c r="D15" s="15"/>
      <c r="E15" s="16"/>
      <c r="F15" s="23"/>
      <c r="G15" s="18"/>
      <c r="H15" s="16"/>
      <c r="I15" s="16"/>
      <c r="J15" s="16"/>
      <c r="K15" s="16"/>
      <c r="L15" s="15"/>
      <c r="M15" s="15"/>
      <c r="N15" s="15"/>
      <c r="O15" s="15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78"/>
      <c r="AG15" s="79"/>
    </row>
    <row r="16" spans="1:33" s="5" customFormat="1" ht="21.75" customHeight="1">
      <c r="A16" s="12">
        <f>A15+1</f>
        <v>4</v>
      </c>
      <c r="B16" s="14">
        <v>28564.96</v>
      </c>
      <c r="C16" s="39">
        <v>29213.63</v>
      </c>
      <c r="D16" s="15" t="s">
        <v>25</v>
      </c>
      <c r="E16" s="16">
        <f aca="true" t="shared" si="0" ref="E16:E22">C16-B16</f>
        <v>648.6700000000019</v>
      </c>
      <c r="F16" s="16">
        <v>10</v>
      </c>
      <c r="G16" s="18">
        <f aca="true" t="shared" si="1" ref="G16:G21">ROUND((2911.977-($F16/2))/2911.977,4)</f>
        <v>0.9983</v>
      </c>
      <c r="H16" s="18">
        <f aca="true" t="shared" si="2" ref="H16:H21">ROUND((2911.977-($F16))/2911.977,4)</f>
        <v>0.9966</v>
      </c>
      <c r="I16" s="16">
        <f aca="true" t="shared" si="3" ref="I16:I21">IF($G16=0,ROUND($E16*$F16,2),ROUND($E16*$F16*$G16,2))</f>
        <v>6475.67</v>
      </c>
      <c r="J16" s="16"/>
      <c r="K16" s="16"/>
      <c r="L16" s="16"/>
      <c r="M16" s="16"/>
      <c r="N16" s="16"/>
      <c r="O16" s="16">
        <f>IF($H16=0,ROUND($E16*(O$72/12),2),ROUND($E16*(O$72/12)*$H16,2))</f>
        <v>969.7</v>
      </c>
      <c r="P16" s="15"/>
      <c r="Q16" s="16"/>
      <c r="R16" s="16"/>
      <c r="S16" s="63">
        <f>ROUND(($V16/S$72),3)</f>
        <v>0.414</v>
      </c>
      <c r="T16" s="16"/>
      <c r="U16" s="16">
        <f>ROUND((($U$72*$W$72*$U$73*$U$74*$W16)/2000),2)</f>
        <v>21.41</v>
      </c>
      <c r="V16" s="16">
        <f>ROUND((($I16+$J16+$O16+$P16+$Q16)/9),2)</f>
        <v>827.26</v>
      </c>
      <c r="W16" s="16">
        <f>ROUND((($I16+$J16+$O16+$P16+$Q16)/9),2)</f>
        <v>827.26</v>
      </c>
      <c r="X16" s="16"/>
      <c r="Y16" s="16"/>
      <c r="Z16" s="16"/>
      <c r="AA16" s="16"/>
      <c r="AB16" s="16"/>
      <c r="AC16" s="16"/>
      <c r="AD16" s="16"/>
      <c r="AE16" s="16"/>
      <c r="AF16" s="78"/>
      <c r="AG16" s="79"/>
    </row>
    <row r="17" spans="1:33" s="5" customFormat="1" ht="21.75" customHeight="1">
      <c r="A17" s="12">
        <f aca="true" t="shared" si="4" ref="A17:A66">A16+1</f>
        <v>5</v>
      </c>
      <c r="B17" s="13">
        <f aca="true" t="shared" si="5" ref="B17:B22">C16</f>
        <v>29213.63</v>
      </c>
      <c r="C17" s="21">
        <v>29231.83</v>
      </c>
      <c r="D17" s="15" t="s">
        <v>25</v>
      </c>
      <c r="E17" s="16">
        <f t="shared" si="0"/>
        <v>18.200000000000728</v>
      </c>
      <c r="F17" s="16">
        <v>10</v>
      </c>
      <c r="G17" s="18">
        <f t="shared" si="1"/>
        <v>0.9983</v>
      </c>
      <c r="H17" s="18">
        <f t="shared" si="2"/>
        <v>0.9966</v>
      </c>
      <c r="I17" s="16">
        <f t="shared" si="3"/>
        <v>181.69</v>
      </c>
      <c r="J17" s="16"/>
      <c r="K17" s="16"/>
      <c r="L17" s="16"/>
      <c r="M17" s="16"/>
      <c r="N17" s="16"/>
      <c r="O17" s="16">
        <f>IF($H17=0,ROUND($E17*(O$72/12),2),ROUND($E17*(O$72/12)*$H17,2))</f>
        <v>27.21</v>
      </c>
      <c r="P17" s="15"/>
      <c r="Q17" s="16"/>
      <c r="R17" s="16"/>
      <c r="S17" s="63">
        <f aca="true" t="shared" si="6" ref="S17:S61">ROUND(($V17/S$72),3)</f>
        <v>0.012</v>
      </c>
      <c r="T17" s="16"/>
      <c r="U17" s="16">
        <f aca="true" t="shared" si="7" ref="U17:U61">ROUND((($U$72*$W$72*$U$73*$U$74*$W17)/2000),2)</f>
        <v>0.6</v>
      </c>
      <c r="V17" s="16">
        <f aca="true" t="shared" si="8" ref="V17:W49">ROUND((($I17+$J17+$O17+$P17+$Q17)/9),2)</f>
        <v>23.21</v>
      </c>
      <c r="W17" s="16">
        <f t="shared" si="8"/>
        <v>23.21</v>
      </c>
      <c r="X17" s="16"/>
      <c r="Y17" s="16"/>
      <c r="Z17" s="16"/>
      <c r="AA17" s="16"/>
      <c r="AB17" s="16"/>
      <c r="AC17" s="16"/>
      <c r="AD17" s="16"/>
      <c r="AE17" s="16"/>
      <c r="AF17" s="78"/>
      <c r="AG17" s="79"/>
    </row>
    <row r="18" spans="1:33" s="5" customFormat="1" ht="21.75" customHeight="1">
      <c r="A18" s="12">
        <f t="shared" si="4"/>
        <v>6</v>
      </c>
      <c r="B18" s="13">
        <f t="shared" si="5"/>
        <v>29231.83</v>
      </c>
      <c r="C18" s="14">
        <v>29280</v>
      </c>
      <c r="D18" s="15" t="s">
        <v>25</v>
      </c>
      <c r="E18" s="16">
        <f t="shared" si="0"/>
        <v>48.169999999998254</v>
      </c>
      <c r="F18" s="16">
        <v>10</v>
      </c>
      <c r="G18" s="18">
        <f t="shared" si="1"/>
        <v>0.9983</v>
      </c>
      <c r="H18" s="18">
        <f t="shared" si="2"/>
        <v>0.9966</v>
      </c>
      <c r="I18" s="16">
        <f t="shared" si="3"/>
        <v>480.88</v>
      </c>
      <c r="J18" s="16"/>
      <c r="K18" s="16"/>
      <c r="L18" s="16"/>
      <c r="M18" s="16"/>
      <c r="N18" s="16">
        <f>IF($H18=0,ROUND($E18*(N$72/12),2),ROUND($E18*(N$72/12)*$H18,2))</f>
        <v>91.51</v>
      </c>
      <c r="O18" s="16"/>
      <c r="P18" s="16"/>
      <c r="Q18" s="16">
        <f>IF($H18=0,ROUND($E18*(Q$72/12),2),ROUND($E18*(Q$72/12)*$H18,2))</f>
        <v>88.01</v>
      </c>
      <c r="R18" s="16"/>
      <c r="S18" s="63">
        <f t="shared" si="6"/>
        <v>0.032</v>
      </c>
      <c r="T18" s="16"/>
      <c r="U18" s="16">
        <f t="shared" si="7"/>
        <v>1.64</v>
      </c>
      <c r="V18" s="16">
        <f t="shared" si="8"/>
        <v>63.21</v>
      </c>
      <c r="W18" s="16">
        <f t="shared" si="8"/>
        <v>63.21</v>
      </c>
      <c r="X18" s="16"/>
      <c r="Y18" s="16"/>
      <c r="Z18" s="16"/>
      <c r="AA18" s="16"/>
      <c r="AB18" s="16"/>
      <c r="AC18" s="16"/>
      <c r="AD18" s="16"/>
      <c r="AE18" s="16"/>
      <c r="AF18" s="78"/>
      <c r="AG18" s="79"/>
    </row>
    <row r="19" spans="1:33" s="5" customFormat="1" ht="21.75" customHeight="1">
      <c r="A19" s="12">
        <f t="shared" si="4"/>
        <v>7</v>
      </c>
      <c r="B19" s="13">
        <f t="shared" si="5"/>
        <v>29280</v>
      </c>
      <c r="C19" s="14">
        <v>29290</v>
      </c>
      <c r="D19" s="15" t="s">
        <v>25</v>
      </c>
      <c r="E19" s="16">
        <f t="shared" si="0"/>
        <v>10</v>
      </c>
      <c r="F19" s="17">
        <f>ROUND(AVERAGE(10,12),2)</f>
        <v>11</v>
      </c>
      <c r="G19" s="18">
        <f t="shared" si="1"/>
        <v>0.9981</v>
      </c>
      <c r="H19" s="18">
        <f t="shared" si="2"/>
        <v>0.9962</v>
      </c>
      <c r="I19" s="16">
        <f t="shared" si="3"/>
        <v>109.79</v>
      </c>
      <c r="J19" s="16"/>
      <c r="K19" s="16"/>
      <c r="L19" s="16"/>
      <c r="M19" s="16"/>
      <c r="N19" s="16"/>
      <c r="O19" s="16">
        <f>IF($H19=0,ROUND($E19*(O$72/12),2),ROUND($E19*(O$72/12)*$H19,2))</f>
        <v>14.94</v>
      </c>
      <c r="P19" s="16"/>
      <c r="Q19" s="16"/>
      <c r="R19" s="16"/>
      <c r="S19" s="63">
        <f t="shared" si="6"/>
        <v>0.007</v>
      </c>
      <c r="T19" s="16"/>
      <c r="U19" s="16">
        <f t="shared" si="7"/>
        <v>0.36</v>
      </c>
      <c r="V19" s="16">
        <f t="shared" si="8"/>
        <v>13.86</v>
      </c>
      <c r="W19" s="16">
        <f t="shared" si="8"/>
        <v>13.86</v>
      </c>
      <c r="X19" s="16"/>
      <c r="Y19" s="16"/>
      <c r="Z19" s="16"/>
      <c r="AA19" s="16"/>
      <c r="AB19" s="16"/>
      <c r="AC19" s="16"/>
      <c r="AD19" s="16"/>
      <c r="AE19" s="16"/>
      <c r="AF19" s="78"/>
      <c r="AG19" s="79"/>
    </row>
    <row r="20" spans="1:33" s="5" customFormat="1" ht="21.75" customHeight="1">
      <c r="A20" s="12">
        <f t="shared" si="4"/>
        <v>8</v>
      </c>
      <c r="B20" s="13">
        <f t="shared" si="5"/>
        <v>29290</v>
      </c>
      <c r="C20" s="14">
        <v>29428.29</v>
      </c>
      <c r="D20" s="15" t="s">
        <v>25</v>
      </c>
      <c r="E20" s="16">
        <f t="shared" si="0"/>
        <v>138.29000000000087</v>
      </c>
      <c r="F20" s="17">
        <v>12</v>
      </c>
      <c r="G20" s="18">
        <f t="shared" si="1"/>
        <v>0.9979</v>
      </c>
      <c r="H20" s="18">
        <f t="shared" si="2"/>
        <v>0.9959</v>
      </c>
      <c r="I20" s="16">
        <f t="shared" si="3"/>
        <v>1656</v>
      </c>
      <c r="J20" s="16"/>
      <c r="K20" s="16"/>
      <c r="L20" s="16"/>
      <c r="M20" s="16"/>
      <c r="N20" s="16"/>
      <c r="O20" s="16">
        <f aca="true" t="shared" si="9" ref="O20:O27">IF($H20=0,ROUND($E20*(O$72/12),2),ROUND($E20*(O$72/12)*$H20,2))</f>
        <v>206.58</v>
      </c>
      <c r="P20" s="16"/>
      <c r="Q20" s="16"/>
      <c r="R20" s="16"/>
      <c r="S20" s="63">
        <f t="shared" si="6"/>
        <v>0.103</v>
      </c>
      <c r="T20" s="16"/>
      <c r="U20" s="16">
        <f t="shared" si="7"/>
        <v>5.35</v>
      </c>
      <c r="V20" s="16">
        <f t="shared" si="8"/>
        <v>206.95</v>
      </c>
      <c r="W20" s="16">
        <f t="shared" si="8"/>
        <v>206.95</v>
      </c>
      <c r="X20" s="16"/>
      <c r="Y20" s="16"/>
      <c r="Z20" s="16"/>
      <c r="AA20" s="16"/>
      <c r="AB20" s="16"/>
      <c r="AC20" s="16"/>
      <c r="AD20" s="16"/>
      <c r="AE20" s="16"/>
      <c r="AF20" s="78"/>
      <c r="AG20" s="79"/>
    </row>
    <row r="21" spans="1:33" s="5" customFormat="1" ht="21.75" customHeight="1">
      <c r="A21" s="12">
        <f t="shared" si="4"/>
        <v>9</v>
      </c>
      <c r="B21" s="13">
        <f t="shared" si="5"/>
        <v>29428.29</v>
      </c>
      <c r="C21" s="14">
        <v>29471.25</v>
      </c>
      <c r="D21" s="15" t="s">
        <v>25</v>
      </c>
      <c r="E21" s="16">
        <f t="shared" si="0"/>
        <v>42.95999999999913</v>
      </c>
      <c r="F21" s="17">
        <f>ROUND(AVERAGE(10.282,12),2)</f>
        <v>11.14</v>
      </c>
      <c r="G21" s="18">
        <f t="shared" si="1"/>
        <v>0.9981</v>
      </c>
      <c r="H21" s="18">
        <f t="shared" si="2"/>
        <v>0.9962</v>
      </c>
      <c r="I21" s="16">
        <f t="shared" si="3"/>
        <v>477.67</v>
      </c>
      <c r="J21" s="16"/>
      <c r="K21" s="16"/>
      <c r="L21" s="16"/>
      <c r="M21" s="16"/>
      <c r="N21" s="16"/>
      <c r="O21" s="16">
        <f t="shared" si="9"/>
        <v>64.2</v>
      </c>
      <c r="P21" s="16"/>
      <c r="Q21" s="16"/>
      <c r="R21" s="16"/>
      <c r="S21" s="63">
        <f t="shared" si="6"/>
        <v>0.03</v>
      </c>
      <c r="T21" s="16"/>
      <c r="U21" s="16">
        <f t="shared" si="7"/>
        <v>1.56</v>
      </c>
      <c r="V21" s="16">
        <f t="shared" si="8"/>
        <v>60.21</v>
      </c>
      <c r="W21" s="16">
        <f t="shared" si="8"/>
        <v>60.21</v>
      </c>
      <c r="X21" s="16"/>
      <c r="Y21" s="16"/>
      <c r="Z21" s="16"/>
      <c r="AA21" s="16"/>
      <c r="AB21" s="16"/>
      <c r="AC21" s="16"/>
      <c r="AD21" s="16"/>
      <c r="AE21" s="16"/>
      <c r="AF21" s="78"/>
      <c r="AG21" s="79"/>
    </row>
    <row r="22" spans="1:33" s="5" customFormat="1" ht="21.75" customHeight="1">
      <c r="A22" s="12">
        <f t="shared" si="4"/>
        <v>10</v>
      </c>
      <c r="B22" s="13">
        <f t="shared" si="5"/>
        <v>29471.25</v>
      </c>
      <c r="C22" s="14">
        <v>29628.29</v>
      </c>
      <c r="D22" s="15" t="s">
        <v>25</v>
      </c>
      <c r="E22" s="16">
        <f t="shared" si="0"/>
        <v>157.04000000000087</v>
      </c>
      <c r="F22" s="17">
        <f>ROUND(AVERAGE(10.282,4),2)</f>
        <v>7.14</v>
      </c>
      <c r="G22" s="18"/>
      <c r="H22" s="18"/>
      <c r="I22" s="16">
        <f aca="true" t="shared" si="10" ref="I22:I28">IF(G22=0,ROUND($E22*$F22,2),ROUND($E22*$F22*$G22,2))</f>
        <v>1121.27</v>
      </c>
      <c r="J22" s="16"/>
      <c r="K22" s="16"/>
      <c r="L22" s="16"/>
      <c r="M22" s="16"/>
      <c r="N22" s="16"/>
      <c r="O22" s="16">
        <f t="shared" si="9"/>
        <v>235.56</v>
      </c>
      <c r="P22" s="16"/>
      <c r="Q22" s="16"/>
      <c r="R22" s="16"/>
      <c r="S22" s="63">
        <f t="shared" si="6"/>
        <v>0.075</v>
      </c>
      <c r="T22" s="16"/>
      <c r="U22" s="16">
        <f t="shared" si="7"/>
        <v>3.9</v>
      </c>
      <c r="V22" s="16">
        <f t="shared" si="8"/>
        <v>150.76</v>
      </c>
      <c r="W22" s="16">
        <f t="shared" si="8"/>
        <v>150.76</v>
      </c>
      <c r="X22" s="16"/>
      <c r="Y22" s="16"/>
      <c r="Z22" s="16"/>
      <c r="AA22" s="16"/>
      <c r="AB22" s="16"/>
      <c r="AC22" s="16"/>
      <c r="AD22" s="16"/>
      <c r="AE22" s="16"/>
      <c r="AF22" s="78"/>
      <c r="AG22" s="79"/>
    </row>
    <row r="23" spans="1:33" s="5" customFormat="1" ht="21.75" customHeight="1">
      <c r="A23" s="12">
        <f t="shared" si="4"/>
        <v>11</v>
      </c>
      <c r="B23" s="13">
        <f aca="true" t="shared" si="11" ref="B23:B41">C22</f>
        <v>29628.29</v>
      </c>
      <c r="C23" s="14">
        <v>29794.13</v>
      </c>
      <c r="D23" s="15" t="s">
        <v>25</v>
      </c>
      <c r="E23" s="16">
        <f>C23-B23</f>
        <v>165.84000000000015</v>
      </c>
      <c r="F23" s="17">
        <v>4</v>
      </c>
      <c r="G23" s="18"/>
      <c r="H23" s="18"/>
      <c r="I23" s="16">
        <f t="shared" si="10"/>
        <v>663.36</v>
      </c>
      <c r="J23" s="16"/>
      <c r="K23" s="16"/>
      <c r="L23" s="16"/>
      <c r="M23" s="16"/>
      <c r="N23" s="16"/>
      <c r="O23" s="16">
        <f t="shared" si="9"/>
        <v>248.76</v>
      </c>
      <c r="P23" s="16"/>
      <c r="Q23" s="16"/>
      <c r="R23" s="16"/>
      <c r="S23" s="63">
        <f t="shared" si="6"/>
        <v>0.051</v>
      </c>
      <c r="T23" s="16"/>
      <c r="U23" s="16">
        <f t="shared" si="7"/>
        <v>2.62</v>
      </c>
      <c r="V23" s="16">
        <f t="shared" si="8"/>
        <v>101.35</v>
      </c>
      <c r="W23" s="16">
        <f t="shared" si="8"/>
        <v>101.35</v>
      </c>
      <c r="X23" s="16"/>
      <c r="Y23" s="16"/>
      <c r="Z23" s="16"/>
      <c r="AA23" s="16"/>
      <c r="AB23" s="16"/>
      <c r="AC23" s="16"/>
      <c r="AD23" s="16"/>
      <c r="AE23" s="16"/>
      <c r="AF23" s="78"/>
      <c r="AG23" s="79"/>
    </row>
    <row r="24" spans="1:33" s="5" customFormat="1" ht="21.75" customHeight="1">
      <c r="A24" s="12">
        <f t="shared" si="4"/>
        <v>12</v>
      </c>
      <c r="B24" s="13">
        <f t="shared" si="11"/>
        <v>29794.13</v>
      </c>
      <c r="C24" s="14">
        <v>30094.13</v>
      </c>
      <c r="D24" s="15" t="s">
        <v>25</v>
      </c>
      <c r="E24" s="16">
        <f aca="true" t="shared" si="12" ref="E24:E29">C24-B24</f>
        <v>300</v>
      </c>
      <c r="F24" s="17">
        <v>4</v>
      </c>
      <c r="G24" s="18">
        <f>ROUND((5729.578+($F24/2))/5729.578,4)</f>
        <v>1.0003</v>
      </c>
      <c r="H24" s="18">
        <f>ROUND((5729.578+($F24))/5729.578,4)</f>
        <v>1.0007</v>
      </c>
      <c r="I24" s="16">
        <f t="shared" si="10"/>
        <v>1200.36</v>
      </c>
      <c r="J24" s="16"/>
      <c r="K24" s="16"/>
      <c r="L24" s="16"/>
      <c r="M24" s="16"/>
      <c r="N24" s="16"/>
      <c r="O24" s="16">
        <f t="shared" si="9"/>
        <v>450.32</v>
      </c>
      <c r="P24" s="16"/>
      <c r="Q24" s="16"/>
      <c r="R24" s="16"/>
      <c r="S24" s="63">
        <f t="shared" si="6"/>
        <v>0.092</v>
      </c>
      <c r="T24" s="16"/>
      <c r="U24" s="16">
        <f t="shared" si="7"/>
        <v>4.75</v>
      </c>
      <c r="V24" s="16">
        <f t="shared" si="8"/>
        <v>183.41</v>
      </c>
      <c r="W24" s="16">
        <f t="shared" si="8"/>
        <v>183.41</v>
      </c>
      <c r="X24" s="16"/>
      <c r="Y24" s="16"/>
      <c r="Z24" s="16"/>
      <c r="AA24" s="16"/>
      <c r="AB24" s="16"/>
      <c r="AC24" s="16"/>
      <c r="AD24" s="16"/>
      <c r="AE24" s="16"/>
      <c r="AF24" s="78"/>
      <c r="AG24" s="79"/>
    </row>
    <row r="25" spans="1:33" s="5" customFormat="1" ht="21.75" customHeight="1">
      <c r="A25" s="12">
        <f t="shared" si="4"/>
        <v>13</v>
      </c>
      <c r="B25" s="13">
        <f t="shared" si="11"/>
        <v>30094.13</v>
      </c>
      <c r="C25" s="14">
        <v>30530.56</v>
      </c>
      <c r="D25" s="15" t="s">
        <v>25</v>
      </c>
      <c r="E25" s="16">
        <f t="shared" si="12"/>
        <v>436.4300000000003</v>
      </c>
      <c r="F25" s="17">
        <v>4</v>
      </c>
      <c r="G25" s="18"/>
      <c r="H25" s="16"/>
      <c r="I25" s="16">
        <f t="shared" si="10"/>
        <v>1745.72</v>
      </c>
      <c r="J25" s="16"/>
      <c r="K25" s="16"/>
      <c r="L25" s="16"/>
      <c r="M25" s="16"/>
      <c r="N25" s="16"/>
      <c r="O25" s="16">
        <f t="shared" si="9"/>
        <v>654.65</v>
      </c>
      <c r="P25" s="16"/>
      <c r="Q25" s="16"/>
      <c r="R25" s="16"/>
      <c r="S25" s="63">
        <f t="shared" si="6"/>
        <v>0.133</v>
      </c>
      <c r="T25" s="16"/>
      <c r="U25" s="16">
        <f t="shared" si="7"/>
        <v>6.9</v>
      </c>
      <c r="V25" s="16">
        <f t="shared" si="8"/>
        <v>266.71</v>
      </c>
      <c r="W25" s="16">
        <f t="shared" si="8"/>
        <v>266.71</v>
      </c>
      <c r="X25" s="16"/>
      <c r="Y25" s="16"/>
      <c r="Z25" s="16"/>
      <c r="AA25" s="16"/>
      <c r="AB25" s="16"/>
      <c r="AC25" s="16"/>
      <c r="AD25" s="16"/>
      <c r="AE25" s="16"/>
      <c r="AF25" s="78"/>
      <c r="AG25" s="79"/>
    </row>
    <row r="26" spans="1:33" s="5" customFormat="1" ht="21.75" customHeight="1">
      <c r="A26" s="12">
        <f t="shared" si="4"/>
        <v>14</v>
      </c>
      <c r="B26" s="13">
        <f t="shared" si="11"/>
        <v>30530.56</v>
      </c>
      <c r="C26" s="14">
        <v>30730.56</v>
      </c>
      <c r="D26" s="15" t="s">
        <v>25</v>
      </c>
      <c r="E26" s="16">
        <f t="shared" si="12"/>
        <v>200</v>
      </c>
      <c r="F26" s="17">
        <v>4</v>
      </c>
      <c r="G26" s="18">
        <f>ROUND((((477.458-(((3.5+4)/2)/2))/477.458)+1)/2,4)</f>
        <v>0.998</v>
      </c>
      <c r="H26" s="18">
        <f>ROUND((((477.458-(((3.5+4)/2)))/477.458)+1)/2,4)</f>
        <v>0.9961</v>
      </c>
      <c r="I26" s="16">
        <f t="shared" si="10"/>
        <v>798.4</v>
      </c>
      <c r="J26" s="16"/>
      <c r="K26" s="16"/>
      <c r="L26" s="16"/>
      <c r="M26" s="16"/>
      <c r="N26" s="16"/>
      <c r="O26" s="16">
        <f t="shared" si="9"/>
        <v>298.83</v>
      </c>
      <c r="P26" s="16"/>
      <c r="Q26" s="16"/>
      <c r="R26" s="16"/>
      <c r="S26" s="63">
        <f t="shared" si="6"/>
        <v>0.061</v>
      </c>
      <c r="T26" s="16"/>
      <c r="U26" s="16">
        <f t="shared" si="7"/>
        <v>3.15</v>
      </c>
      <c r="V26" s="16">
        <f t="shared" si="8"/>
        <v>121.91</v>
      </c>
      <c r="W26" s="16">
        <f t="shared" si="8"/>
        <v>121.91</v>
      </c>
      <c r="X26" s="16"/>
      <c r="Y26" s="16"/>
      <c r="Z26" s="16"/>
      <c r="AA26" s="16"/>
      <c r="AB26" s="16"/>
      <c r="AC26" s="16"/>
      <c r="AD26" s="16"/>
      <c r="AE26" s="16"/>
      <c r="AF26" s="78"/>
      <c r="AG26" s="79"/>
    </row>
    <row r="27" spans="1:33" s="5" customFormat="1" ht="21.75" customHeight="1">
      <c r="A27" s="12">
        <f t="shared" si="4"/>
        <v>15</v>
      </c>
      <c r="B27" s="13">
        <f t="shared" si="11"/>
        <v>30730.56</v>
      </c>
      <c r="C27" s="14">
        <v>30749.11</v>
      </c>
      <c r="D27" s="15" t="s">
        <v>25</v>
      </c>
      <c r="E27" s="16">
        <f t="shared" si="12"/>
        <v>18.549999999999272</v>
      </c>
      <c r="F27" s="17">
        <v>4</v>
      </c>
      <c r="G27" s="18">
        <f>ROUND((477.458-(3.5/2))/477.458,4)</f>
        <v>0.9963</v>
      </c>
      <c r="H27" s="18">
        <f>ROUND((477.458-(3.5))/477.458,4)</f>
        <v>0.9927</v>
      </c>
      <c r="I27" s="16">
        <f t="shared" si="10"/>
        <v>73.93</v>
      </c>
      <c r="J27" s="16"/>
      <c r="K27" s="16"/>
      <c r="L27" s="16"/>
      <c r="M27" s="16"/>
      <c r="N27" s="16"/>
      <c r="O27" s="16">
        <f t="shared" si="9"/>
        <v>27.62</v>
      </c>
      <c r="P27" s="16"/>
      <c r="Q27" s="16"/>
      <c r="R27" s="16"/>
      <c r="S27" s="63">
        <f t="shared" si="6"/>
        <v>0.006</v>
      </c>
      <c r="T27" s="16"/>
      <c r="U27" s="16">
        <f t="shared" si="7"/>
        <v>0.29</v>
      </c>
      <c r="V27" s="16">
        <f t="shared" si="8"/>
        <v>11.28</v>
      </c>
      <c r="W27" s="16">
        <f t="shared" si="8"/>
        <v>11.28</v>
      </c>
      <c r="X27" s="16"/>
      <c r="Y27" s="16"/>
      <c r="Z27" s="16"/>
      <c r="AA27" s="16"/>
      <c r="AB27" s="16"/>
      <c r="AC27" s="16"/>
      <c r="AD27" s="16"/>
      <c r="AE27" s="16"/>
      <c r="AF27" s="78"/>
      <c r="AG27" s="79"/>
    </row>
    <row r="28" spans="1:33" s="5" customFormat="1" ht="21.75" customHeight="1">
      <c r="A28" s="12">
        <f t="shared" si="4"/>
        <v>16</v>
      </c>
      <c r="B28" s="13">
        <f t="shared" si="11"/>
        <v>30749.11</v>
      </c>
      <c r="C28" s="14">
        <v>30788.67</v>
      </c>
      <c r="D28" s="15" t="s">
        <v>25</v>
      </c>
      <c r="E28" s="16">
        <f t="shared" si="12"/>
        <v>39.55999999999767</v>
      </c>
      <c r="F28" s="17">
        <v>4</v>
      </c>
      <c r="G28" s="18">
        <f>ROUND((477.458-($F28/2))/477.458,4)</f>
        <v>0.9958</v>
      </c>
      <c r="H28" s="18">
        <f>ROUND((477.458-($F28))/477.458,4)</f>
        <v>0.9916</v>
      </c>
      <c r="I28" s="16">
        <f t="shared" si="10"/>
        <v>157.58</v>
      </c>
      <c r="J28" s="16"/>
      <c r="K28" s="16"/>
      <c r="L28" s="16"/>
      <c r="M28" s="16"/>
      <c r="N28" s="16"/>
      <c r="O28" s="16">
        <f>IF($H28=0,ROUND($E28*(O$72/12),2),ROUND($E28*(O$72/12)*$H28,2))</f>
        <v>58.84</v>
      </c>
      <c r="P28" s="16"/>
      <c r="Q28" s="16"/>
      <c r="R28" s="16"/>
      <c r="S28" s="63">
        <f t="shared" si="6"/>
        <v>0.012</v>
      </c>
      <c r="T28" s="16"/>
      <c r="U28" s="16">
        <f t="shared" si="7"/>
        <v>0.62</v>
      </c>
      <c r="V28" s="16">
        <f t="shared" si="8"/>
        <v>24.05</v>
      </c>
      <c r="W28" s="16">
        <f t="shared" si="8"/>
        <v>24.05</v>
      </c>
      <c r="X28" s="16"/>
      <c r="Y28" s="16"/>
      <c r="Z28" s="16"/>
      <c r="AA28" s="16"/>
      <c r="AB28" s="16"/>
      <c r="AC28" s="16"/>
      <c r="AD28" s="16"/>
      <c r="AE28" s="16"/>
      <c r="AF28" s="78"/>
      <c r="AG28" s="79"/>
    </row>
    <row r="29" spans="1:33" s="5" customFormat="1" ht="21.75" customHeight="1">
      <c r="A29" s="12">
        <f t="shared" si="4"/>
        <v>17</v>
      </c>
      <c r="B29" s="13">
        <f t="shared" si="11"/>
        <v>30788.67</v>
      </c>
      <c r="C29" s="14">
        <v>30792.46</v>
      </c>
      <c r="D29" s="15" t="s">
        <v>25</v>
      </c>
      <c r="E29" s="16">
        <f t="shared" si="12"/>
        <v>3.790000000000873</v>
      </c>
      <c r="F29" s="104" t="s">
        <v>23</v>
      </c>
      <c r="G29" s="105"/>
      <c r="H29" s="105"/>
      <c r="I29" s="106"/>
      <c r="J29" s="16">
        <v>15.19</v>
      </c>
      <c r="K29" s="16"/>
      <c r="L29" s="16"/>
      <c r="M29" s="16"/>
      <c r="N29" s="16"/>
      <c r="O29" s="16"/>
      <c r="P29" s="16"/>
      <c r="Q29" s="16"/>
      <c r="R29" s="16"/>
      <c r="S29" s="63">
        <f t="shared" si="6"/>
        <v>0.001</v>
      </c>
      <c r="T29" s="16"/>
      <c r="U29" s="16">
        <f t="shared" si="7"/>
        <v>0.04</v>
      </c>
      <c r="V29" s="16">
        <f t="shared" si="8"/>
        <v>1.69</v>
      </c>
      <c r="W29" s="16">
        <f t="shared" si="8"/>
        <v>1.69</v>
      </c>
      <c r="X29" s="16"/>
      <c r="Y29" s="16"/>
      <c r="Z29" s="16"/>
      <c r="AA29" s="16"/>
      <c r="AB29" s="16"/>
      <c r="AC29" s="16"/>
      <c r="AD29" s="16"/>
      <c r="AE29" s="16"/>
      <c r="AF29" s="78"/>
      <c r="AG29" s="79"/>
    </row>
    <row r="30" spans="1:33" s="5" customFormat="1" ht="21.75" customHeight="1">
      <c r="A30" s="12">
        <f t="shared" si="4"/>
        <v>18</v>
      </c>
      <c r="B30" s="13"/>
      <c r="C30" s="14"/>
      <c r="D30" s="15"/>
      <c r="E30" s="16"/>
      <c r="F30" s="17"/>
      <c r="G30" s="1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63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78"/>
      <c r="AG30" s="79"/>
    </row>
    <row r="31" spans="1:33" s="5" customFormat="1" ht="21.75" customHeight="1">
      <c r="A31" s="12">
        <f t="shared" si="4"/>
        <v>19</v>
      </c>
      <c r="B31" s="13">
        <v>981.21</v>
      </c>
      <c r="C31" s="14">
        <v>983.48</v>
      </c>
      <c r="D31" s="15" t="s">
        <v>25</v>
      </c>
      <c r="E31" s="16">
        <f aca="true" t="shared" si="13" ref="E31:E41">C31-B31</f>
        <v>2.269999999999982</v>
      </c>
      <c r="F31" s="104" t="s">
        <v>23</v>
      </c>
      <c r="G31" s="105"/>
      <c r="H31" s="105"/>
      <c r="I31" s="106"/>
      <c r="J31" s="16">
        <v>4.51</v>
      </c>
      <c r="K31" s="16"/>
      <c r="L31" s="16"/>
      <c r="M31" s="16"/>
      <c r="N31" s="16"/>
      <c r="O31" s="16">
        <f aca="true" t="shared" si="14" ref="O31:O37">IF($H31=0,ROUND($E31*(O$72/12),2),ROUND($E31*(O$72/12)*$H31,2))</f>
        <v>3.4</v>
      </c>
      <c r="P31" s="16"/>
      <c r="Q31" s="16"/>
      <c r="R31" s="16"/>
      <c r="S31" s="63">
        <f t="shared" si="6"/>
        <v>0</v>
      </c>
      <c r="T31" s="16"/>
      <c r="U31" s="16">
        <f t="shared" si="7"/>
        <v>0.02</v>
      </c>
      <c r="V31" s="16">
        <f t="shared" si="8"/>
        <v>0.88</v>
      </c>
      <c r="W31" s="16">
        <f t="shared" si="8"/>
        <v>0.88</v>
      </c>
      <c r="X31" s="16"/>
      <c r="Y31" s="16"/>
      <c r="Z31" s="16"/>
      <c r="AA31" s="16"/>
      <c r="AB31" s="16"/>
      <c r="AC31" s="16"/>
      <c r="AD31" s="16"/>
      <c r="AE31" s="16"/>
      <c r="AF31" s="78"/>
      <c r="AG31" s="79"/>
    </row>
    <row r="32" spans="1:33" s="5" customFormat="1" ht="21.75" customHeight="1">
      <c r="A32" s="12">
        <f t="shared" si="4"/>
        <v>20</v>
      </c>
      <c r="B32" s="13">
        <f>C31</f>
        <v>983.48</v>
      </c>
      <c r="C32" s="14">
        <v>1000</v>
      </c>
      <c r="D32" s="15" t="s">
        <v>25</v>
      </c>
      <c r="E32" s="16">
        <f t="shared" si="13"/>
        <v>16.519999999999982</v>
      </c>
      <c r="F32" s="17">
        <v>4</v>
      </c>
      <c r="G32" s="18">
        <f>ROUND((477.458-(3.5/2))/477.458,4)</f>
        <v>0.9963</v>
      </c>
      <c r="H32" s="18">
        <f>ROUND((477.458-(3.5))/477.458,4)</f>
        <v>0.9927</v>
      </c>
      <c r="I32" s="16">
        <f aca="true" t="shared" si="15" ref="I32:I40">IF(G32=0,ROUND($E32*$F32,2),ROUND($E32*$F32*$G32,2))</f>
        <v>65.84</v>
      </c>
      <c r="J32" s="16"/>
      <c r="K32" s="16"/>
      <c r="L32" s="16"/>
      <c r="M32" s="16"/>
      <c r="N32" s="16"/>
      <c r="O32" s="16">
        <f t="shared" si="14"/>
        <v>24.6</v>
      </c>
      <c r="P32" s="16"/>
      <c r="Q32" s="16"/>
      <c r="R32" s="16"/>
      <c r="S32" s="63">
        <f t="shared" si="6"/>
        <v>0.005</v>
      </c>
      <c r="T32" s="16"/>
      <c r="U32" s="16">
        <f t="shared" si="7"/>
        <v>0.26</v>
      </c>
      <c r="V32" s="16">
        <f t="shared" si="8"/>
        <v>10.05</v>
      </c>
      <c r="W32" s="16">
        <f t="shared" si="8"/>
        <v>10.05</v>
      </c>
      <c r="X32" s="16"/>
      <c r="Y32" s="16"/>
      <c r="Z32" s="16"/>
      <c r="AA32" s="16"/>
      <c r="AB32" s="16"/>
      <c r="AC32" s="16"/>
      <c r="AD32" s="16"/>
      <c r="AE32" s="16"/>
      <c r="AF32" s="78"/>
      <c r="AG32" s="79"/>
    </row>
    <row r="33" spans="1:33" s="5" customFormat="1" ht="21.75" customHeight="1">
      <c r="A33" s="12">
        <f t="shared" si="4"/>
        <v>21</v>
      </c>
      <c r="B33" s="13">
        <f t="shared" si="11"/>
        <v>1000</v>
      </c>
      <c r="C33" s="14">
        <v>1100</v>
      </c>
      <c r="D33" s="15" t="s">
        <v>25</v>
      </c>
      <c r="E33" s="16">
        <f t="shared" si="13"/>
        <v>100</v>
      </c>
      <c r="F33" s="17">
        <v>4</v>
      </c>
      <c r="G33" s="18">
        <f>ROUND((477.458-(((4+3.5)/2)/2))/477.458,4)</f>
        <v>0.9961</v>
      </c>
      <c r="H33" s="18">
        <f>ROUND((477.458-(((4+3.5)/2)))/477.458,4)</f>
        <v>0.9921</v>
      </c>
      <c r="I33" s="16">
        <f t="shared" si="15"/>
        <v>398.44</v>
      </c>
      <c r="J33" s="16"/>
      <c r="K33" s="16"/>
      <c r="L33" s="16"/>
      <c r="M33" s="16"/>
      <c r="N33" s="16"/>
      <c r="O33" s="16">
        <f t="shared" si="14"/>
        <v>148.82</v>
      </c>
      <c r="P33" s="16"/>
      <c r="Q33" s="16"/>
      <c r="R33" s="16"/>
      <c r="S33" s="63">
        <f t="shared" si="6"/>
        <v>0.03</v>
      </c>
      <c r="T33" s="16"/>
      <c r="U33" s="16">
        <f t="shared" si="7"/>
        <v>1.57</v>
      </c>
      <c r="V33" s="16">
        <f t="shared" si="8"/>
        <v>60.81</v>
      </c>
      <c r="W33" s="16">
        <f t="shared" si="8"/>
        <v>60.81</v>
      </c>
      <c r="X33" s="16"/>
      <c r="Y33" s="16"/>
      <c r="Z33" s="16"/>
      <c r="AA33" s="16"/>
      <c r="AB33" s="16"/>
      <c r="AC33" s="16"/>
      <c r="AD33" s="16"/>
      <c r="AE33" s="16"/>
      <c r="AF33" s="78"/>
      <c r="AG33" s="79"/>
    </row>
    <row r="34" spans="1:33" s="5" customFormat="1" ht="21.75" customHeight="1">
      <c r="A34" s="12">
        <f t="shared" si="4"/>
        <v>22</v>
      </c>
      <c r="B34" s="13">
        <f t="shared" si="11"/>
        <v>1100</v>
      </c>
      <c r="C34" s="14">
        <v>1387.73</v>
      </c>
      <c r="D34" s="15" t="s">
        <v>25</v>
      </c>
      <c r="E34" s="16">
        <f t="shared" si="13"/>
        <v>287.73</v>
      </c>
      <c r="F34" s="17">
        <v>4</v>
      </c>
      <c r="G34" s="18">
        <f>ROUND((477.458-($F34/2))/477.458,4)</f>
        <v>0.9958</v>
      </c>
      <c r="H34" s="18">
        <f>ROUND((477.458-($F34))/477.458,4)</f>
        <v>0.9916</v>
      </c>
      <c r="I34" s="16">
        <f t="shared" si="15"/>
        <v>1146.09</v>
      </c>
      <c r="J34" s="16"/>
      <c r="K34" s="16"/>
      <c r="L34" s="16"/>
      <c r="M34" s="16"/>
      <c r="N34" s="16"/>
      <c r="O34" s="16">
        <f t="shared" si="14"/>
        <v>427.97</v>
      </c>
      <c r="P34" s="16"/>
      <c r="Q34" s="16"/>
      <c r="R34" s="16"/>
      <c r="S34" s="63">
        <f t="shared" si="6"/>
        <v>0.087</v>
      </c>
      <c r="T34" s="16"/>
      <c r="U34" s="16">
        <f t="shared" si="7"/>
        <v>4.53</v>
      </c>
      <c r="V34" s="16">
        <f t="shared" si="8"/>
        <v>174.9</v>
      </c>
      <c r="W34" s="16">
        <f t="shared" si="8"/>
        <v>174.9</v>
      </c>
      <c r="X34" s="16"/>
      <c r="Y34" s="16"/>
      <c r="Z34" s="16"/>
      <c r="AA34" s="16"/>
      <c r="AB34" s="16"/>
      <c r="AC34" s="16"/>
      <c r="AD34" s="16"/>
      <c r="AE34" s="16"/>
      <c r="AF34" s="78"/>
      <c r="AG34" s="79"/>
    </row>
    <row r="35" spans="1:33" s="5" customFormat="1" ht="21.75" customHeight="1">
      <c r="A35" s="12">
        <f t="shared" si="4"/>
        <v>23</v>
      </c>
      <c r="B35" s="13">
        <f t="shared" si="11"/>
        <v>1387.73</v>
      </c>
      <c r="C35" s="14">
        <v>1962.73</v>
      </c>
      <c r="D35" s="15" t="s">
        <v>25</v>
      </c>
      <c r="E35" s="16">
        <f t="shared" si="13"/>
        <v>575</v>
      </c>
      <c r="F35" s="17">
        <v>4</v>
      </c>
      <c r="G35" s="18">
        <f>ROUND((1+((848.826+($F35/2))/848.826))/2,4)</f>
        <v>1.0012</v>
      </c>
      <c r="H35" s="18">
        <f>ROUND((1+((848.826+($F35))/848.826))/2,4)</f>
        <v>1.0024</v>
      </c>
      <c r="I35" s="16">
        <f t="shared" si="15"/>
        <v>2302.76</v>
      </c>
      <c r="J35" s="16"/>
      <c r="K35" s="16"/>
      <c r="L35" s="16"/>
      <c r="M35" s="16"/>
      <c r="N35" s="16"/>
      <c r="O35" s="16">
        <f t="shared" si="14"/>
        <v>864.57</v>
      </c>
      <c r="P35" s="16"/>
      <c r="Q35" s="16"/>
      <c r="R35" s="16"/>
      <c r="S35" s="63">
        <f t="shared" si="6"/>
        <v>0.176</v>
      </c>
      <c r="T35" s="16"/>
      <c r="U35" s="16">
        <f t="shared" si="7"/>
        <v>9.11</v>
      </c>
      <c r="V35" s="16">
        <f t="shared" si="8"/>
        <v>351.93</v>
      </c>
      <c r="W35" s="16">
        <f t="shared" si="8"/>
        <v>351.93</v>
      </c>
      <c r="X35" s="16"/>
      <c r="Y35" s="16"/>
      <c r="Z35" s="16"/>
      <c r="AA35" s="16"/>
      <c r="AB35" s="16"/>
      <c r="AC35" s="16"/>
      <c r="AD35" s="16"/>
      <c r="AE35" s="16"/>
      <c r="AF35" s="78"/>
      <c r="AG35" s="79"/>
    </row>
    <row r="36" spans="1:33" s="5" customFormat="1" ht="21.75" customHeight="1">
      <c r="A36" s="12">
        <f t="shared" si="4"/>
        <v>24</v>
      </c>
      <c r="B36" s="13">
        <f t="shared" si="11"/>
        <v>1962.73</v>
      </c>
      <c r="C36" s="14">
        <v>2239.81</v>
      </c>
      <c r="D36" s="15" t="s">
        <v>25</v>
      </c>
      <c r="E36" s="16">
        <f t="shared" si="13"/>
        <v>277.0799999999999</v>
      </c>
      <c r="F36" s="17">
        <v>4</v>
      </c>
      <c r="G36" s="18">
        <f>ROUND((848.826+($F36/2))/848.826,4)</f>
        <v>1.0024</v>
      </c>
      <c r="H36" s="18">
        <f>ROUND((848.826+($F36))/848.826,4)</f>
        <v>1.0047</v>
      </c>
      <c r="I36" s="16">
        <f t="shared" si="15"/>
        <v>1110.98</v>
      </c>
      <c r="J36" s="16"/>
      <c r="K36" s="16"/>
      <c r="L36" s="16"/>
      <c r="M36" s="16"/>
      <c r="N36" s="16"/>
      <c r="O36" s="16">
        <f t="shared" si="14"/>
        <v>417.57</v>
      </c>
      <c r="P36" s="16"/>
      <c r="Q36" s="16"/>
      <c r="R36" s="16"/>
      <c r="S36" s="63">
        <f t="shared" si="6"/>
        <v>0.085</v>
      </c>
      <c r="T36" s="16"/>
      <c r="U36" s="16">
        <f t="shared" si="7"/>
        <v>4.39</v>
      </c>
      <c r="V36" s="16">
        <f t="shared" si="8"/>
        <v>169.84</v>
      </c>
      <c r="W36" s="16">
        <f t="shared" si="8"/>
        <v>169.84</v>
      </c>
      <c r="X36" s="16"/>
      <c r="Y36" s="16"/>
      <c r="Z36" s="16"/>
      <c r="AA36" s="16"/>
      <c r="AB36" s="16"/>
      <c r="AC36" s="16"/>
      <c r="AD36" s="16"/>
      <c r="AE36" s="16"/>
      <c r="AF36" s="78"/>
      <c r="AG36" s="79"/>
    </row>
    <row r="37" spans="1:33" s="5" customFormat="1" ht="21.75" customHeight="1">
      <c r="A37" s="12">
        <f t="shared" si="4"/>
        <v>25</v>
      </c>
      <c r="B37" s="13">
        <f t="shared" si="11"/>
        <v>2239.81</v>
      </c>
      <c r="C37" s="14">
        <v>2318.76</v>
      </c>
      <c r="D37" s="15" t="s">
        <v>25</v>
      </c>
      <c r="E37" s="16">
        <f t="shared" si="13"/>
        <v>78.95000000000027</v>
      </c>
      <c r="F37" s="104" t="s">
        <v>23</v>
      </c>
      <c r="G37" s="105"/>
      <c r="H37" s="105"/>
      <c r="I37" s="106"/>
      <c r="J37" s="16">
        <v>315.805</v>
      </c>
      <c r="K37" s="16"/>
      <c r="L37" s="16"/>
      <c r="M37" s="16"/>
      <c r="N37" s="16"/>
      <c r="O37" s="16">
        <f t="shared" si="14"/>
        <v>118.43</v>
      </c>
      <c r="P37" s="16"/>
      <c r="Q37" s="16"/>
      <c r="R37" s="16"/>
      <c r="S37" s="63">
        <f t="shared" si="6"/>
        <v>0.024</v>
      </c>
      <c r="T37" s="16"/>
      <c r="U37" s="16">
        <f t="shared" si="7"/>
        <v>1.25</v>
      </c>
      <c r="V37" s="16">
        <f t="shared" si="8"/>
        <v>48.25</v>
      </c>
      <c r="W37" s="16">
        <f t="shared" si="8"/>
        <v>48.25</v>
      </c>
      <c r="X37" s="16"/>
      <c r="Y37" s="16"/>
      <c r="Z37" s="16"/>
      <c r="AA37" s="16"/>
      <c r="AB37" s="16"/>
      <c r="AC37" s="16"/>
      <c r="AD37" s="16"/>
      <c r="AE37" s="16"/>
      <c r="AF37" s="78"/>
      <c r="AG37" s="79"/>
    </row>
    <row r="38" spans="1:33" s="5" customFormat="1" ht="21.75" customHeight="1">
      <c r="A38" s="12">
        <f t="shared" si="4"/>
        <v>26</v>
      </c>
      <c r="B38" s="13"/>
      <c r="C38" s="14"/>
      <c r="D38" s="15"/>
      <c r="E38" s="16"/>
      <c r="F38" s="23"/>
      <c r="G38" s="1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63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78"/>
      <c r="AG38" s="79"/>
    </row>
    <row r="39" spans="1:33" s="5" customFormat="1" ht="21.75" customHeight="1">
      <c r="A39" s="12">
        <f t="shared" si="4"/>
        <v>27</v>
      </c>
      <c r="B39" s="13">
        <v>29477.53</v>
      </c>
      <c r="C39" s="14">
        <v>29500</v>
      </c>
      <c r="D39" s="15" t="s">
        <v>20</v>
      </c>
      <c r="E39" s="16">
        <f t="shared" si="13"/>
        <v>22.470000000001164</v>
      </c>
      <c r="F39" s="104" t="s">
        <v>23</v>
      </c>
      <c r="G39" s="105"/>
      <c r="H39" s="105"/>
      <c r="I39" s="106"/>
      <c r="J39" s="16">
        <v>220.88</v>
      </c>
      <c r="K39" s="16"/>
      <c r="L39" s="16"/>
      <c r="M39" s="16"/>
      <c r="N39" s="16"/>
      <c r="O39" s="16"/>
      <c r="P39" s="16">
        <f>IF($H39=0,ROUND($E39*(P$72/12),2),ROUND($E39*(P$72/12)*$H39,2))</f>
        <v>37.45</v>
      </c>
      <c r="Q39" s="16">
        <f>IF($H39=0,ROUND($E39*(Q$72/12),2),ROUND($E39*(Q$72/12)*$H39,2))</f>
        <v>41.2</v>
      </c>
      <c r="R39" s="16"/>
      <c r="S39" s="63">
        <f t="shared" si="6"/>
        <v>0.017</v>
      </c>
      <c r="T39" s="16"/>
      <c r="U39" s="16">
        <f t="shared" si="7"/>
        <v>0.86</v>
      </c>
      <c r="V39" s="16">
        <f t="shared" si="8"/>
        <v>33.28</v>
      </c>
      <c r="W39" s="16">
        <f t="shared" si="8"/>
        <v>33.28</v>
      </c>
      <c r="X39" s="16"/>
      <c r="Y39" s="16"/>
      <c r="Z39" s="16"/>
      <c r="AA39" s="16"/>
      <c r="AB39" s="16"/>
      <c r="AC39" s="16"/>
      <c r="AD39" s="16"/>
      <c r="AE39" s="16"/>
      <c r="AF39" s="78"/>
      <c r="AG39" s="79"/>
    </row>
    <row r="40" spans="1:33" s="5" customFormat="1" ht="21.75" customHeight="1">
      <c r="A40" s="12">
        <f t="shared" si="4"/>
        <v>28</v>
      </c>
      <c r="B40" s="13">
        <f t="shared" si="11"/>
        <v>29500</v>
      </c>
      <c r="C40" s="14">
        <v>29750</v>
      </c>
      <c r="D40" s="15" t="s">
        <v>20</v>
      </c>
      <c r="E40" s="16">
        <f t="shared" si="13"/>
        <v>250</v>
      </c>
      <c r="F40" s="17">
        <v>10</v>
      </c>
      <c r="G40" s="18"/>
      <c r="H40" s="16"/>
      <c r="I40" s="16">
        <f t="shared" si="15"/>
        <v>2500</v>
      </c>
      <c r="J40" s="16"/>
      <c r="K40" s="16"/>
      <c r="L40" s="16"/>
      <c r="M40" s="16"/>
      <c r="N40" s="16"/>
      <c r="O40" s="16"/>
      <c r="P40" s="16">
        <f>IF($H40=0,ROUND($E40*(P$72/12),2),ROUND($E40*(P$72/12)*$H40,2))</f>
        <v>416.67</v>
      </c>
      <c r="Q40" s="16">
        <f>IF($H40=0,ROUND($E40*(Q$72/12),2),ROUND($E40*(Q$72/12)*$H40,2))</f>
        <v>458.33</v>
      </c>
      <c r="R40" s="16"/>
      <c r="S40" s="63">
        <f t="shared" si="6"/>
        <v>0.188</v>
      </c>
      <c r="T40" s="16"/>
      <c r="U40" s="16">
        <f t="shared" si="7"/>
        <v>9.7</v>
      </c>
      <c r="V40" s="16">
        <f t="shared" si="8"/>
        <v>375</v>
      </c>
      <c r="W40" s="16">
        <f t="shared" si="8"/>
        <v>375</v>
      </c>
      <c r="X40" s="16"/>
      <c r="Y40" s="16"/>
      <c r="Z40" s="16"/>
      <c r="AA40" s="16"/>
      <c r="AB40" s="16"/>
      <c r="AC40" s="16"/>
      <c r="AD40" s="16"/>
      <c r="AE40" s="16"/>
      <c r="AF40" s="78"/>
      <c r="AG40" s="79"/>
    </row>
    <row r="41" spans="1:33" s="5" customFormat="1" ht="21.75" customHeight="1">
      <c r="A41" s="12">
        <f t="shared" si="4"/>
        <v>29</v>
      </c>
      <c r="B41" s="13">
        <f t="shared" si="11"/>
        <v>29750</v>
      </c>
      <c r="C41" s="14">
        <v>29794.13</v>
      </c>
      <c r="D41" s="15" t="s">
        <v>20</v>
      </c>
      <c r="E41" s="16">
        <f t="shared" si="13"/>
        <v>44.13000000000102</v>
      </c>
      <c r="F41" s="17">
        <v>10</v>
      </c>
      <c r="G41" s="18"/>
      <c r="H41" s="16"/>
      <c r="I41" s="16">
        <f aca="true" t="shared" si="16" ref="I41:I48">IF(G41=0,ROUND($E41*$F41,2),ROUND($E41*$F41*$G41,2))</f>
        <v>441.3</v>
      </c>
      <c r="J41" s="16"/>
      <c r="K41" s="16"/>
      <c r="L41" s="16"/>
      <c r="M41" s="16"/>
      <c r="N41" s="16"/>
      <c r="O41" s="16">
        <f aca="true" t="shared" si="17" ref="O41:O49">IF($H41=0,ROUND($E41*(O$72/12),2),ROUND($E41*(O$72/12)*$H41,2))</f>
        <v>66.2</v>
      </c>
      <c r="P41" s="16"/>
      <c r="Q41" s="16"/>
      <c r="R41" s="16"/>
      <c r="S41" s="63">
        <f t="shared" si="6"/>
        <v>0.028</v>
      </c>
      <c r="T41" s="16"/>
      <c r="U41" s="16">
        <f t="shared" si="7"/>
        <v>1.46</v>
      </c>
      <c r="V41" s="16">
        <f t="shared" si="8"/>
        <v>56.39</v>
      </c>
      <c r="W41" s="16">
        <f t="shared" si="8"/>
        <v>56.39</v>
      </c>
      <c r="X41" s="16"/>
      <c r="Y41" s="16"/>
      <c r="Z41" s="16"/>
      <c r="AA41" s="16"/>
      <c r="AB41" s="16"/>
      <c r="AC41" s="16"/>
      <c r="AD41" s="16"/>
      <c r="AE41" s="16"/>
      <c r="AF41" s="78"/>
      <c r="AG41" s="79"/>
    </row>
    <row r="42" spans="1:33" s="5" customFormat="1" ht="21.75" customHeight="1">
      <c r="A42" s="12">
        <f t="shared" si="4"/>
        <v>30</v>
      </c>
      <c r="B42" s="14">
        <f aca="true" t="shared" si="18" ref="B42:B47">C41</f>
        <v>29794.13</v>
      </c>
      <c r="C42" s="14">
        <v>30094.13</v>
      </c>
      <c r="D42" s="15" t="s">
        <v>20</v>
      </c>
      <c r="E42" s="16">
        <f aca="true" t="shared" si="19" ref="E42:E61">C42-B42</f>
        <v>300</v>
      </c>
      <c r="F42" s="17">
        <v>10</v>
      </c>
      <c r="G42" s="18">
        <f>ROUND((5729.578-24-($F42/2))/5729.578,4)</f>
        <v>0.9949</v>
      </c>
      <c r="H42" s="18">
        <f>ROUND((5729.578-24-($F42))/5729.578,4)</f>
        <v>0.9941</v>
      </c>
      <c r="I42" s="16">
        <f t="shared" si="16"/>
        <v>2984.7</v>
      </c>
      <c r="J42" s="16"/>
      <c r="K42" s="16"/>
      <c r="L42" s="16"/>
      <c r="M42" s="16"/>
      <c r="N42" s="16"/>
      <c r="O42" s="16">
        <f t="shared" si="17"/>
        <v>447.35</v>
      </c>
      <c r="P42" s="16"/>
      <c r="Q42" s="16"/>
      <c r="R42" s="16"/>
      <c r="S42" s="63">
        <f t="shared" si="6"/>
        <v>0.191</v>
      </c>
      <c r="T42" s="16"/>
      <c r="U42" s="16">
        <f t="shared" si="7"/>
        <v>9.87</v>
      </c>
      <c r="V42" s="16">
        <f t="shared" si="8"/>
        <v>381.34</v>
      </c>
      <c r="W42" s="16">
        <f t="shared" si="8"/>
        <v>381.34</v>
      </c>
      <c r="X42" s="16"/>
      <c r="Y42" s="16"/>
      <c r="Z42" s="16"/>
      <c r="AA42" s="16"/>
      <c r="AB42" s="16"/>
      <c r="AC42" s="16"/>
      <c r="AD42" s="16"/>
      <c r="AE42" s="16"/>
      <c r="AF42" s="78"/>
      <c r="AG42" s="79"/>
    </row>
    <row r="43" spans="1:33" s="5" customFormat="1" ht="21.75" customHeight="1">
      <c r="A43" s="12">
        <f t="shared" si="4"/>
        <v>31</v>
      </c>
      <c r="B43" s="13">
        <f t="shared" si="18"/>
        <v>30094.13</v>
      </c>
      <c r="C43" s="14">
        <v>30530.56</v>
      </c>
      <c r="D43" s="15" t="s">
        <v>20</v>
      </c>
      <c r="E43" s="16">
        <f t="shared" si="19"/>
        <v>436.4300000000003</v>
      </c>
      <c r="F43" s="17">
        <v>10</v>
      </c>
      <c r="G43" s="18"/>
      <c r="H43" s="18"/>
      <c r="I43" s="16">
        <f t="shared" si="16"/>
        <v>4364.3</v>
      </c>
      <c r="J43" s="16"/>
      <c r="K43" s="16"/>
      <c r="L43" s="16"/>
      <c r="M43" s="16"/>
      <c r="N43" s="16"/>
      <c r="O43" s="16">
        <f t="shared" si="17"/>
        <v>654.65</v>
      </c>
      <c r="P43" s="16"/>
      <c r="Q43" s="16"/>
      <c r="R43" s="16"/>
      <c r="S43" s="63">
        <f t="shared" si="6"/>
        <v>0.279</v>
      </c>
      <c r="T43" s="16"/>
      <c r="U43" s="16">
        <f t="shared" si="7"/>
        <v>14.43</v>
      </c>
      <c r="V43" s="16">
        <f t="shared" si="8"/>
        <v>557.66</v>
      </c>
      <c r="W43" s="16">
        <f t="shared" si="8"/>
        <v>557.66</v>
      </c>
      <c r="X43" s="16"/>
      <c r="Y43" s="16"/>
      <c r="Z43" s="16"/>
      <c r="AA43" s="16"/>
      <c r="AB43" s="16"/>
      <c r="AC43" s="16"/>
      <c r="AD43" s="16"/>
      <c r="AE43" s="16"/>
      <c r="AF43" s="78"/>
      <c r="AG43" s="79"/>
    </row>
    <row r="44" spans="1:33" s="5" customFormat="1" ht="21.75" customHeight="1">
      <c r="A44" s="12">
        <f t="shared" si="4"/>
        <v>32</v>
      </c>
      <c r="B44" s="13">
        <f t="shared" si="18"/>
        <v>30530.56</v>
      </c>
      <c r="C44" s="14">
        <v>30650</v>
      </c>
      <c r="D44" s="15" t="s">
        <v>20</v>
      </c>
      <c r="E44" s="16">
        <f t="shared" si="19"/>
        <v>119.43999999999869</v>
      </c>
      <c r="F44" s="17">
        <v>10</v>
      </c>
      <c r="G44" s="18">
        <f>ROUND((((477.458+((24+26.09)/2)+($F44/2))/477.458)+1)/2,4)</f>
        <v>1.0315</v>
      </c>
      <c r="H44" s="18">
        <f>ROUND((((477.458+((24+26.09)/2)+($F44))/477.458)+1)/2,4)</f>
        <v>1.0367</v>
      </c>
      <c r="I44" s="16">
        <f t="shared" si="16"/>
        <v>1232.02</v>
      </c>
      <c r="J44" s="16"/>
      <c r="K44" s="16"/>
      <c r="L44" s="16"/>
      <c r="M44" s="16"/>
      <c r="N44" s="16"/>
      <c r="O44" s="16">
        <f t="shared" si="17"/>
        <v>185.74</v>
      </c>
      <c r="P44" s="16"/>
      <c r="Q44" s="16"/>
      <c r="R44" s="16"/>
      <c r="S44" s="63">
        <f t="shared" si="6"/>
        <v>0.079</v>
      </c>
      <c r="T44" s="16"/>
      <c r="U44" s="16">
        <f t="shared" si="7"/>
        <v>4.08</v>
      </c>
      <c r="V44" s="16">
        <f t="shared" si="8"/>
        <v>157.53</v>
      </c>
      <c r="W44" s="16">
        <f t="shared" si="8"/>
        <v>157.53</v>
      </c>
      <c r="X44" s="16"/>
      <c r="Y44" s="16"/>
      <c r="Z44" s="16"/>
      <c r="AA44" s="16"/>
      <c r="AB44" s="16"/>
      <c r="AC44" s="16"/>
      <c r="AD44" s="16"/>
      <c r="AE44" s="16"/>
      <c r="AF44" s="78"/>
      <c r="AG44" s="79"/>
    </row>
    <row r="45" spans="1:33" s="5" customFormat="1" ht="21.75" customHeight="1">
      <c r="A45" s="12">
        <f t="shared" si="4"/>
        <v>33</v>
      </c>
      <c r="B45" s="13">
        <f t="shared" si="18"/>
        <v>30650</v>
      </c>
      <c r="C45" s="14">
        <v>30730.56</v>
      </c>
      <c r="D45" s="15" t="s">
        <v>20</v>
      </c>
      <c r="E45" s="16">
        <f t="shared" si="19"/>
        <v>80.56000000000131</v>
      </c>
      <c r="F45" s="17">
        <f>ROUND(AVERAGE(10,6.126),2)</f>
        <v>8.06</v>
      </c>
      <c r="G45" s="18">
        <f>ROUND((((477.458+((27.5+26.09)/2)+($F45/2))/477.458)+1)/2,4)</f>
        <v>1.0323</v>
      </c>
      <c r="H45" s="18">
        <f>ROUND((((477.458+((27.5+26.09)/2)+($F45))/477.458)+1)/2,4)</f>
        <v>1.0365</v>
      </c>
      <c r="I45" s="16">
        <f t="shared" si="16"/>
        <v>670.29</v>
      </c>
      <c r="J45" s="16"/>
      <c r="K45" s="16"/>
      <c r="L45" s="16"/>
      <c r="M45" s="16"/>
      <c r="N45" s="16"/>
      <c r="O45" s="16">
        <f t="shared" si="17"/>
        <v>125.25</v>
      </c>
      <c r="P45" s="16"/>
      <c r="Q45" s="16"/>
      <c r="R45" s="16"/>
      <c r="S45" s="63">
        <f t="shared" si="6"/>
        <v>0.044</v>
      </c>
      <c r="T45" s="16"/>
      <c r="U45" s="16">
        <f t="shared" si="7"/>
        <v>2.29</v>
      </c>
      <c r="V45" s="16">
        <f t="shared" si="8"/>
        <v>88.39</v>
      </c>
      <c r="W45" s="16">
        <f t="shared" si="8"/>
        <v>88.39</v>
      </c>
      <c r="X45" s="16"/>
      <c r="Y45" s="16"/>
      <c r="Z45" s="16"/>
      <c r="AA45" s="16"/>
      <c r="AB45" s="16"/>
      <c r="AC45" s="16"/>
      <c r="AD45" s="16"/>
      <c r="AE45" s="16"/>
      <c r="AF45" s="78"/>
      <c r="AG45" s="79"/>
    </row>
    <row r="46" spans="1:33" s="5" customFormat="1" ht="21.75" customHeight="1">
      <c r="A46" s="12">
        <f t="shared" si="4"/>
        <v>34</v>
      </c>
      <c r="B46" s="13">
        <f t="shared" si="18"/>
        <v>30730.56</v>
      </c>
      <c r="C46" s="14">
        <v>30800</v>
      </c>
      <c r="D46" s="15" t="s">
        <v>20</v>
      </c>
      <c r="E46" s="16">
        <f t="shared" si="19"/>
        <v>69.43999999999869</v>
      </c>
      <c r="F46" s="17">
        <f>ROUND(AVERAGE(4,6.126),2)</f>
        <v>5.06</v>
      </c>
      <c r="G46" s="18">
        <f>ROUND((((477.458+27.5+($F46/2))/477.458)+1)/2,4)</f>
        <v>1.0314</v>
      </c>
      <c r="H46" s="18">
        <f>ROUND((((477.458+27.5+($F46))/477.458)+1)/2,4)</f>
        <v>1.0341</v>
      </c>
      <c r="I46" s="16">
        <f t="shared" si="16"/>
        <v>362.4</v>
      </c>
      <c r="J46" s="16"/>
      <c r="K46" s="16"/>
      <c r="L46" s="16"/>
      <c r="M46" s="16"/>
      <c r="N46" s="16"/>
      <c r="O46" s="16">
        <f t="shared" si="17"/>
        <v>107.71</v>
      </c>
      <c r="P46" s="16"/>
      <c r="Q46" s="16"/>
      <c r="R46" s="16"/>
      <c r="S46" s="63">
        <f t="shared" si="6"/>
        <v>0.026</v>
      </c>
      <c r="T46" s="16"/>
      <c r="U46" s="16">
        <f t="shared" si="7"/>
        <v>1.35</v>
      </c>
      <c r="V46" s="16">
        <f t="shared" si="8"/>
        <v>52.23</v>
      </c>
      <c r="W46" s="16">
        <f t="shared" si="8"/>
        <v>52.23</v>
      </c>
      <c r="X46" s="16"/>
      <c r="Y46" s="16"/>
      <c r="Z46" s="16"/>
      <c r="AA46" s="16"/>
      <c r="AB46" s="16"/>
      <c r="AC46" s="16"/>
      <c r="AD46" s="16"/>
      <c r="AE46" s="16"/>
      <c r="AF46" s="78"/>
      <c r="AG46" s="79"/>
    </row>
    <row r="47" spans="1:33" s="5" customFormat="1" ht="21.75" customHeight="1">
      <c r="A47" s="12">
        <f t="shared" si="4"/>
        <v>35</v>
      </c>
      <c r="B47" s="13">
        <f t="shared" si="18"/>
        <v>30800</v>
      </c>
      <c r="C47" s="14">
        <v>30815.76</v>
      </c>
      <c r="D47" s="15" t="s">
        <v>20</v>
      </c>
      <c r="E47" s="16">
        <f t="shared" si="19"/>
        <v>15.7599999999984</v>
      </c>
      <c r="F47" s="17">
        <v>4</v>
      </c>
      <c r="G47" s="18">
        <f>ROUND((((477.458+27.5+($F47/2))/477.458)+1)/2,4)</f>
        <v>1.0309</v>
      </c>
      <c r="H47" s="18">
        <f>ROUND((((477.458+27.5+($F47))/477.458)+1)/2,4)</f>
        <v>1.033</v>
      </c>
      <c r="I47" s="16">
        <f t="shared" si="16"/>
        <v>64.99</v>
      </c>
      <c r="J47" s="16"/>
      <c r="K47" s="16"/>
      <c r="L47" s="16"/>
      <c r="M47" s="16"/>
      <c r="N47" s="16"/>
      <c r="O47" s="16">
        <f t="shared" si="17"/>
        <v>24.42</v>
      </c>
      <c r="P47" s="16"/>
      <c r="Q47" s="16"/>
      <c r="R47" s="16"/>
      <c r="S47" s="63">
        <f t="shared" si="6"/>
        <v>0.005</v>
      </c>
      <c r="T47" s="16"/>
      <c r="U47" s="16">
        <f t="shared" si="7"/>
        <v>0.26</v>
      </c>
      <c r="V47" s="16">
        <f t="shared" si="8"/>
        <v>9.93</v>
      </c>
      <c r="W47" s="16">
        <f t="shared" si="8"/>
        <v>9.93</v>
      </c>
      <c r="X47" s="16"/>
      <c r="Y47" s="16"/>
      <c r="Z47" s="16"/>
      <c r="AA47" s="16"/>
      <c r="AB47" s="16"/>
      <c r="AC47" s="16"/>
      <c r="AD47" s="16"/>
      <c r="AE47" s="16"/>
      <c r="AF47" s="78"/>
      <c r="AG47" s="79"/>
    </row>
    <row r="48" spans="1:33" s="5" customFormat="1" ht="21.75" customHeight="1">
      <c r="A48" s="12">
        <f t="shared" si="4"/>
        <v>36</v>
      </c>
      <c r="B48" s="13">
        <v>736.18</v>
      </c>
      <c r="C48" s="14">
        <v>748.73</v>
      </c>
      <c r="D48" s="15" t="s">
        <v>20</v>
      </c>
      <c r="E48" s="16">
        <f t="shared" si="19"/>
        <v>12.550000000000068</v>
      </c>
      <c r="F48" s="17">
        <v>4</v>
      </c>
      <c r="G48" s="18">
        <f>ROUND((((477.458+27.5+($F48/2))/477.458)+1)/2,4)</f>
        <v>1.0309</v>
      </c>
      <c r="H48" s="18">
        <f>ROUND((((477.458+27.5+($F48))/477.458)+1)/2,4)</f>
        <v>1.033</v>
      </c>
      <c r="I48" s="16">
        <f t="shared" si="16"/>
        <v>51.75</v>
      </c>
      <c r="J48" s="16"/>
      <c r="K48" s="16"/>
      <c r="L48" s="16"/>
      <c r="M48" s="16"/>
      <c r="N48" s="16"/>
      <c r="O48" s="16">
        <f t="shared" si="17"/>
        <v>19.45</v>
      </c>
      <c r="P48" s="16"/>
      <c r="Q48" s="16"/>
      <c r="R48" s="16"/>
      <c r="S48" s="63">
        <f t="shared" si="6"/>
        <v>0.004</v>
      </c>
      <c r="T48" s="16"/>
      <c r="U48" s="16">
        <f t="shared" si="7"/>
        <v>0.2</v>
      </c>
      <c r="V48" s="16">
        <f t="shared" si="8"/>
        <v>7.91</v>
      </c>
      <c r="W48" s="16">
        <f t="shared" si="8"/>
        <v>7.91</v>
      </c>
      <c r="X48" s="16"/>
      <c r="Y48" s="16"/>
      <c r="Z48" s="16"/>
      <c r="AA48" s="16"/>
      <c r="AB48" s="16"/>
      <c r="AC48" s="16"/>
      <c r="AD48" s="16"/>
      <c r="AE48" s="16"/>
      <c r="AF48" s="78"/>
      <c r="AG48" s="79"/>
    </row>
    <row r="49" spans="1:33" s="5" customFormat="1" ht="21.75" customHeight="1">
      <c r="A49" s="12">
        <f t="shared" si="4"/>
        <v>37</v>
      </c>
      <c r="B49" s="13">
        <f>C48</f>
        <v>748.73</v>
      </c>
      <c r="C49" s="14">
        <v>765.76</v>
      </c>
      <c r="D49" s="15" t="s">
        <v>20</v>
      </c>
      <c r="E49" s="16">
        <f t="shared" si="19"/>
        <v>17.029999999999973</v>
      </c>
      <c r="F49" s="104" t="s">
        <v>23</v>
      </c>
      <c r="G49" s="105"/>
      <c r="H49" s="105"/>
      <c r="I49" s="106"/>
      <c r="J49" s="16">
        <v>60.52</v>
      </c>
      <c r="K49" s="16"/>
      <c r="L49" s="16"/>
      <c r="M49" s="16"/>
      <c r="N49" s="16"/>
      <c r="O49" s="16">
        <f t="shared" si="17"/>
        <v>25.55</v>
      </c>
      <c r="P49" s="16"/>
      <c r="Q49" s="16"/>
      <c r="R49" s="16"/>
      <c r="S49" s="63">
        <f t="shared" si="6"/>
        <v>0.005</v>
      </c>
      <c r="T49" s="16"/>
      <c r="U49" s="16">
        <f t="shared" si="7"/>
        <v>0.25</v>
      </c>
      <c r="V49" s="16">
        <f t="shared" si="8"/>
        <v>9.56</v>
      </c>
      <c r="W49" s="16">
        <f t="shared" si="8"/>
        <v>9.56</v>
      </c>
      <c r="X49" s="16"/>
      <c r="Y49" s="16"/>
      <c r="Z49" s="16"/>
      <c r="AA49" s="16"/>
      <c r="AB49" s="16"/>
      <c r="AC49" s="16"/>
      <c r="AD49" s="16"/>
      <c r="AE49" s="16"/>
      <c r="AF49" s="78"/>
      <c r="AG49" s="79"/>
    </row>
    <row r="50" spans="1:33" s="5" customFormat="1" ht="21.75" customHeight="1" thickBot="1">
      <c r="A50" s="12">
        <f t="shared" si="4"/>
        <v>38</v>
      </c>
      <c r="B50" s="14"/>
      <c r="C50" s="14"/>
      <c r="D50" s="15"/>
      <c r="E50" s="16"/>
      <c r="F50" s="17"/>
      <c r="G50" s="18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63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78"/>
      <c r="AG50" s="79"/>
    </row>
    <row r="51" spans="1:33" s="5" customFormat="1" ht="21.75" customHeight="1">
      <c r="A51" s="12">
        <f t="shared" si="4"/>
        <v>39</v>
      </c>
      <c r="B51" s="13">
        <v>997.74</v>
      </c>
      <c r="C51" s="14">
        <v>999.7</v>
      </c>
      <c r="D51" s="15" t="s">
        <v>20</v>
      </c>
      <c r="E51" s="16">
        <f t="shared" si="19"/>
        <v>1.9600000000000364</v>
      </c>
      <c r="F51" s="104" t="s">
        <v>23</v>
      </c>
      <c r="G51" s="105"/>
      <c r="H51" s="105"/>
      <c r="I51" s="106"/>
      <c r="J51" s="16">
        <v>4.16</v>
      </c>
      <c r="K51" s="16"/>
      <c r="L51" s="16"/>
      <c r="M51" s="16"/>
      <c r="N51" s="16"/>
      <c r="O51" s="16"/>
      <c r="P51" s="16"/>
      <c r="Q51" s="16"/>
      <c r="R51" s="16"/>
      <c r="S51" s="63">
        <f t="shared" si="6"/>
        <v>0</v>
      </c>
      <c r="T51" s="16"/>
      <c r="U51" s="16">
        <f t="shared" si="7"/>
        <v>0.01</v>
      </c>
      <c r="V51" s="16">
        <f aca="true" t="shared" si="20" ref="V51:W61">ROUND((($I51+$J51+$O51+$P51+$Q51)/9),2)</f>
        <v>0.46</v>
      </c>
      <c r="W51" s="16">
        <f t="shared" si="20"/>
        <v>0.46</v>
      </c>
      <c r="X51" s="16"/>
      <c r="Y51" s="16"/>
      <c r="Z51" s="16"/>
      <c r="AA51" s="16"/>
      <c r="AB51" s="16"/>
      <c r="AC51" s="16"/>
      <c r="AD51" s="16"/>
      <c r="AE51" s="16"/>
      <c r="AF51" s="76" t="s">
        <v>91</v>
      </c>
      <c r="AG51" s="77"/>
    </row>
    <row r="52" spans="1:33" s="5" customFormat="1" ht="21.75" customHeight="1">
      <c r="A52" s="12">
        <f t="shared" si="4"/>
        <v>40</v>
      </c>
      <c r="B52" s="14">
        <f aca="true" t="shared" si="21" ref="B52:B61">C51</f>
        <v>999.7</v>
      </c>
      <c r="C52" s="14">
        <v>1000</v>
      </c>
      <c r="D52" s="15" t="s">
        <v>20</v>
      </c>
      <c r="E52" s="16">
        <f t="shared" si="19"/>
        <v>0.2999999999999545</v>
      </c>
      <c r="F52" s="17">
        <v>4</v>
      </c>
      <c r="G52" s="18">
        <f>ROUND((477.458+27.5+($F52/2))/477.458,4)</f>
        <v>1.0618</v>
      </c>
      <c r="H52" s="18">
        <f>ROUND((477.458+27.5+($F52))/477.458,4)</f>
        <v>1.066</v>
      </c>
      <c r="I52" s="16">
        <f aca="true" t="shared" si="22" ref="I52:I57">IF(G52=0,ROUND($E52*$F52,2),ROUND($E52*$F52*$G52,2))</f>
        <v>1.27</v>
      </c>
      <c r="J52" s="16"/>
      <c r="K52" s="16"/>
      <c r="L52" s="16"/>
      <c r="M52" s="16"/>
      <c r="N52" s="16"/>
      <c r="O52" s="16"/>
      <c r="P52" s="16">
        <f aca="true" t="shared" si="23" ref="P52:Q56">IF($H52=0,ROUND($E52*(P$72/12),2),ROUND($E52*(P$72/12)*$H52,2))</f>
        <v>0.53</v>
      </c>
      <c r="Q52" s="16">
        <f t="shared" si="23"/>
        <v>0.59</v>
      </c>
      <c r="R52" s="16"/>
      <c r="S52" s="63">
        <f t="shared" si="6"/>
        <v>0</v>
      </c>
      <c r="T52" s="16"/>
      <c r="U52" s="16">
        <f t="shared" si="7"/>
        <v>0.01</v>
      </c>
      <c r="V52" s="16">
        <f t="shared" si="20"/>
        <v>0.27</v>
      </c>
      <c r="W52" s="16">
        <f t="shared" si="20"/>
        <v>0.27</v>
      </c>
      <c r="X52" s="16"/>
      <c r="Y52" s="16"/>
      <c r="Z52" s="16"/>
      <c r="AA52" s="16"/>
      <c r="AB52" s="16"/>
      <c r="AC52" s="16"/>
      <c r="AD52" s="16"/>
      <c r="AE52" s="16"/>
      <c r="AF52" s="78"/>
      <c r="AG52" s="79"/>
    </row>
    <row r="53" spans="1:33" s="5" customFormat="1" ht="21.75" customHeight="1">
      <c r="A53" s="12">
        <f t="shared" si="4"/>
        <v>41</v>
      </c>
      <c r="B53" s="14">
        <f t="shared" si="21"/>
        <v>1000</v>
      </c>
      <c r="C53" s="14">
        <v>1030</v>
      </c>
      <c r="D53" s="15" t="s">
        <v>20</v>
      </c>
      <c r="E53" s="16">
        <f t="shared" si="19"/>
        <v>30</v>
      </c>
      <c r="F53" s="17">
        <f>ROUND(AVERAGE(4,10),2)</f>
        <v>7</v>
      </c>
      <c r="G53" s="18">
        <f>ROUND((477.458+((27.5+27.35)/2)+($F53/2))/477.458,4)</f>
        <v>1.0648</v>
      </c>
      <c r="H53" s="18">
        <f>ROUND((477.458+((27.5+27.35)/2)+($F53))/477.458,4)</f>
        <v>1.0721</v>
      </c>
      <c r="I53" s="16">
        <f t="shared" si="22"/>
        <v>223.61</v>
      </c>
      <c r="J53" s="16"/>
      <c r="K53" s="16"/>
      <c r="L53" s="16"/>
      <c r="M53" s="16"/>
      <c r="N53" s="16"/>
      <c r="O53" s="16"/>
      <c r="P53" s="16">
        <f t="shared" si="23"/>
        <v>53.61</v>
      </c>
      <c r="Q53" s="16">
        <f t="shared" si="23"/>
        <v>58.97</v>
      </c>
      <c r="R53" s="16"/>
      <c r="S53" s="63">
        <f t="shared" si="6"/>
        <v>0.019</v>
      </c>
      <c r="T53" s="16"/>
      <c r="U53" s="16">
        <f t="shared" si="7"/>
        <v>0.97</v>
      </c>
      <c r="V53" s="16">
        <f t="shared" si="20"/>
        <v>37.35</v>
      </c>
      <c r="W53" s="16">
        <f t="shared" si="20"/>
        <v>37.35</v>
      </c>
      <c r="X53" s="16"/>
      <c r="Y53" s="16"/>
      <c r="Z53" s="16"/>
      <c r="AA53" s="16"/>
      <c r="AB53" s="16"/>
      <c r="AC53" s="16"/>
      <c r="AD53" s="16"/>
      <c r="AE53" s="16"/>
      <c r="AF53" s="78"/>
      <c r="AG53" s="79"/>
    </row>
    <row r="54" spans="1:33" s="5" customFormat="1" ht="21.75" customHeight="1">
      <c r="A54" s="12">
        <f t="shared" si="4"/>
        <v>42</v>
      </c>
      <c r="B54" s="14">
        <f t="shared" si="21"/>
        <v>1030</v>
      </c>
      <c r="C54" s="14">
        <v>1100</v>
      </c>
      <c r="D54" s="15" t="s">
        <v>20</v>
      </c>
      <c r="E54" s="16">
        <f t="shared" si="19"/>
        <v>70</v>
      </c>
      <c r="F54" s="17">
        <v>10</v>
      </c>
      <c r="G54" s="18">
        <f>ROUND((477.458+((27+27.35)/2)+($F54/2))/477.458,4)</f>
        <v>1.0674</v>
      </c>
      <c r="H54" s="18">
        <f>ROUND((477.458+((27+27.35)/2)+($F54))/477.458,4)</f>
        <v>1.0779</v>
      </c>
      <c r="I54" s="16">
        <f t="shared" si="22"/>
        <v>747.18</v>
      </c>
      <c r="J54" s="16"/>
      <c r="K54" s="16"/>
      <c r="L54" s="16"/>
      <c r="M54" s="16"/>
      <c r="N54" s="16"/>
      <c r="O54" s="16"/>
      <c r="P54" s="16">
        <f t="shared" si="23"/>
        <v>125.76</v>
      </c>
      <c r="Q54" s="16">
        <f t="shared" si="23"/>
        <v>138.33</v>
      </c>
      <c r="R54" s="16"/>
      <c r="S54" s="63">
        <f t="shared" si="6"/>
        <v>0.056</v>
      </c>
      <c r="T54" s="16"/>
      <c r="U54" s="16">
        <f t="shared" si="7"/>
        <v>2.91</v>
      </c>
      <c r="V54" s="16">
        <f t="shared" si="20"/>
        <v>112.36</v>
      </c>
      <c r="W54" s="16">
        <f t="shared" si="20"/>
        <v>112.36</v>
      </c>
      <c r="X54" s="16"/>
      <c r="Y54" s="16"/>
      <c r="Z54" s="16"/>
      <c r="AA54" s="16"/>
      <c r="AB54" s="16"/>
      <c r="AC54" s="16"/>
      <c r="AD54" s="16"/>
      <c r="AE54" s="16"/>
      <c r="AF54" s="78"/>
      <c r="AG54" s="79"/>
    </row>
    <row r="55" spans="1:33" s="5" customFormat="1" ht="21.75" customHeight="1">
      <c r="A55" s="12">
        <f t="shared" si="4"/>
        <v>43</v>
      </c>
      <c r="B55" s="13">
        <f t="shared" si="21"/>
        <v>1100</v>
      </c>
      <c r="C55" s="14">
        <v>1387.73</v>
      </c>
      <c r="D55" s="15" t="s">
        <v>20</v>
      </c>
      <c r="E55" s="16">
        <f t="shared" si="19"/>
        <v>287.73</v>
      </c>
      <c r="F55" s="17">
        <v>10</v>
      </c>
      <c r="G55" s="18">
        <f>ROUND((477.458+27+($F55/2))/477.458,4)</f>
        <v>1.067</v>
      </c>
      <c r="H55" s="18">
        <f>ROUND((477.458+27+($F55))/477.458,4)</f>
        <v>1.0775</v>
      </c>
      <c r="I55" s="16">
        <f t="shared" si="22"/>
        <v>3070.08</v>
      </c>
      <c r="J55" s="16"/>
      <c r="K55" s="16"/>
      <c r="L55" s="16"/>
      <c r="M55" s="16"/>
      <c r="N55" s="16"/>
      <c r="O55" s="16"/>
      <c r="P55" s="16">
        <f t="shared" si="23"/>
        <v>516.72</v>
      </c>
      <c r="Q55" s="16">
        <f t="shared" si="23"/>
        <v>568.39</v>
      </c>
      <c r="R55" s="16"/>
      <c r="S55" s="63">
        <f t="shared" si="6"/>
        <v>0.231</v>
      </c>
      <c r="T55" s="16"/>
      <c r="U55" s="16">
        <f t="shared" si="7"/>
        <v>11.95</v>
      </c>
      <c r="V55" s="16">
        <f t="shared" si="20"/>
        <v>461.69</v>
      </c>
      <c r="W55" s="16">
        <f t="shared" si="20"/>
        <v>461.69</v>
      </c>
      <c r="X55" s="16"/>
      <c r="Y55" s="16"/>
      <c r="Z55" s="16"/>
      <c r="AA55" s="16"/>
      <c r="AB55" s="16"/>
      <c r="AC55" s="16"/>
      <c r="AD55" s="16"/>
      <c r="AE55" s="16"/>
      <c r="AF55" s="78"/>
      <c r="AG55" s="79"/>
    </row>
    <row r="56" spans="1:33" s="5" customFormat="1" ht="21.75" customHeight="1">
      <c r="A56" s="12">
        <f t="shared" si="4"/>
        <v>44</v>
      </c>
      <c r="B56" s="13">
        <f t="shared" si="21"/>
        <v>1387.73</v>
      </c>
      <c r="C56" s="14">
        <v>1400</v>
      </c>
      <c r="D56" s="15" t="s">
        <v>20</v>
      </c>
      <c r="E56" s="16">
        <f t="shared" si="19"/>
        <v>12.269999999999982</v>
      </c>
      <c r="F56" s="17">
        <v>10</v>
      </c>
      <c r="G56" s="18">
        <f>ROUND((1+((848.826-27-($F56/2))/848.826))/2,4)</f>
        <v>0.9812</v>
      </c>
      <c r="H56" s="18">
        <f>ROUND((1+((848.826-27-($F56))/848.826))/2,4)</f>
        <v>0.9782</v>
      </c>
      <c r="I56" s="16">
        <f t="shared" si="22"/>
        <v>120.39</v>
      </c>
      <c r="J56" s="16"/>
      <c r="K56" s="16"/>
      <c r="L56" s="16"/>
      <c r="M56" s="16"/>
      <c r="N56" s="16"/>
      <c r="O56" s="16"/>
      <c r="P56" s="16">
        <f t="shared" si="23"/>
        <v>20</v>
      </c>
      <c r="Q56" s="16">
        <f t="shared" si="23"/>
        <v>22</v>
      </c>
      <c r="R56" s="16"/>
      <c r="S56" s="63">
        <f t="shared" si="6"/>
        <v>0.009</v>
      </c>
      <c r="T56" s="16"/>
      <c r="U56" s="16">
        <f t="shared" si="7"/>
        <v>0.47</v>
      </c>
      <c r="V56" s="16">
        <f t="shared" si="20"/>
        <v>18.04</v>
      </c>
      <c r="W56" s="16">
        <f t="shared" si="20"/>
        <v>18.04</v>
      </c>
      <c r="X56" s="16"/>
      <c r="Y56" s="16"/>
      <c r="Z56" s="16"/>
      <c r="AA56" s="16"/>
      <c r="AB56" s="16"/>
      <c r="AC56" s="16"/>
      <c r="AD56" s="16"/>
      <c r="AE56" s="16"/>
      <c r="AF56" s="78"/>
      <c r="AG56" s="79"/>
    </row>
    <row r="57" spans="1:33" s="5" customFormat="1" ht="21.75" customHeight="1">
      <c r="A57" s="12">
        <f t="shared" si="4"/>
        <v>45</v>
      </c>
      <c r="B57" s="13">
        <f t="shared" si="21"/>
        <v>1400</v>
      </c>
      <c r="C57" s="14">
        <v>1545.66</v>
      </c>
      <c r="D57" s="15" t="s">
        <v>20</v>
      </c>
      <c r="E57" s="16">
        <f t="shared" si="19"/>
        <v>145.66000000000008</v>
      </c>
      <c r="F57" s="17">
        <v>10</v>
      </c>
      <c r="G57" s="18">
        <f>ROUND((1+((848.826-27-($F57/2))/848.826))/2,4)</f>
        <v>0.9812</v>
      </c>
      <c r="H57" s="18">
        <f>ROUND((1+((848.826-27-($F57))/848.826))/2,4)</f>
        <v>0.9782</v>
      </c>
      <c r="I57" s="16">
        <f t="shared" si="22"/>
        <v>1429.22</v>
      </c>
      <c r="J57" s="16"/>
      <c r="K57" s="16"/>
      <c r="L57" s="16"/>
      <c r="M57" s="16"/>
      <c r="N57" s="16"/>
      <c r="O57" s="16">
        <f>IF($H57=0,ROUND($E57*(O$72/12),2),ROUND($E57*(O$72/12)*$H57,2))</f>
        <v>213.73</v>
      </c>
      <c r="P57" s="16"/>
      <c r="Q57" s="16"/>
      <c r="R57" s="16"/>
      <c r="S57" s="63">
        <f t="shared" si="6"/>
        <v>0.091</v>
      </c>
      <c r="T57" s="16"/>
      <c r="U57" s="16">
        <f t="shared" si="7"/>
        <v>4.72</v>
      </c>
      <c r="V57" s="16">
        <f t="shared" si="20"/>
        <v>182.55</v>
      </c>
      <c r="W57" s="16">
        <f t="shared" si="20"/>
        <v>182.55</v>
      </c>
      <c r="X57" s="16"/>
      <c r="Y57" s="16"/>
      <c r="Z57" s="16"/>
      <c r="AA57" s="16"/>
      <c r="AB57" s="16"/>
      <c r="AC57" s="16"/>
      <c r="AD57" s="16"/>
      <c r="AE57" s="16"/>
      <c r="AF57" s="78"/>
      <c r="AG57" s="79"/>
    </row>
    <row r="58" spans="1:33" s="5" customFormat="1" ht="21.75" customHeight="1">
      <c r="A58" s="12">
        <f t="shared" si="4"/>
        <v>46</v>
      </c>
      <c r="B58" s="13"/>
      <c r="C58" s="14"/>
      <c r="D58" s="15"/>
      <c r="E58" s="16"/>
      <c r="F58" s="17"/>
      <c r="G58" s="18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63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78"/>
      <c r="AG58" s="79"/>
    </row>
    <row r="59" spans="1:33" s="5" customFormat="1" ht="21.75" customHeight="1">
      <c r="A59" s="12">
        <f t="shared" si="4"/>
        <v>47</v>
      </c>
      <c r="B59" s="13">
        <v>2464.81</v>
      </c>
      <c r="C59" s="14">
        <v>3264.81</v>
      </c>
      <c r="D59" s="15" t="s">
        <v>20</v>
      </c>
      <c r="E59" s="16">
        <f t="shared" si="19"/>
        <v>800</v>
      </c>
      <c r="F59" s="17">
        <v>10</v>
      </c>
      <c r="G59" s="18"/>
      <c r="H59" s="16"/>
      <c r="I59" s="16">
        <f>IF(G59=0,ROUND($E59*$F59,2),ROUND($E59*$F59*$G59,2))</f>
        <v>8000</v>
      </c>
      <c r="J59" s="16"/>
      <c r="K59" s="16"/>
      <c r="L59" s="16"/>
      <c r="M59" s="16"/>
      <c r="N59" s="16"/>
      <c r="O59" s="16">
        <f>IF($H59=0,ROUND($E59*(O$72/12),2),ROUND($E59*(O$72/12)*$H59,2))</f>
        <v>1200</v>
      </c>
      <c r="P59" s="16"/>
      <c r="Q59" s="16"/>
      <c r="R59" s="16"/>
      <c r="S59" s="63">
        <f t="shared" si="6"/>
        <v>0.511</v>
      </c>
      <c r="T59" s="16"/>
      <c r="U59" s="16">
        <f t="shared" si="7"/>
        <v>26.45</v>
      </c>
      <c r="V59" s="16">
        <f t="shared" si="20"/>
        <v>1022.22</v>
      </c>
      <c r="W59" s="16">
        <f t="shared" si="20"/>
        <v>1022.22</v>
      </c>
      <c r="X59" s="16"/>
      <c r="Y59" s="16"/>
      <c r="Z59" s="16"/>
      <c r="AA59" s="16"/>
      <c r="AB59" s="16"/>
      <c r="AC59" s="16"/>
      <c r="AD59" s="16"/>
      <c r="AE59" s="16"/>
      <c r="AF59" s="78"/>
      <c r="AG59" s="79"/>
    </row>
    <row r="60" spans="1:33" s="5" customFormat="1" ht="21.75" customHeight="1">
      <c r="A60" s="12">
        <f t="shared" si="4"/>
        <v>48</v>
      </c>
      <c r="B60" s="13">
        <f t="shared" si="21"/>
        <v>3264.81</v>
      </c>
      <c r="C60" s="14">
        <v>3339.75</v>
      </c>
      <c r="D60" s="15" t="s">
        <v>20</v>
      </c>
      <c r="E60" s="16">
        <f t="shared" si="19"/>
        <v>74.94000000000005</v>
      </c>
      <c r="F60" s="17">
        <v>10</v>
      </c>
      <c r="G60" s="18"/>
      <c r="H60" s="16"/>
      <c r="I60" s="16">
        <f>IF(G60=0,ROUND($E60*$F60,2),ROUND($E60*$F60*$G60,2))</f>
        <v>749.4</v>
      </c>
      <c r="J60" s="16"/>
      <c r="K60" s="16"/>
      <c r="L60" s="16"/>
      <c r="M60" s="16"/>
      <c r="N60" s="16"/>
      <c r="O60" s="16">
        <f>IF($H60=0,ROUND($E60*(O$72/12),2),ROUND($E60*(O$72/12)*$H60,2))</f>
        <v>112.41</v>
      </c>
      <c r="P60" s="16"/>
      <c r="Q60" s="16"/>
      <c r="R60" s="16"/>
      <c r="S60" s="63">
        <f t="shared" si="6"/>
        <v>0.048</v>
      </c>
      <c r="T60" s="16"/>
      <c r="U60" s="16">
        <f t="shared" si="7"/>
        <v>2.48</v>
      </c>
      <c r="V60" s="16">
        <f t="shared" si="20"/>
        <v>95.76</v>
      </c>
      <c r="W60" s="16">
        <f t="shared" si="20"/>
        <v>95.76</v>
      </c>
      <c r="X60" s="16"/>
      <c r="Y60" s="16"/>
      <c r="Z60" s="16"/>
      <c r="AA60" s="16"/>
      <c r="AB60" s="16"/>
      <c r="AC60" s="16"/>
      <c r="AD60" s="16"/>
      <c r="AE60" s="16"/>
      <c r="AF60" s="78"/>
      <c r="AG60" s="79"/>
    </row>
    <row r="61" spans="1:33" s="25" customFormat="1" ht="21.75" customHeight="1">
      <c r="A61" s="12">
        <f t="shared" si="4"/>
        <v>49</v>
      </c>
      <c r="B61" s="13">
        <f t="shared" si="21"/>
        <v>3339.75</v>
      </c>
      <c r="C61" s="14">
        <v>3382</v>
      </c>
      <c r="D61" s="15" t="s">
        <v>20</v>
      </c>
      <c r="E61" s="16">
        <f t="shared" si="19"/>
        <v>42.25</v>
      </c>
      <c r="F61" s="17">
        <f>ROUND(AVERAGE(10.925,10),2)</f>
        <v>10.46</v>
      </c>
      <c r="G61" s="18"/>
      <c r="H61" s="16"/>
      <c r="I61" s="16">
        <f>IF(G61=0,ROUND($E61*$F61,2),ROUND($E61*$F61*$G61,2))</f>
        <v>441.94</v>
      </c>
      <c r="J61" s="16"/>
      <c r="K61" s="16"/>
      <c r="L61" s="16"/>
      <c r="M61" s="16"/>
      <c r="N61" s="16"/>
      <c r="O61" s="16">
        <f>IF($H61=0,ROUND($E61*(O$72/12),2),ROUND($E61*(O$72/12)*$H61,2))</f>
        <v>63.38</v>
      </c>
      <c r="P61" s="16"/>
      <c r="Q61" s="16"/>
      <c r="R61" s="16"/>
      <c r="S61" s="63">
        <f t="shared" si="6"/>
        <v>0.028</v>
      </c>
      <c r="T61" s="16"/>
      <c r="U61" s="16">
        <f t="shared" si="7"/>
        <v>1.45</v>
      </c>
      <c r="V61" s="16">
        <f t="shared" si="20"/>
        <v>56.15</v>
      </c>
      <c r="W61" s="16">
        <f t="shared" si="20"/>
        <v>56.15</v>
      </c>
      <c r="X61" s="16"/>
      <c r="Y61" s="16"/>
      <c r="Z61" s="16"/>
      <c r="AA61" s="16"/>
      <c r="AB61" s="16"/>
      <c r="AC61" s="16"/>
      <c r="AD61" s="16"/>
      <c r="AE61" s="16"/>
      <c r="AF61" s="78"/>
      <c r="AG61" s="79"/>
    </row>
    <row r="62" spans="1:33" s="25" customFormat="1" ht="21.75" customHeight="1">
      <c r="A62" s="12">
        <f t="shared" si="4"/>
        <v>50</v>
      </c>
      <c r="B62" s="13"/>
      <c r="C62" s="14"/>
      <c r="D62" s="15"/>
      <c r="E62" s="16"/>
      <c r="F62" s="17"/>
      <c r="G62" s="18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78"/>
      <c r="AG62" s="79"/>
    </row>
    <row r="63" spans="1:33" s="25" customFormat="1" ht="21.75" customHeight="1">
      <c r="A63" s="12">
        <f t="shared" si="4"/>
        <v>51</v>
      </c>
      <c r="B63" s="13"/>
      <c r="C63" s="14"/>
      <c r="D63" s="15"/>
      <c r="E63" s="16"/>
      <c r="F63" s="17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78"/>
      <c r="AG63" s="79"/>
    </row>
    <row r="64" spans="1:33" s="25" customFormat="1" ht="21.75" customHeight="1">
      <c r="A64" s="12">
        <f t="shared" si="4"/>
        <v>52</v>
      </c>
      <c r="B64" s="13"/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80"/>
      <c r="AG64" s="79"/>
    </row>
    <row r="65" spans="1:33" s="25" customFormat="1" ht="21.75" customHeight="1">
      <c r="A65" s="12">
        <f t="shared" si="4"/>
        <v>53</v>
      </c>
      <c r="B65" s="13"/>
      <c r="C65" s="14"/>
      <c r="D65" s="15"/>
      <c r="E65" s="16"/>
      <c r="F65" s="17"/>
      <c r="G65" s="1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80"/>
      <c r="AG65" s="79"/>
    </row>
    <row r="66" spans="1:33" s="25" customFormat="1" ht="21.75" customHeight="1" thickBot="1">
      <c r="A66" s="12">
        <f t="shared" si="4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81"/>
      <c r="AG66" s="82"/>
    </row>
    <row r="67" spans="2:33" s="26" customFormat="1" ht="46.5" customHeight="1">
      <c r="B67" s="95" t="s">
        <v>8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7"/>
      <c r="R67" s="85" t="str">
        <f aca="true" t="shared" si="24" ref="R67:AE67">IF(SUM(R13:R66)=0," ",ROUNDUP(SUM(R13:R66),0))</f>
        <v> </v>
      </c>
      <c r="S67" s="85">
        <f t="shared" si="24"/>
        <v>4</v>
      </c>
      <c r="T67" s="85" t="str">
        <f t="shared" si="24"/>
        <v> </v>
      </c>
      <c r="U67" s="85">
        <f t="shared" si="24"/>
        <v>171</v>
      </c>
      <c r="V67" s="85">
        <f t="shared" si="24"/>
        <v>6589</v>
      </c>
      <c r="W67" s="85">
        <f t="shared" si="24"/>
        <v>6589</v>
      </c>
      <c r="X67" s="85" t="str">
        <f t="shared" si="24"/>
        <v> </v>
      </c>
      <c r="Y67" s="85" t="str">
        <f t="shared" si="24"/>
        <v> </v>
      </c>
      <c r="Z67" s="85" t="str">
        <f t="shared" si="24"/>
        <v> </v>
      </c>
      <c r="AA67" s="85" t="str">
        <f t="shared" si="24"/>
        <v> </v>
      </c>
      <c r="AB67" s="85" t="str">
        <f t="shared" si="24"/>
        <v> </v>
      </c>
      <c r="AC67" s="85" t="str">
        <f t="shared" si="24"/>
        <v> </v>
      </c>
      <c r="AD67" s="85" t="str">
        <f t="shared" si="24"/>
        <v> </v>
      </c>
      <c r="AE67" s="85" t="str">
        <f t="shared" si="24"/>
        <v> </v>
      </c>
      <c r="AF67" s="87">
        <v>11</v>
      </c>
      <c r="AG67" s="88"/>
    </row>
    <row r="68" spans="2:33" s="26" customFormat="1" ht="46.5" customHeight="1" thickBot="1"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100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3">
        <v>16</v>
      </c>
      <c r="AG68" s="84"/>
    </row>
    <row r="69" spans="1:34" ht="36" customHeight="1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T69" s="28"/>
      <c r="U69" s="28"/>
      <c r="V69" s="1"/>
      <c r="W69" s="28"/>
      <c r="X69" s="28"/>
      <c r="Y69" s="28"/>
      <c r="Z69" s="28"/>
      <c r="AA69" s="28"/>
      <c r="AB69" s="28"/>
      <c r="AF69" s="28"/>
      <c r="AG69" s="28"/>
      <c r="AH69" s="29"/>
    </row>
    <row r="70" spans="2:33" ht="12.7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T70" s="28"/>
      <c r="U70" s="28"/>
      <c r="V70" s="1"/>
      <c r="W70" s="28"/>
      <c r="X70" s="28"/>
      <c r="Y70" s="28"/>
      <c r="Z70" s="28"/>
      <c r="AA70" s="28"/>
      <c r="AB70" s="28"/>
      <c r="AF70" s="28"/>
      <c r="AG70" s="28"/>
    </row>
    <row r="71" spans="2:33" ht="12.7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T71" s="28"/>
      <c r="U71" s="28"/>
      <c r="V71" s="1"/>
      <c r="W71" s="28"/>
      <c r="X71" s="28"/>
      <c r="Y71" s="28"/>
      <c r="Z71" s="28"/>
      <c r="AA71" s="28"/>
      <c r="AB71" s="28"/>
      <c r="AF71" s="28"/>
      <c r="AG71" s="28"/>
    </row>
    <row r="72" spans="2:33" ht="15.75">
      <c r="B72" s="64" t="s">
        <v>26</v>
      </c>
      <c r="C72" s="65"/>
      <c r="D72" s="65"/>
      <c r="E72" s="65"/>
      <c r="F72" s="65"/>
      <c r="G72" s="66"/>
      <c r="H72" s="43"/>
      <c r="I72" s="43"/>
      <c r="J72" s="43"/>
      <c r="K72" s="43">
        <v>4</v>
      </c>
      <c r="L72" s="43">
        <v>6</v>
      </c>
      <c r="M72" s="43">
        <v>10</v>
      </c>
      <c r="N72" s="43">
        <v>22.875</v>
      </c>
      <c r="O72" s="43">
        <v>18</v>
      </c>
      <c r="P72" s="43">
        <v>20</v>
      </c>
      <c r="Q72" s="43">
        <v>22</v>
      </c>
      <c r="R72" s="45"/>
      <c r="S72" s="62">
        <v>2000</v>
      </c>
      <c r="T72" s="44"/>
      <c r="U72" s="44">
        <v>0.75</v>
      </c>
      <c r="V72" s="62"/>
      <c r="W72" s="62">
        <v>12</v>
      </c>
      <c r="X72" s="45"/>
      <c r="Y72" s="44"/>
      <c r="Z72" s="44"/>
      <c r="AA72" s="44"/>
      <c r="AB72" s="44"/>
      <c r="AC72" s="44"/>
      <c r="AD72" s="44"/>
      <c r="AF72" s="28"/>
      <c r="AG72" s="28"/>
    </row>
    <row r="73" spans="2:33" ht="15">
      <c r="B73" s="28"/>
      <c r="C73" s="28"/>
      <c r="D73" s="28"/>
      <c r="E73" s="28"/>
      <c r="F73" s="28"/>
      <c r="G73" s="28"/>
      <c r="H73" s="24"/>
      <c r="I73" s="28"/>
      <c r="J73" s="28"/>
      <c r="K73" s="28"/>
      <c r="L73" s="28"/>
      <c r="M73" s="28"/>
      <c r="N73" s="28"/>
      <c r="O73" s="28"/>
      <c r="P73" s="28"/>
      <c r="Q73" s="28"/>
      <c r="R73" s="24"/>
      <c r="T73" s="43"/>
      <c r="U73" s="43">
        <v>115</v>
      </c>
      <c r="V73" s="62"/>
      <c r="W73" s="46"/>
      <c r="X73" s="28"/>
      <c r="Y73" s="28"/>
      <c r="Z73" s="28"/>
      <c r="AA73" s="28"/>
      <c r="AB73" s="28"/>
      <c r="AF73" s="28"/>
      <c r="AG73" s="28"/>
    </row>
    <row r="74" spans="2:33" ht="15">
      <c r="B74" s="28"/>
      <c r="C74" s="30"/>
      <c r="D74" s="28"/>
      <c r="E74" s="28"/>
      <c r="F74" s="28"/>
      <c r="G74" s="28"/>
      <c r="H74" s="31"/>
      <c r="I74" s="28"/>
      <c r="J74" s="28"/>
      <c r="K74" s="120"/>
      <c r="L74" s="121"/>
      <c r="M74" s="121"/>
      <c r="N74" s="121"/>
      <c r="O74" s="121"/>
      <c r="P74" s="121"/>
      <c r="Q74" s="121"/>
      <c r="R74" s="31"/>
      <c r="S74" s="31"/>
      <c r="T74" s="31"/>
      <c r="U74" s="31">
        <v>0.05</v>
      </c>
      <c r="V74" s="44"/>
      <c r="W74" s="31"/>
      <c r="X74" s="31"/>
      <c r="Y74" s="31"/>
      <c r="Z74" s="31"/>
      <c r="AA74" s="31"/>
      <c r="AB74" s="31"/>
      <c r="AC74" s="31"/>
      <c r="AD74" s="31"/>
      <c r="AE74" s="31"/>
      <c r="AF74" s="28"/>
      <c r="AG74" s="28"/>
    </row>
  </sheetData>
  <sheetProtection/>
  <mergeCells count="58">
    <mergeCell ref="K74:Q74"/>
    <mergeCell ref="J3:J11"/>
    <mergeCell ref="K3:K11"/>
    <mergeCell ref="F51:I51"/>
    <mergeCell ref="B3:C11"/>
    <mergeCell ref="D3:D11"/>
    <mergeCell ref="E3:E11"/>
    <mergeCell ref="F3:F11"/>
    <mergeCell ref="G3:G11"/>
    <mergeCell ref="AB4:AB11"/>
    <mergeCell ref="AF6:AG50"/>
    <mergeCell ref="V4:V11"/>
    <mergeCell ref="W4:W11"/>
    <mergeCell ref="W67:W68"/>
    <mergeCell ref="AF3:AF5"/>
    <mergeCell ref="AG3:AG5"/>
    <mergeCell ref="AC67:AC68"/>
    <mergeCell ref="AC4:AC11"/>
    <mergeCell ref="X67:X68"/>
    <mergeCell ref="H3:H11"/>
    <mergeCell ref="I3:I11"/>
    <mergeCell ref="B14:I14"/>
    <mergeCell ref="AF67:AG67"/>
    <mergeCell ref="AF68:AG68"/>
    <mergeCell ref="R67:R68"/>
    <mergeCell ref="S67:S68"/>
    <mergeCell ref="V67:V68"/>
    <mergeCell ref="AB67:AB68"/>
    <mergeCell ref="AF51:AG66"/>
    <mergeCell ref="U67:U68"/>
    <mergeCell ref="AD67:AD68"/>
    <mergeCell ref="B67:Q68"/>
    <mergeCell ref="F37:I37"/>
    <mergeCell ref="F31:I31"/>
    <mergeCell ref="F29:I29"/>
    <mergeCell ref="Y67:Y68"/>
    <mergeCell ref="Z67:Z68"/>
    <mergeCell ref="F39:I39"/>
    <mergeCell ref="F49:I49"/>
    <mergeCell ref="AD4:AD11"/>
    <mergeCell ref="U4:U11"/>
    <mergeCell ref="X4:X11"/>
    <mergeCell ref="AE4:AE11"/>
    <mergeCell ref="AA67:AA68"/>
    <mergeCell ref="T67:T68"/>
    <mergeCell ref="AA4:AA11"/>
    <mergeCell ref="AE67:AE68"/>
    <mergeCell ref="T4:T11"/>
    <mergeCell ref="Z4:Z11"/>
    <mergeCell ref="Y4:Y11"/>
    <mergeCell ref="L3:L11"/>
    <mergeCell ref="M3:M11"/>
    <mergeCell ref="N3:N11"/>
    <mergeCell ref="O3:O11"/>
    <mergeCell ref="P3:P11"/>
    <mergeCell ref="Q3:Q11"/>
    <mergeCell ref="R4:R11"/>
    <mergeCell ref="S4:S11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2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L54" sqref="L54"/>
    </sheetView>
  </sheetViews>
  <sheetFormatPr defaultColWidth="9.140625" defaultRowHeight="12.75"/>
  <cols>
    <col min="1" max="3" width="24.7109375" style="1" customWidth="1"/>
    <col min="4" max="21" width="15.7109375" style="1" customWidth="1"/>
    <col min="22" max="22" width="15.7109375" style="47" customWidth="1"/>
    <col min="23" max="31" width="15.7109375" style="1" customWidth="1"/>
    <col min="32" max="34" width="6.7109375" style="1" customWidth="1"/>
    <col min="35" max="16384" width="9.140625" style="1" customWidth="1"/>
  </cols>
  <sheetData>
    <row r="1" spans="18:27" ht="12.75">
      <c r="R1" s="49"/>
      <c r="S1" s="49"/>
      <c r="T1" s="49"/>
      <c r="U1" s="49"/>
      <c r="V1" s="50"/>
      <c r="W1" s="49"/>
      <c r="X1" s="49"/>
      <c r="Z1" s="49"/>
      <c r="AA1" s="49"/>
    </row>
    <row r="2" spans="1:34" s="4" customFormat="1" ht="36" customHeight="1" thickBot="1">
      <c r="A2" s="2"/>
      <c r="B2" s="32" t="s">
        <v>14</v>
      </c>
      <c r="C2" s="33"/>
      <c r="D2" s="34"/>
      <c r="E2" s="34"/>
      <c r="F2" s="34"/>
      <c r="G2" s="34"/>
      <c r="H2" s="51"/>
      <c r="I2" s="35"/>
      <c r="J2" s="34"/>
      <c r="K2" s="34"/>
      <c r="L2" s="34"/>
      <c r="M2" s="34"/>
      <c r="N2" s="34"/>
      <c r="O2" s="34"/>
      <c r="P2" s="34"/>
      <c r="Q2" s="35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2"/>
      <c r="AD2" s="48"/>
      <c r="AH2" s="3"/>
    </row>
    <row r="3" spans="2:34" s="5" customFormat="1" ht="21.75" customHeight="1">
      <c r="B3" s="95" t="s">
        <v>0</v>
      </c>
      <c r="C3" s="97"/>
      <c r="D3" s="117" t="s">
        <v>3</v>
      </c>
      <c r="E3" s="117" t="s">
        <v>4</v>
      </c>
      <c r="F3" s="117" t="s">
        <v>5</v>
      </c>
      <c r="G3" s="107" t="s">
        <v>12</v>
      </c>
      <c r="H3" s="107" t="s">
        <v>93</v>
      </c>
      <c r="I3" s="117" t="s">
        <v>6</v>
      </c>
      <c r="J3" s="107" t="s">
        <v>10</v>
      </c>
      <c r="K3" s="107"/>
      <c r="L3" s="107"/>
      <c r="M3" s="107"/>
      <c r="N3" s="107"/>
      <c r="O3" s="107" t="s">
        <v>15</v>
      </c>
      <c r="P3" s="107" t="s">
        <v>16</v>
      </c>
      <c r="Q3" s="107" t="s">
        <v>17</v>
      </c>
      <c r="R3" s="36">
        <v>204</v>
      </c>
      <c r="S3" s="37">
        <v>204</v>
      </c>
      <c r="T3" s="36"/>
      <c r="U3" s="37">
        <v>206</v>
      </c>
      <c r="V3" s="37">
        <v>206</v>
      </c>
      <c r="W3" s="36">
        <v>206</v>
      </c>
      <c r="X3" s="37"/>
      <c r="Y3" s="36"/>
      <c r="Z3" s="37"/>
      <c r="AA3" s="36"/>
      <c r="AB3" s="37"/>
      <c r="AC3" s="36"/>
      <c r="AD3" s="37"/>
      <c r="AE3" s="37"/>
      <c r="AF3" s="101" t="s">
        <v>11</v>
      </c>
      <c r="AG3" s="101" t="s">
        <v>13</v>
      </c>
      <c r="AH3" s="6"/>
    </row>
    <row r="4" spans="2:34" s="5" customFormat="1" ht="27.75" customHeight="1">
      <c r="B4" s="113"/>
      <c r="C4" s="114"/>
      <c r="D4" s="118"/>
      <c r="E4" s="118"/>
      <c r="F4" s="118"/>
      <c r="G4" s="90"/>
      <c r="H4" s="90"/>
      <c r="I4" s="118"/>
      <c r="J4" s="90"/>
      <c r="K4" s="90"/>
      <c r="L4" s="90"/>
      <c r="M4" s="90"/>
      <c r="N4" s="90"/>
      <c r="O4" s="90"/>
      <c r="P4" s="90"/>
      <c r="Q4" s="90"/>
      <c r="R4" s="92" t="s">
        <v>82</v>
      </c>
      <c r="S4" s="89" t="s">
        <v>83</v>
      </c>
      <c r="T4" s="92"/>
      <c r="U4" s="92" t="s">
        <v>92</v>
      </c>
      <c r="V4" s="89" t="s">
        <v>80</v>
      </c>
      <c r="W4" s="89" t="s">
        <v>81</v>
      </c>
      <c r="X4" s="89"/>
      <c r="Y4" s="92"/>
      <c r="Z4" s="89"/>
      <c r="AA4" s="92"/>
      <c r="AB4" s="89"/>
      <c r="AC4" s="92"/>
      <c r="AD4" s="89"/>
      <c r="AE4" s="89"/>
      <c r="AF4" s="108"/>
      <c r="AG4" s="102"/>
      <c r="AH4" s="7"/>
    </row>
    <row r="5" spans="2:33" s="5" customFormat="1" ht="27.75" customHeight="1" thickBot="1">
      <c r="B5" s="113"/>
      <c r="C5" s="114"/>
      <c r="D5" s="118"/>
      <c r="E5" s="118"/>
      <c r="F5" s="118"/>
      <c r="G5" s="90"/>
      <c r="H5" s="90"/>
      <c r="I5" s="118"/>
      <c r="J5" s="90"/>
      <c r="K5" s="90"/>
      <c r="L5" s="90"/>
      <c r="M5" s="90"/>
      <c r="N5" s="90"/>
      <c r="O5" s="90"/>
      <c r="P5" s="90"/>
      <c r="Q5" s="90"/>
      <c r="R5" s="93"/>
      <c r="S5" s="90"/>
      <c r="T5" s="93"/>
      <c r="U5" s="93"/>
      <c r="V5" s="90"/>
      <c r="W5" s="90"/>
      <c r="X5" s="90"/>
      <c r="Y5" s="93"/>
      <c r="Z5" s="90"/>
      <c r="AA5" s="93"/>
      <c r="AB5" s="90"/>
      <c r="AC5" s="93"/>
      <c r="AD5" s="90"/>
      <c r="AE5" s="90"/>
      <c r="AF5" s="109"/>
      <c r="AG5" s="102"/>
    </row>
    <row r="6" spans="2:33" s="5" customFormat="1" ht="27.75" customHeight="1">
      <c r="B6" s="113"/>
      <c r="C6" s="114"/>
      <c r="D6" s="118"/>
      <c r="E6" s="118"/>
      <c r="F6" s="118"/>
      <c r="G6" s="90"/>
      <c r="H6" s="90"/>
      <c r="I6" s="118"/>
      <c r="J6" s="90"/>
      <c r="K6" s="90"/>
      <c r="L6" s="90"/>
      <c r="M6" s="90"/>
      <c r="N6" s="90"/>
      <c r="O6" s="90"/>
      <c r="P6" s="90"/>
      <c r="Q6" s="90"/>
      <c r="R6" s="93"/>
      <c r="S6" s="90"/>
      <c r="T6" s="93"/>
      <c r="U6" s="93"/>
      <c r="V6" s="90"/>
      <c r="W6" s="90"/>
      <c r="X6" s="90"/>
      <c r="Y6" s="93"/>
      <c r="Z6" s="90"/>
      <c r="AA6" s="93"/>
      <c r="AB6" s="90"/>
      <c r="AC6" s="93"/>
      <c r="AD6" s="90"/>
      <c r="AE6" s="90"/>
      <c r="AF6" s="76" t="s">
        <v>79</v>
      </c>
      <c r="AG6" s="77"/>
    </row>
    <row r="7" spans="2:33" s="5" customFormat="1" ht="27.75" customHeight="1">
      <c r="B7" s="113"/>
      <c r="C7" s="114"/>
      <c r="D7" s="118"/>
      <c r="E7" s="118"/>
      <c r="F7" s="118"/>
      <c r="G7" s="90"/>
      <c r="H7" s="90"/>
      <c r="I7" s="118"/>
      <c r="J7" s="90"/>
      <c r="K7" s="90"/>
      <c r="L7" s="90"/>
      <c r="M7" s="90"/>
      <c r="N7" s="90"/>
      <c r="O7" s="90"/>
      <c r="P7" s="90"/>
      <c r="Q7" s="90"/>
      <c r="R7" s="93"/>
      <c r="S7" s="90"/>
      <c r="T7" s="93"/>
      <c r="U7" s="93"/>
      <c r="V7" s="90"/>
      <c r="W7" s="90"/>
      <c r="X7" s="90"/>
      <c r="Y7" s="93"/>
      <c r="Z7" s="90"/>
      <c r="AA7" s="93"/>
      <c r="AB7" s="90"/>
      <c r="AC7" s="93"/>
      <c r="AD7" s="90"/>
      <c r="AE7" s="90"/>
      <c r="AF7" s="78"/>
      <c r="AG7" s="79"/>
    </row>
    <row r="8" spans="2:33" s="5" customFormat="1" ht="27.75" customHeight="1">
      <c r="B8" s="113"/>
      <c r="C8" s="114"/>
      <c r="D8" s="118"/>
      <c r="E8" s="118"/>
      <c r="F8" s="118"/>
      <c r="G8" s="90"/>
      <c r="H8" s="90"/>
      <c r="I8" s="118"/>
      <c r="J8" s="90"/>
      <c r="K8" s="90"/>
      <c r="L8" s="90"/>
      <c r="M8" s="90"/>
      <c r="N8" s="90"/>
      <c r="O8" s="90"/>
      <c r="P8" s="90"/>
      <c r="Q8" s="90"/>
      <c r="R8" s="93"/>
      <c r="S8" s="90"/>
      <c r="T8" s="93"/>
      <c r="U8" s="93"/>
      <c r="V8" s="90"/>
      <c r="W8" s="90"/>
      <c r="X8" s="90"/>
      <c r="Y8" s="93"/>
      <c r="Z8" s="90"/>
      <c r="AA8" s="93"/>
      <c r="AB8" s="90"/>
      <c r="AC8" s="93"/>
      <c r="AD8" s="90"/>
      <c r="AE8" s="90"/>
      <c r="AF8" s="78"/>
      <c r="AG8" s="79"/>
    </row>
    <row r="9" spans="2:33" s="5" customFormat="1" ht="27.75" customHeight="1">
      <c r="B9" s="113"/>
      <c r="C9" s="114"/>
      <c r="D9" s="118"/>
      <c r="E9" s="118"/>
      <c r="F9" s="118"/>
      <c r="G9" s="90"/>
      <c r="H9" s="90"/>
      <c r="I9" s="118"/>
      <c r="J9" s="90"/>
      <c r="K9" s="90"/>
      <c r="L9" s="90"/>
      <c r="M9" s="90"/>
      <c r="N9" s="90"/>
      <c r="O9" s="90"/>
      <c r="P9" s="90"/>
      <c r="Q9" s="90"/>
      <c r="R9" s="93"/>
      <c r="S9" s="90"/>
      <c r="T9" s="93"/>
      <c r="U9" s="93"/>
      <c r="V9" s="90"/>
      <c r="W9" s="90"/>
      <c r="X9" s="90"/>
      <c r="Y9" s="93"/>
      <c r="Z9" s="90"/>
      <c r="AA9" s="93"/>
      <c r="AB9" s="90"/>
      <c r="AC9" s="93"/>
      <c r="AD9" s="90"/>
      <c r="AE9" s="90"/>
      <c r="AF9" s="78"/>
      <c r="AG9" s="79"/>
    </row>
    <row r="10" spans="2:33" s="5" customFormat="1" ht="27.75" customHeight="1">
      <c r="B10" s="113"/>
      <c r="C10" s="114"/>
      <c r="D10" s="118"/>
      <c r="E10" s="118"/>
      <c r="F10" s="118"/>
      <c r="G10" s="90"/>
      <c r="H10" s="90"/>
      <c r="I10" s="118"/>
      <c r="J10" s="90"/>
      <c r="K10" s="90"/>
      <c r="L10" s="90"/>
      <c r="M10" s="90"/>
      <c r="N10" s="90"/>
      <c r="O10" s="90"/>
      <c r="P10" s="90"/>
      <c r="Q10" s="90"/>
      <c r="R10" s="93"/>
      <c r="S10" s="90"/>
      <c r="T10" s="93"/>
      <c r="U10" s="93"/>
      <c r="V10" s="90"/>
      <c r="W10" s="90"/>
      <c r="X10" s="90"/>
      <c r="Y10" s="93"/>
      <c r="Z10" s="90"/>
      <c r="AA10" s="93"/>
      <c r="AB10" s="90"/>
      <c r="AC10" s="93"/>
      <c r="AD10" s="90"/>
      <c r="AE10" s="90"/>
      <c r="AF10" s="78"/>
      <c r="AG10" s="79"/>
    </row>
    <row r="11" spans="2:33" s="8" customFormat="1" ht="27.75" customHeight="1">
      <c r="B11" s="115"/>
      <c r="C11" s="116"/>
      <c r="D11" s="119"/>
      <c r="E11" s="119"/>
      <c r="F11" s="119"/>
      <c r="G11" s="91"/>
      <c r="H11" s="91"/>
      <c r="I11" s="119"/>
      <c r="J11" s="91"/>
      <c r="K11" s="91"/>
      <c r="L11" s="91"/>
      <c r="M11" s="91"/>
      <c r="N11" s="91"/>
      <c r="O11" s="91"/>
      <c r="P11" s="91"/>
      <c r="Q11" s="91"/>
      <c r="R11" s="94"/>
      <c r="S11" s="91"/>
      <c r="T11" s="94"/>
      <c r="U11" s="94"/>
      <c r="V11" s="91"/>
      <c r="W11" s="91"/>
      <c r="X11" s="91"/>
      <c r="Y11" s="94"/>
      <c r="Z11" s="91"/>
      <c r="AA11" s="94"/>
      <c r="AB11" s="91"/>
      <c r="AC11" s="94"/>
      <c r="AD11" s="91"/>
      <c r="AE11" s="91"/>
      <c r="AF11" s="78"/>
      <c r="AG11" s="79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38"/>
      <c r="I12" s="11" t="s">
        <v>9</v>
      </c>
      <c r="J12" s="11" t="s">
        <v>9</v>
      </c>
      <c r="K12" s="11"/>
      <c r="L12" s="11"/>
      <c r="M12" s="11"/>
      <c r="N12" s="11"/>
      <c r="O12" s="11" t="s">
        <v>9</v>
      </c>
      <c r="P12" s="11" t="s">
        <v>9</v>
      </c>
      <c r="Q12" s="11" t="s">
        <v>9</v>
      </c>
      <c r="R12" s="38" t="s">
        <v>85</v>
      </c>
      <c r="S12" s="11" t="s">
        <v>84</v>
      </c>
      <c r="T12" s="38"/>
      <c r="U12" s="11" t="s">
        <v>86</v>
      </c>
      <c r="V12" s="11" t="s">
        <v>85</v>
      </c>
      <c r="W12" s="38" t="s">
        <v>85</v>
      </c>
      <c r="X12" s="11"/>
      <c r="Y12" s="38"/>
      <c r="Z12" s="11"/>
      <c r="AA12" s="38"/>
      <c r="AB12" s="11"/>
      <c r="AC12" s="38"/>
      <c r="AD12" s="11"/>
      <c r="AE12" s="11"/>
      <c r="AF12" s="78"/>
      <c r="AG12" s="79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78"/>
      <c r="AG13" s="79"/>
    </row>
    <row r="14" spans="1:33" s="5" customFormat="1" ht="21.75" customHeight="1">
      <c r="A14" s="12">
        <f>A13+1</f>
        <v>2</v>
      </c>
      <c r="B14" s="110" t="s">
        <v>57</v>
      </c>
      <c r="C14" s="111"/>
      <c r="D14" s="111"/>
      <c r="E14" s="111"/>
      <c r="F14" s="111"/>
      <c r="G14" s="111"/>
      <c r="H14" s="111"/>
      <c r="I14" s="112"/>
      <c r="J14" s="16"/>
      <c r="K14" s="16"/>
      <c r="L14" s="15"/>
      <c r="M14" s="15"/>
      <c r="N14" s="15"/>
      <c r="O14" s="15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78"/>
      <c r="AG14" s="79"/>
    </row>
    <row r="15" spans="1:33" s="5" customFormat="1" ht="21.75" customHeight="1">
      <c r="A15" s="12">
        <f>A14+1</f>
        <v>3</v>
      </c>
      <c r="B15" s="19" t="s">
        <v>19</v>
      </c>
      <c r="C15" s="20"/>
      <c r="D15" s="15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78"/>
      <c r="AG15" s="79"/>
    </row>
    <row r="16" spans="1:33" s="5" customFormat="1" ht="21.75" customHeight="1">
      <c r="A16" s="12">
        <f aca="true" t="shared" si="0" ref="A16:A66">A15+1</f>
        <v>4</v>
      </c>
      <c r="B16" s="22">
        <v>57600</v>
      </c>
      <c r="C16" s="21">
        <v>57752.62</v>
      </c>
      <c r="D16" s="15" t="s">
        <v>25</v>
      </c>
      <c r="E16" s="16">
        <f aca="true" t="shared" si="1" ref="E16:E26">C16-B16</f>
        <v>152.62000000000262</v>
      </c>
      <c r="F16" s="17">
        <v>12</v>
      </c>
      <c r="G16" s="18">
        <f>ROUND((12253.421-($F16/2))/12253.421,4)</f>
        <v>0.9995</v>
      </c>
      <c r="H16" s="16"/>
      <c r="I16" s="16">
        <f>IF($G16=0,ROUND($E16*$F16,2),ROUND($E16*$F16*$G16,2))</f>
        <v>1830.52</v>
      </c>
      <c r="J16" s="16"/>
      <c r="K16" s="16"/>
      <c r="L16" s="16"/>
      <c r="M16" s="16"/>
      <c r="N16" s="16"/>
      <c r="O16" s="16"/>
      <c r="P16" s="16"/>
      <c r="Q16" s="16"/>
      <c r="R16" s="16"/>
      <c r="S16" s="63">
        <f aca="true" t="shared" si="2" ref="S16:S28">ROUND(($V16/S$72),3)</f>
        <v>0.102</v>
      </c>
      <c r="T16" s="16"/>
      <c r="U16" s="16">
        <f aca="true" t="shared" si="3" ref="U16:U28">ROUND((($U$72*$W$72*$U$73*$U$74*$W16)/2000),2)</f>
        <v>5.26</v>
      </c>
      <c r="V16" s="16">
        <f aca="true" t="shared" si="4" ref="V16:W28">ROUND((($I16+$J16)/9),2)</f>
        <v>203.39</v>
      </c>
      <c r="W16" s="16">
        <f t="shared" si="4"/>
        <v>203.39</v>
      </c>
      <c r="X16" s="16"/>
      <c r="Y16" s="16"/>
      <c r="Z16" s="16"/>
      <c r="AA16" s="16"/>
      <c r="AB16" s="16"/>
      <c r="AC16" s="16"/>
      <c r="AD16" s="16"/>
      <c r="AE16" s="16"/>
      <c r="AF16" s="78"/>
      <c r="AG16" s="79"/>
    </row>
    <row r="17" spans="1:33" s="5" customFormat="1" ht="21.75" customHeight="1">
      <c r="A17" s="12">
        <f t="shared" si="0"/>
        <v>5</v>
      </c>
      <c r="B17" s="22">
        <v>57600</v>
      </c>
      <c r="C17" s="21">
        <v>57752.62</v>
      </c>
      <c r="D17" s="15" t="s">
        <v>25</v>
      </c>
      <c r="E17" s="16">
        <f>C17-B17</f>
        <v>152.62000000000262</v>
      </c>
      <c r="F17" s="104" t="s">
        <v>23</v>
      </c>
      <c r="G17" s="105"/>
      <c r="H17" s="105"/>
      <c r="I17" s="106"/>
      <c r="J17" s="16">
        <v>101.62</v>
      </c>
      <c r="K17" s="16"/>
      <c r="L17" s="16"/>
      <c r="M17" s="16"/>
      <c r="N17" s="16"/>
      <c r="O17" s="16"/>
      <c r="P17" s="16"/>
      <c r="Q17" s="16"/>
      <c r="R17" s="16"/>
      <c r="S17" s="63">
        <f t="shared" si="2"/>
        <v>0.006</v>
      </c>
      <c r="T17" s="16"/>
      <c r="U17" s="16">
        <f t="shared" si="3"/>
        <v>0.29</v>
      </c>
      <c r="V17" s="16">
        <f t="shared" si="4"/>
        <v>11.29</v>
      </c>
      <c r="W17" s="16">
        <f t="shared" si="4"/>
        <v>11.29</v>
      </c>
      <c r="X17" s="16"/>
      <c r="Y17" s="75"/>
      <c r="Z17" s="75"/>
      <c r="AA17" s="75"/>
      <c r="AB17" s="75"/>
      <c r="AC17" s="75"/>
      <c r="AD17" s="75"/>
      <c r="AE17" s="75"/>
      <c r="AF17" s="78"/>
      <c r="AG17" s="79"/>
    </row>
    <row r="18" spans="1:33" s="5" customFormat="1" ht="21.75" customHeight="1">
      <c r="A18" s="12">
        <f t="shared" si="0"/>
        <v>6</v>
      </c>
      <c r="B18" s="13">
        <f>C16</f>
        <v>57752.62</v>
      </c>
      <c r="C18" s="14">
        <v>58017.46</v>
      </c>
      <c r="D18" s="15" t="s">
        <v>25</v>
      </c>
      <c r="E18" s="16">
        <f t="shared" si="1"/>
        <v>264.8399999999965</v>
      </c>
      <c r="F18" s="17">
        <f>ROUND(AVERAGE(14.852,12),2)</f>
        <v>13.43</v>
      </c>
      <c r="G18" s="18">
        <f>ROUND((12253.421-($F18/2))/12253.421,4)</f>
        <v>0.9995</v>
      </c>
      <c r="H18" s="16"/>
      <c r="I18" s="16">
        <f>IF($G18=0,ROUND($E18*$F18,2),ROUND($E18*$F18*$G18,2))</f>
        <v>3555.02</v>
      </c>
      <c r="J18" s="16"/>
      <c r="K18" s="16"/>
      <c r="L18" s="16"/>
      <c r="M18" s="16"/>
      <c r="N18" s="16"/>
      <c r="O18" s="16"/>
      <c r="P18" s="16"/>
      <c r="Q18" s="16"/>
      <c r="R18" s="16"/>
      <c r="S18" s="63">
        <f t="shared" si="2"/>
        <v>0.198</v>
      </c>
      <c r="T18" s="16"/>
      <c r="U18" s="16">
        <f t="shared" si="3"/>
        <v>10.22</v>
      </c>
      <c r="V18" s="16">
        <f t="shared" si="4"/>
        <v>395</v>
      </c>
      <c r="W18" s="16">
        <f t="shared" si="4"/>
        <v>395</v>
      </c>
      <c r="X18" s="16"/>
      <c r="Y18" s="16"/>
      <c r="Z18" s="16"/>
      <c r="AA18" s="16"/>
      <c r="AB18" s="16"/>
      <c r="AC18" s="16"/>
      <c r="AD18" s="16"/>
      <c r="AE18" s="16"/>
      <c r="AF18" s="78"/>
      <c r="AG18" s="79"/>
    </row>
    <row r="19" spans="1:33" s="5" customFormat="1" ht="21.75" customHeight="1">
      <c r="A19" s="12">
        <f t="shared" si="0"/>
        <v>7</v>
      </c>
      <c r="B19" s="13">
        <f aca="true" t="shared" si="5" ref="B19:B26">C18</f>
        <v>58017.46</v>
      </c>
      <c r="C19" s="14">
        <v>58124.01</v>
      </c>
      <c r="D19" s="15" t="s">
        <v>25</v>
      </c>
      <c r="E19" s="16">
        <f t="shared" si="1"/>
        <v>106.55000000000291</v>
      </c>
      <c r="F19" s="17">
        <f>ROUND(AVERAGE(14.852,16),2)</f>
        <v>15.43</v>
      </c>
      <c r="G19" s="18"/>
      <c r="H19" s="16"/>
      <c r="I19" s="16">
        <f>IF($G19=0,ROUND($E19*$F19,2),ROUND($E19*$F19*$G19,2))</f>
        <v>1644.07</v>
      </c>
      <c r="J19" s="16"/>
      <c r="K19" s="16"/>
      <c r="L19" s="16"/>
      <c r="M19" s="16"/>
      <c r="N19" s="16"/>
      <c r="O19" s="16"/>
      <c r="P19" s="16"/>
      <c r="Q19" s="16"/>
      <c r="R19" s="16"/>
      <c r="S19" s="63">
        <f t="shared" si="2"/>
        <v>0.091</v>
      </c>
      <c r="T19" s="16"/>
      <c r="U19" s="16">
        <f t="shared" si="3"/>
        <v>4.73</v>
      </c>
      <c r="V19" s="16">
        <f t="shared" si="4"/>
        <v>182.67</v>
      </c>
      <c r="W19" s="16">
        <f t="shared" si="4"/>
        <v>182.67</v>
      </c>
      <c r="X19" s="16"/>
      <c r="Y19" s="16"/>
      <c r="Z19" s="16"/>
      <c r="AA19" s="16"/>
      <c r="AB19" s="16"/>
      <c r="AC19" s="16"/>
      <c r="AD19" s="16"/>
      <c r="AE19" s="16"/>
      <c r="AF19" s="78"/>
      <c r="AG19" s="79"/>
    </row>
    <row r="20" spans="1:33" s="5" customFormat="1" ht="21.75" customHeight="1">
      <c r="A20" s="12">
        <f t="shared" si="0"/>
        <v>8</v>
      </c>
      <c r="B20" s="13">
        <f t="shared" si="5"/>
        <v>58124.01</v>
      </c>
      <c r="C20" s="14">
        <v>58316.4</v>
      </c>
      <c r="D20" s="15" t="s">
        <v>25</v>
      </c>
      <c r="E20" s="16">
        <f t="shared" si="1"/>
        <v>192.38999999999942</v>
      </c>
      <c r="F20" s="17">
        <v>16</v>
      </c>
      <c r="G20" s="18"/>
      <c r="H20" s="16"/>
      <c r="I20" s="16">
        <f>IF($G20=0,ROUND($E20*$F20,2),ROUND($E20*$F20*$G20,2))</f>
        <v>3078.24</v>
      </c>
      <c r="J20" s="16"/>
      <c r="K20" s="16"/>
      <c r="L20" s="16"/>
      <c r="M20" s="16"/>
      <c r="N20" s="16"/>
      <c r="O20" s="16"/>
      <c r="P20" s="16"/>
      <c r="Q20" s="16"/>
      <c r="R20" s="16"/>
      <c r="S20" s="63">
        <f t="shared" si="2"/>
        <v>0.171</v>
      </c>
      <c r="T20" s="16"/>
      <c r="U20" s="16">
        <f t="shared" si="3"/>
        <v>8.85</v>
      </c>
      <c r="V20" s="16">
        <f t="shared" si="4"/>
        <v>342.03</v>
      </c>
      <c r="W20" s="16">
        <f t="shared" si="4"/>
        <v>342.03</v>
      </c>
      <c r="X20" s="16"/>
      <c r="Y20" s="16"/>
      <c r="Z20" s="16"/>
      <c r="AA20" s="16"/>
      <c r="AB20" s="16"/>
      <c r="AC20" s="16"/>
      <c r="AD20" s="16"/>
      <c r="AE20" s="16"/>
      <c r="AF20" s="78"/>
      <c r="AG20" s="79"/>
    </row>
    <row r="21" spans="1:33" s="5" customFormat="1" ht="21.75" customHeight="1">
      <c r="A21" s="12">
        <f t="shared" si="0"/>
        <v>9</v>
      </c>
      <c r="B21" s="13">
        <f t="shared" si="5"/>
        <v>58316.4</v>
      </c>
      <c r="C21" s="14">
        <v>58516.4</v>
      </c>
      <c r="D21" s="15" t="s">
        <v>25</v>
      </c>
      <c r="E21" s="16">
        <f t="shared" si="1"/>
        <v>200</v>
      </c>
      <c r="F21" s="17">
        <v>16</v>
      </c>
      <c r="G21" s="18">
        <f>ROUND((((1432.394+($F21/2))/1432.394)+1)/2,4)</f>
        <v>1.0028</v>
      </c>
      <c r="H21" s="16"/>
      <c r="I21" s="16">
        <f>IF($G21=0,ROUND($E21*$F21,2),ROUND($E21*$F21*$G21,2))</f>
        <v>3208.96</v>
      </c>
      <c r="J21" s="16"/>
      <c r="K21" s="16"/>
      <c r="L21" s="16"/>
      <c r="M21" s="16"/>
      <c r="N21" s="16"/>
      <c r="O21" s="16"/>
      <c r="P21" s="16"/>
      <c r="Q21" s="16"/>
      <c r="R21" s="16"/>
      <c r="S21" s="63">
        <f t="shared" si="2"/>
        <v>0.178</v>
      </c>
      <c r="T21" s="16"/>
      <c r="U21" s="16">
        <f t="shared" si="3"/>
        <v>9.23</v>
      </c>
      <c r="V21" s="16">
        <f t="shared" si="4"/>
        <v>356.55</v>
      </c>
      <c r="W21" s="16">
        <f t="shared" si="4"/>
        <v>356.55</v>
      </c>
      <c r="X21" s="16"/>
      <c r="Y21" s="16"/>
      <c r="Z21" s="16"/>
      <c r="AA21" s="16"/>
      <c r="AB21" s="16"/>
      <c r="AC21" s="16"/>
      <c r="AD21" s="16"/>
      <c r="AE21" s="16"/>
      <c r="AF21" s="78"/>
      <c r="AG21" s="79"/>
    </row>
    <row r="22" spans="1:33" s="5" customFormat="1" ht="21.75" customHeight="1">
      <c r="A22" s="12">
        <f t="shared" si="0"/>
        <v>10</v>
      </c>
      <c r="B22" s="13">
        <f t="shared" si="5"/>
        <v>58516.4</v>
      </c>
      <c r="C22" s="14">
        <v>59303.36</v>
      </c>
      <c r="D22" s="15" t="s">
        <v>25</v>
      </c>
      <c r="E22" s="16">
        <f t="shared" si="1"/>
        <v>786.9599999999991</v>
      </c>
      <c r="F22" s="17">
        <v>16</v>
      </c>
      <c r="G22" s="18">
        <f>ROUND((1432.394+($F22/2))/1432.394,4)</f>
        <v>1.0056</v>
      </c>
      <c r="H22" s="16"/>
      <c r="I22" s="16">
        <f>IF(G22=0,ROUND($E22*$F22,2),ROUND($E22*$F22*$G22,2))</f>
        <v>12661.87</v>
      </c>
      <c r="J22" s="16"/>
      <c r="K22" s="16"/>
      <c r="L22" s="16"/>
      <c r="M22" s="16"/>
      <c r="N22" s="16"/>
      <c r="O22" s="16"/>
      <c r="P22" s="16"/>
      <c r="Q22" s="16"/>
      <c r="R22" s="16"/>
      <c r="S22" s="63">
        <f t="shared" si="2"/>
        <v>0.703</v>
      </c>
      <c r="T22" s="16"/>
      <c r="U22" s="16">
        <f t="shared" si="3"/>
        <v>36.4</v>
      </c>
      <c r="V22" s="16">
        <f t="shared" si="4"/>
        <v>1406.87</v>
      </c>
      <c r="W22" s="16">
        <f t="shared" si="4"/>
        <v>1406.87</v>
      </c>
      <c r="X22" s="16"/>
      <c r="Y22" s="16"/>
      <c r="Z22" s="16"/>
      <c r="AA22" s="16"/>
      <c r="AB22" s="16"/>
      <c r="AC22" s="16"/>
      <c r="AD22" s="16"/>
      <c r="AE22" s="16"/>
      <c r="AF22" s="78"/>
      <c r="AG22" s="79"/>
    </row>
    <row r="23" spans="1:33" s="5" customFormat="1" ht="21.75" customHeight="1">
      <c r="A23" s="12">
        <f t="shared" si="0"/>
        <v>11</v>
      </c>
      <c r="B23" s="13">
        <f t="shared" si="5"/>
        <v>59303.36</v>
      </c>
      <c r="C23" s="14">
        <v>59640</v>
      </c>
      <c r="D23" s="15" t="s">
        <v>25</v>
      </c>
      <c r="E23" s="16">
        <f t="shared" si="1"/>
        <v>336.6399999999994</v>
      </c>
      <c r="F23" s="17">
        <v>16</v>
      </c>
      <c r="G23" s="18">
        <f>ROUND((716.197+($F23/2))/716.197,4)</f>
        <v>1.0112</v>
      </c>
      <c r="H23" s="16"/>
      <c r="I23" s="16">
        <f>IF(G23=0,ROUND($E23*$F23,2),ROUND($E23*$F23*$G23,2))</f>
        <v>5446.57</v>
      </c>
      <c r="J23" s="16"/>
      <c r="K23" s="16"/>
      <c r="L23" s="16"/>
      <c r="M23" s="16"/>
      <c r="N23" s="16"/>
      <c r="O23" s="16"/>
      <c r="P23" s="16"/>
      <c r="Q23" s="16"/>
      <c r="R23" s="16"/>
      <c r="S23" s="63">
        <f t="shared" si="2"/>
        <v>0.303</v>
      </c>
      <c r="T23" s="16"/>
      <c r="U23" s="16">
        <f t="shared" si="3"/>
        <v>15.66</v>
      </c>
      <c r="V23" s="16">
        <f t="shared" si="4"/>
        <v>605.17</v>
      </c>
      <c r="W23" s="16">
        <f t="shared" si="4"/>
        <v>605.17</v>
      </c>
      <c r="X23" s="16"/>
      <c r="Y23" s="16"/>
      <c r="Z23" s="16"/>
      <c r="AA23" s="16"/>
      <c r="AB23" s="16"/>
      <c r="AC23" s="16"/>
      <c r="AD23" s="16"/>
      <c r="AE23" s="16"/>
      <c r="AF23" s="78"/>
      <c r="AG23" s="79"/>
    </row>
    <row r="24" spans="1:33" s="5" customFormat="1" ht="21.75" customHeight="1">
      <c r="A24" s="12">
        <f t="shared" si="0"/>
        <v>12</v>
      </c>
      <c r="B24" s="13">
        <f t="shared" si="5"/>
        <v>59640</v>
      </c>
      <c r="C24" s="14">
        <v>59938.22</v>
      </c>
      <c r="D24" s="15" t="s">
        <v>25</v>
      </c>
      <c r="E24" s="16">
        <f t="shared" si="1"/>
        <v>298.22000000000116</v>
      </c>
      <c r="F24" s="17">
        <f>ROUND(AVERAGE(28,19.479),2)</f>
        <v>23.74</v>
      </c>
      <c r="G24" s="18">
        <f>ROUND((716.197+($F24/2))/716.197,4)</f>
        <v>1.0166</v>
      </c>
      <c r="H24" s="16"/>
      <c r="I24" s="16">
        <f>IF(G24=0,ROUND($E24*$F24,2),ROUND($E24*$F24*$G24,2))</f>
        <v>7197.27</v>
      </c>
      <c r="J24" s="16"/>
      <c r="K24" s="16"/>
      <c r="L24" s="16"/>
      <c r="M24" s="16"/>
      <c r="N24" s="16"/>
      <c r="O24" s="16"/>
      <c r="P24" s="16"/>
      <c r="Q24" s="16"/>
      <c r="R24" s="16"/>
      <c r="S24" s="63">
        <f t="shared" si="2"/>
        <v>0.4</v>
      </c>
      <c r="T24" s="16"/>
      <c r="U24" s="16">
        <f t="shared" si="3"/>
        <v>20.69</v>
      </c>
      <c r="V24" s="16">
        <f t="shared" si="4"/>
        <v>799.7</v>
      </c>
      <c r="W24" s="16">
        <f t="shared" si="4"/>
        <v>799.7</v>
      </c>
      <c r="X24" s="16"/>
      <c r="Y24" s="16"/>
      <c r="Z24" s="16"/>
      <c r="AA24" s="16"/>
      <c r="AB24" s="16"/>
      <c r="AC24" s="16"/>
      <c r="AD24" s="16"/>
      <c r="AE24" s="16"/>
      <c r="AF24" s="78"/>
      <c r="AG24" s="79"/>
    </row>
    <row r="25" spans="1:33" s="5" customFormat="1" ht="21.75" customHeight="1">
      <c r="A25" s="12">
        <f t="shared" si="0"/>
        <v>13</v>
      </c>
      <c r="B25" s="13">
        <f t="shared" si="5"/>
        <v>59938.22</v>
      </c>
      <c r="C25" s="14">
        <v>60060</v>
      </c>
      <c r="D25" s="15" t="s">
        <v>25</v>
      </c>
      <c r="E25" s="16">
        <f t="shared" si="1"/>
        <v>121.77999999999884</v>
      </c>
      <c r="F25" s="17">
        <f>ROUND(AVERAGE(16,19.479),2)</f>
        <v>17.74</v>
      </c>
      <c r="G25" s="18">
        <f>ROUND((1432.394+($F25/2))/1432.394,4)</f>
        <v>1.0062</v>
      </c>
      <c r="H25" s="16"/>
      <c r="I25" s="16">
        <f>IF(G25=0,ROUND($E25*$F25,2),ROUND($E25*$F25*$G25,2))</f>
        <v>2173.77</v>
      </c>
      <c r="J25" s="16"/>
      <c r="K25" s="16"/>
      <c r="L25" s="16"/>
      <c r="M25" s="16"/>
      <c r="N25" s="16"/>
      <c r="O25" s="16"/>
      <c r="P25" s="16"/>
      <c r="Q25" s="16"/>
      <c r="R25" s="16"/>
      <c r="S25" s="63">
        <f t="shared" si="2"/>
        <v>0.121</v>
      </c>
      <c r="T25" s="16"/>
      <c r="U25" s="16">
        <f t="shared" si="3"/>
        <v>6.25</v>
      </c>
      <c r="V25" s="16">
        <f t="shared" si="4"/>
        <v>241.53</v>
      </c>
      <c r="W25" s="16">
        <f t="shared" si="4"/>
        <v>241.53</v>
      </c>
      <c r="X25" s="16"/>
      <c r="Y25" s="16"/>
      <c r="Z25" s="16"/>
      <c r="AA25" s="16"/>
      <c r="AB25" s="16"/>
      <c r="AC25" s="16"/>
      <c r="AD25" s="16"/>
      <c r="AE25" s="16"/>
      <c r="AF25" s="78"/>
      <c r="AG25" s="79"/>
    </row>
    <row r="26" spans="1:33" s="5" customFormat="1" ht="21.75" customHeight="1">
      <c r="A26" s="12">
        <f t="shared" si="0"/>
        <v>14</v>
      </c>
      <c r="B26" s="13">
        <f t="shared" si="5"/>
        <v>60060</v>
      </c>
      <c r="C26" s="14">
        <v>60137.81</v>
      </c>
      <c r="D26" s="15" t="s">
        <v>25</v>
      </c>
      <c r="E26" s="16">
        <f t="shared" si="1"/>
        <v>77.80999999999767</v>
      </c>
      <c r="F26" s="17">
        <v>16</v>
      </c>
      <c r="G26" s="18">
        <f>ROUND((1432.394+($F26/2))/1432.394,4)</f>
        <v>1.0056</v>
      </c>
      <c r="H26" s="16"/>
      <c r="I26" s="16">
        <f>IF(G26=0,ROUND($E26*$F26,2),ROUND($E26*$F26*$G26,2))</f>
        <v>1251.93</v>
      </c>
      <c r="J26" s="16"/>
      <c r="K26" s="16"/>
      <c r="L26" s="16"/>
      <c r="M26" s="16"/>
      <c r="N26" s="16"/>
      <c r="O26" s="16"/>
      <c r="P26" s="16"/>
      <c r="Q26" s="16"/>
      <c r="R26" s="16"/>
      <c r="S26" s="63">
        <f t="shared" si="2"/>
        <v>0.07</v>
      </c>
      <c r="T26" s="16"/>
      <c r="U26" s="16">
        <f t="shared" si="3"/>
        <v>3.6</v>
      </c>
      <c r="V26" s="16">
        <f t="shared" si="4"/>
        <v>139.1</v>
      </c>
      <c r="W26" s="16">
        <f t="shared" si="4"/>
        <v>139.1</v>
      </c>
      <c r="X26" s="16"/>
      <c r="Y26" s="16"/>
      <c r="Z26" s="16"/>
      <c r="AA26" s="16"/>
      <c r="AB26" s="16"/>
      <c r="AC26" s="16"/>
      <c r="AD26" s="16"/>
      <c r="AE26" s="16"/>
      <c r="AF26" s="78"/>
      <c r="AG26" s="79"/>
    </row>
    <row r="27" spans="1:33" s="5" customFormat="1" ht="21.75" customHeight="1">
      <c r="A27" s="12">
        <f t="shared" si="0"/>
        <v>15</v>
      </c>
      <c r="B27" s="13">
        <f aca="true" t="shared" si="6" ref="B27:B53">C26</f>
        <v>60137.81</v>
      </c>
      <c r="C27" s="14">
        <v>60337.81</v>
      </c>
      <c r="D27" s="15" t="s">
        <v>25</v>
      </c>
      <c r="E27" s="16">
        <f>C27-B27</f>
        <v>200</v>
      </c>
      <c r="F27" s="17">
        <v>16</v>
      </c>
      <c r="G27" s="18">
        <f>ROUND((((1432.394+($F27/2))/1432.394)+1)/2,4)</f>
        <v>1.0028</v>
      </c>
      <c r="H27" s="16"/>
      <c r="I27" s="16">
        <f aca="true" t="shared" si="7" ref="I27:I53">IF(G27=0,ROUND($E27*$F27,2),ROUND($E27*$F27*$G27,2))</f>
        <v>3208.96</v>
      </c>
      <c r="J27" s="16"/>
      <c r="K27" s="16"/>
      <c r="L27" s="16"/>
      <c r="M27" s="16"/>
      <c r="N27" s="16"/>
      <c r="O27" s="16"/>
      <c r="P27" s="16"/>
      <c r="Q27" s="16"/>
      <c r="R27" s="16"/>
      <c r="S27" s="63">
        <f t="shared" si="2"/>
        <v>0.178</v>
      </c>
      <c r="T27" s="16"/>
      <c r="U27" s="16">
        <f t="shared" si="3"/>
        <v>9.23</v>
      </c>
      <c r="V27" s="16">
        <f t="shared" si="4"/>
        <v>356.55</v>
      </c>
      <c r="W27" s="16">
        <f t="shared" si="4"/>
        <v>356.55</v>
      </c>
      <c r="X27" s="16"/>
      <c r="Y27" s="16"/>
      <c r="Z27" s="16"/>
      <c r="AA27" s="16"/>
      <c r="AB27" s="16"/>
      <c r="AC27" s="16"/>
      <c r="AD27" s="16"/>
      <c r="AE27" s="16"/>
      <c r="AF27" s="78"/>
      <c r="AG27" s="79"/>
    </row>
    <row r="28" spans="1:33" s="5" customFormat="1" ht="21.75" customHeight="1">
      <c r="A28" s="12">
        <f t="shared" si="0"/>
        <v>16</v>
      </c>
      <c r="B28" s="13">
        <f t="shared" si="6"/>
        <v>60337.81</v>
      </c>
      <c r="C28" s="14">
        <v>60667.88</v>
      </c>
      <c r="D28" s="15" t="s">
        <v>25</v>
      </c>
      <c r="E28" s="16">
        <f>C28-B28</f>
        <v>330.0699999999997</v>
      </c>
      <c r="F28" s="17">
        <v>16</v>
      </c>
      <c r="G28" s="18"/>
      <c r="H28" s="16"/>
      <c r="I28" s="16">
        <f t="shared" si="7"/>
        <v>5281.12</v>
      </c>
      <c r="J28" s="16"/>
      <c r="K28" s="16"/>
      <c r="L28" s="16"/>
      <c r="M28" s="16"/>
      <c r="N28" s="16"/>
      <c r="O28" s="16"/>
      <c r="P28" s="16"/>
      <c r="Q28" s="16"/>
      <c r="R28" s="16"/>
      <c r="S28" s="63">
        <f t="shared" si="2"/>
        <v>0.293</v>
      </c>
      <c r="T28" s="16"/>
      <c r="U28" s="16">
        <f t="shared" si="3"/>
        <v>15.18</v>
      </c>
      <c r="V28" s="16">
        <f t="shared" si="4"/>
        <v>586.79</v>
      </c>
      <c r="W28" s="16">
        <f t="shared" si="4"/>
        <v>586.79</v>
      </c>
      <c r="X28" s="16"/>
      <c r="Y28" s="16"/>
      <c r="Z28" s="16"/>
      <c r="AA28" s="16"/>
      <c r="AB28" s="16"/>
      <c r="AC28" s="16"/>
      <c r="AD28" s="16"/>
      <c r="AE28" s="16"/>
      <c r="AF28" s="78"/>
      <c r="AG28" s="79"/>
    </row>
    <row r="29" spans="1:33" s="5" customFormat="1" ht="21.75" customHeight="1">
      <c r="A29" s="12">
        <f t="shared" si="0"/>
        <v>17</v>
      </c>
      <c r="B29" s="13"/>
      <c r="C29" s="14"/>
      <c r="D29" s="15"/>
      <c r="E29" s="16"/>
      <c r="F29" s="17"/>
      <c r="G29" s="18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63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78"/>
      <c r="AG29" s="79"/>
    </row>
    <row r="30" spans="1:33" s="5" customFormat="1" ht="21.75" customHeight="1">
      <c r="A30" s="12">
        <f t="shared" si="0"/>
        <v>18</v>
      </c>
      <c r="B30" s="13" t="s">
        <v>58</v>
      </c>
      <c r="C30" s="14" t="s">
        <v>59</v>
      </c>
      <c r="D30" s="15" t="s">
        <v>20</v>
      </c>
      <c r="E30" s="16">
        <v>22.76</v>
      </c>
      <c r="F30" s="17">
        <f>ROUND(AVERAGE(16,15.545),2)</f>
        <v>15.77</v>
      </c>
      <c r="G30" s="18"/>
      <c r="H30" s="16"/>
      <c r="I30" s="16">
        <f t="shared" si="7"/>
        <v>358.93</v>
      </c>
      <c r="J30" s="16"/>
      <c r="K30" s="16"/>
      <c r="L30" s="16"/>
      <c r="M30" s="16"/>
      <c r="N30" s="16"/>
      <c r="O30" s="16"/>
      <c r="P30" s="16"/>
      <c r="Q30" s="16"/>
      <c r="R30" s="16"/>
      <c r="S30" s="63">
        <f>ROUND(($V30/S$72),3)</f>
        <v>0.02</v>
      </c>
      <c r="T30" s="16"/>
      <c r="U30" s="16">
        <f>ROUND((($U$72*$W$72*$U$73*$U$74*$W30)/2000),2)</f>
        <v>1.03</v>
      </c>
      <c r="V30" s="16">
        <f>ROUND((($I30+$J30)/9),2)</f>
        <v>39.88</v>
      </c>
      <c r="W30" s="16">
        <f>ROUND((($I30+$J30)/9),2)</f>
        <v>39.88</v>
      </c>
      <c r="X30" s="16"/>
      <c r="Y30" s="16"/>
      <c r="Z30" s="16"/>
      <c r="AA30" s="16"/>
      <c r="AB30" s="16"/>
      <c r="AC30" s="16"/>
      <c r="AD30" s="16"/>
      <c r="AE30" s="16"/>
      <c r="AF30" s="78"/>
      <c r="AG30" s="79"/>
    </row>
    <row r="31" spans="1:33" s="5" customFormat="1" ht="21.75" customHeight="1">
      <c r="A31" s="12">
        <f t="shared" si="0"/>
        <v>19</v>
      </c>
      <c r="B31" s="13" t="str">
        <f t="shared" si="6"/>
        <v>277+72.76 (I.R. 277)</v>
      </c>
      <c r="C31" s="14" t="s">
        <v>60</v>
      </c>
      <c r="D31" s="15" t="s">
        <v>20</v>
      </c>
      <c r="E31" s="16">
        <v>177.24</v>
      </c>
      <c r="F31" s="17">
        <f>ROUND(AVERAGE(12,15.545),2)</f>
        <v>13.77</v>
      </c>
      <c r="G31" s="18">
        <f>ROUND((5729.58-32-($F31/2))/5729.58,4)</f>
        <v>0.9932</v>
      </c>
      <c r="H31" s="16"/>
      <c r="I31" s="16">
        <f t="shared" si="7"/>
        <v>2424</v>
      </c>
      <c r="J31" s="16"/>
      <c r="K31" s="16"/>
      <c r="L31" s="16"/>
      <c r="M31" s="16"/>
      <c r="N31" s="16"/>
      <c r="O31" s="16"/>
      <c r="P31" s="16"/>
      <c r="Q31" s="16"/>
      <c r="R31" s="16"/>
      <c r="S31" s="63">
        <f>ROUND(($V31/S$72),3)</f>
        <v>0.135</v>
      </c>
      <c r="T31" s="16"/>
      <c r="U31" s="16">
        <f>ROUND((($U$72*$W$72*$U$73*$U$74*$W31)/2000),2)</f>
        <v>6.97</v>
      </c>
      <c r="V31" s="16">
        <f>ROUND((($I31+$J31)/9),2)</f>
        <v>269.33</v>
      </c>
      <c r="W31" s="16">
        <f>ROUND((($I31+$J31)/9),2)</f>
        <v>269.33</v>
      </c>
      <c r="X31" s="16"/>
      <c r="Y31" s="16"/>
      <c r="Z31" s="16"/>
      <c r="AA31" s="16"/>
      <c r="AB31" s="16"/>
      <c r="AC31" s="16"/>
      <c r="AD31" s="16"/>
      <c r="AE31" s="16"/>
      <c r="AF31" s="78"/>
      <c r="AG31" s="79"/>
    </row>
    <row r="32" spans="1:33" s="5" customFormat="1" ht="21.75" customHeight="1">
      <c r="A32" s="12">
        <f t="shared" si="0"/>
        <v>20</v>
      </c>
      <c r="B32" s="13"/>
      <c r="C32" s="14"/>
      <c r="D32" s="15"/>
      <c r="E32" s="16"/>
      <c r="F32" s="17"/>
      <c r="G32" s="1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63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78"/>
      <c r="AG32" s="79"/>
    </row>
    <row r="33" spans="1:33" s="5" customFormat="1" ht="21.75" customHeight="1">
      <c r="A33" s="12">
        <f t="shared" si="0"/>
        <v>21</v>
      </c>
      <c r="B33" s="19" t="s">
        <v>27</v>
      </c>
      <c r="C33" s="14"/>
      <c r="D33" s="15"/>
      <c r="E33" s="16"/>
      <c r="F33" s="17"/>
      <c r="G33" s="18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63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78"/>
      <c r="AG33" s="79"/>
    </row>
    <row r="34" spans="1:33" s="5" customFormat="1" ht="21.75" customHeight="1">
      <c r="A34" s="12">
        <f t="shared" si="0"/>
        <v>22</v>
      </c>
      <c r="B34" s="13">
        <v>58123.61</v>
      </c>
      <c r="C34" s="14">
        <v>58150</v>
      </c>
      <c r="D34" s="15" t="s">
        <v>25</v>
      </c>
      <c r="E34" s="16">
        <f>C34-B34</f>
        <v>26.389999999999418</v>
      </c>
      <c r="F34" s="104" t="s">
        <v>23</v>
      </c>
      <c r="G34" s="105"/>
      <c r="H34" s="105"/>
      <c r="I34" s="106"/>
      <c r="J34" s="16">
        <v>104.76</v>
      </c>
      <c r="K34" s="42"/>
      <c r="L34" s="16"/>
      <c r="M34" s="16"/>
      <c r="N34" s="16"/>
      <c r="O34" s="16">
        <f>IF($H34=0,ROUND($E34*(O$72/12),2),ROUND($E34*(O$72/12)*$H34,2))</f>
        <v>39.58</v>
      </c>
      <c r="P34" s="16"/>
      <c r="Q34" s="16"/>
      <c r="R34" s="16"/>
      <c r="S34" s="63">
        <f>ROUND(($V34/S$72),3)</f>
        <v>0.008</v>
      </c>
      <c r="T34" s="16"/>
      <c r="U34" s="16">
        <f>ROUND((($U$72*$W$72*$U$73*$U$74*$W34)/2000),2)</f>
        <v>0.42</v>
      </c>
      <c r="V34" s="16">
        <f aca="true" t="shared" si="8" ref="V34:W37">ROUND((($I34+$J34+$O34+$P34+$Q34)/9),2)</f>
        <v>16.04</v>
      </c>
      <c r="W34" s="16">
        <f t="shared" si="8"/>
        <v>16.04</v>
      </c>
      <c r="X34" s="16"/>
      <c r="Y34" s="16"/>
      <c r="Z34" s="16"/>
      <c r="AA34" s="16"/>
      <c r="AB34" s="16"/>
      <c r="AC34" s="16"/>
      <c r="AD34" s="16"/>
      <c r="AE34" s="16"/>
      <c r="AF34" s="78"/>
      <c r="AG34" s="79"/>
    </row>
    <row r="35" spans="1:33" s="5" customFormat="1" ht="21.75" customHeight="1">
      <c r="A35" s="12">
        <f t="shared" si="0"/>
        <v>23</v>
      </c>
      <c r="B35" s="13">
        <f aca="true" t="shared" si="9" ref="B35:B41">C34</f>
        <v>58150</v>
      </c>
      <c r="C35" s="14">
        <v>58316.4</v>
      </c>
      <c r="D35" s="15" t="s">
        <v>25</v>
      </c>
      <c r="E35" s="16">
        <f>C35-B35</f>
        <v>166.40000000000146</v>
      </c>
      <c r="F35" s="17">
        <v>4</v>
      </c>
      <c r="G35" s="18"/>
      <c r="H35" s="16"/>
      <c r="I35" s="16">
        <f>IF(G35=0,ROUND($E35*$F35,2),ROUND($E35*$F35*$G35,2))</f>
        <v>665.6</v>
      </c>
      <c r="J35" s="16"/>
      <c r="K35" s="16"/>
      <c r="L35" s="16"/>
      <c r="M35" s="16"/>
      <c r="N35" s="16"/>
      <c r="O35" s="16">
        <f>IF($H35=0,ROUND($E35*(O$72/12),2),ROUND($E35*(O$72/12)*$H35,2))</f>
        <v>249.6</v>
      </c>
      <c r="P35" s="16"/>
      <c r="Q35" s="16"/>
      <c r="R35" s="16"/>
      <c r="S35" s="63">
        <f>ROUND(($V35/S$72),3)</f>
        <v>0.051</v>
      </c>
      <c r="T35" s="16"/>
      <c r="U35" s="16">
        <f>ROUND((($U$72*$W$72*$U$73*$U$74*$W35)/2000),2)</f>
        <v>2.63</v>
      </c>
      <c r="V35" s="16">
        <f t="shared" si="8"/>
        <v>101.69</v>
      </c>
      <c r="W35" s="16">
        <f t="shared" si="8"/>
        <v>101.69</v>
      </c>
      <c r="X35" s="16"/>
      <c r="Y35" s="16"/>
      <c r="Z35" s="16"/>
      <c r="AA35" s="16"/>
      <c r="AB35" s="16"/>
      <c r="AC35" s="16"/>
      <c r="AD35" s="16"/>
      <c r="AE35" s="16"/>
      <c r="AF35" s="78"/>
      <c r="AG35" s="79"/>
    </row>
    <row r="36" spans="1:33" s="5" customFormat="1" ht="21.75" customHeight="1">
      <c r="A36" s="12">
        <f t="shared" si="0"/>
        <v>24</v>
      </c>
      <c r="B36" s="14">
        <f t="shared" si="9"/>
        <v>58316.4</v>
      </c>
      <c r="C36" s="14">
        <v>58516.4</v>
      </c>
      <c r="D36" s="15" t="s">
        <v>25</v>
      </c>
      <c r="E36" s="16">
        <f>C36-B36</f>
        <v>200</v>
      </c>
      <c r="F36" s="17">
        <v>4</v>
      </c>
      <c r="G36" s="18">
        <f>ROUND((((1432.394+16+($F36/2))/1432.394)+1)/2,4)</f>
        <v>1.0063</v>
      </c>
      <c r="H36" s="18">
        <f>ROUND((((1432.394+16+($F36))/1432.394)+1)/2,4)</f>
        <v>1.007</v>
      </c>
      <c r="I36" s="16">
        <f>IF(G36=0,ROUND($E36*$F36,2),ROUND($E36*$F36*$G36,2))</f>
        <v>805.04</v>
      </c>
      <c r="J36" s="16"/>
      <c r="K36" s="16"/>
      <c r="L36" s="16"/>
      <c r="M36" s="16"/>
      <c r="N36" s="16"/>
      <c r="O36" s="16">
        <f aca="true" t="shared" si="10" ref="O36:O57">IF($H36=0,ROUND($E36*(O$72/12),2),ROUND($E36*(O$72/12)*$H36,2))</f>
        <v>302.1</v>
      </c>
      <c r="P36" s="16"/>
      <c r="Q36" s="16"/>
      <c r="R36" s="16"/>
      <c r="S36" s="63">
        <f>ROUND(($V36/S$72),3)</f>
        <v>0.062</v>
      </c>
      <c r="T36" s="16"/>
      <c r="U36" s="16">
        <f>ROUND((($U$72*$W$72*$U$73*$U$74*$W36)/2000),2)</f>
        <v>3.18</v>
      </c>
      <c r="V36" s="16">
        <f t="shared" si="8"/>
        <v>123.02</v>
      </c>
      <c r="W36" s="16">
        <f t="shared" si="8"/>
        <v>123.02</v>
      </c>
      <c r="X36" s="16"/>
      <c r="Y36" s="16"/>
      <c r="Z36" s="16"/>
      <c r="AA36" s="16"/>
      <c r="AB36" s="16"/>
      <c r="AC36" s="16"/>
      <c r="AD36" s="16"/>
      <c r="AE36" s="16"/>
      <c r="AF36" s="78"/>
      <c r="AG36" s="79"/>
    </row>
    <row r="37" spans="1:33" s="5" customFormat="1" ht="21.75" customHeight="1">
      <c r="A37" s="12">
        <f t="shared" si="0"/>
        <v>25</v>
      </c>
      <c r="B37" s="14">
        <f t="shared" si="9"/>
        <v>58516.4</v>
      </c>
      <c r="C37" s="14">
        <v>59297.65</v>
      </c>
      <c r="D37" s="15" t="s">
        <v>25</v>
      </c>
      <c r="E37" s="16">
        <f>C37-B37</f>
        <v>781.25</v>
      </c>
      <c r="F37" s="17">
        <v>4</v>
      </c>
      <c r="G37" s="18">
        <f>ROUND((1432.394+16+($F37/2))/1432.394,4)</f>
        <v>1.0126</v>
      </c>
      <c r="H37" s="18">
        <f>ROUND((1432.394+16+($F37))/1432.394,4)</f>
        <v>1.014</v>
      </c>
      <c r="I37" s="16">
        <f>IF(G37=0,ROUND($E37*$F37,2),ROUND($E37*$F37*$G37,2))</f>
        <v>3164.38</v>
      </c>
      <c r="J37" s="16"/>
      <c r="K37" s="16"/>
      <c r="L37" s="16"/>
      <c r="M37" s="16"/>
      <c r="N37" s="16"/>
      <c r="O37" s="16">
        <f t="shared" si="10"/>
        <v>1188.28</v>
      </c>
      <c r="P37" s="16"/>
      <c r="Q37" s="16"/>
      <c r="R37" s="16"/>
      <c r="S37" s="63">
        <f>ROUND(($V37/S$72),3)</f>
        <v>0.242</v>
      </c>
      <c r="T37" s="16"/>
      <c r="U37" s="16">
        <f>ROUND((($U$72*$W$72*$U$73*$U$74*$W37)/2000),2)</f>
        <v>12.51</v>
      </c>
      <c r="V37" s="16">
        <f t="shared" si="8"/>
        <v>483.63</v>
      </c>
      <c r="W37" s="16">
        <f t="shared" si="8"/>
        <v>483.63</v>
      </c>
      <c r="X37" s="16"/>
      <c r="Y37" s="16"/>
      <c r="Z37" s="16"/>
      <c r="AA37" s="16"/>
      <c r="AB37" s="16"/>
      <c r="AC37" s="16"/>
      <c r="AD37" s="16"/>
      <c r="AE37" s="16"/>
      <c r="AF37" s="78"/>
      <c r="AG37" s="79"/>
    </row>
    <row r="38" spans="1:33" s="5" customFormat="1" ht="21.75" customHeight="1">
      <c r="A38" s="12">
        <f t="shared" si="0"/>
        <v>26</v>
      </c>
      <c r="B38" s="14"/>
      <c r="C38" s="14"/>
      <c r="D38" s="15"/>
      <c r="E38" s="16"/>
      <c r="F38" s="17"/>
      <c r="G38" s="18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63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78"/>
      <c r="AG38" s="79"/>
    </row>
    <row r="39" spans="1:33" s="5" customFormat="1" ht="21.75" customHeight="1">
      <c r="A39" s="12">
        <f t="shared" si="0"/>
        <v>27</v>
      </c>
      <c r="B39" s="14">
        <v>59640</v>
      </c>
      <c r="C39" s="14">
        <v>59938.22</v>
      </c>
      <c r="D39" s="15" t="s">
        <v>25</v>
      </c>
      <c r="E39" s="16">
        <f>C39-B39</f>
        <v>298.22000000000116</v>
      </c>
      <c r="F39" s="17">
        <v>4</v>
      </c>
      <c r="G39" s="18">
        <f>ROUND((716.197+((28+19.479)/2)+($F39/2))/716.197,4)</f>
        <v>1.0359</v>
      </c>
      <c r="H39" s="18">
        <f>ROUND((716.197+((28+19.479)/2)+($F39))/716.197,4)</f>
        <v>1.0387</v>
      </c>
      <c r="I39" s="16">
        <f>IF(G39=0,ROUND($E39*$F39,2),ROUND($E39*$F39*$G39,2))</f>
        <v>1235.7</v>
      </c>
      <c r="J39" s="16"/>
      <c r="K39" s="16"/>
      <c r="L39" s="16"/>
      <c r="M39" s="16"/>
      <c r="N39" s="16"/>
      <c r="O39" s="16">
        <f t="shared" si="10"/>
        <v>464.64</v>
      </c>
      <c r="P39" s="16"/>
      <c r="Q39" s="16"/>
      <c r="R39" s="16"/>
      <c r="S39" s="63">
        <f>ROUND(($V39/S$72),3)</f>
        <v>0.094</v>
      </c>
      <c r="T39" s="16"/>
      <c r="U39" s="16">
        <f>ROUND((($U$72*$W$72*$U$73*$U$74*$W39)/2000),2)</f>
        <v>4.89</v>
      </c>
      <c r="V39" s="16">
        <f aca="true" t="shared" si="11" ref="V39:W41">ROUND((($I39+$J39+$O39+$P39+$Q39)/9),2)</f>
        <v>188.93</v>
      </c>
      <c r="W39" s="16">
        <f t="shared" si="11"/>
        <v>188.93</v>
      </c>
      <c r="X39" s="16"/>
      <c r="Y39" s="16"/>
      <c r="Z39" s="16"/>
      <c r="AA39" s="16"/>
      <c r="AB39" s="16"/>
      <c r="AC39" s="16"/>
      <c r="AD39" s="16"/>
      <c r="AE39" s="16"/>
      <c r="AF39" s="78"/>
      <c r="AG39" s="79"/>
    </row>
    <row r="40" spans="1:33" s="5" customFormat="1" ht="21.75" customHeight="1">
      <c r="A40" s="12">
        <f t="shared" si="0"/>
        <v>28</v>
      </c>
      <c r="B40" s="14">
        <f t="shared" si="9"/>
        <v>59938.22</v>
      </c>
      <c r="C40" s="14">
        <v>60060</v>
      </c>
      <c r="D40" s="15" t="s">
        <v>25</v>
      </c>
      <c r="E40" s="16">
        <f>C40-B40</f>
        <v>121.77999999999884</v>
      </c>
      <c r="F40" s="17">
        <v>4</v>
      </c>
      <c r="G40" s="18">
        <f>ROUND((1432.394+((16+19.479)/2)+($F40/2))/1432.394,4)</f>
        <v>1.0138</v>
      </c>
      <c r="H40" s="18">
        <f>ROUND((1432.394+((16+19.479)/2)+($F40))/1432.394,4)</f>
        <v>1.0152</v>
      </c>
      <c r="I40" s="16">
        <f>IF(G40=0,ROUND($E40*$F40,2),ROUND($E40*$F40*$G40,2))</f>
        <v>493.84</v>
      </c>
      <c r="J40" s="16"/>
      <c r="K40" s="16"/>
      <c r="L40" s="16"/>
      <c r="M40" s="16"/>
      <c r="N40" s="16"/>
      <c r="O40" s="16">
        <f t="shared" si="10"/>
        <v>185.45</v>
      </c>
      <c r="P40" s="16"/>
      <c r="Q40" s="16"/>
      <c r="R40" s="16"/>
      <c r="S40" s="63">
        <f>ROUND(($V40/S$72),3)</f>
        <v>0.038</v>
      </c>
      <c r="T40" s="16"/>
      <c r="U40" s="16">
        <f>ROUND((($U$72*$W$72*$U$73*$U$74*$W40)/2000),2)</f>
        <v>1.95</v>
      </c>
      <c r="V40" s="16">
        <f t="shared" si="11"/>
        <v>75.48</v>
      </c>
      <c r="W40" s="16">
        <f t="shared" si="11"/>
        <v>75.48</v>
      </c>
      <c r="X40" s="16"/>
      <c r="Y40" s="16"/>
      <c r="Z40" s="16"/>
      <c r="AA40" s="16"/>
      <c r="AB40" s="16"/>
      <c r="AC40" s="16"/>
      <c r="AD40" s="16"/>
      <c r="AE40" s="16"/>
      <c r="AF40" s="78"/>
      <c r="AG40" s="79"/>
    </row>
    <row r="41" spans="1:33" s="5" customFormat="1" ht="21.75" customHeight="1">
      <c r="A41" s="12">
        <f t="shared" si="0"/>
        <v>29</v>
      </c>
      <c r="B41" s="14">
        <f t="shared" si="9"/>
        <v>60060</v>
      </c>
      <c r="C41" s="14">
        <v>60064</v>
      </c>
      <c r="D41" s="15" t="s">
        <v>25</v>
      </c>
      <c r="E41" s="16">
        <f>C41-B41</f>
        <v>4</v>
      </c>
      <c r="F41" s="104" t="s">
        <v>23</v>
      </c>
      <c r="G41" s="105"/>
      <c r="H41" s="105"/>
      <c r="I41" s="106"/>
      <c r="J41" s="16">
        <v>15.05</v>
      </c>
      <c r="K41" s="16"/>
      <c r="L41" s="16"/>
      <c r="M41" s="16"/>
      <c r="N41" s="16"/>
      <c r="O41" s="16">
        <f t="shared" si="10"/>
        <v>6</v>
      </c>
      <c r="P41" s="16"/>
      <c r="Q41" s="16"/>
      <c r="R41" s="16"/>
      <c r="S41" s="63">
        <f>ROUND(($V41/S$72),3)</f>
        <v>0.001</v>
      </c>
      <c r="T41" s="16"/>
      <c r="U41" s="16">
        <f>ROUND((($U$72*$W$72*$U$73*$U$74*$W41)/2000),2)</f>
        <v>0.06</v>
      </c>
      <c r="V41" s="16">
        <f t="shared" si="11"/>
        <v>2.34</v>
      </c>
      <c r="W41" s="16">
        <f t="shared" si="11"/>
        <v>2.34</v>
      </c>
      <c r="X41" s="16"/>
      <c r="Y41" s="16"/>
      <c r="Z41" s="16"/>
      <c r="AA41" s="16"/>
      <c r="AB41" s="16"/>
      <c r="AC41" s="16"/>
      <c r="AD41" s="16"/>
      <c r="AE41" s="16"/>
      <c r="AF41" s="78"/>
      <c r="AG41" s="79"/>
    </row>
    <row r="42" spans="1:33" s="5" customFormat="1" ht="21.75" customHeight="1">
      <c r="A42" s="12">
        <f t="shared" si="0"/>
        <v>30</v>
      </c>
      <c r="B42" s="13"/>
      <c r="C42" s="14"/>
      <c r="D42" s="15"/>
      <c r="E42" s="16"/>
      <c r="F42" s="17"/>
      <c r="G42" s="18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63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78"/>
      <c r="AG42" s="79"/>
    </row>
    <row r="43" spans="1:33" s="5" customFormat="1" ht="21.75" customHeight="1">
      <c r="A43" s="12">
        <f t="shared" si="0"/>
        <v>31</v>
      </c>
      <c r="B43" s="13">
        <v>57600</v>
      </c>
      <c r="C43" s="14">
        <v>58017.46</v>
      </c>
      <c r="D43" s="15" t="s">
        <v>20</v>
      </c>
      <c r="E43" s="16">
        <f>C43-B43</f>
        <v>417.4599999999991</v>
      </c>
      <c r="F43" s="17">
        <v>10</v>
      </c>
      <c r="G43" s="18">
        <f>ROUND((12253.421+($F43/2))/12253.421,4)</f>
        <v>1.0004</v>
      </c>
      <c r="H43" s="18">
        <f>ROUND((12253.421+($F43))/12253.421,4)</f>
        <v>1.0008</v>
      </c>
      <c r="I43" s="16">
        <f t="shared" si="7"/>
        <v>4176.27</v>
      </c>
      <c r="J43" s="16"/>
      <c r="K43" s="16"/>
      <c r="L43" s="16"/>
      <c r="M43" s="16"/>
      <c r="N43" s="16"/>
      <c r="O43" s="16">
        <f t="shared" si="10"/>
        <v>626.69</v>
      </c>
      <c r="P43" s="16"/>
      <c r="Q43" s="16"/>
      <c r="R43" s="16"/>
      <c r="S43" s="63">
        <f aca="true" t="shared" si="12" ref="S43:S53">ROUND(($V43/S$72),3)</f>
        <v>0.267</v>
      </c>
      <c r="T43" s="16"/>
      <c r="U43" s="16">
        <f aca="true" t="shared" si="13" ref="U43:U53">ROUND((($U$72*$W$72*$U$73*$U$74*$W43)/2000),2)</f>
        <v>13.81</v>
      </c>
      <c r="V43" s="16">
        <f>ROUND((($I43+$J43+$O43+$P43+$Q43)/9),2)</f>
        <v>533.66</v>
      </c>
      <c r="W43" s="16">
        <f>ROUND((($I43+$J43+$O43+$P43+$Q43)/9),2)</f>
        <v>533.66</v>
      </c>
      <c r="X43" s="16"/>
      <c r="Y43" s="16"/>
      <c r="Z43" s="16"/>
      <c r="AA43" s="16"/>
      <c r="AB43" s="16"/>
      <c r="AC43" s="16"/>
      <c r="AD43" s="16"/>
      <c r="AE43" s="16"/>
      <c r="AF43" s="78"/>
      <c r="AG43" s="79"/>
    </row>
    <row r="44" spans="1:33" s="5" customFormat="1" ht="21.75" customHeight="1">
      <c r="A44" s="12">
        <f t="shared" si="0"/>
        <v>32</v>
      </c>
      <c r="B44" s="14">
        <f t="shared" si="6"/>
        <v>58017.46</v>
      </c>
      <c r="C44" s="39">
        <v>58124.01</v>
      </c>
      <c r="D44" s="15" t="s">
        <v>20</v>
      </c>
      <c r="E44" s="16">
        <f>C44-B44</f>
        <v>106.55000000000291</v>
      </c>
      <c r="F44" s="17">
        <v>10</v>
      </c>
      <c r="G44" s="18"/>
      <c r="H44" s="18"/>
      <c r="I44" s="16">
        <f t="shared" si="7"/>
        <v>1065.5</v>
      </c>
      <c r="J44" s="16"/>
      <c r="K44" s="16"/>
      <c r="L44" s="16"/>
      <c r="M44" s="16"/>
      <c r="N44" s="16"/>
      <c r="O44" s="16">
        <f t="shared" si="10"/>
        <v>159.83</v>
      </c>
      <c r="P44" s="16"/>
      <c r="Q44" s="16"/>
      <c r="R44" s="16"/>
      <c r="S44" s="63">
        <f t="shared" si="12"/>
        <v>0.068</v>
      </c>
      <c r="T44" s="16"/>
      <c r="U44" s="16">
        <f t="shared" si="13"/>
        <v>3.52</v>
      </c>
      <c r="V44" s="16">
        <f aca="true" t="shared" si="14" ref="V44:W57">ROUND((($I44+$J44+$O44+$P44+$Q44)/9),2)</f>
        <v>136.15</v>
      </c>
      <c r="W44" s="16">
        <f t="shared" si="14"/>
        <v>136.15</v>
      </c>
      <c r="X44" s="16"/>
      <c r="Y44" s="16"/>
      <c r="Z44" s="16"/>
      <c r="AA44" s="16"/>
      <c r="AB44" s="16"/>
      <c r="AC44" s="16"/>
      <c r="AD44" s="16"/>
      <c r="AE44" s="16"/>
      <c r="AF44" s="78"/>
      <c r="AG44" s="79"/>
    </row>
    <row r="45" spans="1:33" s="5" customFormat="1" ht="21.75" customHeight="1">
      <c r="A45" s="12">
        <f t="shared" si="0"/>
        <v>33</v>
      </c>
      <c r="B45" s="14">
        <f t="shared" si="6"/>
        <v>58124.01</v>
      </c>
      <c r="C45" s="14">
        <v>58224.01</v>
      </c>
      <c r="D45" s="15" t="s">
        <v>20</v>
      </c>
      <c r="E45" s="16">
        <f>C45-B45</f>
        <v>100</v>
      </c>
      <c r="F45" s="17">
        <f>ROUND(AVERAGE(10,6),2)</f>
        <v>8</v>
      </c>
      <c r="G45" s="18"/>
      <c r="H45" s="18"/>
      <c r="I45" s="16">
        <f t="shared" si="7"/>
        <v>800</v>
      </c>
      <c r="J45" s="16"/>
      <c r="K45" s="16"/>
      <c r="L45" s="16"/>
      <c r="M45" s="16"/>
      <c r="N45" s="16"/>
      <c r="O45" s="16">
        <f t="shared" si="10"/>
        <v>150</v>
      </c>
      <c r="P45" s="16"/>
      <c r="Q45" s="16"/>
      <c r="R45" s="16"/>
      <c r="S45" s="63">
        <f t="shared" si="12"/>
        <v>0.053</v>
      </c>
      <c r="T45" s="16"/>
      <c r="U45" s="16">
        <f t="shared" si="13"/>
        <v>2.73</v>
      </c>
      <c r="V45" s="16">
        <f t="shared" si="14"/>
        <v>105.56</v>
      </c>
      <c r="W45" s="16">
        <f t="shared" si="14"/>
        <v>105.56</v>
      </c>
      <c r="X45" s="16"/>
      <c r="Y45" s="16"/>
      <c r="Z45" s="16"/>
      <c r="AA45" s="16"/>
      <c r="AB45" s="16"/>
      <c r="AC45" s="16"/>
      <c r="AD45" s="16"/>
      <c r="AE45" s="16"/>
      <c r="AF45" s="78"/>
      <c r="AG45" s="79"/>
    </row>
    <row r="46" spans="1:33" s="5" customFormat="1" ht="21.75" customHeight="1">
      <c r="A46" s="12">
        <f t="shared" si="0"/>
        <v>34</v>
      </c>
      <c r="B46" s="14">
        <f t="shared" si="6"/>
        <v>58224.01</v>
      </c>
      <c r="C46" s="14">
        <v>58316.4</v>
      </c>
      <c r="D46" s="15" t="s">
        <v>20</v>
      </c>
      <c r="E46" s="16">
        <f aca="true" t="shared" si="15" ref="E46:E53">C46-B46</f>
        <v>92.38999999999942</v>
      </c>
      <c r="F46" s="17">
        <v>6</v>
      </c>
      <c r="G46" s="18"/>
      <c r="H46" s="18"/>
      <c r="I46" s="16">
        <f t="shared" si="7"/>
        <v>554.34</v>
      </c>
      <c r="J46" s="16"/>
      <c r="K46" s="16"/>
      <c r="L46" s="16"/>
      <c r="M46" s="16"/>
      <c r="N46" s="16"/>
      <c r="O46" s="16">
        <f t="shared" si="10"/>
        <v>138.58</v>
      </c>
      <c r="P46" s="16"/>
      <c r="Q46" s="16"/>
      <c r="R46" s="16"/>
      <c r="S46" s="63">
        <f t="shared" si="12"/>
        <v>0.038</v>
      </c>
      <c r="T46" s="16"/>
      <c r="U46" s="16">
        <f t="shared" si="13"/>
        <v>1.99</v>
      </c>
      <c r="V46" s="16">
        <f t="shared" si="14"/>
        <v>76.99</v>
      </c>
      <c r="W46" s="16">
        <f t="shared" si="14"/>
        <v>76.99</v>
      </c>
      <c r="X46" s="16"/>
      <c r="Y46" s="16"/>
      <c r="Z46" s="16"/>
      <c r="AA46" s="16"/>
      <c r="AB46" s="16"/>
      <c r="AC46" s="16"/>
      <c r="AD46" s="16"/>
      <c r="AE46" s="16"/>
      <c r="AF46" s="78"/>
      <c r="AG46" s="79"/>
    </row>
    <row r="47" spans="1:33" s="5" customFormat="1" ht="21.75" customHeight="1">
      <c r="A47" s="12">
        <f t="shared" si="0"/>
        <v>35</v>
      </c>
      <c r="B47" s="14">
        <f t="shared" si="6"/>
        <v>58316.4</v>
      </c>
      <c r="C47" s="14">
        <v>58516.4</v>
      </c>
      <c r="D47" s="15" t="s">
        <v>20</v>
      </c>
      <c r="E47" s="16">
        <f t="shared" si="15"/>
        <v>200</v>
      </c>
      <c r="F47" s="17">
        <v>6</v>
      </c>
      <c r="G47" s="18">
        <f>ROUND((((1432.394-($F47/2))/1432.394)+1)/2,4)</f>
        <v>0.999</v>
      </c>
      <c r="H47" s="18">
        <f>ROUND((((1432.394-($F47))/1432.394)+1)/2,4)</f>
        <v>0.9979</v>
      </c>
      <c r="I47" s="16">
        <f t="shared" si="7"/>
        <v>1198.8</v>
      </c>
      <c r="J47" s="16"/>
      <c r="K47" s="16"/>
      <c r="L47" s="16"/>
      <c r="M47" s="16"/>
      <c r="N47" s="16"/>
      <c r="O47" s="16">
        <f t="shared" si="10"/>
        <v>299.37</v>
      </c>
      <c r="P47" s="16"/>
      <c r="Q47" s="16"/>
      <c r="R47" s="16"/>
      <c r="S47" s="63">
        <f t="shared" si="12"/>
        <v>0.083</v>
      </c>
      <c r="T47" s="16"/>
      <c r="U47" s="16">
        <f t="shared" si="13"/>
        <v>4.31</v>
      </c>
      <c r="V47" s="16">
        <f t="shared" si="14"/>
        <v>166.46</v>
      </c>
      <c r="W47" s="16">
        <f t="shared" si="14"/>
        <v>166.46</v>
      </c>
      <c r="X47" s="16"/>
      <c r="Y47" s="16"/>
      <c r="Z47" s="16"/>
      <c r="AA47" s="16"/>
      <c r="AB47" s="16"/>
      <c r="AC47" s="16"/>
      <c r="AD47" s="16"/>
      <c r="AE47" s="16"/>
      <c r="AF47" s="78"/>
      <c r="AG47" s="79"/>
    </row>
    <row r="48" spans="1:33" s="5" customFormat="1" ht="21.75" customHeight="1">
      <c r="A48" s="12">
        <f t="shared" si="0"/>
        <v>36</v>
      </c>
      <c r="B48" s="14">
        <f t="shared" si="6"/>
        <v>58516.4</v>
      </c>
      <c r="C48" s="14">
        <v>59303.36</v>
      </c>
      <c r="D48" s="15" t="s">
        <v>20</v>
      </c>
      <c r="E48" s="16">
        <f t="shared" si="15"/>
        <v>786.9599999999991</v>
      </c>
      <c r="F48" s="17">
        <v>6</v>
      </c>
      <c r="G48" s="18">
        <f>ROUND((1432.394-($F48/2))/1432.394,4)</f>
        <v>0.9979</v>
      </c>
      <c r="H48" s="18">
        <f>ROUND((1432.394-($F48))/1432.394,4)</f>
        <v>0.9958</v>
      </c>
      <c r="I48" s="16">
        <f t="shared" si="7"/>
        <v>4711.84</v>
      </c>
      <c r="J48" s="16"/>
      <c r="K48" s="16"/>
      <c r="L48" s="16"/>
      <c r="M48" s="16"/>
      <c r="N48" s="16"/>
      <c r="O48" s="16">
        <f t="shared" si="10"/>
        <v>1175.48</v>
      </c>
      <c r="P48" s="16"/>
      <c r="Q48" s="16"/>
      <c r="R48" s="16"/>
      <c r="S48" s="63">
        <f t="shared" si="12"/>
        <v>0.327</v>
      </c>
      <c r="T48" s="16"/>
      <c r="U48" s="16">
        <f t="shared" si="13"/>
        <v>16.93</v>
      </c>
      <c r="V48" s="16">
        <f t="shared" si="14"/>
        <v>654.15</v>
      </c>
      <c r="W48" s="16">
        <f t="shared" si="14"/>
        <v>654.15</v>
      </c>
      <c r="X48" s="16"/>
      <c r="Y48" s="16"/>
      <c r="Z48" s="16"/>
      <c r="AA48" s="16"/>
      <c r="AB48" s="16"/>
      <c r="AC48" s="16"/>
      <c r="AD48" s="16"/>
      <c r="AE48" s="16"/>
      <c r="AF48" s="78"/>
      <c r="AG48" s="79"/>
    </row>
    <row r="49" spans="1:33" s="5" customFormat="1" ht="21.75" customHeight="1">
      <c r="A49" s="12">
        <f t="shared" si="0"/>
        <v>37</v>
      </c>
      <c r="B49" s="14">
        <f t="shared" si="6"/>
        <v>59303.36</v>
      </c>
      <c r="C49" s="14">
        <v>59938.22</v>
      </c>
      <c r="D49" s="15" t="s">
        <v>20</v>
      </c>
      <c r="E49" s="16">
        <f t="shared" si="15"/>
        <v>634.8600000000006</v>
      </c>
      <c r="F49" s="17">
        <v>6</v>
      </c>
      <c r="G49" s="18">
        <f>ROUND((716.197-($F49/2))/716.197,4)</f>
        <v>0.9958</v>
      </c>
      <c r="H49" s="18">
        <f>ROUND((716.197-($F49))/716.197,4)</f>
        <v>0.9916</v>
      </c>
      <c r="I49" s="16">
        <f t="shared" si="7"/>
        <v>3793.16</v>
      </c>
      <c r="J49" s="16"/>
      <c r="K49" s="16"/>
      <c r="L49" s="16"/>
      <c r="M49" s="16"/>
      <c r="N49" s="16"/>
      <c r="O49" s="16">
        <f t="shared" si="10"/>
        <v>944.29</v>
      </c>
      <c r="P49" s="16"/>
      <c r="Q49" s="16"/>
      <c r="R49" s="16"/>
      <c r="S49" s="63">
        <f t="shared" si="12"/>
        <v>0.263</v>
      </c>
      <c r="T49" s="16"/>
      <c r="U49" s="16">
        <f t="shared" si="13"/>
        <v>13.62</v>
      </c>
      <c r="V49" s="16">
        <f t="shared" si="14"/>
        <v>526.38</v>
      </c>
      <c r="W49" s="16">
        <f t="shared" si="14"/>
        <v>526.38</v>
      </c>
      <c r="X49" s="16"/>
      <c r="Y49" s="16"/>
      <c r="Z49" s="16"/>
      <c r="AA49" s="16"/>
      <c r="AB49" s="16"/>
      <c r="AC49" s="16"/>
      <c r="AD49" s="16"/>
      <c r="AE49" s="16"/>
      <c r="AF49" s="78"/>
      <c r="AG49" s="79"/>
    </row>
    <row r="50" spans="1:33" s="5" customFormat="1" ht="21.75" customHeight="1" thickBot="1">
      <c r="A50" s="12">
        <f t="shared" si="0"/>
        <v>38</v>
      </c>
      <c r="B50" s="14">
        <f t="shared" si="6"/>
        <v>59938.22</v>
      </c>
      <c r="C50" s="14">
        <v>60137.81</v>
      </c>
      <c r="D50" s="15" t="s">
        <v>20</v>
      </c>
      <c r="E50" s="16">
        <f t="shared" si="15"/>
        <v>199.5899999999965</v>
      </c>
      <c r="F50" s="17">
        <v>6</v>
      </c>
      <c r="G50" s="18">
        <f>ROUND((1432.394-($F50/2))/1432.394,4)</f>
        <v>0.9979</v>
      </c>
      <c r="H50" s="18">
        <f>ROUND((1432.394-($F50))/1432.394,4)</f>
        <v>0.9958</v>
      </c>
      <c r="I50" s="16">
        <f t="shared" si="7"/>
        <v>1195.03</v>
      </c>
      <c r="J50" s="16"/>
      <c r="K50" s="16"/>
      <c r="L50" s="16"/>
      <c r="M50" s="16"/>
      <c r="N50" s="16"/>
      <c r="O50" s="16">
        <f t="shared" si="10"/>
        <v>298.13</v>
      </c>
      <c r="P50" s="16"/>
      <c r="Q50" s="16"/>
      <c r="R50" s="16"/>
      <c r="S50" s="63">
        <f t="shared" si="12"/>
        <v>0.083</v>
      </c>
      <c r="T50" s="16"/>
      <c r="U50" s="16">
        <f t="shared" si="13"/>
        <v>4.29</v>
      </c>
      <c r="V50" s="16">
        <f t="shared" si="14"/>
        <v>165.91</v>
      </c>
      <c r="W50" s="16">
        <f t="shared" si="14"/>
        <v>165.91</v>
      </c>
      <c r="X50" s="16"/>
      <c r="Y50" s="16"/>
      <c r="Z50" s="16"/>
      <c r="AA50" s="16"/>
      <c r="AB50" s="16"/>
      <c r="AC50" s="16"/>
      <c r="AD50" s="16"/>
      <c r="AE50" s="16"/>
      <c r="AF50" s="103"/>
      <c r="AG50" s="82"/>
    </row>
    <row r="51" spans="1:33" s="5" customFormat="1" ht="21.75" customHeight="1">
      <c r="A51" s="12">
        <f t="shared" si="0"/>
        <v>39</v>
      </c>
      <c r="B51" s="14">
        <f t="shared" si="6"/>
        <v>60137.81</v>
      </c>
      <c r="C51" s="14">
        <v>60287.81</v>
      </c>
      <c r="D51" s="15" t="s">
        <v>20</v>
      </c>
      <c r="E51" s="16">
        <f t="shared" si="15"/>
        <v>150</v>
      </c>
      <c r="F51" s="17">
        <v>6</v>
      </c>
      <c r="G51" s="18">
        <f>ROUND((((1432.394-($F51/2))/1432.394)+1)/2,4)</f>
        <v>0.999</v>
      </c>
      <c r="H51" s="18">
        <f>ROUND((((1432.394-($F51))/1432.394)+1)/2,4)</f>
        <v>0.9979</v>
      </c>
      <c r="I51" s="16">
        <f t="shared" si="7"/>
        <v>899.1</v>
      </c>
      <c r="J51" s="16"/>
      <c r="K51" s="16"/>
      <c r="L51" s="16"/>
      <c r="M51" s="16"/>
      <c r="N51" s="16"/>
      <c r="O51" s="16">
        <f t="shared" si="10"/>
        <v>224.53</v>
      </c>
      <c r="P51" s="16"/>
      <c r="Q51" s="16"/>
      <c r="R51" s="16"/>
      <c r="S51" s="63">
        <f t="shared" si="12"/>
        <v>0.062</v>
      </c>
      <c r="T51" s="16"/>
      <c r="U51" s="16">
        <f t="shared" si="13"/>
        <v>3.23</v>
      </c>
      <c r="V51" s="16">
        <f t="shared" si="14"/>
        <v>124.85</v>
      </c>
      <c r="W51" s="16">
        <f t="shared" si="14"/>
        <v>124.85</v>
      </c>
      <c r="X51" s="16"/>
      <c r="Y51" s="16"/>
      <c r="Z51" s="16"/>
      <c r="AA51" s="16"/>
      <c r="AB51" s="16"/>
      <c r="AC51" s="16"/>
      <c r="AD51" s="16"/>
      <c r="AE51" s="16"/>
      <c r="AF51" s="76" t="s">
        <v>91</v>
      </c>
      <c r="AG51" s="77"/>
    </row>
    <row r="52" spans="1:33" s="5" customFormat="1" ht="21.75" customHeight="1">
      <c r="A52" s="12">
        <f t="shared" si="0"/>
        <v>40</v>
      </c>
      <c r="B52" s="14">
        <f t="shared" si="6"/>
        <v>60287.81</v>
      </c>
      <c r="C52" s="14">
        <v>60337.81</v>
      </c>
      <c r="D52" s="15" t="s">
        <v>20</v>
      </c>
      <c r="E52" s="16">
        <f t="shared" si="15"/>
        <v>50</v>
      </c>
      <c r="F52" s="17">
        <f>ROUND(AVERAGE(8,6),2)</f>
        <v>7</v>
      </c>
      <c r="G52" s="18">
        <f>ROUND((((1432.394-($F52/2))/1432.394)+1)/2,4)</f>
        <v>0.9988</v>
      </c>
      <c r="H52" s="18">
        <f>ROUND((((1432.394-($F52))/1432.394)+1)/2,4)</f>
        <v>0.9976</v>
      </c>
      <c r="I52" s="16">
        <f t="shared" si="7"/>
        <v>349.58</v>
      </c>
      <c r="J52" s="16"/>
      <c r="K52" s="16"/>
      <c r="L52" s="16"/>
      <c r="M52" s="16"/>
      <c r="N52" s="16"/>
      <c r="O52" s="16">
        <f t="shared" si="10"/>
        <v>74.82</v>
      </c>
      <c r="P52" s="16"/>
      <c r="Q52" s="16"/>
      <c r="R52" s="16"/>
      <c r="S52" s="63">
        <f t="shared" si="12"/>
        <v>0.024</v>
      </c>
      <c r="T52" s="16"/>
      <c r="U52" s="16">
        <f t="shared" si="13"/>
        <v>1.22</v>
      </c>
      <c r="V52" s="16">
        <f t="shared" si="14"/>
        <v>47.16</v>
      </c>
      <c r="W52" s="16">
        <f t="shared" si="14"/>
        <v>47.16</v>
      </c>
      <c r="X52" s="16"/>
      <c r="Y52" s="16"/>
      <c r="Z52" s="16"/>
      <c r="AA52" s="16"/>
      <c r="AB52" s="16"/>
      <c r="AC52" s="16"/>
      <c r="AD52" s="16"/>
      <c r="AE52" s="16"/>
      <c r="AF52" s="78"/>
      <c r="AG52" s="79"/>
    </row>
    <row r="53" spans="1:33" s="5" customFormat="1" ht="21.75" customHeight="1">
      <c r="A53" s="12">
        <f t="shared" si="0"/>
        <v>41</v>
      </c>
      <c r="B53" s="14">
        <f t="shared" si="6"/>
        <v>60337.81</v>
      </c>
      <c r="C53" s="14">
        <v>60667.88</v>
      </c>
      <c r="D53" s="15" t="s">
        <v>20</v>
      </c>
      <c r="E53" s="16">
        <f t="shared" si="15"/>
        <v>330.0699999999997</v>
      </c>
      <c r="F53" s="17">
        <v>8</v>
      </c>
      <c r="G53" s="18"/>
      <c r="H53" s="18"/>
      <c r="I53" s="16">
        <f t="shared" si="7"/>
        <v>2640.56</v>
      </c>
      <c r="J53" s="16"/>
      <c r="K53" s="16"/>
      <c r="L53" s="16"/>
      <c r="M53" s="16"/>
      <c r="N53" s="16"/>
      <c r="O53" s="16">
        <f t="shared" si="10"/>
        <v>495.11</v>
      </c>
      <c r="P53" s="16"/>
      <c r="Q53" s="16"/>
      <c r="R53" s="16"/>
      <c r="S53" s="63">
        <f t="shared" si="12"/>
        <v>0.174</v>
      </c>
      <c r="T53" s="16"/>
      <c r="U53" s="16">
        <f t="shared" si="13"/>
        <v>9.02</v>
      </c>
      <c r="V53" s="16">
        <f t="shared" si="14"/>
        <v>348.41</v>
      </c>
      <c r="W53" s="16">
        <f t="shared" si="14"/>
        <v>348.41</v>
      </c>
      <c r="X53" s="16"/>
      <c r="Y53" s="16"/>
      <c r="Z53" s="16"/>
      <c r="AA53" s="16"/>
      <c r="AB53" s="16"/>
      <c r="AC53" s="16"/>
      <c r="AD53" s="16"/>
      <c r="AE53" s="16"/>
      <c r="AF53" s="78"/>
      <c r="AG53" s="79"/>
    </row>
    <row r="54" spans="1:33" s="5" customFormat="1" ht="21.75" customHeight="1">
      <c r="A54" s="12">
        <f t="shared" si="0"/>
        <v>42</v>
      </c>
      <c r="B54" s="59"/>
      <c r="C54" s="14"/>
      <c r="D54" s="60"/>
      <c r="E54" s="16"/>
      <c r="F54" s="60"/>
      <c r="G54" s="18"/>
      <c r="H54" s="18"/>
      <c r="I54" s="61"/>
      <c r="J54" s="16"/>
      <c r="K54" s="16"/>
      <c r="L54" s="16"/>
      <c r="M54" s="16"/>
      <c r="N54" s="16"/>
      <c r="O54" s="16"/>
      <c r="P54" s="16"/>
      <c r="Q54" s="16"/>
      <c r="R54" s="16"/>
      <c r="S54" s="63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78"/>
      <c r="AG54" s="79"/>
    </row>
    <row r="55" spans="1:33" s="5" customFormat="1" ht="21.75" customHeight="1">
      <c r="A55" s="12">
        <f t="shared" si="0"/>
        <v>43</v>
      </c>
      <c r="B55" s="13" t="s">
        <v>58</v>
      </c>
      <c r="C55" s="14" t="s">
        <v>59</v>
      </c>
      <c r="D55" s="15" t="s">
        <v>20</v>
      </c>
      <c r="E55" s="16">
        <v>22.76</v>
      </c>
      <c r="F55" s="17">
        <v>8</v>
      </c>
      <c r="G55" s="18"/>
      <c r="H55" s="18"/>
      <c r="I55" s="16">
        <f>IF(G55=0,ROUND($E55*$F55,2),ROUND($E55*$F55*$G55,2))</f>
        <v>182.08</v>
      </c>
      <c r="J55" s="16"/>
      <c r="K55" s="16"/>
      <c r="L55" s="16"/>
      <c r="M55" s="16"/>
      <c r="N55" s="16"/>
      <c r="O55" s="16">
        <f t="shared" si="10"/>
        <v>34.14</v>
      </c>
      <c r="P55" s="16"/>
      <c r="Q55" s="16"/>
      <c r="R55" s="16"/>
      <c r="S55" s="63">
        <f>ROUND(($V55/S$72),3)</f>
        <v>0.012</v>
      </c>
      <c r="T55" s="16"/>
      <c r="U55" s="16">
        <f>ROUND((($U$72*$W$72*$U$73*$U$74*$W55)/2000),2)</f>
        <v>0.62</v>
      </c>
      <c r="V55" s="16">
        <f t="shared" si="14"/>
        <v>24.02</v>
      </c>
      <c r="W55" s="16">
        <f t="shared" si="14"/>
        <v>24.02</v>
      </c>
      <c r="X55" s="16"/>
      <c r="Y55" s="16"/>
      <c r="Z55" s="16"/>
      <c r="AA55" s="16"/>
      <c r="AB55" s="16"/>
      <c r="AC55" s="16"/>
      <c r="AD55" s="16"/>
      <c r="AE55" s="16"/>
      <c r="AF55" s="78"/>
      <c r="AG55" s="79"/>
    </row>
    <row r="56" spans="1:33" s="5" customFormat="1" ht="21.75" customHeight="1">
      <c r="A56" s="12">
        <f t="shared" si="0"/>
        <v>44</v>
      </c>
      <c r="B56" s="13" t="str">
        <f>C55</f>
        <v>277+72.76 (I.R. 277)</v>
      </c>
      <c r="C56" s="14" t="s">
        <v>61</v>
      </c>
      <c r="D56" s="15" t="s">
        <v>20</v>
      </c>
      <c r="E56" s="16">
        <v>7.24</v>
      </c>
      <c r="F56" s="17">
        <v>8</v>
      </c>
      <c r="G56" s="18">
        <f>ROUND((5729.58-((47.545+47.4)/2)-($F56/2))/5729.58,4)</f>
        <v>0.991</v>
      </c>
      <c r="H56" s="18">
        <f>ROUND((5729.58-((47.545+47.4)/2)-($F56))/5729.58,4)</f>
        <v>0.9903</v>
      </c>
      <c r="I56" s="16">
        <f>IF(G56=0,ROUND($E56*$F56,2),ROUND($E56*$F56*$G56,2))</f>
        <v>57.4</v>
      </c>
      <c r="J56" s="16"/>
      <c r="K56" s="40"/>
      <c r="L56" s="16"/>
      <c r="M56" s="16"/>
      <c r="N56" s="16"/>
      <c r="O56" s="16">
        <f t="shared" si="10"/>
        <v>10.75</v>
      </c>
      <c r="P56" s="16"/>
      <c r="Q56" s="16"/>
      <c r="R56" s="16"/>
      <c r="S56" s="63">
        <f>ROUND(($V56/S$72),3)</f>
        <v>0.004</v>
      </c>
      <c r="T56" s="16"/>
      <c r="U56" s="16">
        <f>ROUND((($U$72*$W$72*$U$73*$U$74*$W56)/2000),2)</f>
        <v>0.2</v>
      </c>
      <c r="V56" s="16">
        <f t="shared" si="14"/>
        <v>7.57</v>
      </c>
      <c r="W56" s="16">
        <f t="shared" si="14"/>
        <v>7.57</v>
      </c>
      <c r="X56" s="16"/>
      <c r="Y56" s="16"/>
      <c r="Z56" s="16"/>
      <c r="AA56" s="16"/>
      <c r="AB56" s="16"/>
      <c r="AC56" s="16"/>
      <c r="AD56" s="16"/>
      <c r="AE56" s="16"/>
      <c r="AF56" s="78"/>
      <c r="AG56" s="79"/>
    </row>
    <row r="57" spans="1:33" s="5" customFormat="1" ht="21.75" customHeight="1">
      <c r="A57" s="12">
        <f t="shared" si="0"/>
        <v>45</v>
      </c>
      <c r="B57" s="13" t="str">
        <f>C56</f>
        <v>277+80.00 (I.R. 277)</v>
      </c>
      <c r="C57" s="14" t="s">
        <v>60</v>
      </c>
      <c r="D57" s="15" t="s">
        <v>20</v>
      </c>
      <c r="E57" s="16">
        <v>170</v>
      </c>
      <c r="F57" s="17">
        <f>ROUND(AVERAGE(8,11.402),2)</f>
        <v>9.7</v>
      </c>
      <c r="G57" s="18">
        <f>ROUND((5729.58-((44+47.4)/2)-($F57/2))/5729.58,4)</f>
        <v>0.9912</v>
      </c>
      <c r="H57" s="18">
        <f>ROUND((5729.58-((44+47.4)/2)-($F57))/5729.58,4)</f>
        <v>0.9903</v>
      </c>
      <c r="I57" s="16">
        <f>IF(G57=0,ROUND($E57*$F57,2),ROUND($E57*$F57*$G57,2))</f>
        <v>1634.49</v>
      </c>
      <c r="J57" s="16"/>
      <c r="K57" s="16"/>
      <c r="L57" s="16"/>
      <c r="M57" s="16"/>
      <c r="N57" s="16"/>
      <c r="O57" s="16">
        <f t="shared" si="10"/>
        <v>252.53</v>
      </c>
      <c r="P57" s="16"/>
      <c r="Q57" s="16"/>
      <c r="R57" s="16"/>
      <c r="S57" s="63">
        <f>ROUND(($V57/S$72),3)</f>
        <v>0.105</v>
      </c>
      <c r="T57" s="16"/>
      <c r="U57" s="16">
        <f>ROUND((($U$72*$W$72*$U$73*$U$74*$W57)/2000),2)</f>
        <v>5.43</v>
      </c>
      <c r="V57" s="16">
        <f t="shared" si="14"/>
        <v>209.67</v>
      </c>
      <c r="W57" s="16">
        <f t="shared" si="14"/>
        <v>209.67</v>
      </c>
      <c r="X57" s="16"/>
      <c r="Y57" s="16"/>
      <c r="Z57" s="16"/>
      <c r="AA57" s="16"/>
      <c r="AB57" s="16"/>
      <c r="AC57" s="16"/>
      <c r="AD57" s="16"/>
      <c r="AE57" s="16"/>
      <c r="AF57" s="78"/>
      <c r="AG57" s="79"/>
    </row>
    <row r="58" spans="1:33" s="5" customFormat="1" ht="21.75" customHeight="1">
      <c r="A58" s="12">
        <f t="shared" si="0"/>
        <v>46</v>
      </c>
      <c r="B58" s="13"/>
      <c r="C58" s="14"/>
      <c r="D58" s="15"/>
      <c r="E58" s="16"/>
      <c r="F58" s="17"/>
      <c r="G58" s="18"/>
      <c r="H58" s="16"/>
      <c r="I58" s="16"/>
      <c r="J58" s="16"/>
      <c r="K58" s="42"/>
      <c r="L58" s="16"/>
      <c r="M58" s="16"/>
      <c r="N58" s="16"/>
      <c r="O58" s="16"/>
      <c r="P58" s="16"/>
      <c r="Q58" s="16"/>
      <c r="R58" s="16"/>
      <c r="S58" s="63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78"/>
      <c r="AG58" s="79"/>
    </row>
    <row r="59" spans="1:33" s="5" customFormat="1" ht="21.75" customHeight="1">
      <c r="A59" s="12">
        <f t="shared" si="0"/>
        <v>47</v>
      </c>
      <c r="B59" s="13"/>
      <c r="C59" s="14"/>
      <c r="D59" s="15"/>
      <c r="E59" s="16"/>
      <c r="F59" s="17"/>
      <c r="G59" s="18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78"/>
      <c r="AG59" s="79"/>
    </row>
    <row r="60" spans="1:33" s="5" customFormat="1" ht="21.75" customHeight="1">
      <c r="A60" s="12">
        <f t="shared" si="0"/>
        <v>48</v>
      </c>
      <c r="B60" s="13"/>
      <c r="C60" s="14"/>
      <c r="D60" s="15"/>
      <c r="E60" s="16"/>
      <c r="F60" s="17"/>
      <c r="G60" s="18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78"/>
      <c r="AG60" s="79"/>
    </row>
    <row r="61" spans="1:33" s="25" customFormat="1" ht="21.75" customHeight="1">
      <c r="A61" s="12">
        <f t="shared" si="0"/>
        <v>49</v>
      </c>
      <c r="B61" s="13"/>
      <c r="C61" s="14"/>
      <c r="D61" s="15"/>
      <c r="E61" s="16"/>
      <c r="F61" s="17"/>
      <c r="G61" s="18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78"/>
      <c r="AG61" s="79"/>
    </row>
    <row r="62" spans="1:33" s="25" customFormat="1" ht="21.75" customHeight="1">
      <c r="A62" s="12">
        <f t="shared" si="0"/>
        <v>50</v>
      </c>
      <c r="B62" s="13"/>
      <c r="C62" s="14"/>
      <c r="D62" s="15"/>
      <c r="E62" s="16"/>
      <c r="F62" s="17"/>
      <c r="G62" s="18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78"/>
      <c r="AG62" s="79"/>
    </row>
    <row r="63" spans="1:33" s="25" customFormat="1" ht="21.75" customHeight="1">
      <c r="A63" s="12">
        <f t="shared" si="0"/>
        <v>51</v>
      </c>
      <c r="B63" s="13"/>
      <c r="C63" s="14"/>
      <c r="D63" s="15"/>
      <c r="E63" s="16"/>
      <c r="F63" s="17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78"/>
      <c r="AG63" s="79"/>
    </row>
    <row r="64" spans="1:33" s="25" customFormat="1" ht="21.75" customHeight="1">
      <c r="A64" s="12">
        <f t="shared" si="0"/>
        <v>52</v>
      </c>
      <c r="B64" s="13"/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80"/>
      <c r="AG64" s="79"/>
    </row>
    <row r="65" spans="1:33" s="25" customFormat="1" ht="21.75" customHeight="1">
      <c r="A65" s="12">
        <f t="shared" si="0"/>
        <v>53</v>
      </c>
      <c r="B65" s="13"/>
      <c r="C65" s="14"/>
      <c r="D65" s="15"/>
      <c r="E65" s="16"/>
      <c r="F65" s="17"/>
      <c r="G65" s="1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80"/>
      <c r="AG65" s="79"/>
    </row>
    <row r="66" spans="1:33" s="25" customFormat="1" ht="21.75" customHeight="1" thickBot="1">
      <c r="A66" s="12">
        <f t="shared" si="0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81"/>
      <c r="AG66" s="82"/>
    </row>
    <row r="67" spans="2:33" s="26" customFormat="1" ht="46.5" customHeight="1">
      <c r="B67" s="95" t="s">
        <v>8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7"/>
      <c r="R67" s="85" t="str">
        <f aca="true" t="shared" si="16" ref="R67:AE67">IF(SUM(R13:R66)=0," ",ROUNDUP(SUM(R13:R66),0))</f>
        <v> </v>
      </c>
      <c r="S67" s="85">
        <f t="shared" si="16"/>
        <v>6</v>
      </c>
      <c r="T67" s="85" t="str">
        <f t="shared" si="16"/>
        <v> </v>
      </c>
      <c r="U67" s="85">
        <f t="shared" si="16"/>
        <v>261</v>
      </c>
      <c r="V67" s="85">
        <f t="shared" si="16"/>
        <v>10054</v>
      </c>
      <c r="W67" s="85">
        <f t="shared" si="16"/>
        <v>10054</v>
      </c>
      <c r="X67" s="85" t="str">
        <f t="shared" si="16"/>
        <v> </v>
      </c>
      <c r="Y67" s="85" t="str">
        <f t="shared" si="16"/>
        <v> </v>
      </c>
      <c r="Z67" s="85" t="str">
        <f t="shared" si="16"/>
        <v> </v>
      </c>
      <c r="AA67" s="85" t="str">
        <f t="shared" si="16"/>
        <v> </v>
      </c>
      <c r="AB67" s="85" t="str">
        <f t="shared" si="16"/>
        <v> </v>
      </c>
      <c r="AC67" s="85" t="str">
        <f t="shared" si="16"/>
        <v> </v>
      </c>
      <c r="AD67" s="85" t="str">
        <f t="shared" si="16"/>
        <v> </v>
      </c>
      <c r="AE67" s="85" t="str">
        <f t="shared" si="16"/>
        <v> </v>
      </c>
      <c r="AF67" s="87">
        <v>12</v>
      </c>
      <c r="AG67" s="88"/>
    </row>
    <row r="68" spans="2:33" s="26" customFormat="1" ht="46.5" customHeight="1" thickBot="1"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100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3">
        <v>16</v>
      </c>
      <c r="AG68" s="84"/>
    </row>
    <row r="69" spans="1:34" ht="36" customHeight="1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T69" s="28"/>
      <c r="U69" s="28"/>
      <c r="V69" s="1"/>
      <c r="W69" s="28"/>
      <c r="X69" s="28"/>
      <c r="Y69" s="28"/>
      <c r="Z69" s="28"/>
      <c r="AA69" s="28"/>
      <c r="AB69" s="28"/>
      <c r="AF69" s="28"/>
      <c r="AG69" s="28"/>
      <c r="AH69" s="29"/>
    </row>
    <row r="70" spans="2:33" ht="12.7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T70" s="28"/>
      <c r="U70" s="28"/>
      <c r="V70" s="1"/>
      <c r="W70" s="28"/>
      <c r="X70" s="28"/>
      <c r="Y70" s="28"/>
      <c r="Z70" s="28"/>
      <c r="AA70" s="28"/>
      <c r="AB70" s="28"/>
      <c r="AF70" s="28"/>
      <c r="AG70" s="28"/>
    </row>
    <row r="71" spans="2:33" ht="12.7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T71" s="28"/>
      <c r="U71" s="28"/>
      <c r="V71" s="1"/>
      <c r="W71" s="28"/>
      <c r="X71" s="28"/>
      <c r="Y71" s="28"/>
      <c r="Z71" s="28"/>
      <c r="AA71" s="28"/>
      <c r="AB71" s="28"/>
      <c r="AF71" s="28"/>
      <c r="AG71" s="28"/>
    </row>
    <row r="72" spans="2:33" ht="15.75">
      <c r="B72" s="64" t="s">
        <v>26</v>
      </c>
      <c r="C72" s="65"/>
      <c r="D72" s="65"/>
      <c r="E72" s="65"/>
      <c r="F72" s="65"/>
      <c r="G72" s="66"/>
      <c r="H72" s="43"/>
      <c r="I72" s="43"/>
      <c r="J72" s="43"/>
      <c r="K72" s="43">
        <v>4</v>
      </c>
      <c r="L72" s="43">
        <v>6</v>
      </c>
      <c r="M72" s="43">
        <v>10</v>
      </c>
      <c r="N72" s="43">
        <v>16</v>
      </c>
      <c r="O72" s="43">
        <v>18</v>
      </c>
      <c r="P72" s="43">
        <v>20</v>
      </c>
      <c r="Q72" s="43">
        <v>22</v>
      </c>
      <c r="R72" s="45"/>
      <c r="S72" s="62">
        <v>2000</v>
      </c>
      <c r="T72" s="44"/>
      <c r="U72" s="44">
        <v>0.75</v>
      </c>
      <c r="V72" s="62"/>
      <c r="W72" s="62">
        <v>12</v>
      </c>
      <c r="X72" s="45"/>
      <c r="Y72" s="44"/>
      <c r="Z72" s="44"/>
      <c r="AA72" s="44"/>
      <c r="AB72" s="44"/>
      <c r="AC72" s="44"/>
      <c r="AD72" s="44"/>
      <c r="AF72" s="28"/>
      <c r="AG72" s="28"/>
    </row>
    <row r="73" spans="2:33" ht="15">
      <c r="B73" s="28"/>
      <c r="C73" s="28"/>
      <c r="D73" s="28"/>
      <c r="E73" s="28"/>
      <c r="F73" s="28"/>
      <c r="G73" s="28"/>
      <c r="H73" s="24"/>
      <c r="I73" s="28"/>
      <c r="J73" s="28"/>
      <c r="K73" s="28"/>
      <c r="L73" s="28"/>
      <c r="M73" s="28"/>
      <c r="N73" s="28"/>
      <c r="O73" s="28"/>
      <c r="P73" s="28"/>
      <c r="Q73" s="28"/>
      <c r="R73" s="24"/>
      <c r="T73" s="43"/>
      <c r="U73" s="43">
        <v>115</v>
      </c>
      <c r="V73" s="62"/>
      <c r="W73" s="46"/>
      <c r="X73" s="28"/>
      <c r="Y73" s="28"/>
      <c r="Z73" s="28"/>
      <c r="AA73" s="28"/>
      <c r="AB73" s="28"/>
      <c r="AF73" s="28"/>
      <c r="AG73" s="28"/>
    </row>
    <row r="74" spans="2:33" ht="15">
      <c r="B74" s="28"/>
      <c r="C74" s="30"/>
      <c r="D74" s="28"/>
      <c r="E74" s="28"/>
      <c r="F74" s="28"/>
      <c r="G74" s="28"/>
      <c r="H74" s="31"/>
      <c r="I74" s="28"/>
      <c r="J74" s="28"/>
      <c r="K74" s="67"/>
      <c r="L74" s="68"/>
      <c r="M74" s="68"/>
      <c r="N74" s="68"/>
      <c r="O74" s="68"/>
      <c r="P74" s="68"/>
      <c r="Q74" s="68"/>
      <c r="R74" s="31"/>
      <c r="S74" s="31"/>
      <c r="T74" s="31"/>
      <c r="U74" s="31">
        <v>0.05</v>
      </c>
      <c r="V74" s="44"/>
      <c r="W74" s="31"/>
      <c r="X74" s="31"/>
      <c r="Y74" s="31"/>
      <c r="Z74" s="31"/>
      <c r="AA74" s="31"/>
      <c r="AB74" s="31"/>
      <c r="AC74" s="31"/>
      <c r="AD74" s="31"/>
      <c r="AE74" s="31"/>
      <c r="AF74" s="28"/>
      <c r="AG74" s="28"/>
    </row>
  </sheetData>
  <sheetProtection/>
  <mergeCells count="54">
    <mergeCell ref="O3:O11"/>
    <mergeCell ref="P3:P11"/>
    <mergeCell ref="Q3:Q11"/>
    <mergeCell ref="F17:I17"/>
    <mergeCell ref="F34:I34"/>
    <mergeCell ref="F41:I41"/>
    <mergeCell ref="M3:M11"/>
    <mergeCell ref="N3:N11"/>
    <mergeCell ref="B67:Q68"/>
    <mergeCell ref="B14:I14"/>
    <mergeCell ref="B3:C11"/>
    <mergeCell ref="D3:D11"/>
    <mergeCell ref="H3:H11"/>
    <mergeCell ref="I3:I11"/>
    <mergeCell ref="J3:J11"/>
    <mergeCell ref="K3:K11"/>
    <mergeCell ref="F3:F11"/>
    <mergeCell ref="G3:G11"/>
    <mergeCell ref="R4:R11"/>
    <mergeCell ref="S4:S11"/>
    <mergeCell ref="T4:T11"/>
    <mergeCell ref="U4:U11"/>
    <mergeCell ref="Z4:Z11"/>
    <mergeCell ref="V4:V11"/>
    <mergeCell ref="W4:W11"/>
    <mergeCell ref="X4:X11"/>
    <mergeCell ref="AF51:AG66"/>
    <mergeCell ref="AF3:AF5"/>
    <mergeCell ref="AB4:AB11"/>
    <mergeCell ref="AC4:AC11"/>
    <mergeCell ref="AD4:AD11"/>
    <mergeCell ref="AE4:AE11"/>
    <mergeCell ref="AF6:AG50"/>
    <mergeCell ref="AG3:AG5"/>
    <mergeCell ref="E3:E11"/>
    <mergeCell ref="AF67:AG67"/>
    <mergeCell ref="AF68:AG68"/>
    <mergeCell ref="W67:W68"/>
    <mergeCell ref="X67:X68"/>
    <mergeCell ref="Y67:Y68"/>
    <mergeCell ref="Z67:Z68"/>
    <mergeCell ref="AA67:AA68"/>
    <mergeCell ref="AB67:AB68"/>
    <mergeCell ref="AE67:AE68"/>
    <mergeCell ref="AD67:AD68"/>
    <mergeCell ref="L3:L11"/>
    <mergeCell ref="AA4:AA11"/>
    <mergeCell ref="Y4:Y11"/>
    <mergeCell ref="V67:V68"/>
    <mergeCell ref="T67:T68"/>
    <mergeCell ref="U67:U68"/>
    <mergeCell ref="R67:R68"/>
    <mergeCell ref="S67:S68"/>
    <mergeCell ref="AC67:AC68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L16" sqref="L16"/>
    </sheetView>
  </sheetViews>
  <sheetFormatPr defaultColWidth="9.140625" defaultRowHeight="12.75"/>
  <cols>
    <col min="1" max="3" width="24.7109375" style="1" customWidth="1"/>
    <col min="4" max="21" width="15.7109375" style="1" customWidth="1"/>
    <col min="22" max="22" width="15.7109375" style="47" customWidth="1"/>
    <col min="23" max="31" width="15.7109375" style="1" customWidth="1"/>
    <col min="32" max="34" width="6.7109375" style="1" customWidth="1"/>
    <col min="35" max="16384" width="9.140625" style="1" customWidth="1"/>
  </cols>
  <sheetData>
    <row r="1" spans="18:27" ht="12.75">
      <c r="R1" s="49"/>
      <c r="S1" s="49"/>
      <c r="T1" s="49"/>
      <c r="U1" s="49"/>
      <c r="V1" s="50"/>
      <c r="W1" s="49"/>
      <c r="X1" s="49"/>
      <c r="Z1" s="49"/>
      <c r="AA1" s="49"/>
    </row>
    <row r="2" spans="1:34" s="4" customFormat="1" ht="36" customHeight="1" thickBot="1">
      <c r="A2" s="2"/>
      <c r="B2" s="32" t="s">
        <v>14</v>
      </c>
      <c r="C2" s="33"/>
      <c r="D2" s="34"/>
      <c r="E2" s="34"/>
      <c r="F2" s="34"/>
      <c r="G2" s="34"/>
      <c r="H2" s="51"/>
      <c r="I2" s="35"/>
      <c r="J2" s="34"/>
      <c r="K2" s="34"/>
      <c r="L2" s="34"/>
      <c r="M2" s="34"/>
      <c r="N2" s="34"/>
      <c r="O2" s="34"/>
      <c r="P2" s="34"/>
      <c r="Q2" s="35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2"/>
      <c r="AD2" s="48"/>
      <c r="AH2" s="3"/>
    </row>
    <row r="3" spans="2:34" s="5" customFormat="1" ht="21.75" customHeight="1">
      <c r="B3" s="95" t="s">
        <v>0</v>
      </c>
      <c r="C3" s="97"/>
      <c r="D3" s="117" t="s">
        <v>3</v>
      </c>
      <c r="E3" s="117" t="s">
        <v>4</v>
      </c>
      <c r="F3" s="117" t="s">
        <v>5</v>
      </c>
      <c r="G3" s="107" t="s">
        <v>12</v>
      </c>
      <c r="H3" s="107" t="s">
        <v>93</v>
      </c>
      <c r="I3" s="117" t="s">
        <v>6</v>
      </c>
      <c r="J3" s="107" t="s">
        <v>10</v>
      </c>
      <c r="K3" s="107"/>
      <c r="L3" s="107"/>
      <c r="M3" s="107"/>
      <c r="N3" s="107"/>
      <c r="O3" s="107" t="s">
        <v>15</v>
      </c>
      <c r="P3" s="107" t="s">
        <v>16</v>
      </c>
      <c r="Q3" s="107" t="s">
        <v>17</v>
      </c>
      <c r="R3" s="36">
        <v>204</v>
      </c>
      <c r="S3" s="37">
        <v>204</v>
      </c>
      <c r="T3" s="36"/>
      <c r="U3" s="37">
        <v>206</v>
      </c>
      <c r="V3" s="37">
        <v>206</v>
      </c>
      <c r="W3" s="36">
        <v>206</v>
      </c>
      <c r="X3" s="37"/>
      <c r="Y3" s="36"/>
      <c r="Z3" s="37"/>
      <c r="AA3" s="36"/>
      <c r="AB3" s="37"/>
      <c r="AC3" s="36"/>
      <c r="AD3" s="37"/>
      <c r="AE3" s="37"/>
      <c r="AF3" s="101" t="s">
        <v>11</v>
      </c>
      <c r="AG3" s="101" t="s">
        <v>13</v>
      </c>
      <c r="AH3" s="6"/>
    </row>
    <row r="4" spans="2:34" s="5" customFormat="1" ht="27.75" customHeight="1">
      <c r="B4" s="113"/>
      <c r="C4" s="114"/>
      <c r="D4" s="118"/>
      <c r="E4" s="118"/>
      <c r="F4" s="118"/>
      <c r="G4" s="90"/>
      <c r="H4" s="90"/>
      <c r="I4" s="118"/>
      <c r="J4" s="122"/>
      <c r="K4" s="122"/>
      <c r="L4" s="90"/>
      <c r="M4" s="90"/>
      <c r="N4" s="90"/>
      <c r="O4" s="90"/>
      <c r="P4" s="90"/>
      <c r="Q4" s="90"/>
      <c r="R4" s="92" t="s">
        <v>82</v>
      </c>
      <c r="S4" s="89" t="s">
        <v>83</v>
      </c>
      <c r="T4" s="92"/>
      <c r="U4" s="92" t="s">
        <v>92</v>
      </c>
      <c r="V4" s="89" t="s">
        <v>80</v>
      </c>
      <c r="W4" s="89" t="s">
        <v>81</v>
      </c>
      <c r="X4" s="89"/>
      <c r="Y4" s="92"/>
      <c r="Z4" s="89"/>
      <c r="AA4" s="92"/>
      <c r="AB4" s="89"/>
      <c r="AC4" s="92"/>
      <c r="AD4" s="89"/>
      <c r="AE4" s="89"/>
      <c r="AF4" s="108"/>
      <c r="AG4" s="102"/>
      <c r="AH4" s="7"/>
    </row>
    <row r="5" spans="2:33" s="5" customFormat="1" ht="27.75" customHeight="1" thickBot="1">
      <c r="B5" s="113"/>
      <c r="C5" s="114"/>
      <c r="D5" s="118"/>
      <c r="E5" s="118"/>
      <c r="F5" s="118"/>
      <c r="G5" s="90"/>
      <c r="H5" s="90"/>
      <c r="I5" s="118"/>
      <c r="J5" s="122"/>
      <c r="K5" s="122"/>
      <c r="L5" s="90"/>
      <c r="M5" s="90"/>
      <c r="N5" s="90"/>
      <c r="O5" s="90"/>
      <c r="P5" s="90"/>
      <c r="Q5" s="90"/>
      <c r="R5" s="93"/>
      <c r="S5" s="90"/>
      <c r="T5" s="93"/>
      <c r="U5" s="93"/>
      <c r="V5" s="90"/>
      <c r="W5" s="90"/>
      <c r="X5" s="90"/>
      <c r="Y5" s="93"/>
      <c r="Z5" s="90"/>
      <c r="AA5" s="93"/>
      <c r="AB5" s="90"/>
      <c r="AC5" s="93"/>
      <c r="AD5" s="90"/>
      <c r="AE5" s="90"/>
      <c r="AF5" s="109"/>
      <c r="AG5" s="102"/>
    </row>
    <row r="6" spans="2:33" s="5" customFormat="1" ht="27.75" customHeight="1">
      <c r="B6" s="113"/>
      <c r="C6" s="114"/>
      <c r="D6" s="118"/>
      <c r="E6" s="118"/>
      <c r="F6" s="118"/>
      <c r="G6" s="90"/>
      <c r="H6" s="90"/>
      <c r="I6" s="118"/>
      <c r="J6" s="122"/>
      <c r="K6" s="122"/>
      <c r="L6" s="90"/>
      <c r="M6" s="90"/>
      <c r="N6" s="90"/>
      <c r="O6" s="90"/>
      <c r="P6" s="90"/>
      <c r="Q6" s="90"/>
      <c r="R6" s="93"/>
      <c r="S6" s="90"/>
      <c r="T6" s="93"/>
      <c r="U6" s="93"/>
      <c r="V6" s="90"/>
      <c r="W6" s="90"/>
      <c r="X6" s="90"/>
      <c r="Y6" s="93"/>
      <c r="Z6" s="90"/>
      <c r="AA6" s="93"/>
      <c r="AB6" s="90"/>
      <c r="AC6" s="93"/>
      <c r="AD6" s="90"/>
      <c r="AE6" s="90"/>
      <c r="AF6" s="76" t="s">
        <v>79</v>
      </c>
      <c r="AG6" s="77"/>
    </row>
    <row r="7" spans="2:33" s="5" customFormat="1" ht="27.75" customHeight="1">
      <c r="B7" s="113"/>
      <c r="C7" s="114"/>
      <c r="D7" s="118"/>
      <c r="E7" s="118"/>
      <c r="F7" s="118"/>
      <c r="G7" s="90"/>
      <c r="H7" s="90"/>
      <c r="I7" s="118"/>
      <c r="J7" s="122"/>
      <c r="K7" s="122"/>
      <c r="L7" s="90"/>
      <c r="M7" s="90"/>
      <c r="N7" s="90"/>
      <c r="O7" s="90"/>
      <c r="P7" s="90"/>
      <c r="Q7" s="90"/>
      <c r="R7" s="93"/>
      <c r="S7" s="90"/>
      <c r="T7" s="93"/>
      <c r="U7" s="93"/>
      <c r="V7" s="90"/>
      <c r="W7" s="90"/>
      <c r="X7" s="90"/>
      <c r="Y7" s="93"/>
      <c r="Z7" s="90"/>
      <c r="AA7" s="93"/>
      <c r="AB7" s="90"/>
      <c r="AC7" s="93"/>
      <c r="AD7" s="90"/>
      <c r="AE7" s="90"/>
      <c r="AF7" s="78"/>
      <c r="AG7" s="79"/>
    </row>
    <row r="8" spans="2:33" s="5" customFormat="1" ht="27.75" customHeight="1">
      <c r="B8" s="113"/>
      <c r="C8" s="114"/>
      <c r="D8" s="118"/>
      <c r="E8" s="118"/>
      <c r="F8" s="118"/>
      <c r="G8" s="90"/>
      <c r="H8" s="90"/>
      <c r="I8" s="118"/>
      <c r="J8" s="122"/>
      <c r="K8" s="122"/>
      <c r="L8" s="90"/>
      <c r="M8" s="90"/>
      <c r="N8" s="90"/>
      <c r="O8" s="90"/>
      <c r="P8" s="90"/>
      <c r="Q8" s="90"/>
      <c r="R8" s="93"/>
      <c r="S8" s="90"/>
      <c r="T8" s="93"/>
      <c r="U8" s="93"/>
      <c r="V8" s="90"/>
      <c r="W8" s="90"/>
      <c r="X8" s="90"/>
      <c r="Y8" s="93"/>
      <c r="Z8" s="90"/>
      <c r="AA8" s="93"/>
      <c r="AB8" s="90"/>
      <c r="AC8" s="93"/>
      <c r="AD8" s="90"/>
      <c r="AE8" s="90"/>
      <c r="AF8" s="78"/>
      <c r="AG8" s="79"/>
    </row>
    <row r="9" spans="2:33" s="5" customFormat="1" ht="27.75" customHeight="1">
      <c r="B9" s="113"/>
      <c r="C9" s="114"/>
      <c r="D9" s="118"/>
      <c r="E9" s="118"/>
      <c r="F9" s="118"/>
      <c r="G9" s="90"/>
      <c r="H9" s="90"/>
      <c r="I9" s="118"/>
      <c r="J9" s="122"/>
      <c r="K9" s="122"/>
      <c r="L9" s="90"/>
      <c r="M9" s="90"/>
      <c r="N9" s="90"/>
      <c r="O9" s="90"/>
      <c r="P9" s="90"/>
      <c r="Q9" s="90"/>
      <c r="R9" s="93"/>
      <c r="S9" s="90"/>
      <c r="T9" s="93"/>
      <c r="U9" s="93"/>
      <c r="V9" s="90"/>
      <c r="W9" s="90"/>
      <c r="X9" s="90"/>
      <c r="Y9" s="93"/>
      <c r="Z9" s="90"/>
      <c r="AA9" s="93"/>
      <c r="AB9" s="90"/>
      <c r="AC9" s="93"/>
      <c r="AD9" s="90"/>
      <c r="AE9" s="90"/>
      <c r="AF9" s="78"/>
      <c r="AG9" s="79"/>
    </row>
    <row r="10" spans="2:33" s="5" customFormat="1" ht="27.75" customHeight="1">
      <c r="B10" s="113"/>
      <c r="C10" s="114"/>
      <c r="D10" s="118"/>
      <c r="E10" s="118"/>
      <c r="F10" s="118"/>
      <c r="G10" s="90"/>
      <c r="H10" s="90"/>
      <c r="I10" s="118"/>
      <c r="J10" s="122"/>
      <c r="K10" s="122"/>
      <c r="L10" s="90"/>
      <c r="M10" s="90"/>
      <c r="N10" s="90"/>
      <c r="O10" s="90"/>
      <c r="P10" s="90"/>
      <c r="Q10" s="90"/>
      <c r="R10" s="93"/>
      <c r="S10" s="90"/>
      <c r="T10" s="93"/>
      <c r="U10" s="93"/>
      <c r="V10" s="90"/>
      <c r="W10" s="90"/>
      <c r="X10" s="90"/>
      <c r="Y10" s="93"/>
      <c r="Z10" s="90"/>
      <c r="AA10" s="93"/>
      <c r="AB10" s="90"/>
      <c r="AC10" s="93"/>
      <c r="AD10" s="90"/>
      <c r="AE10" s="90"/>
      <c r="AF10" s="78"/>
      <c r="AG10" s="79"/>
    </row>
    <row r="11" spans="2:33" s="8" customFormat="1" ht="27.75" customHeight="1">
      <c r="B11" s="115"/>
      <c r="C11" s="116"/>
      <c r="D11" s="119"/>
      <c r="E11" s="119"/>
      <c r="F11" s="119"/>
      <c r="G11" s="91"/>
      <c r="H11" s="91"/>
      <c r="I11" s="119"/>
      <c r="J11" s="123"/>
      <c r="K11" s="123"/>
      <c r="L11" s="91"/>
      <c r="M11" s="91"/>
      <c r="N11" s="91"/>
      <c r="O11" s="91"/>
      <c r="P11" s="91"/>
      <c r="Q11" s="91"/>
      <c r="R11" s="94"/>
      <c r="S11" s="91"/>
      <c r="T11" s="94"/>
      <c r="U11" s="94"/>
      <c r="V11" s="91"/>
      <c r="W11" s="91"/>
      <c r="X11" s="91"/>
      <c r="Y11" s="94"/>
      <c r="Z11" s="91"/>
      <c r="AA11" s="94"/>
      <c r="AB11" s="91"/>
      <c r="AC11" s="94"/>
      <c r="AD11" s="91"/>
      <c r="AE11" s="91"/>
      <c r="AF11" s="78"/>
      <c r="AG11" s="79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38"/>
      <c r="I12" s="11" t="s">
        <v>9</v>
      </c>
      <c r="J12" s="11" t="s">
        <v>9</v>
      </c>
      <c r="K12" s="11"/>
      <c r="L12" s="11"/>
      <c r="M12" s="11"/>
      <c r="N12" s="11"/>
      <c r="O12" s="11" t="s">
        <v>9</v>
      </c>
      <c r="P12" s="11" t="s">
        <v>9</v>
      </c>
      <c r="Q12" s="11" t="s">
        <v>9</v>
      </c>
      <c r="R12" s="38" t="s">
        <v>85</v>
      </c>
      <c r="S12" s="11" t="s">
        <v>84</v>
      </c>
      <c r="T12" s="38"/>
      <c r="U12" s="11" t="s">
        <v>86</v>
      </c>
      <c r="V12" s="11" t="s">
        <v>85</v>
      </c>
      <c r="W12" s="38" t="s">
        <v>85</v>
      </c>
      <c r="X12" s="11"/>
      <c r="Y12" s="38"/>
      <c r="Z12" s="11"/>
      <c r="AA12" s="38"/>
      <c r="AB12" s="11"/>
      <c r="AC12" s="38"/>
      <c r="AD12" s="11"/>
      <c r="AE12" s="11"/>
      <c r="AF12" s="78"/>
      <c r="AG12" s="79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78"/>
      <c r="AG13" s="79"/>
    </row>
    <row r="14" spans="1:33" s="5" customFormat="1" ht="21.75" customHeight="1">
      <c r="A14" s="12">
        <f>A13+1</f>
        <v>2</v>
      </c>
      <c r="B14" s="110" t="s">
        <v>62</v>
      </c>
      <c r="C14" s="111"/>
      <c r="D14" s="111"/>
      <c r="E14" s="111"/>
      <c r="F14" s="111"/>
      <c r="G14" s="111"/>
      <c r="H14" s="111"/>
      <c r="I14" s="112"/>
      <c r="J14" s="16"/>
      <c r="K14" s="16"/>
      <c r="L14" s="15"/>
      <c r="M14" s="15"/>
      <c r="N14" s="15"/>
      <c r="O14" s="15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78"/>
      <c r="AG14" s="79"/>
    </row>
    <row r="15" spans="1:33" s="5" customFormat="1" ht="21.75" customHeight="1">
      <c r="A15" s="12">
        <f>A14+1</f>
        <v>3</v>
      </c>
      <c r="B15" s="19" t="s">
        <v>19</v>
      </c>
      <c r="C15" s="20"/>
      <c r="D15" s="15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78"/>
      <c r="AG15" s="79"/>
    </row>
    <row r="16" spans="1:33" s="5" customFormat="1" ht="21.75" customHeight="1">
      <c r="A16" s="12">
        <f aca="true" t="shared" si="0" ref="A16:A66">A15+1</f>
        <v>4</v>
      </c>
      <c r="B16" s="22">
        <v>67950.26</v>
      </c>
      <c r="C16" s="21">
        <v>68048.74</v>
      </c>
      <c r="D16" s="15" t="s">
        <v>25</v>
      </c>
      <c r="E16" s="16">
        <f aca="true" t="shared" si="1" ref="E16:E21">C16-B16</f>
        <v>98.48000000001048</v>
      </c>
      <c r="F16" s="104" t="s">
        <v>23</v>
      </c>
      <c r="G16" s="105"/>
      <c r="H16" s="105"/>
      <c r="I16" s="106"/>
      <c r="J16" s="16">
        <v>1381.06</v>
      </c>
      <c r="K16" s="16"/>
      <c r="L16" s="16"/>
      <c r="M16" s="16"/>
      <c r="N16" s="16"/>
      <c r="O16" s="16"/>
      <c r="P16" s="16"/>
      <c r="Q16" s="16"/>
      <c r="R16" s="16"/>
      <c r="S16" s="63">
        <f aca="true" t="shared" si="2" ref="S16:S22">ROUND(($V16/S$72),3)</f>
        <v>0.077</v>
      </c>
      <c r="T16" s="16"/>
      <c r="U16" s="16">
        <f aca="true" t="shared" si="3" ref="U16:U22">ROUND((($U$72*$W$72*$U$73*$U$74*$W16)/2000),2)</f>
        <v>3.97</v>
      </c>
      <c r="V16" s="16">
        <f aca="true" t="shared" si="4" ref="V16:W22">ROUND((($I16+$J16)/9),2)</f>
        <v>153.45</v>
      </c>
      <c r="W16" s="16">
        <f t="shared" si="4"/>
        <v>153.45</v>
      </c>
      <c r="X16" s="16"/>
      <c r="Y16" s="16"/>
      <c r="Z16" s="16"/>
      <c r="AA16" s="16"/>
      <c r="AB16" s="16"/>
      <c r="AC16" s="16"/>
      <c r="AD16" s="16"/>
      <c r="AE16" s="16"/>
      <c r="AF16" s="78"/>
      <c r="AG16" s="79"/>
    </row>
    <row r="17" spans="1:33" s="5" customFormat="1" ht="21.75" customHeight="1">
      <c r="A17" s="12">
        <f t="shared" si="0"/>
        <v>5</v>
      </c>
      <c r="B17" s="13">
        <f aca="true" t="shared" si="5" ref="B17:B22">C16</f>
        <v>68048.74</v>
      </c>
      <c r="C17" s="14">
        <v>68318.39</v>
      </c>
      <c r="D17" s="15" t="s">
        <v>25</v>
      </c>
      <c r="E17" s="16">
        <f t="shared" si="1"/>
        <v>269.6499999999942</v>
      </c>
      <c r="F17" s="17">
        <v>16</v>
      </c>
      <c r="G17" s="18">
        <f>ROUND((2989.345+($F17/2))/2989.345,4)</f>
        <v>1.0027</v>
      </c>
      <c r="H17" s="16"/>
      <c r="I17" s="16">
        <f>IF($G17=0,ROUND($E17*$F17,2),ROUND($E17*$F17*$G17,2))</f>
        <v>4326.05</v>
      </c>
      <c r="J17" s="16"/>
      <c r="K17" s="16"/>
      <c r="L17" s="16"/>
      <c r="M17" s="16"/>
      <c r="N17" s="16"/>
      <c r="O17" s="16"/>
      <c r="P17" s="16"/>
      <c r="Q17" s="16"/>
      <c r="R17" s="16"/>
      <c r="S17" s="63">
        <f t="shared" si="2"/>
        <v>0.24</v>
      </c>
      <c r="T17" s="16"/>
      <c r="U17" s="16">
        <f t="shared" si="3"/>
        <v>12.44</v>
      </c>
      <c r="V17" s="16">
        <f t="shared" si="4"/>
        <v>480.67</v>
      </c>
      <c r="W17" s="16">
        <f t="shared" si="4"/>
        <v>480.67</v>
      </c>
      <c r="X17" s="16"/>
      <c r="Y17" s="16"/>
      <c r="Z17" s="16"/>
      <c r="AA17" s="16"/>
      <c r="AB17" s="16"/>
      <c r="AC17" s="16"/>
      <c r="AD17" s="16"/>
      <c r="AE17" s="16"/>
      <c r="AF17" s="78"/>
      <c r="AG17" s="79"/>
    </row>
    <row r="18" spans="1:33" s="5" customFormat="1" ht="21.75" customHeight="1">
      <c r="A18" s="12">
        <f t="shared" si="0"/>
        <v>6</v>
      </c>
      <c r="B18" s="13">
        <f t="shared" si="5"/>
        <v>68318.39</v>
      </c>
      <c r="C18" s="14">
        <v>68518.39</v>
      </c>
      <c r="D18" s="15" t="s">
        <v>25</v>
      </c>
      <c r="E18" s="16">
        <f t="shared" si="1"/>
        <v>200</v>
      </c>
      <c r="F18" s="17">
        <v>16</v>
      </c>
      <c r="G18" s="18">
        <f>ROUND((((2989.345+($F18/2))/2989.345)+((238.732+($F18/2))/238.732))/2,4)</f>
        <v>1.0181</v>
      </c>
      <c r="H18" s="16"/>
      <c r="I18" s="16">
        <f>IF($G18=0,ROUND($E18*$F18,2),ROUND($E18*$F18*$G18,2))</f>
        <v>3257.92</v>
      </c>
      <c r="J18" s="16"/>
      <c r="K18" s="16"/>
      <c r="L18" s="16"/>
      <c r="M18" s="16"/>
      <c r="N18" s="16"/>
      <c r="O18" s="16"/>
      <c r="P18" s="16"/>
      <c r="Q18" s="16"/>
      <c r="R18" s="16"/>
      <c r="S18" s="63">
        <f t="shared" si="2"/>
        <v>0.181</v>
      </c>
      <c r="T18" s="16"/>
      <c r="U18" s="16">
        <f t="shared" si="3"/>
        <v>9.37</v>
      </c>
      <c r="V18" s="16">
        <f t="shared" si="4"/>
        <v>361.99</v>
      </c>
      <c r="W18" s="16">
        <f t="shared" si="4"/>
        <v>361.99</v>
      </c>
      <c r="X18" s="16"/>
      <c r="Y18" s="16"/>
      <c r="Z18" s="16"/>
      <c r="AA18" s="16"/>
      <c r="AB18" s="16"/>
      <c r="AC18" s="16"/>
      <c r="AD18" s="16"/>
      <c r="AE18" s="16"/>
      <c r="AF18" s="78"/>
      <c r="AG18" s="79"/>
    </row>
    <row r="19" spans="1:33" s="5" customFormat="1" ht="21.75" customHeight="1">
      <c r="A19" s="12">
        <f t="shared" si="0"/>
        <v>7</v>
      </c>
      <c r="B19" s="13">
        <f t="shared" si="5"/>
        <v>68518.39</v>
      </c>
      <c r="C19" s="14">
        <v>69194.95</v>
      </c>
      <c r="D19" s="15" t="s">
        <v>25</v>
      </c>
      <c r="E19" s="16">
        <f t="shared" si="1"/>
        <v>676.5599999999977</v>
      </c>
      <c r="F19" s="17">
        <v>16</v>
      </c>
      <c r="G19" s="18">
        <f>ROUND((238.732+($F19/2))/238.732,4)</f>
        <v>1.0335</v>
      </c>
      <c r="H19" s="16"/>
      <c r="I19" s="16">
        <f>IF($G19=0,ROUND($E19*$F19,2),ROUND($E19*$F19*$G19,2))</f>
        <v>11187.6</v>
      </c>
      <c r="J19" s="16"/>
      <c r="K19" s="16"/>
      <c r="L19" s="16"/>
      <c r="M19" s="16"/>
      <c r="N19" s="16"/>
      <c r="O19" s="16"/>
      <c r="P19" s="16"/>
      <c r="Q19" s="16"/>
      <c r="R19" s="16"/>
      <c r="S19" s="63">
        <f t="shared" si="2"/>
        <v>0.622</v>
      </c>
      <c r="T19" s="16"/>
      <c r="U19" s="16">
        <f t="shared" si="3"/>
        <v>32.16</v>
      </c>
      <c r="V19" s="16">
        <f t="shared" si="4"/>
        <v>1243.07</v>
      </c>
      <c r="W19" s="16">
        <f t="shared" si="4"/>
        <v>1243.07</v>
      </c>
      <c r="X19" s="16"/>
      <c r="Y19" s="16"/>
      <c r="Z19" s="16"/>
      <c r="AA19" s="16"/>
      <c r="AB19" s="16"/>
      <c r="AC19" s="16"/>
      <c r="AD19" s="16"/>
      <c r="AE19" s="16"/>
      <c r="AF19" s="78"/>
      <c r="AG19" s="79"/>
    </row>
    <row r="20" spans="1:33" s="5" customFormat="1" ht="21.75" customHeight="1">
      <c r="A20" s="12">
        <f t="shared" si="0"/>
        <v>8</v>
      </c>
      <c r="B20" s="13">
        <f t="shared" si="5"/>
        <v>69194.95</v>
      </c>
      <c r="C20" s="14">
        <v>69494.95</v>
      </c>
      <c r="D20" s="15" t="s">
        <v>25</v>
      </c>
      <c r="E20" s="16">
        <f t="shared" si="1"/>
        <v>300</v>
      </c>
      <c r="F20" s="17">
        <v>16</v>
      </c>
      <c r="G20" s="18">
        <f>ROUND((((238.732+($F20/2))/238.732)+1)/2,4)</f>
        <v>1.0168</v>
      </c>
      <c r="H20" s="16"/>
      <c r="I20" s="16">
        <f>IF($G20=0,ROUND($E20*$F20,2),ROUND($E20*$F20*$G20,2))</f>
        <v>4880.64</v>
      </c>
      <c r="J20" s="16"/>
      <c r="K20" s="16"/>
      <c r="L20" s="16"/>
      <c r="M20" s="16"/>
      <c r="N20" s="16"/>
      <c r="O20" s="16"/>
      <c r="P20" s="16"/>
      <c r="Q20" s="16"/>
      <c r="R20" s="16"/>
      <c r="S20" s="63">
        <f t="shared" si="2"/>
        <v>0.271</v>
      </c>
      <c r="T20" s="16"/>
      <c r="U20" s="16">
        <f t="shared" si="3"/>
        <v>14.03</v>
      </c>
      <c r="V20" s="16">
        <f t="shared" si="4"/>
        <v>542.29</v>
      </c>
      <c r="W20" s="16">
        <f t="shared" si="4"/>
        <v>542.29</v>
      </c>
      <c r="X20" s="16"/>
      <c r="Y20" s="16"/>
      <c r="Z20" s="16"/>
      <c r="AA20" s="16"/>
      <c r="AB20" s="16"/>
      <c r="AC20" s="16"/>
      <c r="AD20" s="16"/>
      <c r="AE20" s="16"/>
      <c r="AF20" s="78"/>
      <c r="AG20" s="79"/>
    </row>
    <row r="21" spans="1:33" s="5" customFormat="1" ht="21.75" customHeight="1">
      <c r="A21" s="12">
        <f t="shared" si="0"/>
        <v>9</v>
      </c>
      <c r="B21" s="13">
        <f t="shared" si="5"/>
        <v>69494.95</v>
      </c>
      <c r="C21" s="14">
        <v>70011.57</v>
      </c>
      <c r="D21" s="15" t="s">
        <v>25</v>
      </c>
      <c r="E21" s="16">
        <f t="shared" si="1"/>
        <v>516.6200000000099</v>
      </c>
      <c r="F21" s="17">
        <v>16</v>
      </c>
      <c r="G21" s="18"/>
      <c r="H21" s="16"/>
      <c r="I21" s="16">
        <f>IF(G21=0,ROUND($E21*$F21,2),ROUND($E21*$F21*$G21,2))</f>
        <v>8265.92</v>
      </c>
      <c r="J21" s="16"/>
      <c r="K21" s="16"/>
      <c r="L21" s="16"/>
      <c r="M21" s="16"/>
      <c r="N21" s="16"/>
      <c r="O21" s="16"/>
      <c r="P21" s="16"/>
      <c r="Q21" s="16"/>
      <c r="R21" s="16"/>
      <c r="S21" s="63">
        <f t="shared" si="2"/>
        <v>0.459</v>
      </c>
      <c r="T21" s="16"/>
      <c r="U21" s="16">
        <f t="shared" si="3"/>
        <v>23.76</v>
      </c>
      <c r="V21" s="16">
        <f t="shared" si="4"/>
        <v>918.44</v>
      </c>
      <c r="W21" s="16">
        <f t="shared" si="4"/>
        <v>918.44</v>
      </c>
      <c r="X21" s="16"/>
      <c r="Y21" s="16"/>
      <c r="Z21" s="16"/>
      <c r="AA21" s="16"/>
      <c r="AB21" s="16"/>
      <c r="AC21" s="16"/>
      <c r="AD21" s="16"/>
      <c r="AE21" s="16"/>
      <c r="AF21" s="78"/>
      <c r="AG21" s="79"/>
    </row>
    <row r="22" spans="1:33" s="5" customFormat="1" ht="21.75" customHeight="1">
      <c r="A22" s="12">
        <f t="shared" si="0"/>
        <v>10</v>
      </c>
      <c r="B22" s="13">
        <f t="shared" si="5"/>
        <v>70011.57</v>
      </c>
      <c r="C22" s="14">
        <v>70211.45</v>
      </c>
      <c r="D22" s="15" t="s">
        <v>25</v>
      </c>
      <c r="E22" s="16">
        <f>C22-B22</f>
        <v>199.8799999999901</v>
      </c>
      <c r="F22" s="17">
        <f>ROUND(AVERAGE(16,12),2)</f>
        <v>14</v>
      </c>
      <c r="G22" s="18"/>
      <c r="H22" s="16"/>
      <c r="I22" s="16">
        <f>IF(G22=0,ROUND($E22*$F22,2),ROUND($E22*$F22*$G22,2))</f>
        <v>2798.32</v>
      </c>
      <c r="J22" s="16"/>
      <c r="K22" s="16"/>
      <c r="L22" s="16"/>
      <c r="M22" s="16"/>
      <c r="N22" s="16"/>
      <c r="O22" s="16"/>
      <c r="P22" s="16"/>
      <c r="Q22" s="16"/>
      <c r="R22" s="16"/>
      <c r="S22" s="63">
        <f t="shared" si="2"/>
        <v>0.155</v>
      </c>
      <c r="T22" s="16"/>
      <c r="U22" s="16">
        <f t="shared" si="3"/>
        <v>8.05</v>
      </c>
      <c r="V22" s="16">
        <f t="shared" si="4"/>
        <v>310.92</v>
      </c>
      <c r="W22" s="16">
        <f t="shared" si="4"/>
        <v>310.92</v>
      </c>
      <c r="X22" s="16"/>
      <c r="Y22" s="16"/>
      <c r="Z22" s="16"/>
      <c r="AA22" s="16"/>
      <c r="AB22" s="16"/>
      <c r="AC22" s="16"/>
      <c r="AD22" s="16"/>
      <c r="AE22" s="16"/>
      <c r="AF22" s="78"/>
      <c r="AG22" s="79"/>
    </row>
    <row r="23" spans="1:33" s="5" customFormat="1" ht="21.75" customHeight="1">
      <c r="A23" s="12">
        <f t="shared" si="0"/>
        <v>11</v>
      </c>
      <c r="B23" s="13"/>
      <c r="C23" s="14"/>
      <c r="D23" s="15"/>
      <c r="E23" s="16"/>
      <c r="F23" s="17"/>
      <c r="G23" s="18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63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78"/>
      <c r="AG23" s="79"/>
    </row>
    <row r="24" spans="1:33" s="5" customFormat="1" ht="21.75" customHeight="1">
      <c r="A24" s="12">
        <f t="shared" si="0"/>
        <v>12</v>
      </c>
      <c r="B24" s="19" t="s">
        <v>27</v>
      </c>
      <c r="C24" s="14"/>
      <c r="D24" s="15"/>
      <c r="E24" s="16"/>
      <c r="F24" s="17"/>
      <c r="G24" s="18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63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78"/>
      <c r="AG24" s="79"/>
    </row>
    <row r="25" spans="1:33" s="5" customFormat="1" ht="21.75" customHeight="1">
      <c r="A25" s="12">
        <f t="shared" si="0"/>
        <v>13</v>
      </c>
      <c r="B25" s="14">
        <v>68295.09</v>
      </c>
      <c r="C25" s="14">
        <v>68318.39</v>
      </c>
      <c r="D25" s="15" t="s">
        <v>25</v>
      </c>
      <c r="E25" s="16">
        <f>C25-B25</f>
        <v>23.30000000000291</v>
      </c>
      <c r="F25" s="104" t="s">
        <v>23</v>
      </c>
      <c r="G25" s="105"/>
      <c r="H25" s="105"/>
      <c r="I25" s="106"/>
      <c r="J25" s="16">
        <v>69.7</v>
      </c>
      <c r="K25" s="16"/>
      <c r="L25" s="16"/>
      <c r="M25" s="16"/>
      <c r="N25" s="16"/>
      <c r="O25" s="16">
        <f>IF($H25=0,ROUND($E25*(O$72/12),2),ROUND($E25*(O$72/12)*$H25,2))</f>
        <v>34.95</v>
      </c>
      <c r="P25" s="16"/>
      <c r="Q25" s="16"/>
      <c r="R25" s="16"/>
      <c r="S25" s="63">
        <f>ROUND(($V25/S$72),3)</f>
        <v>0.006</v>
      </c>
      <c r="T25" s="16"/>
      <c r="U25" s="16">
        <f>ROUND((($U$72*$W$72*$U$73*$U$74*$W25)/2000),2)</f>
        <v>0.3</v>
      </c>
      <c r="V25" s="16">
        <f aca="true" t="shared" si="6" ref="V25:W29">ROUND((($I25+$J25+$O25+$P25+$Q25)/9),2)</f>
        <v>11.63</v>
      </c>
      <c r="W25" s="16">
        <f t="shared" si="6"/>
        <v>11.63</v>
      </c>
      <c r="X25" s="16"/>
      <c r="Y25" s="16"/>
      <c r="Z25" s="16"/>
      <c r="AA25" s="16"/>
      <c r="AB25" s="16"/>
      <c r="AC25" s="16"/>
      <c r="AD25" s="16"/>
      <c r="AE25" s="16"/>
      <c r="AF25" s="78"/>
      <c r="AG25" s="79"/>
    </row>
    <row r="26" spans="1:33" s="5" customFormat="1" ht="21.75" customHeight="1">
      <c r="A26" s="12">
        <f t="shared" si="0"/>
        <v>14</v>
      </c>
      <c r="B26" s="14">
        <f>C25</f>
        <v>68318.39</v>
      </c>
      <c r="C26" s="14">
        <v>68518.39</v>
      </c>
      <c r="D26" s="15" t="s">
        <v>25</v>
      </c>
      <c r="E26" s="16">
        <f>C26-B26</f>
        <v>200</v>
      </c>
      <c r="F26" s="17">
        <v>3</v>
      </c>
      <c r="G26" s="18">
        <f>ROUND((((2989.345+16+($F26/2))/2989.345)+((238.732+16+($F26/2))/238.732))/2,4)</f>
        <v>1.0396</v>
      </c>
      <c r="H26" s="18">
        <f>ROUND((((2989.345+16+($F26))/2989.345)+((238.732+16+($F26))/238.732))/2,4)</f>
        <v>1.043</v>
      </c>
      <c r="I26" s="16">
        <f>IF(G26=0,ROUND($E26*$F26,2),ROUND($E26*$F26*$G26,2))</f>
        <v>623.76</v>
      </c>
      <c r="J26" s="16"/>
      <c r="K26" s="16"/>
      <c r="L26" s="16"/>
      <c r="M26" s="16"/>
      <c r="N26" s="16"/>
      <c r="O26" s="16">
        <f>IF($H26=0,ROUND($E26*(O$72/12),2),ROUND($E26*(O$72/12)*$H26,2))</f>
        <v>312.9</v>
      </c>
      <c r="P26" s="16"/>
      <c r="Q26" s="16"/>
      <c r="R26" s="16"/>
      <c r="S26" s="63">
        <f>ROUND(($V26/S$72),3)</f>
        <v>0.052</v>
      </c>
      <c r="T26" s="16"/>
      <c r="U26" s="16">
        <f>ROUND((($U$72*$W$72*$U$73*$U$74*$W26)/2000),2)</f>
        <v>2.69</v>
      </c>
      <c r="V26" s="16">
        <f t="shared" si="6"/>
        <v>104.07</v>
      </c>
      <c r="W26" s="16">
        <f t="shared" si="6"/>
        <v>104.07</v>
      </c>
      <c r="X26" s="16"/>
      <c r="Y26" s="16"/>
      <c r="Z26" s="16"/>
      <c r="AA26" s="16"/>
      <c r="AB26" s="16"/>
      <c r="AC26" s="16"/>
      <c r="AD26" s="16"/>
      <c r="AE26" s="16"/>
      <c r="AF26" s="78"/>
      <c r="AG26" s="79"/>
    </row>
    <row r="27" spans="1:33" s="5" customFormat="1" ht="21.75" customHeight="1">
      <c r="A27" s="12">
        <f t="shared" si="0"/>
        <v>15</v>
      </c>
      <c r="B27" s="14">
        <f>C26</f>
        <v>68518.39</v>
      </c>
      <c r="C27" s="14">
        <v>69194.95</v>
      </c>
      <c r="D27" s="15" t="s">
        <v>25</v>
      </c>
      <c r="E27" s="16">
        <f>C27-B27</f>
        <v>676.5599999999977</v>
      </c>
      <c r="F27" s="17">
        <v>3</v>
      </c>
      <c r="G27" s="18">
        <f>ROUND((238.732+16+($F27/2))/238.732,4)</f>
        <v>1.0733</v>
      </c>
      <c r="H27" s="18">
        <f>ROUND((238.732+16+($F27))/238.732,4)</f>
        <v>1.0796</v>
      </c>
      <c r="I27" s="16">
        <f>IF(G27=0,ROUND($E27*$F27,2),ROUND($E27*$F27*$G27,2))</f>
        <v>2178.46</v>
      </c>
      <c r="J27" s="16"/>
      <c r="K27" s="16"/>
      <c r="L27" s="16"/>
      <c r="M27" s="16"/>
      <c r="N27" s="16"/>
      <c r="O27" s="16">
        <f>IF($H27=0,ROUND($E27*(O$72/12),2),ROUND($E27*(O$72/12)*$H27,2))</f>
        <v>1095.62</v>
      </c>
      <c r="P27" s="16"/>
      <c r="Q27" s="16"/>
      <c r="R27" s="16"/>
      <c r="S27" s="63">
        <f>ROUND(($V27/S$72),3)</f>
        <v>0.182</v>
      </c>
      <c r="T27" s="16"/>
      <c r="U27" s="16">
        <f>ROUND((($U$72*$W$72*$U$73*$U$74*$W27)/2000),2)</f>
        <v>9.41</v>
      </c>
      <c r="V27" s="16">
        <f t="shared" si="6"/>
        <v>363.79</v>
      </c>
      <c r="W27" s="16">
        <f t="shared" si="6"/>
        <v>363.79</v>
      </c>
      <c r="X27" s="16"/>
      <c r="Y27" s="16"/>
      <c r="Z27" s="16"/>
      <c r="AA27" s="16"/>
      <c r="AB27" s="16"/>
      <c r="AC27" s="16"/>
      <c r="AD27" s="16"/>
      <c r="AE27" s="16"/>
      <c r="AF27" s="78"/>
      <c r="AG27" s="79"/>
    </row>
    <row r="28" spans="1:33" s="5" customFormat="1" ht="21.75" customHeight="1">
      <c r="A28" s="12">
        <f t="shared" si="0"/>
        <v>16</v>
      </c>
      <c r="B28" s="14">
        <f>C27</f>
        <v>69194.95</v>
      </c>
      <c r="C28" s="14">
        <v>69350</v>
      </c>
      <c r="D28" s="15" t="s">
        <v>25</v>
      </c>
      <c r="E28" s="16">
        <f>C28-B28</f>
        <v>155.0500000000029</v>
      </c>
      <c r="F28" s="17">
        <v>3</v>
      </c>
      <c r="G28" s="18">
        <f>ROUND((((238.732+16+($F28/2))/238.732)+1)/2,4)</f>
        <v>1.0367</v>
      </c>
      <c r="H28" s="18">
        <f>ROUND((((238.732+16+($F28))/238.732)+1)/2,4)</f>
        <v>1.0398</v>
      </c>
      <c r="I28" s="16">
        <f>IF(G28=0,ROUND($E28*$F28,2),ROUND($E28*$F28*$G28,2))</f>
        <v>482.22</v>
      </c>
      <c r="J28" s="16"/>
      <c r="K28" s="16"/>
      <c r="L28" s="16"/>
      <c r="M28" s="16"/>
      <c r="N28" s="16"/>
      <c r="O28" s="16">
        <f>IF($H28=0,ROUND($E28*(O$72/12),2),ROUND($E28*(O$72/12)*$H28,2))</f>
        <v>241.83</v>
      </c>
      <c r="P28" s="16"/>
      <c r="Q28" s="16"/>
      <c r="R28" s="16"/>
      <c r="S28" s="63">
        <f>ROUND(($V28/S$72),3)</f>
        <v>0.04</v>
      </c>
      <c r="T28" s="16"/>
      <c r="U28" s="16">
        <f>ROUND((($U$72*$W$72*$U$73*$U$74*$W28)/2000),2)</f>
        <v>2.08</v>
      </c>
      <c r="V28" s="16">
        <f t="shared" si="6"/>
        <v>80.45</v>
      </c>
      <c r="W28" s="16">
        <f t="shared" si="6"/>
        <v>80.45</v>
      </c>
      <c r="X28" s="16"/>
      <c r="Y28" s="16"/>
      <c r="Z28" s="16"/>
      <c r="AA28" s="16"/>
      <c r="AB28" s="16"/>
      <c r="AC28" s="16"/>
      <c r="AD28" s="16"/>
      <c r="AE28" s="16"/>
      <c r="AF28" s="78"/>
      <c r="AG28" s="79"/>
    </row>
    <row r="29" spans="1:33" s="5" customFormat="1" ht="21.75" customHeight="1">
      <c r="A29" s="12">
        <f t="shared" si="0"/>
        <v>17</v>
      </c>
      <c r="B29" s="13">
        <f>C28</f>
        <v>69350</v>
      </c>
      <c r="C29" s="14">
        <v>69370.06</v>
      </c>
      <c r="D29" s="15" t="s">
        <v>25</v>
      </c>
      <c r="E29" s="16">
        <f>C29-B29</f>
        <v>20.05999999999767</v>
      </c>
      <c r="F29" s="104" t="s">
        <v>23</v>
      </c>
      <c r="G29" s="105"/>
      <c r="H29" s="105"/>
      <c r="I29" s="106"/>
      <c r="J29" s="16">
        <v>61.35</v>
      </c>
      <c r="K29" s="16"/>
      <c r="L29" s="16"/>
      <c r="M29" s="16"/>
      <c r="N29" s="16"/>
      <c r="O29" s="16">
        <f>IF($H29=0,ROUND($E29*(O$72/12),2),ROUND($E29*(O$72/12)*$H29,2))</f>
        <v>30.09</v>
      </c>
      <c r="P29" s="16"/>
      <c r="Q29" s="16"/>
      <c r="R29" s="16"/>
      <c r="S29" s="63">
        <f>ROUND(($V29/S$72),3)</f>
        <v>0.005</v>
      </c>
      <c r="T29" s="16"/>
      <c r="U29" s="16">
        <f>ROUND((($U$72*$W$72*$U$73*$U$74*$W29)/2000),2)</f>
        <v>0.26</v>
      </c>
      <c r="V29" s="16">
        <f t="shared" si="6"/>
        <v>10.16</v>
      </c>
      <c r="W29" s="16">
        <f t="shared" si="6"/>
        <v>10.16</v>
      </c>
      <c r="X29" s="16"/>
      <c r="Y29" s="16"/>
      <c r="Z29" s="16"/>
      <c r="AA29" s="16"/>
      <c r="AB29" s="16"/>
      <c r="AC29" s="16"/>
      <c r="AD29" s="16"/>
      <c r="AE29" s="16"/>
      <c r="AF29" s="78"/>
      <c r="AG29" s="79"/>
    </row>
    <row r="30" spans="1:33" s="5" customFormat="1" ht="21.75" customHeight="1">
      <c r="A30" s="12">
        <f t="shared" si="0"/>
        <v>18</v>
      </c>
      <c r="B30" s="13"/>
      <c r="C30" s="14"/>
      <c r="D30" s="15"/>
      <c r="E30" s="16"/>
      <c r="F30" s="17"/>
      <c r="G30" s="1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63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78"/>
      <c r="AG30" s="79"/>
    </row>
    <row r="31" spans="1:33" s="5" customFormat="1" ht="21.75" customHeight="1">
      <c r="A31" s="12">
        <f t="shared" si="0"/>
        <v>19</v>
      </c>
      <c r="B31" s="13">
        <v>67957.98</v>
      </c>
      <c r="C31" s="14">
        <v>67960.74</v>
      </c>
      <c r="D31" s="15" t="s">
        <v>20</v>
      </c>
      <c r="E31" s="16">
        <f aca="true" t="shared" si="7" ref="E31:E44">C31-B31</f>
        <v>2.7600000000093132</v>
      </c>
      <c r="F31" s="23">
        <v>6.76</v>
      </c>
      <c r="G31" s="18">
        <f>ROUND((2989.345-($F31/2))/2989.345,4)</f>
        <v>0.9989</v>
      </c>
      <c r="H31" s="18">
        <f>ROUND((2989.345-($F31))/2989.345,4)</f>
        <v>0.9977</v>
      </c>
      <c r="I31" s="16">
        <f aca="true" t="shared" si="8" ref="I31:I44">IF(G31=0,ROUND($E31*$F31,2),ROUND($E31*$F31*$G31,2))</f>
        <v>18.64</v>
      </c>
      <c r="J31" s="16"/>
      <c r="K31" s="16"/>
      <c r="L31" s="16"/>
      <c r="M31" s="16"/>
      <c r="N31" s="16"/>
      <c r="O31" s="16"/>
      <c r="P31" s="16"/>
      <c r="Q31" s="16"/>
      <c r="R31" s="16"/>
      <c r="S31" s="63">
        <f aca="true" t="shared" si="9" ref="S31:S44">ROUND(($V31/S$72),3)</f>
        <v>0.001</v>
      </c>
      <c r="T31" s="16"/>
      <c r="U31" s="16">
        <f aca="true" t="shared" si="10" ref="U31:U44">ROUND((($U$72*$W$72*$U$73*$U$74*$W31)/2000),2)</f>
        <v>0.05</v>
      </c>
      <c r="V31" s="16">
        <f aca="true" t="shared" si="11" ref="V31:W44">ROUND((($I31+$J31+$O31+$P31+$Q31)/9),2)</f>
        <v>2.07</v>
      </c>
      <c r="W31" s="16">
        <f t="shared" si="11"/>
        <v>2.07</v>
      </c>
      <c r="X31" s="16"/>
      <c r="Y31" s="16"/>
      <c r="Z31" s="16"/>
      <c r="AA31" s="16"/>
      <c r="AB31" s="16"/>
      <c r="AC31" s="16"/>
      <c r="AD31" s="16"/>
      <c r="AE31" s="16"/>
      <c r="AF31" s="78"/>
      <c r="AG31" s="79"/>
    </row>
    <row r="32" spans="1:33" s="5" customFormat="1" ht="21.75" customHeight="1">
      <c r="A32" s="12">
        <f t="shared" si="0"/>
        <v>20</v>
      </c>
      <c r="B32" s="13">
        <f>C31</f>
        <v>67960.74</v>
      </c>
      <c r="C32" s="14">
        <v>68000</v>
      </c>
      <c r="D32" s="15" t="s">
        <v>20</v>
      </c>
      <c r="E32" s="16">
        <f t="shared" si="7"/>
        <v>39.25999999999476</v>
      </c>
      <c r="F32" s="17">
        <v>6.76</v>
      </c>
      <c r="G32" s="18">
        <f>ROUND((2989.345-($F32/2))/2989.345,4)</f>
        <v>0.9989</v>
      </c>
      <c r="H32" s="18">
        <f>ROUND((2989.345-($F32))/2989.345,4)</f>
        <v>0.9977</v>
      </c>
      <c r="I32" s="16">
        <f t="shared" si="8"/>
        <v>265.11</v>
      </c>
      <c r="J32" s="16"/>
      <c r="K32" s="16"/>
      <c r="L32" s="16"/>
      <c r="M32" s="16"/>
      <c r="N32" s="16"/>
      <c r="O32" s="16">
        <f aca="true" t="shared" si="12" ref="O32:O42">IF($H32=0,ROUND($E32*(O$72/12),2),ROUND($E32*(O$72/12)*$H32,2))</f>
        <v>58.75</v>
      </c>
      <c r="P32" s="16"/>
      <c r="Q32" s="16"/>
      <c r="R32" s="16"/>
      <c r="S32" s="63">
        <f t="shared" si="9"/>
        <v>0.018</v>
      </c>
      <c r="T32" s="16"/>
      <c r="U32" s="16">
        <f t="shared" si="10"/>
        <v>0.93</v>
      </c>
      <c r="V32" s="16">
        <f t="shared" si="11"/>
        <v>35.98</v>
      </c>
      <c r="W32" s="16">
        <f t="shared" si="11"/>
        <v>35.98</v>
      </c>
      <c r="X32" s="16"/>
      <c r="Y32" s="16"/>
      <c r="Z32" s="16"/>
      <c r="AA32" s="16"/>
      <c r="AB32" s="16"/>
      <c r="AC32" s="16"/>
      <c r="AD32" s="16"/>
      <c r="AE32" s="16"/>
      <c r="AF32" s="78"/>
      <c r="AG32" s="79"/>
    </row>
    <row r="33" spans="1:33" s="5" customFormat="1" ht="21.75" customHeight="1">
      <c r="A33" s="12">
        <f t="shared" si="0"/>
        <v>21</v>
      </c>
      <c r="B33" s="13">
        <f aca="true" t="shared" si="13" ref="B33:B44">C32</f>
        <v>68000</v>
      </c>
      <c r="C33" s="14">
        <v>68032</v>
      </c>
      <c r="D33" s="15" t="s">
        <v>20</v>
      </c>
      <c r="E33" s="16">
        <f t="shared" si="7"/>
        <v>32</v>
      </c>
      <c r="F33" s="17">
        <f>ROUND(AVERAGE(6.76,8),2)</f>
        <v>7.38</v>
      </c>
      <c r="G33" s="18">
        <f>ROUND((2989.345-($F33/2))/2989.345,4)</f>
        <v>0.9988</v>
      </c>
      <c r="H33" s="18">
        <f>ROUND((2989.345-($F33))/2989.345,4)</f>
        <v>0.9975</v>
      </c>
      <c r="I33" s="16">
        <f t="shared" si="8"/>
        <v>235.88</v>
      </c>
      <c r="J33" s="16"/>
      <c r="K33" s="16"/>
      <c r="L33" s="16"/>
      <c r="M33" s="16"/>
      <c r="N33" s="16"/>
      <c r="O33" s="16">
        <f t="shared" si="12"/>
        <v>47.88</v>
      </c>
      <c r="P33" s="16"/>
      <c r="Q33" s="16"/>
      <c r="R33" s="16"/>
      <c r="S33" s="63">
        <f t="shared" si="9"/>
        <v>0.016</v>
      </c>
      <c r="T33" s="16"/>
      <c r="U33" s="16">
        <f t="shared" si="10"/>
        <v>0.82</v>
      </c>
      <c r="V33" s="16">
        <f t="shared" si="11"/>
        <v>31.53</v>
      </c>
      <c r="W33" s="16">
        <f t="shared" si="11"/>
        <v>31.53</v>
      </c>
      <c r="X33" s="16"/>
      <c r="Y33" s="16"/>
      <c r="Z33" s="16"/>
      <c r="AA33" s="16"/>
      <c r="AB33" s="16"/>
      <c r="AC33" s="16"/>
      <c r="AD33" s="16"/>
      <c r="AE33" s="16"/>
      <c r="AF33" s="78"/>
      <c r="AG33" s="79"/>
    </row>
    <row r="34" spans="1:33" s="5" customFormat="1" ht="21.75" customHeight="1">
      <c r="A34" s="12">
        <f t="shared" si="0"/>
        <v>22</v>
      </c>
      <c r="B34" s="13">
        <f t="shared" si="13"/>
        <v>68032</v>
      </c>
      <c r="C34" s="14">
        <v>68295.5</v>
      </c>
      <c r="D34" s="15" t="s">
        <v>20</v>
      </c>
      <c r="E34" s="16">
        <f t="shared" si="7"/>
        <v>263.5</v>
      </c>
      <c r="F34" s="17">
        <v>8</v>
      </c>
      <c r="G34" s="18">
        <f>ROUND((2989.345-($F34/2))/2989.345,4)</f>
        <v>0.9987</v>
      </c>
      <c r="H34" s="18">
        <f>ROUND((2989.345-($F34))/2989.345,4)</f>
        <v>0.9973</v>
      </c>
      <c r="I34" s="16">
        <f t="shared" si="8"/>
        <v>2105.26</v>
      </c>
      <c r="J34" s="16"/>
      <c r="K34" s="16"/>
      <c r="L34" s="16"/>
      <c r="M34" s="16"/>
      <c r="N34" s="16"/>
      <c r="O34" s="16">
        <f t="shared" si="12"/>
        <v>394.18</v>
      </c>
      <c r="P34" s="16"/>
      <c r="Q34" s="16"/>
      <c r="R34" s="16"/>
      <c r="S34" s="63">
        <f t="shared" si="9"/>
        <v>0.139</v>
      </c>
      <c r="T34" s="16"/>
      <c r="U34" s="16">
        <f t="shared" si="10"/>
        <v>7.19</v>
      </c>
      <c r="V34" s="16">
        <f t="shared" si="11"/>
        <v>277.72</v>
      </c>
      <c r="W34" s="16">
        <f t="shared" si="11"/>
        <v>277.72</v>
      </c>
      <c r="X34" s="16"/>
      <c r="Y34" s="16"/>
      <c r="Z34" s="16"/>
      <c r="AA34" s="16"/>
      <c r="AB34" s="16"/>
      <c r="AC34" s="16"/>
      <c r="AD34" s="16"/>
      <c r="AE34" s="16"/>
      <c r="AF34" s="78"/>
      <c r="AG34" s="79"/>
    </row>
    <row r="35" spans="1:33" s="5" customFormat="1" ht="21.75" customHeight="1">
      <c r="A35" s="12">
        <f t="shared" si="0"/>
        <v>23</v>
      </c>
      <c r="B35" s="13">
        <f t="shared" si="13"/>
        <v>68295.5</v>
      </c>
      <c r="C35" s="14">
        <v>68318.39</v>
      </c>
      <c r="D35" s="15" t="s">
        <v>20</v>
      </c>
      <c r="E35" s="16">
        <f t="shared" si="7"/>
        <v>22.889999999999418</v>
      </c>
      <c r="F35" s="17">
        <f>ROUND(AVERAGE(7.085,8),2)</f>
        <v>7.54</v>
      </c>
      <c r="G35" s="18">
        <f>ROUND((2989.345-($F35/2))/2989.345,4)</f>
        <v>0.9987</v>
      </c>
      <c r="H35" s="18">
        <f>ROUND((2989.345-($F35))/2989.345,4)</f>
        <v>0.9975</v>
      </c>
      <c r="I35" s="16">
        <f t="shared" si="8"/>
        <v>172.37</v>
      </c>
      <c r="J35" s="16"/>
      <c r="K35" s="16"/>
      <c r="L35" s="16"/>
      <c r="M35" s="16"/>
      <c r="N35" s="16"/>
      <c r="O35" s="16">
        <f t="shared" si="12"/>
        <v>34.25</v>
      </c>
      <c r="P35" s="16"/>
      <c r="Q35" s="16"/>
      <c r="R35" s="16"/>
      <c r="S35" s="63">
        <f t="shared" si="9"/>
        <v>0.011</v>
      </c>
      <c r="T35" s="16"/>
      <c r="U35" s="16">
        <f t="shared" si="10"/>
        <v>0.59</v>
      </c>
      <c r="V35" s="16">
        <f t="shared" si="11"/>
        <v>22.96</v>
      </c>
      <c r="W35" s="16">
        <f t="shared" si="11"/>
        <v>22.96</v>
      </c>
      <c r="X35" s="16"/>
      <c r="Y35" s="16"/>
      <c r="Z35" s="16"/>
      <c r="AA35" s="16"/>
      <c r="AB35" s="16"/>
      <c r="AC35" s="16"/>
      <c r="AD35" s="16"/>
      <c r="AE35" s="16"/>
      <c r="AF35" s="78"/>
      <c r="AG35" s="79"/>
    </row>
    <row r="36" spans="1:33" s="5" customFormat="1" ht="21.75" customHeight="1">
      <c r="A36" s="12">
        <f t="shared" si="0"/>
        <v>24</v>
      </c>
      <c r="B36" s="13">
        <f t="shared" si="13"/>
        <v>68318.39</v>
      </c>
      <c r="C36" s="14">
        <v>68345.5</v>
      </c>
      <c r="D36" s="15" t="s">
        <v>20</v>
      </c>
      <c r="E36" s="16">
        <f t="shared" si="7"/>
        <v>27.110000000000582</v>
      </c>
      <c r="F36" s="17">
        <f>ROUND(AVERAGE(7.085,6),2)</f>
        <v>6.54</v>
      </c>
      <c r="G36" s="18">
        <f>ROUND((((2989.345-($F36/2))/2989.345)+((238.732-($F36/2))/238.732))/2,4)</f>
        <v>0.9926</v>
      </c>
      <c r="H36" s="18">
        <f>ROUND((((2989.345-($F36))/2989.345)+((238.732-($F36))/238.732))/2,4)</f>
        <v>0.9852</v>
      </c>
      <c r="I36" s="16">
        <f t="shared" si="8"/>
        <v>175.99</v>
      </c>
      <c r="J36" s="16"/>
      <c r="K36" s="16"/>
      <c r="L36" s="16"/>
      <c r="M36" s="16"/>
      <c r="N36" s="16"/>
      <c r="O36" s="16">
        <f t="shared" si="12"/>
        <v>40.06</v>
      </c>
      <c r="P36" s="16"/>
      <c r="Q36" s="16"/>
      <c r="R36" s="16"/>
      <c r="S36" s="63">
        <f t="shared" si="9"/>
        <v>0.012</v>
      </c>
      <c r="T36" s="16"/>
      <c r="U36" s="16">
        <f t="shared" si="10"/>
        <v>0.62</v>
      </c>
      <c r="V36" s="16">
        <f t="shared" si="11"/>
        <v>24.01</v>
      </c>
      <c r="W36" s="16">
        <f t="shared" si="11"/>
        <v>24.01</v>
      </c>
      <c r="X36" s="16"/>
      <c r="Y36" s="16"/>
      <c r="Z36" s="16"/>
      <c r="AA36" s="16"/>
      <c r="AB36" s="16"/>
      <c r="AC36" s="16"/>
      <c r="AD36" s="16"/>
      <c r="AE36" s="16"/>
      <c r="AF36" s="78"/>
      <c r="AG36" s="79"/>
    </row>
    <row r="37" spans="1:33" s="5" customFormat="1" ht="21.75" customHeight="1">
      <c r="A37" s="12">
        <f t="shared" si="0"/>
        <v>25</v>
      </c>
      <c r="B37" s="13">
        <f t="shared" si="13"/>
        <v>68345.5</v>
      </c>
      <c r="C37" s="14">
        <v>68518.39</v>
      </c>
      <c r="D37" s="15" t="s">
        <v>20</v>
      </c>
      <c r="E37" s="16">
        <f t="shared" si="7"/>
        <v>172.88999999999942</v>
      </c>
      <c r="F37" s="17">
        <v>6</v>
      </c>
      <c r="G37" s="18">
        <f>ROUND((((2989.345-($F37/2))/2989.345)+((238.732-($F37/2))/238.732))/2,4)</f>
        <v>0.9932</v>
      </c>
      <c r="H37" s="18">
        <f>ROUND((((2989.345-($F37))/2989.345)+((238.732-($F37))/238.732))/2,4)</f>
        <v>0.9864</v>
      </c>
      <c r="I37" s="16">
        <f t="shared" si="8"/>
        <v>1030.29</v>
      </c>
      <c r="J37" s="16"/>
      <c r="K37" s="16"/>
      <c r="L37" s="16"/>
      <c r="M37" s="16"/>
      <c r="N37" s="16"/>
      <c r="O37" s="16">
        <f t="shared" si="12"/>
        <v>255.81</v>
      </c>
      <c r="P37" s="16"/>
      <c r="Q37" s="16"/>
      <c r="R37" s="16"/>
      <c r="S37" s="63">
        <f t="shared" si="9"/>
        <v>0.071</v>
      </c>
      <c r="T37" s="16"/>
      <c r="U37" s="16">
        <f t="shared" si="10"/>
        <v>3.7</v>
      </c>
      <c r="V37" s="16">
        <f t="shared" si="11"/>
        <v>142.9</v>
      </c>
      <c r="W37" s="16">
        <f t="shared" si="11"/>
        <v>142.9</v>
      </c>
      <c r="X37" s="16"/>
      <c r="Y37" s="16"/>
      <c r="Z37" s="16"/>
      <c r="AA37" s="16"/>
      <c r="AB37" s="16"/>
      <c r="AC37" s="16"/>
      <c r="AD37" s="16"/>
      <c r="AE37" s="16"/>
      <c r="AF37" s="78"/>
      <c r="AG37" s="79"/>
    </row>
    <row r="38" spans="1:33" s="5" customFormat="1" ht="21.75" customHeight="1">
      <c r="A38" s="12">
        <f t="shared" si="0"/>
        <v>26</v>
      </c>
      <c r="B38" s="13">
        <f t="shared" si="13"/>
        <v>68518.39</v>
      </c>
      <c r="C38" s="14">
        <v>69194.95</v>
      </c>
      <c r="D38" s="15" t="s">
        <v>20</v>
      </c>
      <c r="E38" s="16">
        <f t="shared" si="7"/>
        <v>676.5599999999977</v>
      </c>
      <c r="F38" s="17">
        <v>6</v>
      </c>
      <c r="G38" s="18">
        <f>ROUND((238.732-($F38/2))/238.732,4)</f>
        <v>0.9874</v>
      </c>
      <c r="H38" s="18">
        <f>ROUND((238.732-($F38))/238.732,4)</f>
        <v>0.9749</v>
      </c>
      <c r="I38" s="16">
        <f t="shared" si="8"/>
        <v>4008.21</v>
      </c>
      <c r="J38" s="16"/>
      <c r="K38" s="16"/>
      <c r="L38" s="16"/>
      <c r="M38" s="16"/>
      <c r="N38" s="16"/>
      <c r="O38" s="16">
        <f t="shared" si="12"/>
        <v>989.37</v>
      </c>
      <c r="P38" s="16"/>
      <c r="Q38" s="16"/>
      <c r="R38" s="16"/>
      <c r="S38" s="63">
        <f t="shared" si="9"/>
        <v>0.278</v>
      </c>
      <c r="T38" s="16"/>
      <c r="U38" s="16">
        <f t="shared" si="10"/>
        <v>14.37</v>
      </c>
      <c r="V38" s="16">
        <f t="shared" si="11"/>
        <v>555.29</v>
      </c>
      <c r="W38" s="16">
        <f t="shared" si="11"/>
        <v>555.29</v>
      </c>
      <c r="X38" s="16"/>
      <c r="Y38" s="16"/>
      <c r="Z38" s="16"/>
      <c r="AA38" s="16"/>
      <c r="AB38" s="16"/>
      <c r="AC38" s="16"/>
      <c r="AD38" s="16"/>
      <c r="AE38" s="16"/>
      <c r="AF38" s="78"/>
      <c r="AG38" s="79"/>
    </row>
    <row r="39" spans="1:33" s="5" customFormat="1" ht="21.75" customHeight="1">
      <c r="A39" s="12">
        <f t="shared" si="0"/>
        <v>27</v>
      </c>
      <c r="B39" s="13">
        <f t="shared" si="13"/>
        <v>69194.95</v>
      </c>
      <c r="C39" s="14">
        <v>69444.95</v>
      </c>
      <c r="D39" s="15" t="s">
        <v>20</v>
      </c>
      <c r="E39" s="16">
        <f t="shared" si="7"/>
        <v>250</v>
      </c>
      <c r="F39" s="17">
        <v>6</v>
      </c>
      <c r="G39" s="18">
        <f>ROUND((((238.732-($F39/2))/238.732)+1)/2,4)</f>
        <v>0.9937</v>
      </c>
      <c r="H39" s="18">
        <f>ROUND((((238.732-($F39))/238.732)+1)/2,4)</f>
        <v>0.9874</v>
      </c>
      <c r="I39" s="16">
        <f t="shared" si="8"/>
        <v>1490.55</v>
      </c>
      <c r="J39" s="16"/>
      <c r="K39" s="16"/>
      <c r="L39" s="16"/>
      <c r="M39" s="16"/>
      <c r="N39" s="16"/>
      <c r="O39" s="16">
        <f t="shared" si="12"/>
        <v>370.28</v>
      </c>
      <c r="P39" s="16"/>
      <c r="Q39" s="16"/>
      <c r="R39" s="16"/>
      <c r="S39" s="63">
        <f t="shared" si="9"/>
        <v>0.103</v>
      </c>
      <c r="T39" s="16"/>
      <c r="U39" s="16">
        <f t="shared" si="10"/>
        <v>5.35</v>
      </c>
      <c r="V39" s="16">
        <f t="shared" si="11"/>
        <v>206.76</v>
      </c>
      <c r="W39" s="16">
        <f t="shared" si="11"/>
        <v>206.76</v>
      </c>
      <c r="X39" s="16"/>
      <c r="Y39" s="16"/>
      <c r="Z39" s="16"/>
      <c r="AA39" s="16"/>
      <c r="AB39" s="16"/>
      <c r="AC39" s="16"/>
      <c r="AD39" s="16"/>
      <c r="AE39" s="16"/>
      <c r="AF39" s="78"/>
      <c r="AG39" s="79"/>
    </row>
    <row r="40" spans="1:33" s="5" customFormat="1" ht="21.75" customHeight="1">
      <c r="A40" s="12">
        <f t="shared" si="0"/>
        <v>28</v>
      </c>
      <c r="B40" s="13">
        <f t="shared" si="13"/>
        <v>69444.95</v>
      </c>
      <c r="C40" s="14">
        <v>69494.95</v>
      </c>
      <c r="D40" s="15" t="s">
        <v>20</v>
      </c>
      <c r="E40" s="16">
        <f t="shared" si="7"/>
        <v>50</v>
      </c>
      <c r="F40" s="17">
        <f>ROUND(AVERAGE(6,8),2)</f>
        <v>7</v>
      </c>
      <c r="G40" s="18">
        <f>ROUND((((238.732-($F40/2))/238.732)+1)/2,4)</f>
        <v>0.9927</v>
      </c>
      <c r="H40" s="18">
        <f>ROUND((((238.732-($F40))/238.732)+1)/2,4)</f>
        <v>0.9853</v>
      </c>
      <c r="I40" s="16">
        <f t="shared" si="8"/>
        <v>347.45</v>
      </c>
      <c r="J40" s="16"/>
      <c r="K40" s="16"/>
      <c r="L40" s="16"/>
      <c r="M40" s="16"/>
      <c r="N40" s="16"/>
      <c r="O40" s="16">
        <f t="shared" si="12"/>
        <v>73.9</v>
      </c>
      <c r="P40" s="16"/>
      <c r="Q40" s="16"/>
      <c r="R40" s="16"/>
      <c r="S40" s="63">
        <f t="shared" si="9"/>
        <v>0.023</v>
      </c>
      <c r="T40" s="16"/>
      <c r="U40" s="16">
        <f t="shared" si="10"/>
        <v>1.21</v>
      </c>
      <c r="V40" s="16">
        <f t="shared" si="11"/>
        <v>46.82</v>
      </c>
      <c r="W40" s="16">
        <f t="shared" si="11"/>
        <v>46.82</v>
      </c>
      <c r="X40" s="16"/>
      <c r="Y40" s="16"/>
      <c r="Z40" s="16"/>
      <c r="AA40" s="16"/>
      <c r="AB40" s="16"/>
      <c r="AC40" s="16"/>
      <c r="AD40" s="16"/>
      <c r="AE40" s="16"/>
      <c r="AF40" s="78"/>
      <c r="AG40" s="79"/>
    </row>
    <row r="41" spans="1:33" s="5" customFormat="1" ht="21.75" customHeight="1">
      <c r="A41" s="12">
        <f t="shared" si="0"/>
        <v>29</v>
      </c>
      <c r="B41" s="13">
        <f t="shared" si="13"/>
        <v>69494.95</v>
      </c>
      <c r="C41" s="14">
        <v>69846.04</v>
      </c>
      <c r="D41" s="15" t="s">
        <v>20</v>
      </c>
      <c r="E41" s="16">
        <f t="shared" si="7"/>
        <v>351.0899999999965</v>
      </c>
      <c r="F41" s="17">
        <v>8</v>
      </c>
      <c r="G41" s="18"/>
      <c r="H41" s="16"/>
      <c r="I41" s="16">
        <f t="shared" si="8"/>
        <v>2808.72</v>
      </c>
      <c r="J41" s="16"/>
      <c r="K41" s="16"/>
      <c r="L41" s="16"/>
      <c r="M41" s="16"/>
      <c r="N41" s="16"/>
      <c r="O41" s="16">
        <f t="shared" si="12"/>
        <v>526.63</v>
      </c>
      <c r="P41" s="16"/>
      <c r="Q41" s="16"/>
      <c r="R41" s="16"/>
      <c r="S41" s="63">
        <f t="shared" si="9"/>
        <v>0.185</v>
      </c>
      <c r="T41" s="16"/>
      <c r="U41" s="16">
        <f t="shared" si="10"/>
        <v>9.59</v>
      </c>
      <c r="V41" s="16">
        <f t="shared" si="11"/>
        <v>370.59</v>
      </c>
      <c r="W41" s="16">
        <f t="shared" si="11"/>
        <v>370.59</v>
      </c>
      <c r="X41" s="16"/>
      <c r="Y41" s="16"/>
      <c r="Z41" s="16"/>
      <c r="AA41" s="16"/>
      <c r="AB41" s="16"/>
      <c r="AC41" s="16"/>
      <c r="AD41" s="16"/>
      <c r="AE41" s="16"/>
      <c r="AF41" s="78"/>
      <c r="AG41" s="79"/>
    </row>
    <row r="42" spans="1:33" s="5" customFormat="1" ht="21.75" customHeight="1">
      <c r="A42" s="12">
        <f t="shared" si="0"/>
        <v>30</v>
      </c>
      <c r="B42" s="13">
        <f t="shared" si="13"/>
        <v>69846.04</v>
      </c>
      <c r="C42" s="14">
        <v>69864.18</v>
      </c>
      <c r="D42" s="15" t="s">
        <v>20</v>
      </c>
      <c r="E42" s="16">
        <f t="shared" si="7"/>
        <v>18.139999999999418</v>
      </c>
      <c r="F42" s="17">
        <v>8</v>
      </c>
      <c r="G42" s="18"/>
      <c r="H42" s="16"/>
      <c r="I42" s="16">
        <f t="shared" si="8"/>
        <v>145.12</v>
      </c>
      <c r="J42" s="16"/>
      <c r="K42" s="16"/>
      <c r="L42" s="16"/>
      <c r="M42" s="16"/>
      <c r="N42" s="16"/>
      <c r="O42" s="16">
        <f t="shared" si="12"/>
        <v>27.21</v>
      </c>
      <c r="P42" s="16"/>
      <c r="Q42" s="16"/>
      <c r="R42" s="16"/>
      <c r="S42" s="63">
        <f t="shared" si="9"/>
        <v>0.01</v>
      </c>
      <c r="T42" s="16"/>
      <c r="U42" s="16">
        <f t="shared" si="10"/>
        <v>0.5</v>
      </c>
      <c r="V42" s="16">
        <f t="shared" si="11"/>
        <v>19.15</v>
      </c>
      <c r="W42" s="16">
        <f t="shared" si="11"/>
        <v>19.15</v>
      </c>
      <c r="X42" s="16"/>
      <c r="Y42" s="16"/>
      <c r="Z42" s="16"/>
      <c r="AA42" s="16"/>
      <c r="AB42" s="16"/>
      <c r="AC42" s="16"/>
      <c r="AD42" s="16"/>
      <c r="AE42" s="16"/>
      <c r="AF42" s="78"/>
      <c r="AG42" s="79"/>
    </row>
    <row r="43" spans="1:33" s="5" customFormat="1" ht="21.75" customHeight="1">
      <c r="A43" s="12">
        <f t="shared" si="0"/>
        <v>31</v>
      </c>
      <c r="B43" s="13">
        <f t="shared" si="13"/>
        <v>69864.18</v>
      </c>
      <c r="C43" s="14">
        <v>70029.18</v>
      </c>
      <c r="D43" s="15" t="s">
        <v>20</v>
      </c>
      <c r="E43" s="16">
        <f t="shared" si="7"/>
        <v>165</v>
      </c>
      <c r="F43" s="17">
        <v>8</v>
      </c>
      <c r="G43" s="16"/>
      <c r="H43" s="16"/>
      <c r="I43" s="16">
        <f t="shared" si="8"/>
        <v>1320</v>
      </c>
      <c r="J43" s="16"/>
      <c r="K43" s="16"/>
      <c r="L43" s="16"/>
      <c r="M43" s="16"/>
      <c r="N43" s="16"/>
      <c r="O43" s="16"/>
      <c r="P43" s="16">
        <f>IF($H43=0,ROUND($E43*(P$72/12),2),ROUND($E43*(P$72/12)*$H43,2))</f>
        <v>275</v>
      </c>
      <c r="Q43" s="16">
        <f>IF($H43=0,ROUND($E43*(Q$72/12),2),ROUND($E43*(Q$72/12)*$H43,2))</f>
        <v>302.5</v>
      </c>
      <c r="R43" s="16"/>
      <c r="S43" s="63">
        <f t="shared" si="9"/>
        <v>0.105</v>
      </c>
      <c r="T43" s="16"/>
      <c r="U43" s="16">
        <f t="shared" si="10"/>
        <v>5.46</v>
      </c>
      <c r="V43" s="16">
        <f t="shared" si="11"/>
        <v>210.83</v>
      </c>
      <c r="W43" s="16">
        <f t="shared" si="11"/>
        <v>210.83</v>
      </c>
      <c r="X43" s="16"/>
      <c r="Y43" s="16"/>
      <c r="Z43" s="16"/>
      <c r="AA43" s="16"/>
      <c r="AB43" s="16"/>
      <c r="AC43" s="16"/>
      <c r="AD43" s="16"/>
      <c r="AE43" s="16"/>
      <c r="AF43" s="78"/>
      <c r="AG43" s="79"/>
    </row>
    <row r="44" spans="1:33" s="5" customFormat="1" ht="21.75" customHeight="1">
      <c r="A44" s="12">
        <f t="shared" si="0"/>
        <v>32</v>
      </c>
      <c r="B44" s="13">
        <f t="shared" si="13"/>
        <v>70029.18</v>
      </c>
      <c r="C44" s="14">
        <v>70211.45</v>
      </c>
      <c r="D44" s="15" t="s">
        <v>20</v>
      </c>
      <c r="E44" s="16">
        <f t="shared" si="7"/>
        <v>182.27000000000407</v>
      </c>
      <c r="F44" s="17">
        <v>8</v>
      </c>
      <c r="G44" s="16"/>
      <c r="H44" s="16"/>
      <c r="I44" s="16">
        <f t="shared" si="8"/>
        <v>1458.16</v>
      </c>
      <c r="J44" s="16"/>
      <c r="K44" s="16"/>
      <c r="L44" s="16"/>
      <c r="M44" s="16"/>
      <c r="N44" s="16"/>
      <c r="O44" s="16">
        <f>IF($H44=0,ROUND($E44*(O$72/12),2),ROUND($E44*(O$72/12)*$H44,2))</f>
        <v>273.41</v>
      </c>
      <c r="P44" s="16"/>
      <c r="Q44" s="16"/>
      <c r="R44" s="16"/>
      <c r="S44" s="63">
        <f t="shared" si="9"/>
        <v>0.096</v>
      </c>
      <c r="T44" s="16"/>
      <c r="U44" s="16">
        <f t="shared" si="10"/>
        <v>4.98</v>
      </c>
      <c r="V44" s="16">
        <f t="shared" si="11"/>
        <v>192.4</v>
      </c>
      <c r="W44" s="16">
        <f t="shared" si="11"/>
        <v>192.4</v>
      </c>
      <c r="X44" s="16"/>
      <c r="Y44" s="16"/>
      <c r="Z44" s="16"/>
      <c r="AA44" s="16"/>
      <c r="AB44" s="16"/>
      <c r="AC44" s="16"/>
      <c r="AD44" s="16"/>
      <c r="AE44" s="16"/>
      <c r="AF44" s="78"/>
      <c r="AG44" s="79"/>
    </row>
    <row r="45" spans="1:33" s="5" customFormat="1" ht="21.75" customHeight="1">
      <c r="A45" s="12">
        <f t="shared" si="0"/>
        <v>33</v>
      </c>
      <c r="B45" s="13"/>
      <c r="C45" s="14"/>
      <c r="D45" s="15"/>
      <c r="E45" s="16"/>
      <c r="F45" s="17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63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78"/>
      <c r="AG45" s="79"/>
    </row>
    <row r="46" spans="1:33" s="5" customFormat="1" ht="21.75" customHeight="1">
      <c r="A46" s="12">
        <f t="shared" si="0"/>
        <v>34</v>
      </c>
      <c r="B46" s="13"/>
      <c r="C46" s="14"/>
      <c r="D46" s="15"/>
      <c r="E46" s="16"/>
      <c r="F46" s="17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63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78"/>
      <c r="AG46" s="79"/>
    </row>
    <row r="47" spans="1:33" s="5" customFormat="1" ht="21.75" customHeight="1">
      <c r="A47" s="12">
        <f t="shared" si="0"/>
        <v>35</v>
      </c>
      <c r="B47" s="13"/>
      <c r="C47" s="14"/>
      <c r="D47" s="15"/>
      <c r="E47" s="16"/>
      <c r="F47" s="17"/>
      <c r="G47" s="18"/>
      <c r="H47" s="16"/>
      <c r="I47" s="16"/>
      <c r="J47" s="16"/>
      <c r="K47" s="40"/>
      <c r="L47" s="16"/>
      <c r="M47" s="16"/>
      <c r="N47" s="16"/>
      <c r="O47" s="16"/>
      <c r="P47" s="16"/>
      <c r="Q47" s="16"/>
      <c r="R47" s="16"/>
      <c r="S47" s="63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78"/>
      <c r="AG47" s="79"/>
    </row>
    <row r="48" spans="1:33" s="5" customFormat="1" ht="21.75" customHeight="1">
      <c r="A48" s="12">
        <f t="shared" si="0"/>
        <v>36</v>
      </c>
      <c r="B48" s="110" t="s">
        <v>63</v>
      </c>
      <c r="C48" s="111"/>
      <c r="D48" s="111"/>
      <c r="E48" s="111"/>
      <c r="F48" s="111"/>
      <c r="G48" s="111"/>
      <c r="H48" s="111"/>
      <c r="I48" s="112"/>
      <c r="J48" s="16"/>
      <c r="K48" s="16"/>
      <c r="L48" s="16"/>
      <c r="M48" s="16"/>
      <c r="N48" s="16"/>
      <c r="O48" s="16"/>
      <c r="P48" s="16"/>
      <c r="Q48" s="16"/>
      <c r="R48" s="16"/>
      <c r="S48" s="63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78"/>
      <c r="AG48" s="79"/>
    </row>
    <row r="49" spans="1:33" s="5" customFormat="1" ht="21.75" customHeight="1">
      <c r="A49" s="12">
        <f t="shared" si="0"/>
        <v>37</v>
      </c>
      <c r="B49" s="19" t="s">
        <v>19</v>
      </c>
      <c r="C49" s="41"/>
      <c r="D49" s="15"/>
      <c r="E49" s="16"/>
      <c r="F49" s="58"/>
      <c r="G49" s="18"/>
      <c r="H49" s="16"/>
      <c r="I49" s="53"/>
      <c r="J49" s="16"/>
      <c r="K49" s="42"/>
      <c r="L49" s="16"/>
      <c r="M49" s="16"/>
      <c r="N49" s="16"/>
      <c r="O49" s="16"/>
      <c r="P49" s="16"/>
      <c r="Q49" s="42"/>
      <c r="R49" s="16"/>
      <c r="S49" s="63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78"/>
      <c r="AG49" s="79"/>
    </row>
    <row r="50" spans="1:33" s="5" customFormat="1" ht="21.75" customHeight="1" thickBot="1">
      <c r="A50" s="12">
        <f t="shared" si="0"/>
        <v>38</v>
      </c>
      <c r="B50" s="14">
        <v>78145.3</v>
      </c>
      <c r="C50" s="39">
        <v>78290.99</v>
      </c>
      <c r="D50" s="15" t="s">
        <v>25</v>
      </c>
      <c r="E50" s="16">
        <f aca="true" t="shared" si="14" ref="E50:E56">C50-B50</f>
        <v>145.69000000000233</v>
      </c>
      <c r="F50" s="17">
        <f>ROUND(AVERAGE(16,12),2)</f>
        <v>14</v>
      </c>
      <c r="G50" s="18">
        <f>ROUND((747.92-($F50/2))/747.92,4)</f>
        <v>0.9906</v>
      </c>
      <c r="H50" s="16"/>
      <c r="I50" s="16">
        <f aca="true" t="shared" si="15" ref="I50:I59">IF(G50=0,ROUND($E50*$F50,2),ROUND($E50*$F50*$G50,2))</f>
        <v>2020.49</v>
      </c>
      <c r="J50" s="16"/>
      <c r="K50" s="42"/>
      <c r="L50" s="16"/>
      <c r="M50" s="16"/>
      <c r="N50" s="16"/>
      <c r="O50" s="16"/>
      <c r="P50" s="16"/>
      <c r="Q50" s="16"/>
      <c r="R50" s="16"/>
      <c r="S50" s="63">
        <f aca="true" t="shared" si="16" ref="S50:S56">ROUND(($V50/S$72),3)</f>
        <v>0.112</v>
      </c>
      <c r="T50" s="16"/>
      <c r="U50" s="16">
        <f aca="true" t="shared" si="17" ref="U50:U56">ROUND((($U$72*$W$72*$U$73*$U$74*$W50)/2000),2)</f>
        <v>5.81</v>
      </c>
      <c r="V50" s="16">
        <f aca="true" t="shared" si="18" ref="V50:W60">ROUND((($I50+$J50)/9),2)</f>
        <v>224.5</v>
      </c>
      <c r="W50" s="16">
        <f t="shared" si="18"/>
        <v>224.5</v>
      </c>
      <c r="X50" s="16"/>
      <c r="Y50" s="16"/>
      <c r="Z50" s="16"/>
      <c r="AA50" s="16"/>
      <c r="AB50" s="16"/>
      <c r="AC50" s="16"/>
      <c r="AD50" s="16"/>
      <c r="AE50" s="16"/>
      <c r="AF50" s="103"/>
      <c r="AG50" s="82"/>
    </row>
    <row r="51" spans="1:33" s="5" customFormat="1" ht="21.75" customHeight="1">
      <c r="A51" s="12">
        <f t="shared" si="0"/>
        <v>39</v>
      </c>
      <c r="B51" s="14">
        <f aca="true" t="shared" si="19" ref="B51:B60">C50</f>
        <v>78290.99</v>
      </c>
      <c r="C51" s="14">
        <v>78293.84</v>
      </c>
      <c r="D51" s="15" t="s">
        <v>25</v>
      </c>
      <c r="E51" s="16">
        <f t="shared" si="14"/>
        <v>2.849999999991269</v>
      </c>
      <c r="F51" s="17">
        <v>16</v>
      </c>
      <c r="G51" s="18">
        <f>ROUND((747.92-($F51/2))/747.92,4)</f>
        <v>0.9893</v>
      </c>
      <c r="H51" s="16"/>
      <c r="I51" s="16">
        <f t="shared" si="15"/>
        <v>45.11</v>
      </c>
      <c r="J51" s="16"/>
      <c r="K51" s="16"/>
      <c r="L51" s="16"/>
      <c r="M51" s="16"/>
      <c r="N51" s="16"/>
      <c r="O51" s="16"/>
      <c r="P51" s="16"/>
      <c r="Q51" s="16"/>
      <c r="R51" s="16"/>
      <c r="S51" s="63">
        <f t="shared" si="16"/>
        <v>0.003</v>
      </c>
      <c r="T51" s="16"/>
      <c r="U51" s="16">
        <f t="shared" si="17"/>
        <v>0.13</v>
      </c>
      <c r="V51" s="16">
        <f t="shared" si="18"/>
        <v>5.01</v>
      </c>
      <c r="W51" s="16">
        <f t="shared" si="18"/>
        <v>5.01</v>
      </c>
      <c r="X51" s="16"/>
      <c r="Y51" s="16"/>
      <c r="Z51" s="16"/>
      <c r="AA51" s="16"/>
      <c r="AB51" s="16"/>
      <c r="AC51" s="16"/>
      <c r="AD51" s="16"/>
      <c r="AE51" s="16"/>
      <c r="AF51" s="76" t="s">
        <v>91</v>
      </c>
      <c r="AG51" s="77"/>
    </row>
    <row r="52" spans="1:33" s="5" customFormat="1" ht="21.75" customHeight="1">
      <c r="A52" s="12">
        <f t="shared" si="0"/>
        <v>40</v>
      </c>
      <c r="B52" s="14">
        <f t="shared" si="19"/>
        <v>78293.84</v>
      </c>
      <c r="C52" s="14">
        <v>78443.84</v>
      </c>
      <c r="D52" s="15" t="s">
        <v>25</v>
      </c>
      <c r="E52" s="16">
        <f t="shared" si="14"/>
        <v>150</v>
      </c>
      <c r="F52" s="17">
        <v>16</v>
      </c>
      <c r="G52" s="18">
        <f>ROUND((((747.92-($F52/2))/747.92)+1)/2,4)</f>
        <v>0.9947</v>
      </c>
      <c r="H52" s="16"/>
      <c r="I52" s="16">
        <f t="shared" si="15"/>
        <v>2387.28</v>
      </c>
      <c r="J52" s="16"/>
      <c r="K52" s="16"/>
      <c r="L52" s="16"/>
      <c r="M52" s="16"/>
      <c r="N52" s="16"/>
      <c r="O52" s="16"/>
      <c r="P52" s="16"/>
      <c r="Q52" s="16"/>
      <c r="R52" s="16"/>
      <c r="S52" s="63">
        <f t="shared" si="16"/>
        <v>0.133</v>
      </c>
      <c r="T52" s="16"/>
      <c r="U52" s="16">
        <f t="shared" si="17"/>
        <v>6.86</v>
      </c>
      <c r="V52" s="16">
        <f t="shared" si="18"/>
        <v>265.25</v>
      </c>
      <c r="W52" s="16">
        <f t="shared" si="18"/>
        <v>265.25</v>
      </c>
      <c r="X52" s="16"/>
      <c r="Y52" s="16"/>
      <c r="Z52" s="16"/>
      <c r="AA52" s="16"/>
      <c r="AB52" s="16"/>
      <c r="AC52" s="16"/>
      <c r="AD52" s="16"/>
      <c r="AE52" s="16"/>
      <c r="AF52" s="78"/>
      <c r="AG52" s="79"/>
    </row>
    <row r="53" spans="1:33" s="5" customFormat="1" ht="21.75" customHeight="1">
      <c r="A53" s="12">
        <f t="shared" si="0"/>
        <v>41</v>
      </c>
      <c r="B53" s="14">
        <f t="shared" si="19"/>
        <v>78443.84</v>
      </c>
      <c r="C53" s="14">
        <v>78482.53</v>
      </c>
      <c r="D53" s="15" t="s">
        <v>25</v>
      </c>
      <c r="E53" s="16">
        <f t="shared" si="14"/>
        <v>38.69000000000233</v>
      </c>
      <c r="F53" s="17">
        <v>16</v>
      </c>
      <c r="G53" s="18"/>
      <c r="H53" s="16"/>
      <c r="I53" s="16">
        <f t="shared" si="15"/>
        <v>619.04</v>
      </c>
      <c r="J53" s="16"/>
      <c r="K53" s="16"/>
      <c r="L53" s="16"/>
      <c r="M53" s="16"/>
      <c r="N53" s="16"/>
      <c r="O53" s="16"/>
      <c r="P53" s="16"/>
      <c r="Q53" s="16"/>
      <c r="R53" s="16"/>
      <c r="S53" s="63">
        <f t="shared" si="16"/>
        <v>0.034</v>
      </c>
      <c r="T53" s="16"/>
      <c r="U53" s="16">
        <f t="shared" si="17"/>
        <v>1.78</v>
      </c>
      <c r="V53" s="16">
        <f t="shared" si="18"/>
        <v>68.78</v>
      </c>
      <c r="W53" s="16">
        <f t="shared" si="18"/>
        <v>68.78</v>
      </c>
      <c r="X53" s="16"/>
      <c r="Y53" s="16"/>
      <c r="Z53" s="16"/>
      <c r="AA53" s="16"/>
      <c r="AB53" s="16"/>
      <c r="AC53" s="16"/>
      <c r="AD53" s="16"/>
      <c r="AE53" s="16"/>
      <c r="AF53" s="78"/>
      <c r="AG53" s="79"/>
    </row>
    <row r="54" spans="1:33" s="5" customFormat="1" ht="21.75" customHeight="1">
      <c r="A54" s="12">
        <f t="shared" si="0"/>
        <v>42</v>
      </c>
      <c r="B54" s="14">
        <f t="shared" si="19"/>
        <v>78482.53</v>
      </c>
      <c r="C54" s="14">
        <v>78732.53</v>
      </c>
      <c r="D54" s="15" t="s">
        <v>25</v>
      </c>
      <c r="E54" s="16">
        <f t="shared" si="14"/>
        <v>250</v>
      </c>
      <c r="F54" s="17">
        <v>16</v>
      </c>
      <c r="G54" s="18">
        <f>ROUND((((381.972+($F54/2))/381.972)+1)/2,4)</f>
        <v>1.0105</v>
      </c>
      <c r="H54" s="16"/>
      <c r="I54" s="16">
        <f t="shared" si="15"/>
        <v>4042</v>
      </c>
      <c r="J54" s="16"/>
      <c r="K54" s="16"/>
      <c r="L54" s="16"/>
      <c r="M54" s="16"/>
      <c r="N54" s="16"/>
      <c r="O54" s="16"/>
      <c r="P54" s="16"/>
      <c r="Q54" s="16"/>
      <c r="R54" s="16"/>
      <c r="S54" s="63">
        <f t="shared" si="16"/>
        <v>0.225</v>
      </c>
      <c r="T54" s="16"/>
      <c r="U54" s="16">
        <f t="shared" si="17"/>
        <v>11.62</v>
      </c>
      <c r="V54" s="16">
        <f t="shared" si="18"/>
        <v>449.11</v>
      </c>
      <c r="W54" s="16">
        <f t="shared" si="18"/>
        <v>449.11</v>
      </c>
      <c r="X54" s="16"/>
      <c r="Y54" s="16"/>
      <c r="Z54" s="16"/>
      <c r="AA54" s="16"/>
      <c r="AB54" s="16"/>
      <c r="AC54" s="16"/>
      <c r="AD54" s="16"/>
      <c r="AE54" s="16"/>
      <c r="AF54" s="78"/>
      <c r="AG54" s="79"/>
    </row>
    <row r="55" spans="1:33" s="5" customFormat="1" ht="21.75" customHeight="1">
      <c r="A55" s="12">
        <f t="shared" si="0"/>
        <v>43</v>
      </c>
      <c r="B55" s="13">
        <f t="shared" si="19"/>
        <v>78732.53</v>
      </c>
      <c r="C55" s="14">
        <v>78882.95</v>
      </c>
      <c r="D55" s="15" t="s">
        <v>25</v>
      </c>
      <c r="E55" s="16">
        <f t="shared" si="14"/>
        <v>150.41999999999825</v>
      </c>
      <c r="F55" s="17">
        <v>16</v>
      </c>
      <c r="G55" s="18">
        <f>ROUND((381.972+($F55/2))/381.972,4)</f>
        <v>1.0209</v>
      </c>
      <c r="H55" s="16"/>
      <c r="I55" s="16">
        <f t="shared" si="15"/>
        <v>2457.02</v>
      </c>
      <c r="J55" s="16"/>
      <c r="K55" s="16"/>
      <c r="L55" s="16"/>
      <c r="M55" s="16"/>
      <c r="N55" s="16"/>
      <c r="O55" s="16"/>
      <c r="P55" s="16"/>
      <c r="Q55" s="16"/>
      <c r="R55" s="16"/>
      <c r="S55" s="63">
        <f t="shared" si="16"/>
        <v>0.137</v>
      </c>
      <c r="T55" s="16"/>
      <c r="U55" s="16">
        <f t="shared" si="17"/>
        <v>7.06</v>
      </c>
      <c r="V55" s="16">
        <f t="shared" si="18"/>
        <v>273</v>
      </c>
      <c r="W55" s="16">
        <f t="shared" si="18"/>
        <v>273</v>
      </c>
      <c r="X55" s="16"/>
      <c r="Y55" s="16"/>
      <c r="Z55" s="16"/>
      <c r="AA55" s="16"/>
      <c r="AB55" s="16"/>
      <c r="AC55" s="16"/>
      <c r="AD55" s="16"/>
      <c r="AE55" s="16"/>
      <c r="AF55" s="78"/>
      <c r="AG55" s="79"/>
    </row>
    <row r="56" spans="1:33" s="5" customFormat="1" ht="21.75" customHeight="1">
      <c r="A56" s="12">
        <f t="shared" si="0"/>
        <v>44</v>
      </c>
      <c r="B56" s="13">
        <f t="shared" si="19"/>
        <v>78882.95</v>
      </c>
      <c r="C56" s="14">
        <v>78907.95</v>
      </c>
      <c r="D56" s="15" t="s">
        <v>25</v>
      </c>
      <c r="E56" s="16">
        <f t="shared" si="14"/>
        <v>25</v>
      </c>
      <c r="F56" s="17">
        <v>16</v>
      </c>
      <c r="G56" s="18">
        <f>ROUND((381.972+($F56/2))/381.972,4)</f>
        <v>1.0209</v>
      </c>
      <c r="H56" s="16"/>
      <c r="I56" s="16">
        <f t="shared" si="15"/>
        <v>408.36</v>
      </c>
      <c r="J56" s="16"/>
      <c r="K56" s="16"/>
      <c r="L56" s="16"/>
      <c r="M56" s="16"/>
      <c r="N56" s="16"/>
      <c r="O56" s="16"/>
      <c r="P56" s="16"/>
      <c r="Q56" s="16"/>
      <c r="R56" s="16"/>
      <c r="S56" s="63">
        <f t="shared" si="16"/>
        <v>0.023</v>
      </c>
      <c r="T56" s="16"/>
      <c r="U56" s="16">
        <f t="shared" si="17"/>
        <v>1.17</v>
      </c>
      <c r="V56" s="16">
        <f t="shared" si="18"/>
        <v>45.37</v>
      </c>
      <c r="W56" s="16">
        <f t="shared" si="18"/>
        <v>45.37</v>
      </c>
      <c r="X56" s="16"/>
      <c r="Y56" s="16"/>
      <c r="Z56" s="16"/>
      <c r="AA56" s="16"/>
      <c r="AB56" s="16"/>
      <c r="AC56" s="16"/>
      <c r="AD56" s="16"/>
      <c r="AE56" s="16"/>
      <c r="AF56" s="78"/>
      <c r="AG56" s="79"/>
    </row>
    <row r="57" spans="1:33" s="5" customFormat="1" ht="21.75" customHeight="1">
      <c r="A57" s="12">
        <f t="shared" si="0"/>
        <v>45</v>
      </c>
      <c r="B57" s="13"/>
      <c r="C57" s="14"/>
      <c r="D57" s="15"/>
      <c r="E57" s="16"/>
      <c r="F57" s="17"/>
      <c r="G57" s="18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63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78"/>
      <c r="AG57" s="79"/>
    </row>
    <row r="58" spans="1:33" s="5" customFormat="1" ht="21.75" customHeight="1">
      <c r="A58" s="12">
        <f t="shared" si="0"/>
        <v>46</v>
      </c>
      <c r="B58" s="13">
        <v>79317.7</v>
      </c>
      <c r="C58" s="14">
        <v>79695.44</v>
      </c>
      <c r="D58" s="15" t="s">
        <v>25</v>
      </c>
      <c r="E58" s="16">
        <f>C58-B58</f>
        <v>377.74000000000524</v>
      </c>
      <c r="F58" s="17">
        <v>16</v>
      </c>
      <c r="G58" s="18">
        <f>ROUND((3819.719+($F58/2))/3819.719,4)</f>
        <v>1.0021</v>
      </c>
      <c r="H58" s="16"/>
      <c r="I58" s="16">
        <f t="shared" si="15"/>
        <v>6056.53</v>
      </c>
      <c r="J58" s="16"/>
      <c r="K58" s="16"/>
      <c r="L58" s="16"/>
      <c r="M58" s="16"/>
      <c r="N58" s="16"/>
      <c r="O58" s="16"/>
      <c r="P58" s="16"/>
      <c r="Q58" s="16"/>
      <c r="R58" s="16"/>
      <c r="S58" s="63">
        <f>ROUND(($V58/S$72),3)</f>
        <v>0.336</v>
      </c>
      <c r="T58" s="16"/>
      <c r="U58" s="16">
        <f>ROUND((($U$72*$W$72*$U$73*$U$74*$W58)/2000),2)</f>
        <v>17.41</v>
      </c>
      <c r="V58" s="16">
        <f t="shared" si="18"/>
        <v>672.95</v>
      </c>
      <c r="W58" s="16">
        <f t="shared" si="18"/>
        <v>672.95</v>
      </c>
      <c r="X58" s="16"/>
      <c r="Y58" s="16"/>
      <c r="Z58" s="16"/>
      <c r="AA58" s="16"/>
      <c r="AB58" s="16"/>
      <c r="AC58" s="16"/>
      <c r="AD58" s="16"/>
      <c r="AE58" s="16"/>
      <c r="AF58" s="78"/>
      <c r="AG58" s="79"/>
    </row>
    <row r="59" spans="1:33" s="5" customFormat="1" ht="21.75" customHeight="1">
      <c r="A59" s="12">
        <f t="shared" si="0"/>
        <v>47</v>
      </c>
      <c r="B59" s="13">
        <f t="shared" si="19"/>
        <v>79695.44</v>
      </c>
      <c r="C59" s="14">
        <v>79974.46</v>
      </c>
      <c r="D59" s="15" t="s">
        <v>25</v>
      </c>
      <c r="E59" s="16">
        <f>C59-B59</f>
        <v>279.0200000000041</v>
      </c>
      <c r="F59" s="17">
        <v>16</v>
      </c>
      <c r="G59" s="18">
        <f>ROUND((3819.719+($F59/2))/3819.719,4)</f>
        <v>1.0021</v>
      </c>
      <c r="H59" s="16"/>
      <c r="I59" s="16">
        <f t="shared" si="15"/>
        <v>4473.7</v>
      </c>
      <c r="J59" s="16"/>
      <c r="K59" s="16"/>
      <c r="L59" s="16"/>
      <c r="M59" s="16"/>
      <c r="N59" s="16"/>
      <c r="O59" s="16"/>
      <c r="P59" s="16"/>
      <c r="Q59" s="16"/>
      <c r="R59" s="16"/>
      <c r="S59" s="63">
        <f>ROUND(($V59/S$72),3)</f>
        <v>0.249</v>
      </c>
      <c r="T59" s="16"/>
      <c r="U59" s="16">
        <f>ROUND((($U$72*$W$72*$U$73*$U$74*$W59)/2000),2)</f>
        <v>12.86</v>
      </c>
      <c r="V59" s="16">
        <f t="shared" si="18"/>
        <v>497.08</v>
      </c>
      <c r="W59" s="16">
        <f t="shared" si="18"/>
        <v>497.08</v>
      </c>
      <c r="X59" s="16"/>
      <c r="Y59" s="16"/>
      <c r="Z59" s="16"/>
      <c r="AA59" s="16"/>
      <c r="AB59" s="16"/>
      <c r="AC59" s="16"/>
      <c r="AD59" s="16"/>
      <c r="AE59" s="16"/>
      <c r="AF59" s="78"/>
      <c r="AG59" s="79"/>
    </row>
    <row r="60" spans="1:33" s="5" customFormat="1" ht="21.75" customHeight="1">
      <c r="A60" s="12">
        <f t="shared" si="0"/>
        <v>48</v>
      </c>
      <c r="B60" s="13">
        <f t="shared" si="19"/>
        <v>79974.46</v>
      </c>
      <c r="C60" s="14">
        <v>80148.92</v>
      </c>
      <c r="D60" s="15" t="s">
        <v>25</v>
      </c>
      <c r="E60" s="16">
        <f>C60-B60</f>
        <v>174.45999999999185</v>
      </c>
      <c r="F60" s="104" t="s">
        <v>23</v>
      </c>
      <c r="G60" s="105"/>
      <c r="H60" s="105"/>
      <c r="I60" s="106"/>
      <c r="J60" s="16">
        <v>2330.11</v>
      </c>
      <c r="K60" s="16"/>
      <c r="L60" s="16"/>
      <c r="M60" s="16"/>
      <c r="N60" s="16"/>
      <c r="O60" s="16"/>
      <c r="P60" s="16"/>
      <c r="Q60" s="16"/>
      <c r="R60" s="16"/>
      <c r="S60" s="63">
        <f>ROUND(($V60/S$72),3)</f>
        <v>0.129</v>
      </c>
      <c r="T60" s="16"/>
      <c r="U60" s="16">
        <f>ROUND((($U$72*$W$72*$U$73*$U$74*$W60)/2000),2)</f>
        <v>6.7</v>
      </c>
      <c r="V60" s="16">
        <f t="shared" si="18"/>
        <v>258.9</v>
      </c>
      <c r="W60" s="16">
        <f t="shared" si="18"/>
        <v>258.9</v>
      </c>
      <c r="X60" s="16"/>
      <c r="Y60" s="16"/>
      <c r="Z60" s="16"/>
      <c r="AA60" s="16"/>
      <c r="AB60" s="16"/>
      <c r="AC60" s="16"/>
      <c r="AD60" s="16"/>
      <c r="AE60" s="16"/>
      <c r="AF60" s="78"/>
      <c r="AG60" s="79"/>
    </row>
    <row r="61" spans="1:33" s="25" customFormat="1" ht="21.75" customHeight="1">
      <c r="A61" s="12">
        <f t="shared" si="0"/>
        <v>49</v>
      </c>
      <c r="B61" s="13"/>
      <c r="C61" s="14"/>
      <c r="D61" s="15"/>
      <c r="E61" s="16"/>
      <c r="F61" s="17"/>
      <c r="G61" s="18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78"/>
      <c r="AG61" s="79"/>
    </row>
    <row r="62" spans="1:33" s="25" customFormat="1" ht="21.75" customHeight="1">
      <c r="A62" s="12">
        <f t="shared" si="0"/>
        <v>50</v>
      </c>
      <c r="B62" s="13"/>
      <c r="C62" s="14"/>
      <c r="D62" s="15"/>
      <c r="E62" s="16"/>
      <c r="F62" s="17"/>
      <c r="G62" s="18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78"/>
      <c r="AG62" s="79"/>
    </row>
    <row r="63" spans="1:33" s="25" customFormat="1" ht="21.75" customHeight="1">
      <c r="A63" s="12">
        <f t="shared" si="0"/>
        <v>51</v>
      </c>
      <c r="B63" s="13"/>
      <c r="C63" s="14"/>
      <c r="D63" s="15"/>
      <c r="E63" s="16"/>
      <c r="F63" s="17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78"/>
      <c r="AG63" s="79"/>
    </row>
    <row r="64" spans="1:33" s="25" customFormat="1" ht="21.75" customHeight="1">
      <c r="A64" s="12">
        <f t="shared" si="0"/>
        <v>52</v>
      </c>
      <c r="B64" s="13"/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80"/>
      <c r="AG64" s="79"/>
    </row>
    <row r="65" spans="1:33" s="25" customFormat="1" ht="21.75" customHeight="1">
      <c r="A65" s="12">
        <f t="shared" si="0"/>
        <v>53</v>
      </c>
      <c r="B65" s="13"/>
      <c r="C65" s="14"/>
      <c r="D65" s="15"/>
      <c r="E65" s="16"/>
      <c r="F65" s="17"/>
      <c r="G65" s="1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80"/>
      <c r="AG65" s="79"/>
    </row>
    <row r="66" spans="1:33" s="25" customFormat="1" ht="21.75" customHeight="1" thickBot="1">
      <c r="A66" s="12">
        <f t="shared" si="0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81"/>
      <c r="AG66" s="82"/>
    </row>
    <row r="67" spans="2:33" s="26" customFormat="1" ht="46.5" customHeight="1">
      <c r="B67" s="95" t="s">
        <v>8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7"/>
      <c r="R67" s="85" t="str">
        <f aca="true" t="shared" si="20" ref="R67:AE67">IF(SUM(R13:R66)=0," ",ROUNDUP(SUM(R13:R66),0))</f>
        <v> </v>
      </c>
      <c r="S67" s="85">
        <f t="shared" si="20"/>
        <v>5</v>
      </c>
      <c r="T67" s="85" t="str">
        <f t="shared" si="20"/>
        <v> </v>
      </c>
      <c r="U67" s="85">
        <f t="shared" si="20"/>
        <v>246</v>
      </c>
      <c r="V67" s="85">
        <f t="shared" si="20"/>
        <v>9480</v>
      </c>
      <c r="W67" s="85">
        <f t="shared" si="20"/>
        <v>9480</v>
      </c>
      <c r="X67" s="85" t="str">
        <f t="shared" si="20"/>
        <v> </v>
      </c>
      <c r="Y67" s="85" t="str">
        <f t="shared" si="20"/>
        <v> </v>
      </c>
      <c r="Z67" s="85" t="str">
        <f t="shared" si="20"/>
        <v> </v>
      </c>
      <c r="AA67" s="85" t="str">
        <f t="shared" si="20"/>
        <v> </v>
      </c>
      <c r="AB67" s="85" t="str">
        <f t="shared" si="20"/>
        <v> </v>
      </c>
      <c r="AC67" s="85" t="str">
        <f t="shared" si="20"/>
        <v> </v>
      </c>
      <c r="AD67" s="85" t="str">
        <f t="shared" si="20"/>
        <v> </v>
      </c>
      <c r="AE67" s="85" t="str">
        <f t="shared" si="20"/>
        <v> </v>
      </c>
      <c r="AF67" s="87">
        <v>13</v>
      </c>
      <c r="AG67" s="88"/>
    </row>
    <row r="68" spans="2:33" s="26" customFormat="1" ht="46.5" customHeight="1" thickBot="1"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100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3">
        <v>16</v>
      </c>
      <c r="AG68" s="84"/>
    </row>
    <row r="69" spans="1:34" ht="36" customHeight="1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T69" s="28"/>
      <c r="U69" s="28"/>
      <c r="V69" s="1"/>
      <c r="W69" s="28"/>
      <c r="X69" s="28"/>
      <c r="Y69" s="28"/>
      <c r="Z69" s="28"/>
      <c r="AA69" s="28"/>
      <c r="AB69" s="28"/>
      <c r="AF69" s="28"/>
      <c r="AG69" s="28"/>
      <c r="AH69" s="29"/>
    </row>
    <row r="70" spans="2:33" ht="12.7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T70" s="28"/>
      <c r="U70" s="28"/>
      <c r="V70" s="1"/>
      <c r="W70" s="28"/>
      <c r="X70" s="28"/>
      <c r="Y70" s="28"/>
      <c r="Z70" s="28"/>
      <c r="AA70" s="28"/>
      <c r="AB70" s="28"/>
      <c r="AF70" s="28"/>
      <c r="AG70" s="28"/>
    </row>
    <row r="71" spans="2:33" ht="12.7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T71" s="28"/>
      <c r="U71" s="28"/>
      <c r="V71" s="1"/>
      <c r="W71" s="28"/>
      <c r="X71" s="28"/>
      <c r="Y71" s="28"/>
      <c r="Z71" s="28"/>
      <c r="AA71" s="28"/>
      <c r="AB71" s="28"/>
      <c r="AF71" s="28"/>
      <c r="AG71" s="28"/>
    </row>
    <row r="72" spans="2:33" ht="15.75">
      <c r="B72" s="64" t="s">
        <v>26</v>
      </c>
      <c r="C72" s="65"/>
      <c r="D72" s="65"/>
      <c r="E72" s="65"/>
      <c r="F72" s="65"/>
      <c r="G72" s="66"/>
      <c r="H72" s="43"/>
      <c r="I72" s="43"/>
      <c r="J72" s="43"/>
      <c r="K72" s="43">
        <v>4</v>
      </c>
      <c r="L72" s="43">
        <v>6</v>
      </c>
      <c r="M72" s="43">
        <v>10</v>
      </c>
      <c r="N72" s="43">
        <v>16</v>
      </c>
      <c r="O72" s="43">
        <v>18</v>
      </c>
      <c r="P72" s="43">
        <v>20</v>
      </c>
      <c r="Q72" s="43">
        <v>22</v>
      </c>
      <c r="R72" s="45"/>
      <c r="S72" s="62">
        <v>2000</v>
      </c>
      <c r="T72" s="44"/>
      <c r="U72" s="44">
        <v>0.75</v>
      </c>
      <c r="V72" s="62"/>
      <c r="W72" s="62">
        <v>12</v>
      </c>
      <c r="X72" s="45"/>
      <c r="Y72" s="44"/>
      <c r="Z72" s="44"/>
      <c r="AA72" s="44"/>
      <c r="AB72" s="44"/>
      <c r="AC72" s="44"/>
      <c r="AD72" s="44"/>
      <c r="AF72" s="28"/>
      <c r="AG72" s="28"/>
    </row>
    <row r="73" spans="2:33" ht="15">
      <c r="B73" s="28"/>
      <c r="C73" s="28"/>
      <c r="D73" s="28"/>
      <c r="E73" s="28"/>
      <c r="F73" s="28"/>
      <c r="G73" s="28"/>
      <c r="H73" s="24"/>
      <c r="I73" s="28"/>
      <c r="J73" s="28"/>
      <c r="K73" s="28"/>
      <c r="L73" s="28"/>
      <c r="M73" s="28"/>
      <c r="N73" s="28"/>
      <c r="O73" s="28"/>
      <c r="P73" s="28"/>
      <c r="Q73" s="28"/>
      <c r="R73" s="24"/>
      <c r="T73" s="43"/>
      <c r="U73" s="43">
        <v>115</v>
      </c>
      <c r="V73" s="62"/>
      <c r="W73" s="46"/>
      <c r="X73" s="28"/>
      <c r="Y73" s="28"/>
      <c r="Z73" s="28"/>
      <c r="AA73" s="28"/>
      <c r="AB73" s="28"/>
      <c r="AF73" s="28"/>
      <c r="AG73" s="28"/>
    </row>
    <row r="74" spans="2:33" ht="15">
      <c r="B74" s="28"/>
      <c r="C74" s="30"/>
      <c r="D74" s="28"/>
      <c r="E74" s="28"/>
      <c r="F74" s="28"/>
      <c r="G74" s="28"/>
      <c r="H74" s="31"/>
      <c r="I74" s="28"/>
      <c r="J74" s="28"/>
      <c r="K74" s="120"/>
      <c r="L74" s="121"/>
      <c r="M74" s="121"/>
      <c r="N74" s="121"/>
      <c r="O74" s="121"/>
      <c r="P74" s="121"/>
      <c r="Q74" s="121"/>
      <c r="R74" s="31"/>
      <c r="S74" s="31"/>
      <c r="T74" s="31"/>
      <c r="U74" s="31">
        <v>0.05</v>
      </c>
      <c r="V74" s="44"/>
      <c r="W74" s="31"/>
      <c r="X74" s="31"/>
      <c r="Y74" s="31"/>
      <c r="Z74" s="31"/>
      <c r="AA74" s="31"/>
      <c r="AB74" s="31"/>
      <c r="AC74" s="31"/>
      <c r="AD74" s="31"/>
      <c r="AE74" s="31"/>
      <c r="AF74" s="28"/>
      <c r="AG74" s="28"/>
    </row>
  </sheetData>
  <sheetProtection/>
  <mergeCells count="57">
    <mergeCell ref="B3:C11"/>
    <mergeCell ref="F60:I60"/>
    <mergeCell ref="I3:I11"/>
    <mergeCell ref="F16:I16"/>
    <mergeCell ref="B67:Q68"/>
    <mergeCell ref="N3:N11"/>
    <mergeCell ref="O3:O11"/>
    <mergeCell ref="P3:P11"/>
    <mergeCell ref="H3:H11"/>
    <mergeCell ref="B48:I48"/>
    <mergeCell ref="F29:I29"/>
    <mergeCell ref="AC4:AC11"/>
    <mergeCell ref="AD4:AD11"/>
    <mergeCell ref="AE4:AE11"/>
    <mergeCell ref="AF6:AG50"/>
    <mergeCell ref="D3:D11"/>
    <mergeCell ref="E3:E11"/>
    <mergeCell ref="F3:F11"/>
    <mergeCell ref="G3:G11"/>
    <mergeCell ref="F25:I25"/>
    <mergeCell ref="B14:I14"/>
    <mergeCell ref="AF3:AF5"/>
    <mergeCell ref="AF51:AG66"/>
    <mergeCell ref="T67:T68"/>
    <mergeCell ref="AE67:AE68"/>
    <mergeCell ref="AF67:AG67"/>
    <mergeCell ref="AF68:AG68"/>
    <mergeCell ref="U67:U68"/>
    <mergeCell ref="AG3:AG5"/>
    <mergeCell ref="T4:T11"/>
    <mergeCell ref="AD67:AD68"/>
    <mergeCell ref="V67:V68"/>
    <mergeCell ref="W67:W68"/>
    <mergeCell ref="Z4:Z11"/>
    <mergeCell ref="AA4:AA11"/>
    <mergeCell ref="AC67:AC68"/>
    <mergeCell ref="V4:V11"/>
    <mergeCell ref="W4:W11"/>
    <mergeCell ref="X4:X11"/>
    <mergeCell ref="AB4:AB11"/>
    <mergeCell ref="J3:J11"/>
    <mergeCell ref="K3:K11"/>
    <mergeCell ref="L3:L11"/>
    <mergeCell ref="M3:M11"/>
    <mergeCell ref="Q3:Q11"/>
    <mergeCell ref="Y4:Y11"/>
    <mergeCell ref="R4:R11"/>
    <mergeCell ref="S4:S11"/>
    <mergeCell ref="U4:U11"/>
    <mergeCell ref="K74:Q74"/>
    <mergeCell ref="X67:X68"/>
    <mergeCell ref="Y67:Y68"/>
    <mergeCell ref="Z67:Z68"/>
    <mergeCell ref="AA67:AA68"/>
    <mergeCell ref="AB67:AB68"/>
    <mergeCell ref="R67:R68"/>
    <mergeCell ref="S67:S68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2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N62" sqref="N62"/>
    </sheetView>
  </sheetViews>
  <sheetFormatPr defaultColWidth="9.140625" defaultRowHeight="12.75"/>
  <cols>
    <col min="1" max="3" width="24.7109375" style="1" customWidth="1"/>
    <col min="4" max="21" width="15.7109375" style="1" customWidth="1"/>
    <col min="22" max="22" width="15.7109375" style="47" customWidth="1"/>
    <col min="23" max="31" width="15.7109375" style="1" customWidth="1"/>
    <col min="32" max="34" width="6.7109375" style="1" customWidth="1"/>
    <col min="35" max="16384" width="9.140625" style="1" customWidth="1"/>
  </cols>
  <sheetData>
    <row r="1" spans="18:27" ht="12.75">
      <c r="R1" s="49"/>
      <c r="S1" s="49"/>
      <c r="T1" s="49"/>
      <c r="U1" s="49"/>
      <c r="V1" s="50"/>
      <c r="W1" s="49"/>
      <c r="X1" s="49"/>
      <c r="Z1" s="49"/>
      <c r="AA1" s="49"/>
    </row>
    <row r="2" spans="1:34" s="4" customFormat="1" ht="36" customHeight="1" thickBot="1">
      <c r="A2" s="2"/>
      <c r="B2" s="32" t="s">
        <v>14</v>
      </c>
      <c r="C2" s="33"/>
      <c r="D2" s="34"/>
      <c r="E2" s="34"/>
      <c r="F2" s="34"/>
      <c r="G2" s="34"/>
      <c r="H2" s="51"/>
      <c r="I2" s="35"/>
      <c r="J2" s="34"/>
      <c r="K2" s="34"/>
      <c r="L2" s="34"/>
      <c r="M2" s="34"/>
      <c r="N2" s="34"/>
      <c r="O2" s="34"/>
      <c r="P2" s="34"/>
      <c r="Q2" s="35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2"/>
      <c r="AD2" s="48"/>
      <c r="AH2" s="3"/>
    </row>
    <row r="3" spans="2:34" s="5" customFormat="1" ht="21.75" customHeight="1">
      <c r="B3" s="95" t="s">
        <v>0</v>
      </c>
      <c r="C3" s="97"/>
      <c r="D3" s="117" t="s">
        <v>3</v>
      </c>
      <c r="E3" s="117" t="s">
        <v>4</v>
      </c>
      <c r="F3" s="117" t="s">
        <v>5</v>
      </c>
      <c r="G3" s="107" t="s">
        <v>12</v>
      </c>
      <c r="H3" s="107" t="s">
        <v>93</v>
      </c>
      <c r="I3" s="117" t="s">
        <v>6</v>
      </c>
      <c r="J3" s="107" t="s">
        <v>10</v>
      </c>
      <c r="K3" s="107"/>
      <c r="L3" s="107"/>
      <c r="M3" s="107"/>
      <c r="N3" s="107"/>
      <c r="O3" s="107" t="s">
        <v>15</v>
      </c>
      <c r="P3" s="107" t="s">
        <v>16</v>
      </c>
      <c r="Q3" s="107" t="s">
        <v>17</v>
      </c>
      <c r="R3" s="36">
        <v>204</v>
      </c>
      <c r="S3" s="37">
        <v>204</v>
      </c>
      <c r="T3" s="36"/>
      <c r="U3" s="37">
        <v>206</v>
      </c>
      <c r="V3" s="37">
        <v>206</v>
      </c>
      <c r="W3" s="36">
        <v>206</v>
      </c>
      <c r="X3" s="37"/>
      <c r="Y3" s="36"/>
      <c r="Z3" s="37"/>
      <c r="AA3" s="36"/>
      <c r="AB3" s="37"/>
      <c r="AC3" s="36"/>
      <c r="AD3" s="37"/>
      <c r="AE3" s="37"/>
      <c r="AF3" s="101" t="s">
        <v>11</v>
      </c>
      <c r="AG3" s="101" t="s">
        <v>13</v>
      </c>
      <c r="AH3" s="6"/>
    </row>
    <row r="4" spans="2:34" s="5" customFormat="1" ht="27.75" customHeight="1">
      <c r="B4" s="113"/>
      <c r="C4" s="114"/>
      <c r="D4" s="118"/>
      <c r="E4" s="118"/>
      <c r="F4" s="118"/>
      <c r="G4" s="90"/>
      <c r="H4" s="90"/>
      <c r="I4" s="118"/>
      <c r="J4" s="122"/>
      <c r="K4" s="122"/>
      <c r="L4" s="90"/>
      <c r="M4" s="90"/>
      <c r="N4" s="90"/>
      <c r="O4" s="90"/>
      <c r="P4" s="90"/>
      <c r="Q4" s="90"/>
      <c r="R4" s="92" t="s">
        <v>82</v>
      </c>
      <c r="S4" s="89" t="s">
        <v>83</v>
      </c>
      <c r="T4" s="92"/>
      <c r="U4" s="92" t="s">
        <v>92</v>
      </c>
      <c r="V4" s="89" t="s">
        <v>80</v>
      </c>
      <c r="W4" s="89" t="s">
        <v>81</v>
      </c>
      <c r="X4" s="89"/>
      <c r="Y4" s="92"/>
      <c r="Z4" s="89"/>
      <c r="AA4" s="92"/>
      <c r="AB4" s="89"/>
      <c r="AC4" s="92"/>
      <c r="AD4" s="89"/>
      <c r="AE4" s="89"/>
      <c r="AF4" s="108"/>
      <c r="AG4" s="102"/>
      <c r="AH4" s="7"/>
    </row>
    <row r="5" spans="2:33" s="5" customFormat="1" ht="27.75" customHeight="1" thickBot="1">
      <c r="B5" s="113"/>
      <c r="C5" s="114"/>
      <c r="D5" s="118"/>
      <c r="E5" s="118"/>
      <c r="F5" s="118"/>
      <c r="G5" s="90"/>
      <c r="H5" s="90"/>
      <c r="I5" s="118"/>
      <c r="J5" s="122"/>
      <c r="K5" s="122"/>
      <c r="L5" s="90"/>
      <c r="M5" s="90"/>
      <c r="N5" s="90"/>
      <c r="O5" s="90"/>
      <c r="P5" s="90"/>
      <c r="Q5" s="90"/>
      <c r="R5" s="93"/>
      <c r="S5" s="90"/>
      <c r="T5" s="93"/>
      <c r="U5" s="93"/>
      <c r="V5" s="90"/>
      <c r="W5" s="90"/>
      <c r="X5" s="90"/>
      <c r="Y5" s="93"/>
      <c r="Z5" s="90"/>
      <c r="AA5" s="93"/>
      <c r="AB5" s="90"/>
      <c r="AC5" s="93"/>
      <c r="AD5" s="90"/>
      <c r="AE5" s="90"/>
      <c r="AF5" s="109"/>
      <c r="AG5" s="102"/>
    </row>
    <row r="6" spans="2:33" s="5" customFormat="1" ht="27.75" customHeight="1">
      <c r="B6" s="113"/>
      <c r="C6" s="114"/>
      <c r="D6" s="118"/>
      <c r="E6" s="118"/>
      <c r="F6" s="118"/>
      <c r="G6" s="90"/>
      <c r="H6" s="90"/>
      <c r="I6" s="118"/>
      <c r="J6" s="122"/>
      <c r="K6" s="122"/>
      <c r="L6" s="90"/>
      <c r="M6" s="90"/>
      <c r="N6" s="90"/>
      <c r="O6" s="90"/>
      <c r="P6" s="90"/>
      <c r="Q6" s="90"/>
      <c r="R6" s="93"/>
      <c r="S6" s="90"/>
      <c r="T6" s="93"/>
      <c r="U6" s="93"/>
      <c r="V6" s="90"/>
      <c r="W6" s="90"/>
      <c r="X6" s="90"/>
      <c r="Y6" s="93"/>
      <c r="Z6" s="90"/>
      <c r="AA6" s="93"/>
      <c r="AB6" s="90"/>
      <c r="AC6" s="93"/>
      <c r="AD6" s="90"/>
      <c r="AE6" s="90"/>
      <c r="AF6" s="76" t="s">
        <v>79</v>
      </c>
      <c r="AG6" s="77"/>
    </row>
    <row r="7" spans="2:33" s="5" customFormat="1" ht="27.75" customHeight="1">
      <c r="B7" s="113"/>
      <c r="C7" s="114"/>
      <c r="D7" s="118"/>
      <c r="E7" s="118"/>
      <c r="F7" s="118"/>
      <c r="G7" s="90"/>
      <c r="H7" s="90"/>
      <c r="I7" s="118"/>
      <c r="J7" s="122"/>
      <c r="K7" s="122"/>
      <c r="L7" s="90"/>
      <c r="M7" s="90"/>
      <c r="N7" s="90"/>
      <c r="O7" s="90"/>
      <c r="P7" s="90"/>
      <c r="Q7" s="90"/>
      <c r="R7" s="93"/>
      <c r="S7" s="90"/>
      <c r="T7" s="93"/>
      <c r="U7" s="93"/>
      <c r="V7" s="90"/>
      <c r="W7" s="90"/>
      <c r="X7" s="90"/>
      <c r="Y7" s="93"/>
      <c r="Z7" s="90"/>
      <c r="AA7" s="93"/>
      <c r="AB7" s="90"/>
      <c r="AC7" s="93"/>
      <c r="AD7" s="90"/>
      <c r="AE7" s="90"/>
      <c r="AF7" s="78"/>
      <c r="AG7" s="79"/>
    </row>
    <row r="8" spans="2:33" s="5" customFormat="1" ht="27.75" customHeight="1">
      <c r="B8" s="113"/>
      <c r="C8" s="114"/>
      <c r="D8" s="118"/>
      <c r="E8" s="118"/>
      <c r="F8" s="118"/>
      <c r="G8" s="90"/>
      <c r="H8" s="90"/>
      <c r="I8" s="118"/>
      <c r="J8" s="122"/>
      <c r="K8" s="122"/>
      <c r="L8" s="90"/>
      <c r="M8" s="90"/>
      <c r="N8" s="90"/>
      <c r="O8" s="90"/>
      <c r="P8" s="90"/>
      <c r="Q8" s="90"/>
      <c r="R8" s="93"/>
      <c r="S8" s="90"/>
      <c r="T8" s="93"/>
      <c r="U8" s="93"/>
      <c r="V8" s="90"/>
      <c r="W8" s="90"/>
      <c r="X8" s="90"/>
      <c r="Y8" s="93"/>
      <c r="Z8" s="90"/>
      <c r="AA8" s="93"/>
      <c r="AB8" s="90"/>
      <c r="AC8" s="93"/>
      <c r="AD8" s="90"/>
      <c r="AE8" s="90"/>
      <c r="AF8" s="78"/>
      <c r="AG8" s="79"/>
    </row>
    <row r="9" spans="2:33" s="5" customFormat="1" ht="27.75" customHeight="1">
      <c r="B9" s="113"/>
      <c r="C9" s="114"/>
      <c r="D9" s="118"/>
      <c r="E9" s="118"/>
      <c r="F9" s="118"/>
      <c r="G9" s="90"/>
      <c r="H9" s="90"/>
      <c r="I9" s="118"/>
      <c r="J9" s="122"/>
      <c r="K9" s="122"/>
      <c r="L9" s="90"/>
      <c r="M9" s="90"/>
      <c r="N9" s="90"/>
      <c r="O9" s="90"/>
      <c r="P9" s="90"/>
      <c r="Q9" s="90"/>
      <c r="R9" s="93"/>
      <c r="S9" s="90"/>
      <c r="T9" s="93"/>
      <c r="U9" s="93"/>
      <c r="V9" s="90"/>
      <c r="W9" s="90"/>
      <c r="X9" s="90"/>
      <c r="Y9" s="93"/>
      <c r="Z9" s="90"/>
      <c r="AA9" s="93"/>
      <c r="AB9" s="90"/>
      <c r="AC9" s="93"/>
      <c r="AD9" s="90"/>
      <c r="AE9" s="90"/>
      <c r="AF9" s="78"/>
      <c r="AG9" s="79"/>
    </row>
    <row r="10" spans="2:33" s="5" customFormat="1" ht="27.75" customHeight="1">
      <c r="B10" s="113"/>
      <c r="C10" s="114"/>
      <c r="D10" s="118"/>
      <c r="E10" s="118"/>
      <c r="F10" s="118"/>
      <c r="G10" s="90"/>
      <c r="H10" s="90"/>
      <c r="I10" s="118"/>
      <c r="J10" s="122"/>
      <c r="K10" s="122"/>
      <c r="L10" s="90"/>
      <c r="M10" s="90"/>
      <c r="N10" s="90"/>
      <c r="O10" s="90"/>
      <c r="P10" s="90"/>
      <c r="Q10" s="90"/>
      <c r="R10" s="93"/>
      <c r="S10" s="90"/>
      <c r="T10" s="93"/>
      <c r="U10" s="93"/>
      <c r="V10" s="90"/>
      <c r="W10" s="90"/>
      <c r="X10" s="90"/>
      <c r="Y10" s="93"/>
      <c r="Z10" s="90"/>
      <c r="AA10" s="93"/>
      <c r="AB10" s="90"/>
      <c r="AC10" s="93"/>
      <c r="AD10" s="90"/>
      <c r="AE10" s="90"/>
      <c r="AF10" s="78"/>
      <c r="AG10" s="79"/>
    </row>
    <row r="11" spans="2:33" s="8" customFormat="1" ht="27.75" customHeight="1">
      <c r="B11" s="115"/>
      <c r="C11" s="116"/>
      <c r="D11" s="119"/>
      <c r="E11" s="119"/>
      <c r="F11" s="119"/>
      <c r="G11" s="91"/>
      <c r="H11" s="91"/>
      <c r="I11" s="119"/>
      <c r="J11" s="123"/>
      <c r="K11" s="123"/>
      <c r="L11" s="91"/>
      <c r="M11" s="91"/>
      <c r="N11" s="91"/>
      <c r="O11" s="91"/>
      <c r="P11" s="91"/>
      <c r="Q11" s="91"/>
      <c r="R11" s="94"/>
      <c r="S11" s="91"/>
      <c r="T11" s="94"/>
      <c r="U11" s="94"/>
      <c r="V11" s="91"/>
      <c r="W11" s="91"/>
      <c r="X11" s="91"/>
      <c r="Y11" s="94"/>
      <c r="Z11" s="91"/>
      <c r="AA11" s="94"/>
      <c r="AB11" s="91"/>
      <c r="AC11" s="94"/>
      <c r="AD11" s="91"/>
      <c r="AE11" s="91"/>
      <c r="AF11" s="78"/>
      <c r="AG11" s="79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38"/>
      <c r="I12" s="11" t="s">
        <v>9</v>
      </c>
      <c r="J12" s="11" t="s">
        <v>9</v>
      </c>
      <c r="K12" s="11"/>
      <c r="L12" s="11"/>
      <c r="M12" s="11"/>
      <c r="N12" s="11"/>
      <c r="O12" s="11" t="s">
        <v>9</v>
      </c>
      <c r="P12" s="11" t="s">
        <v>9</v>
      </c>
      <c r="Q12" s="11" t="s">
        <v>9</v>
      </c>
      <c r="R12" s="38" t="s">
        <v>85</v>
      </c>
      <c r="S12" s="11" t="s">
        <v>84</v>
      </c>
      <c r="T12" s="38"/>
      <c r="U12" s="11" t="s">
        <v>86</v>
      </c>
      <c r="V12" s="11" t="s">
        <v>85</v>
      </c>
      <c r="W12" s="38" t="s">
        <v>85</v>
      </c>
      <c r="X12" s="11"/>
      <c r="Y12" s="38"/>
      <c r="Z12" s="11"/>
      <c r="AA12" s="38"/>
      <c r="AB12" s="11"/>
      <c r="AC12" s="38"/>
      <c r="AD12" s="11"/>
      <c r="AE12" s="11"/>
      <c r="AF12" s="78"/>
      <c r="AG12" s="79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78"/>
      <c r="AG13" s="79"/>
    </row>
    <row r="14" spans="1:33" s="5" customFormat="1" ht="21.75" customHeight="1">
      <c r="A14" s="12">
        <f>A13+1</f>
        <v>2</v>
      </c>
      <c r="B14" s="110" t="s">
        <v>76</v>
      </c>
      <c r="C14" s="111"/>
      <c r="D14" s="111"/>
      <c r="E14" s="111"/>
      <c r="F14" s="111"/>
      <c r="G14" s="111"/>
      <c r="H14" s="111"/>
      <c r="I14" s="1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78"/>
      <c r="AG14" s="79"/>
    </row>
    <row r="15" spans="1:33" s="5" customFormat="1" ht="21.75" customHeight="1">
      <c r="A15" s="12">
        <f>A14+1</f>
        <v>3</v>
      </c>
      <c r="B15" s="19" t="s">
        <v>27</v>
      </c>
      <c r="C15" s="60"/>
      <c r="D15" s="15"/>
      <c r="E15" s="16"/>
      <c r="F15" s="23"/>
      <c r="G15" s="18"/>
      <c r="H15" s="16"/>
      <c r="I15" s="16"/>
      <c r="J15" s="16"/>
      <c r="K15" s="16"/>
      <c r="L15" s="15"/>
      <c r="M15" s="15"/>
      <c r="N15" s="15"/>
      <c r="O15" s="15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78"/>
      <c r="AG15" s="79"/>
    </row>
    <row r="16" spans="1:33" s="5" customFormat="1" ht="21.75" customHeight="1">
      <c r="A16" s="12">
        <f>A15+1</f>
        <v>4</v>
      </c>
      <c r="B16" s="13">
        <v>78500.84</v>
      </c>
      <c r="C16" s="14">
        <v>78525</v>
      </c>
      <c r="D16" s="15" t="s">
        <v>25</v>
      </c>
      <c r="E16" s="16">
        <f>C16-B16</f>
        <v>24.160000000003492</v>
      </c>
      <c r="F16" s="104" t="s">
        <v>23</v>
      </c>
      <c r="G16" s="105"/>
      <c r="H16" s="105"/>
      <c r="I16" s="106"/>
      <c r="J16" s="16">
        <v>142.13</v>
      </c>
      <c r="K16" s="16"/>
      <c r="L16" s="16"/>
      <c r="M16" s="16"/>
      <c r="N16" s="16"/>
      <c r="O16" s="16">
        <f>IF($H16=0,ROUND($E16*(O$72/12),2),ROUND($E16*(O$72/12)*$H16,2))</f>
        <v>36.24</v>
      </c>
      <c r="P16" s="16"/>
      <c r="Q16" s="16"/>
      <c r="R16" s="16"/>
      <c r="S16" s="63">
        <f>ROUND(($V16/S$72),3)</f>
        <v>0.01</v>
      </c>
      <c r="T16" s="16"/>
      <c r="U16" s="16">
        <f>ROUND((($U$72*$W$72*$U$73*$U$74*$W16)/2000),2)</f>
        <v>0.51</v>
      </c>
      <c r="V16" s="16">
        <f aca="true" t="shared" si="0" ref="V16:W19">ROUND((($I16+$J16+$O16+$P16+$Q16)/9),2)</f>
        <v>19.82</v>
      </c>
      <c r="W16" s="16">
        <f t="shared" si="0"/>
        <v>19.82</v>
      </c>
      <c r="X16" s="16"/>
      <c r="Y16" s="16"/>
      <c r="Z16" s="16"/>
      <c r="AA16" s="16"/>
      <c r="AB16" s="16"/>
      <c r="AC16" s="16"/>
      <c r="AD16" s="16"/>
      <c r="AE16" s="16"/>
      <c r="AF16" s="78"/>
      <c r="AG16" s="79"/>
    </row>
    <row r="17" spans="1:33" s="5" customFormat="1" ht="21.75" customHeight="1">
      <c r="A17" s="12">
        <f aca="true" t="shared" si="1" ref="A17:A66">A16+1</f>
        <v>5</v>
      </c>
      <c r="B17" s="13">
        <f>C16</f>
        <v>78525</v>
      </c>
      <c r="C17" s="14">
        <v>78732.53</v>
      </c>
      <c r="D17" s="15" t="s">
        <v>25</v>
      </c>
      <c r="E17" s="16">
        <f>C17-B17</f>
        <v>207.52999999999884</v>
      </c>
      <c r="F17" s="17">
        <v>6</v>
      </c>
      <c r="G17" s="18">
        <f>ROUND((((381.972+16+($F17/2))/381.972)+1)/2,4)</f>
        <v>1.0249</v>
      </c>
      <c r="H17" s="18">
        <f>ROUND((((381.972+16+($F17))/381.972)+1)/2,4)</f>
        <v>1.0288</v>
      </c>
      <c r="I17" s="16">
        <f>IF(G17=0,ROUND($E17*$F17,2),ROUND($E17*$F17*$G17,2))</f>
        <v>1276.18</v>
      </c>
      <c r="J17" s="16"/>
      <c r="K17" s="16"/>
      <c r="L17" s="16"/>
      <c r="M17" s="16"/>
      <c r="N17" s="16"/>
      <c r="O17" s="16">
        <f>IF($H17=0,ROUND($E17*(O$72/12),2),ROUND($E17*(O$72/12)*$H17,2))</f>
        <v>320.26</v>
      </c>
      <c r="P17" s="16"/>
      <c r="Q17" s="16"/>
      <c r="R17" s="16"/>
      <c r="S17" s="63">
        <f>ROUND(($V17/S$72),3)</f>
        <v>0.089</v>
      </c>
      <c r="T17" s="16"/>
      <c r="U17" s="16">
        <f>ROUND((($U$72*$W$72*$U$73*$U$74*$W17)/2000),2)</f>
        <v>4.59</v>
      </c>
      <c r="V17" s="16">
        <f t="shared" si="0"/>
        <v>177.38</v>
      </c>
      <c r="W17" s="16">
        <f t="shared" si="0"/>
        <v>177.38</v>
      </c>
      <c r="X17" s="16"/>
      <c r="Y17" s="16"/>
      <c r="Z17" s="16"/>
      <c r="AA17" s="16"/>
      <c r="AB17" s="16"/>
      <c r="AC17" s="16"/>
      <c r="AD17" s="16"/>
      <c r="AE17" s="16"/>
      <c r="AF17" s="78"/>
      <c r="AG17" s="79"/>
    </row>
    <row r="18" spans="1:33" s="5" customFormat="1" ht="21.75" customHeight="1">
      <c r="A18" s="12">
        <f t="shared" si="1"/>
        <v>6</v>
      </c>
      <c r="B18" s="13">
        <f>C17</f>
        <v>78732.53</v>
      </c>
      <c r="C18" s="14">
        <v>78882.95</v>
      </c>
      <c r="D18" s="15" t="s">
        <v>25</v>
      </c>
      <c r="E18" s="16">
        <f>C18-B18</f>
        <v>150.41999999999825</v>
      </c>
      <c r="F18" s="17">
        <v>6</v>
      </c>
      <c r="G18" s="18">
        <f>ROUND((381.972+16+($F18/2))/381.972,4)</f>
        <v>1.0497</v>
      </c>
      <c r="H18" s="18">
        <f>ROUND((381.972+16+($F18))/381.972,4)</f>
        <v>1.0576</v>
      </c>
      <c r="I18" s="16">
        <f>IF(G18=0,ROUND($E18*$F18,2),ROUND($E18*$F18*$G18,2))</f>
        <v>947.38</v>
      </c>
      <c r="J18" s="16"/>
      <c r="K18" s="16"/>
      <c r="L18" s="16"/>
      <c r="M18" s="16"/>
      <c r="N18" s="16"/>
      <c r="O18" s="16">
        <f>IF($H18=0,ROUND($E18*(O$72/12),2),ROUND($E18*(O$72/12)*$H18,2))</f>
        <v>238.63</v>
      </c>
      <c r="P18" s="16"/>
      <c r="Q18" s="16"/>
      <c r="R18" s="16"/>
      <c r="S18" s="63">
        <f>ROUND(($V18/S$72),3)</f>
        <v>0.066</v>
      </c>
      <c r="T18" s="16"/>
      <c r="U18" s="16">
        <f>ROUND((($U$72*$W$72*$U$73*$U$74*$W18)/2000),2)</f>
        <v>3.41</v>
      </c>
      <c r="V18" s="16">
        <f t="shared" si="0"/>
        <v>131.78</v>
      </c>
      <c r="W18" s="16">
        <f t="shared" si="0"/>
        <v>131.78</v>
      </c>
      <c r="X18" s="16"/>
      <c r="Y18" s="16"/>
      <c r="Z18" s="16"/>
      <c r="AA18" s="16"/>
      <c r="AB18" s="16"/>
      <c r="AC18" s="16"/>
      <c r="AD18" s="16"/>
      <c r="AE18" s="16"/>
      <c r="AF18" s="78"/>
      <c r="AG18" s="79"/>
    </row>
    <row r="19" spans="1:33" s="5" customFormat="1" ht="21.75" customHeight="1">
      <c r="A19" s="12">
        <f t="shared" si="1"/>
        <v>7</v>
      </c>
      <c r="B19" s="13">
        <f>C18</f>
        <v>78882.95</v>
      </c>
      <c r="C19" s="14">
        <v>78907.95</v>
      </c>
      <c r="D19" s="15" t="s">
        <v>25</v>
      </c>
      <c r="E19" s="16">
        <f>C19-B19</f>
        <v>25</v>
      </c>
      <c r="F19" s="17">
        <v>6</v>
      </c>
      <c r="G19" s="18">
        <f>ROUND((381.972+16+($F19/2))/381.972,4)</f>
        <v>1.0497</v>
      </c>
      <c r="H19" s="18">
        <f>ROUND((381.972+16+($F19))/381.972,4)</f>
        <v>1.0576</v>
      </c>
      <c r="I19" s="16">
        <f>IF(G19=0,ROUND($E19*$F19,2),ROUND($E19*$F19*$G19,2))</f>
        <v>157.46</v>
      </c>
      <c r="J19" s="16"/>
      <c r="K19" s="16"/>
      <c r="L19" s="16"/>
      <c r="M19" s="16"/>
      <c r="N19" s="16"/>
      <c r="O19" s="16">
        <f>IF($H19=0,ROUND($E19*(O$72/12),2),ROUND($E19*(O$72/12)*$H19,2))</f>
        <v>39.66</v>
      </c>
      <c r="P19" s="16"/>
      <c r="Q19" s="16"/>
      <c r="R19" s="16"/>
      <c r="S19" s="63">
        <f>ROUND(($V19/S$72),3)</f>
        <v>0.011</v>
      </c>
      <c r="T19" s="16"/>
      <c r="U19" s="16">
        <f>ROUND((($U$72*$W$72*$U$73*$U$74*$W19)/2000),2)</f>
        <v>0.57</v>
      </c>
      <c r="V19" s="16">
        <f t="shared" si="0"/>
        <v>21.9</v>
      </c>
      <c r="W19" s="16">
        <f t="shared" si="0"/>
        <v>21.9</v>
      </c>
      <c r="X19" s="16"/>
      <c r="Y19" s="16"/>
      <c r="Z19" s="16"/>
      <c r="AA19" s="16"/>
      <c r="AB19" s="16"/>
      <c r="AC19" s="16"/>
      <c r="AD19" s="16"/>
      <c r="AE19" s="16"/>
      <c r="AF19" s="78"/>
      <c r="AG19" s="79"/>
    </row>
    <row r="20" spans="1:33" s="5" customFormat="1" ht="21.75" customHeight="1">
      <c r="A20" s="12">
        <f t="shared" si="1"/>
        <v>8</v>
      </c>
      <c r="B20" s="13"/>
      <c r="C20" s="14"/>
      <c r="D20" s="15"/>
      <c r="E20" s="16"/>
      <c r="F20" s="17"/>
      <c r="G20" s="1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63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78"/>
      <c r="AG20" s="79"/>
    </row>
    <row r="21" spans="1:33" s="5" customFormat="1" ht="21.75" customHeight="1">
      <c r="A21" s="12">
        <f t="shared" si="1"/>
        <v>9</v>
      </c>
      <c r="B21" s="13">
        <v>79317.7</v>
      </c>
      <c r="C21" s="14">
        <v>79351.56</v>
      </c>
      <c r="D21" s="15" t="s">
        <v>25</v>
      </c>
      <c r="E21" s="16">
        <f>C21-B21</f>
        <v>33.86000000000058</v>
      </c>
      <c r="F21" s="17">
        <v>6</v>
      </c>
      <c r="G21" s="18">
        <f>ROUND((3819.719+16+($F21/2))/3819.719,4)</f>
        <v>1.005</v>
      </c>
      <c r="H21" s="18">
        <f>ROUND((3819.719+16+($F21))/3819.719,4)</f>
        <v>1.0058</v>
      </c>
      <c r="I21" s="16">
        <f>IF(G21=0,ROUND($E21*$F21,2),ROUND($E21*$F21*$G21,2))</f>
        <v>204.18</v>
      </c>
      <c r="J21" s="16"/>
      <c r="K21" s="16"/>
      <c r="L21" s="16"/>
      <c r="M21" s="16"/>
      <c r="N21" s="16"/>
      <c r="O21" s="16"/>
      <c r="P21" s="16">
        <f>IF($H21=0,ROUND($E21*(P$72/12),2),ROUND($E21*(P$72/12)*$H21,2))</f>
        <v>56.76</v>
      </c>
      <c r="Q21" s="16">
        <f>IF($H21=0,ROUND($E21*(Q$72/12),2),ROUND($E21*(Q$72/12)*$H21,2))</f>
        <v>62.44</v>
      </c>
      <c r="R21" s="16"/>
      <c r="S21" s="63">
        <f>ROUND(($V21/S$72),3)</f>
        <v>0.018</v>
      </c>
      <c r="T21" s="16"/>
      <c r="U21" s="16">
        <f>ROUND((($U$72*$W$72*$U$73*$U$74*$W21)/2000),2)</f>
        <v>0.93</v>
      </c>
      <c r="V21" s="16">
        <f aca="true" t="shared" si="2" ref="V21:W24">ROUND((($I21+$J21+$O21+$P21+$Q21)/9),2)</f>
        <v>35.93</v>
      </c>
      <c r="W21" s="16">
        <f t="shared" si="2"/>
        <v>35.93</v>
      </c>
      <c r="X21" s="16"/>
      <c r="Y21" s="16"/>
      <c r="Z21" s="16"/>
      <c r="AA21" s="16"/>
      <c r="AB21" s="16"/>
      <c r="AC21" s="16"/>
      <c r="AD21" s="16"/>
      <c r="AE21" s="16"/>
      <c r="AF21" s="78"/>
      <c r="AG21" s="79"/>
    </row>
    <row r="22" spans="1:33" s="5" customFormat="1" ht="21.75" customHeight="1">
      <c r="A22" s="12">
        <f t="shared" si="1"/>
        <v>10</v>
      </c>
      <c r="B22" s="13">
        <f>C21</f>
        <v>79351.56</v>
      </c>
      <c r="C22" s="14">
        <v>79369.6</v>
      </c>
      <c r="D22" s="15" t="s">
        <v>25</v>
      </c>
      <c r="E22" s="16">
        <f>C22-B22</f>
        <v>18.04000000000815</v>
      </c>
      <c r="F22" s="17">
        <v>6</v>
      </c>
      <c r="G22" s="18">
        <f>ROUND((3819.719+16+($F22/2))/3819.719,4)</f>
        <v>1.005</v>
      </c>
      <c r="H22" s="18">
        <f>ROUND((3819.719+16+($F22))/3819.719,4)</f>
        <v>1.0058</v>
      </c>
      <c r="I22" s="16">
        <f>IF(G22=0,ROUND($E22*$F22,2),ROUND($E22*$F22*$G22,2))</f>
        <v>108.78</v>
      </c>
      <c r="J22" s="16"/>
      <c r="K22" s="16"/>
      <c r="L22" s="16"/>
      <c r="M22" s="16"/>
      <c r="N22" s="16"/>
      <c r="O22" s="16">
        <f>IF($H22=0,ROUND($E22*(O$72/12),2),ROUND($E22*(O$72/12)*$H22,2))</f>
        <v>27.22</v>
      </c>
      <c r="P22" s="16"/>
      <c r="Q22" s="16"/>
      <c r="R22" s="16"/>
      <c r="S22" s="63">
        <f>ROUND(($V22/S$72),3)</f>
        <v>0.008</v>
      </c>
      <c r="T22" s="16"/>
      <c r="U22" s="16">
        <f>ROUND((($U$72*$W$72*$U$73*$U$74*$W22)/2000),2)</f>
        <v>0.39</v>
      </c>
      <c r="V22" s="16">
        <f t="shared" si="2"/>
        <v>15.11</v>
      </c>
      <c r="W22" s="16">
        <f t="shared" si="2"/>
        <v>15.11</v>
      </c>
      <c r="X22" s="16"/>
      <c r="Y22" s="16"/>
      <c r="Z22" s="16"/>
      <c r="AA22" s="16"/>
      <c r="AB22" s="16"/>
      <c r="AC22" s="16"/>
      <c r="AD22" s="16"/>
      <c r="AE22" s="16"/>
      <c r="AF22" s="78"/>
      <c r="AG22" s="79"/>
    </row>
    <row r="23" spans="1:33" s="5" customFormat="1" ht="21.75" customHeight="1">
      <c r="A23" s="12">
        <f t="shared" si="1"/>
        <v>11</v>
      </c>
      <c r="B23" s="13">
        <f>C22</f>
        <v>79369.6</v>
      </c>
      <c r="C23" s="14">
        <v>79675</v>
      </c>
      <c r="D23" s="15" t="s">
        <v>25</v>
      </c>
      <c r="E23" s="16">
        <f>C23-B23</f>
        <v>305.3999999999942</v>
      </c>
      <c r="F23" s="17">
        <v>6</v>
      </c>
      <c r="G23" s="18">
        <f>ROUND((3819.719+16+($F23/2))/3819.719,4)</f>
        <v>1.005</v>
      </c>
      <c r="H23" s="18">
        <f>ROUND((3819.719+16+($F23))/3819.719,4)</f>
        <v>1.0058</v>
      </c>
      <c r="I23" s="16">
        <f>IF(G23=0,ROUND($E23*$F23,2),ROUND($E23*$F23*$G23,2))</f>
        <v>1841.56</v>
      </c>
      <c r="J23" s="16"/>
      <c r="K23" s="16"/>
      <c r="L23" s="16"/>
      <c r="M23" s="16"/>
      <c r="N23" s="16"/>
      <c r="O23" s="16">
        <f>IF($H23=0,ROUND($E23*(O$72/12),2),ROUND($E23*(O$72/12)*$H23,2))</f>
        <v>460.76</v>
      </c>
      <c r="P23" s="16"/>
      <c r="Q23" s="16"/>
      <c r="R23" s="16"/>
      <c r="S23" s="63">
        <f>ROUND(($V23/S$72),3)</f>
        <v>0.128</v>
      </c>
      <c r="T23" s="16"/>
      <c r="U23" s="16">
        <f>ROUND((($U$72*$W$72*$U$73*$U$74*$W23)/2000),2)</f>
        <v>6.62</v>
      </c>
      <c r="V23" s="16">
        <f t="shared" si="2"/>
        <v>255.81</v>
      </c>
      <c r="W23" s="16">
        <f t="shared" si="2"/>
        <v>255.81</v>
      </c>
      <c r="X23" s="16"/>
      <c r="Y23" s="16"/>
      <c r="Z23" s="16"/>
      <c r="AA23" s="16"/>
      <c r="AB23" s="16"/>
      <c r="AC23" s="16"/>
      <c r="AD23" s="16"/>
      <c r="AE23" s="16"/>
      <c r="AF23" s="78"/>
      <c r="AG23" s="79"/>
    </row>
    <row r="24" spans="1:33" s="5" customFormat="1" ht="21.75" customHeight="1">
      <c r="A24" s="12">
        <f t="shared" si="1"/>
        <v>12</v>
      </c>
      <c r="B24" s="13">
        <f>C23</f>
        <v>79675</v>
      </c>
      <c r="C24" s="14">
        <v>79696.15</v>
      </c>
      <c r="D24" s="15" t="s">
        <v>25</v>
      </c>
      <c r="E24" s="16">
        <f>C24-B24</f>
        <v>21.14999999999418</v>
      </c>
      <c r="F24" s="104" t="s">
        <v>23</v>
      </c>
      <c r="G24" s="105"/>
      <c r="H24" s="105"/>
      <c r="I24" s="106"/>
      <c r="J24" s="16">
        <v>125.38</v>
      </c>
      <c r="K24" s="16"/>
      <c r="L24" s="16"/>
      <c r="M24" s="16"/>
      <c r="N24" s="16"/>
      <c r="O24" s="16">
        <f>IF($H24=0,ROUND($E24*(O$72/12),2),ROUND($E24*(O$72/12)*$H24,2))</f>
        <v>31.72</v>
      </c>
      <c r="P24" s="16"/>
      <c r="Q24" s="16"/>
      <c r="R24" s="16"/>
      <c r="S24" s="63">
        <f>ROUND(($V24/S$72),3)</f>
        <v>0.009</v>
      </c>
      <c r="T24" s="16"/>
      <c r="U24" s="16">
        <f>ROUND((($U$72*$W$72*$U$73*$U$74*$W24)/2000),2)</f>
        <v>0.45</v>
      </c>
      <c r="V24" s="16">
        <f t="shared" si="2"/>
        <v>17.46</v>
      </c>
      <c r="W24" s="16">
        <f t="shared" si="2"/>
        <v>17.46</v>
      </c>
      <c r="X24" s="16"/>
      <c r="Y24" s="16"/>
      <c r="Z24" s="16"/>
      <c r="AA24" s="16"/>
      <c r="AB24" s="16"/>
      <c r="AC24" s="16"/>
      <c r="AD24" s="16"/>
      <c r="AE24" s="16"/>
      <c r="AF24" s="78"/>
      <c r="AG24" s="79"/>
    </row>
    <row r="25" spans="1:33" s="5" customFormat="1" ht="21.75" customHeight="1">
      <c r="A25" s="12">
        <f t="shared" si="1"/>
        <v>13</v>
      </c>
      <c r="B25" s="13"/>
      <c r="C25" s="14"/>
      <c r="D25" s="15"/>
      <c r="E25" s="16"/>
      <c r="F25" s="17"/>
      <c r="G25" s="1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63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78"/>
      <c r="AG25" s="79"/>
    </row>
    <row r="26" spans="1:33" s="5" customFormat="1" ht="21.75" customHeight="1">
      <c r="A26" s="12">
        <f t="shared" si="1"/>
        <v>14</v>
      </c>
      <c r="B26" s="14">
        <v>78145.3</v>
      </c>
      <c r="C26" s="39">
        <v>78293.84</v>
      </c>
      <c r="D26" s="15" t="s">
        <v>20</v>
      </c>
      <c r="E26" s="16">
        <f aca="true" t="shared" si="3" ref="E26:E31">C26-B26</f>
        <v>148.5399999999936</v>
      </c>
      <c r="F26" s="16">
        <v>4</v>
      </c>
      <c r="G26" s="18">
        <f>ROUND((747.92+($F26/2))/747.92,4)</f>
        <v>1.0027</v>
      </c>
      <c r="H26" s="18">
        <f>ROUND((747.92+($F26))/747.92,4)</f>
        <v>1.0053</v>
      </c>
      <c r="I26" s="16">
        <f aca="true" t="shared" si="4" ref="I26:I31">IF($G26=0,ROUND($E26*$F26,2),ROUND($E26*$F26*$G26,2))</f>
        <v>595.76</v>
      </c>
      <c r="J26" s="16"/>
      <c r="K26" s="16"/>
      <c r="L26" s="16"/>
      <c r="M26" s="16"/>
      <c r="N26" s="16"/>
      <c r="O26" s="16">
        <f aca="true" t="shared" si="5" ref="O26:O31">IF($H26=0,ROUND($E26*(O$72/12),2),ROUND($E26*(O$72/12)*$H26,2))</f>
        <v>223.99</v>
      </c>
      <c r="P26" s="15"/>
      <c r="Q26" s="16"/>
      <c r="R26" s="16"/>
      <c r="S26" s="63">
        <f aca="true" t="shared" si="6" ref="S26:S31">ROUND(($V26/S$72),3)</f>
        <v>0.046</v>
      </c>
      <c r="T26" s="16"/>
      <c r="U26" s="16">
        <f aca="true" t="shared" si="7" ref="U26:U31">ROUND((($U$72*$W$72*$U$73*$U$74*$W26)/2000),2)</f>
        <v>2.36</v>
      </c>
      <c r="V26" s="16">
        <f>ROUND((($I26+$J26+$O26+$P26+$Q26)/9),2)</f>
        <v>91.08</v>
      </c>
      <c r="W26" s="16">
        <f>ROUND((($I26+$J26+$O26+$P26+$Q26)/9),2)</f>
        <v>91.08</v>
      </c>
      <c r="X26" s="16"/>
      <c r="Y26" s="16"/>
      <c r="Z26" s="16"/>
      <c r="AA26" s="16"/>
      <c r="AB26" s="16"/>
      <c r="AC26" s="16"/>
      <c r="AD26" s="16"/>
      <c r="AE26" s="16"/>
      <c r="AF26" s="78"/>
      <c r="AG26" s="79"/>
    </row>
    <row r="27" spans="1:33" s="5" customFormat="1" ht="21.75" customHeight="1">
      <c r="A27" s="12">
        <f t="shared" si="1"/>
        <v>15</v>
      </c>
      <c r="B27" s="13">
        <f aca="true" t="shared" si="8" ref="B27:B57">C26</f>
        <v>78293.84</v>
      </c>
      <c r="C27" s="21">
        <v>78443.84</v>
      </c>
      <c r="D27" s="15" t="s">
        <v>20</v>
      </c>
      <c r="E27" s="16">
        <f t="shared" si="3"/>
        <v>150</v>
      </c>
      <c r="F27" s="16">
        <v>4</v>
      </c>
      <c r="G27" s="18">
        <f>ROUND((((747.92+($F27/2))/747.92)+1)/2,4)</f>
        <v>1.0013</v>
      </c>
      <c r="H27" s="18">
        <f>ROUND((((747.92+($F27))/747.92)+1)/2,4)</f>
        <v>1.0027</v>
      </c>
      <c r="I27" s="16">
        <f t="shared" si="4"/>
        <v>600.78</v>
      </c>
      <c r="J27" s="16"/>
      <c r="K27" s="16"/>
      <c r="L27" s="16"/>
      <c r="M27" s="16"/>
      <c r="N27" s="16"/>
      <c r="O27" s="16">
        <f t="shared" si="5"/>
        <v>225.61</v>
      </c>
      <c r="P27" s="15"/>
      <c r="Q27" s="16"/>
      <c r="R27" s="16"/>
      <c r="S27" s="63">
        <f t="shared" si="6"/>
        <v>0.046</v>
      </c>
      <c r="T27" s="16"/>
      <c r="U27" s="16">
        <f t="shared" si="7"/>
        <v>2.38</v>
      </c>
      <c r="V27" s="16">
        <f aca="true" t="shared" si="9" ref="V27:W40">ROUND((($I27+$J27+$O27+$P27+$Q27)/9),2)</f>
        <v>91.82</v>
      </c>
      <c r="W27" s="16">
        <f t="shared" si="9"/>
        <v>91.82</v>
      </c>
      <c r="X27" s="16"/>
      <c r="Y27" s="16"/>
      <c r="Z27" s="16"/>
      <c r="AA27" s="16"/>
      <c r="AB27" s="16"/>
      <c r="AC27" s="16"/>
      <c r="AD27" s="16"/>
      <c r="AE27" s="16"/>
      <c r="AF27" s="78"/>
      <c r="AG27" s="79"/>
    </row>
    <row r="28" spans="1:33" s="5" customFormat="1" ht="21.75" customHeight="1">
      <c r="A28" s="12">
        <f t="shared" si="1"/>
        <v>16</v>
      </c>
      <c r="B28" s="13">
        <f t="shared" si="8"/>
        <v>78443.84</v>
      </c>
      <c r="C28" s="14">
        <v>78482.53</v>
      </c>
      <c r="D28" s="15" t="s">
        <v>20</v>
      </c>
      <c r="E28" s="16">
        <f t="shared" si="3"/>
        <v>38.69000000000233</v>
      </c>
      <c r="F28" s="16">
        <v>4</v>
      </c>
      <c r="G28" s="18"/>
      <c r="H28" s="18"/>
      <c r="I28" s="16">
        <f t="shared" si="4"/>
        <v>154.76</v>
      </c>
      <c r="J28" s="16"/>
      <c r="K28" s="16"/>
      <c r="L28" s="16"/>
      <c r="M28" s="16"/>
      <c r="N28" s="16"/>
      <c r="O28" s="16">
        <f t="shared" si="5"/>
        <v>58.04</v>
      </c>
      <c r="P28" s="15"/>
      <c r="Q28" s="16"/>
      <c r="R28" s="16"/>
      <c r="S28" s="63">
        <f t="shared" si="6"/>
        <v>0.012</v>
      </c>
      <c r="T28" s="16"/>
      <c r="U28" s="16">
        <f t="shared" si="7"/>
        <v>0.61</v>
      </c>
      <c r="V28" s="16">
        <f t="shared" si="9"/>
        <v>23.64</v>
      </c>
      <c r="W28" s="16">
        <f t="shared" si="9"/>
        <v>23.64</v>
      </c>
      <c r="X28" s="16"/>
      <c r="Y28" s="16"/>
      <c r="Z28" s="16"/>
      <c r="AA28" s="16"/>
      <c r="AB28" s="16"/>
      <c r="AC28" s="16"/>
      <c r="AD28" s="16"/>
      <c r="AE28" s="16"/>
      <c r="AF28" s="78"/>
      <c r="AG28" s="79"/>
    </row>
    <row r="29" spans="1:33" s="5" customFormat="1" ht="21.75" customHeight="1">
      <c r="A29" s="12">
        <f t="shared" si="1"/>
        <v>17</v>
      </c>
      <c r="B29" s="13">
        <f t="shared" si="8"/>
        <v>78482.53</v>
      </c>
      <c r="C29" s="14">
        <v>78732.53</v>
      </c>
      <c r="D29" s="15" t="s">
        <v>20</v>
      </c>
      <c r="E29" s="16">
        <f t="shared" si="3"/>
        <v>250</v>
      </c>
      <c r="F29" s="16">
        <v>4</v>
      </c>
      <c r="G29" s="18">
        <f>ROUND((((381.972-($F29/2))/381.972)+1)/2,4)</f>
        <v>0.9974</v>
      </c>
      <c r="H29" s="18">
        <f>ROUND((((381.972-($F29))/381.972)+1)/2,4)</f>
        <v>0.9948</v>
      </c>
      <c r="I29" s="16">
        <f t="shared" si="4"/>
        <v>997.4</v>
      </c>
      <c r="J29" s="16"/>
      <c r="K29" s="16"/>
      <c r="L29" s="16"/>
      <c r="M29" s="16"/>
      <c r="N29" s="16"/>
      <c r="O29" s="16">
        <f t="shared" si="5"/>
        <v>373.05</v>
      </c>
      <c r="P29" s="15"/>
      <c r="Q29" s="16"/>
      <c r="R29" s="16"/>
      <c r="S29" s="63">
        <f t="shared" si="6"/>
        <v>0.076</v>
      </c>
      <c r="T29" s="16"/>
      <c r="U29" s="16">
        <f t="shared" si="7"/>
        <v>3.94</v>
      </c>
      <c r="V29" s="16">
        <f t="shared" si="9"/>
        <v>152.27</v>
      </c>
      <c r="W29" s="16">
        <f t="shared" si="9"/>
        <v>152.27</v>
      </c>
      <c r="X29" s="16"/>
      <c r="Y29" s="16"/>
      <c r="Z29" s="16"/>
      <c r="AA29" s="16"/>
      <c r="AB29" s="16"/>
      <c r="AC29" s="16"/>
      <c r="AD29" s="16"/>
      <c r="AE29" s="16"/>
      <c r="AF29" s="78"/>
      <c r="AG29" s="79"/>
    </row>
    <row r="30" spans="1:33" s="5" customFormat="1" ht="21.75" customHeight="1">
      <c r="A30" s="12">
        <f t="shared" si="1"/>
        <v>18</v>
      </c>
      <c r="B30" s="13">
        <f t="shared" si="8"/>
        <v>78732.53</v>
      </c>
      <c r="C30" s="14">
        <v>78882.95</v>
      </c>
      <c r="D30" s="15" t="s">
        <v>20</v>
      </c>
      <c r="E30" s="16">
        <f t="shared" si="3"/>
        <v>150.41999999999825</v>
      </c>
      <c r="F30" s="16">
        <v>4</v>
      </c>
      <c r="G30" s="18">
        <f>ROUND((381.972-($F30/2))/381.972,4)</f>
        <v>0.9948</v>
      </c>
      <c r="H30" s="18">
        <f>ROUND((381.972-($F30))/381.972,4)</f>
        <v>0.9895</v>
      </c>
      <c r="I30" s="16">
        <f t="shared" si="4"/>
        <v>598.55</v>
      </c>
      <c r="J30" s="16"/>
      <c r="K30" s="16"/>
      <c r="L30" s="16"/>
      <c r="M30" s="16"/>
      <c r="N30" s="16"/>
      <c r="O30" s="16">
        <f t="shared" si="5"/>
        <v>223.26</v>
      </c>
      <c r="P30" s="15"/>
      <c r="Q30" s="16"/>
      <c r="R30" s="16"/>
      <c r="S30" s="63">
        <f t="shared" si="6"/>
        <v>0.046</v>
      </c>
      <c r="T30" s="16"/>
      <c r="U30" s="16">
        <f t="shared" si="7"/>
        <v>2.36</v>
      </c>
      <c r="V30" s="16">
        <f t="shared" si="9"/>
        <v>91.31</v>
      </c>
      <c r="W30" s="16">
        <f t="shared" si="9"/>
        <v>91.31</v>
      </c>
      <c r="X30" s="16"/>
      <c r="Y30" s="16"/>
      <c r="Z30" s="16"/>
      <c r="AA30" s="16"/>
      <c r="AB30" s="16"/>
      <c r="AC30" s="16"/>
      <c r="AD30" s="16"/>
      <c r="AE30" s="16"/>
      <c r="AF30" s="78"/>
      <c r="AG30" s="79"/>
    </row>
    <row r="31" spans="1:33" s="5" customFormat="1" ht="21.75" customHeight="1">
      <c r="A31" s="12">
        <f t="shared" si="1"/>
        <v>19</v>
      </c>
      <c r="B31" s="13">
        <f t="shared" si="8"/>
        <v>78882.95</v>
      </c>
      <c r="C31" s="14">
        <v>78907.95</v>
      </c>
      <c r="D31" s="15" t="s">
        <v>20</v>
      </c>
      <c r="E31" s="16">
        <f t="shared" si="3"/>
        <v>25</v>
      </c>
      <c r="F31" s="16">
        <v>4</v>
      </c>
      <c r="G31" s="18">
        <f>ROUND((381.972-($F31/2))/381.972,4)</f>
        <v>0.9948</v>
      </c>
      <c r="H31" s="18">
        <f>ROUND((381.972-($F31))/381.972,4)</f>
        <v>0.9895</v>
      </c>
      <c r="I31" s="16">
        <f t="shared" si="4"/>
        <v>99.48</v>
      </c>
      <c r="J31" s="16"/>
      <c r="K31" s="16"/>
      <c r="L31" s="16"/>
      <c r="M31" s="16"/>
      <c r="N31" s="16"/>
      <c r="O31" s="16">
        <f t="shared" si="5"/>
        <v>37.11</v>
      </c>
      <c r="P31" s="15"/>
      <c r="Q31" s="16"/>
      <c r="R31" s="16"/>
      <c r="S31" s="63">
        <f t="shared" si="6"/>
        <v>0.008</v>
      </c>
      <c r="T31" s="16"/>
      <c r="U31" s="16">
        <f t="shared" si="7"/>
        <v>0.39</v>
      </c>
      <c r="V31" s="16">
        <f t="shared" si="9"/>
        <v>15.18</v>
      </c>
      <c r="W31" s="16">
        <f t="shared" si="9"/>
        <v>15.18</v>
      </c>
      <c r="X31" s="16"/>
      <c r="Y31" s="16"/>
      <c r="Z31" s="16"/>
      <c r="AA31" s="16"/>
      <c r="AB31" s="16"/>
      <c r="AC31" s="16"/>
      <c r="AD31" s="16"/>
      <c r="AE31" s="16"/>
      <c r="AF31" s="78"/>
      <c r="AG31" s="79"/>
    </row>
    <row r="32" spans="1:33" s="5" customFormat="1" ht="21.75" customHeight="1">
      <c r="A32" s="12">
        <f t="shared" si="1"/>
        <v>20</v>
      </c>
      <c r="B32" s="13"/>
      <c r="C32" s="14"/>
      <c r="D32" s="15"/>
      <c r="E32" s="16"/>
      <c r="F32" s="17"/>
      <c r="G32" s="1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63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78"/>
      <c r="AG32" s="79"/>
    </row>
    <row r="33" spans="1:33" s="5" customFormat="1" ht="21.75" customHeight="1">
      <c r="A33" s="12">
        <f t="shared" si="1"/>
        <v>21</v>
      </c>
      <c r="B33" s="13">
        <v>79317.7</v>
      </c>
      <c r="C33" s="14">
        <v>79485.02</v>
      </c>
      <c r="D33" s="15" t="s">
        <v>20</v>
      </c>
      <c r="E33" s="16">
        <f>C33-B33</f>
        <v>167.32000000000698</v>
      </c>
      <c r="F33" s="17">
        <v>4</v>
      </c>
      <c r="G33" s="18">
        <f>ROUND((3819.719-($F33/2))/3819.719,4)</f>
        <v>0.9995</v>
      </c>
      <c r="H33" s="18">
        <f aca="true" t="shared" si="10" ref="H33:H40">ROUND((3819.719-($F33))/3819.719,4)</f>
        <v>0.999</v>
      </c>
      <c r="I33" s="16">
        <f aca="true" t="shared" si="11" ref="I33:I40">IF(G33=0,ROUND($E33*$F33,2),ROUND($E33*$F33*$G33,2))</f>
        <v>668.95</v>
      </c>
      <c r="J33" s="16"/>
      <c r="K33" s="16"/>
      <c r="L33" s="16"/>
      <c r="M33" s="16"/>
      <c r="N33" s="16"/>
      <c r="O33" s="16"/>
      <c r="P33" s="16"/>
      <c r="Q33" s="16"/>
      <c r="R33" s="16"/>
      <c r="S33" s="63">
        <f aca="true" t="shared" si="12" ref="S33:S40">ROUND(($V33/S$72),3)</f>
        <v>0.037</v>
      </c>
      <c r="T33" s="16"/>
      <c r="U33" s="16">
        <f aca="true" t="shared" si="13" ref="U33:U40">ROUND((($U$72*$W$72*$U$73*$U$74*$W33)/2000),2)</f>
        <v>1.92</v>
      </c>
      <c r="V33" s="16">
        <f t="shared" si="9"/>
        <v>74.33</v>
      </c>
      <c r="W33" s="16">
        <f t="shared" si="9"/>
        <v>74.33</v>
      </c>
      <c r="X33" s="16"/>
      <c r="Y33" s="16"/>
      <c r="Z33" s="16"/>
      <c r="AA33" s="16"/>
      <c r="AB33" s="16"/>
      <c r="AC33" s="16"/>
      <c r="AD33" s="16"/>
      <c r="AE33" s="16"/>
      <c r="AF33" s="78"/>
      <c r="AG33" s="79"/>
    </row>
    <row r="34" spans="1:33" s="5" customFormat="1" ht="21.75" customHeight="1">
      <c r="A34" s="12">
        <f t="shared" si="1"/>
        <v>22</v>
      </c>
      <c r="B34" s="13">
        <f t="shared" si="8"/>
        <v>79485.02</v>
      </c>
      <c r="C34" s="14">
        <v>79519.05</v>
      </c>
      <c r="D34" s="15" t="s">
        <v>20</v>
      </c>
      <c r="E34" s="16">
        <f aca="true" t="shared" si="14" ref="E34:E40">C34-B34</f>
        <v>34.029999999998836</v>
      </c>
      <c r="F34" s="17">
        <v>4</v>
      </c>
      <c r="G34" s="18">
        <f aca="true" t="shared" si="15" ref="G34:G40">ROUND((3819.719-($F34/2))/3819.719,4)</f>
        <v>0.9995</v>
      </c>
      <c r="H34" s="18">
        <f t="shared" si="10"/>
        <v>0.999</v>
      </c>
      <c r="I34" s="16">
        <f t="shared" si="11"/>
        <v>136.05</v>
      </c>
      <c r="J34" s="16"/>
      <c r="K34" s="16"/>
      <c r="L34" s="16"/>
      <c r="M34" s="16"/>
      <c r="N34" s="16"/>
      <c r="O34" s="16"/>
      <c r="P34" s="16">
        <f>IF($H34=0,ROUND($E34*(P$72/12),2),ROUND($E34*(P$72/12)*$H34,2))</f>
        <v>56.66</v>
      </c>
      <c r="Q34" s="16">
        <f>IF($H34=0,ROUND($E34*(Q$72/12),2),ROUND($E34*(Q$72/12)*$H34,2))</f>
        <v>62.33</v>
      </c>
      <c r="R34" s="16"/>
      <c r="S34" s="63">
        <f t="shared" si="12"/>
        <v>0.014</v>
      </c>
      <c r="T34" s="16"/>
      <c r="U34" s="16">
        <f t="shared" si="13"/>
        <v>0.73</v>
      </c>
      <c r="V34" s="16">
        <f t="shared" si="9"/>
        <v>28.34</v>
      </c>
      <c r="W34" s="16">
        <f t="shared" si="9"/>
        <v>28.34</v>
      </c>
      <c r="X34" s="16"/>
      <c r="Y34" s="16"/>
      <c r="Z34" s="16"/>
      <c r="AA34" s="16"/>
      <c r="AB34" s="16"/>
      <c r="AC34" s="16"/>
      <c r="AD34" s="16"/>
      <c r="AE34" s="16"/>
      <c r="AF34" s="78"/>
      <c r="AG34" s="79"/>
    </row>
    <row r="35" spans="1:33" s="5" customFormat="1" ht="21.75" customHeight="1">
      <c r="A35" s="12">
        <f t="shared" si="1"/>
        <v>23</v>
      </c>
      <c r="B35" s="13">
        <f t="shared" si="8"/>
        <v>79519.05</v>
      </c>
      <c r="C35" s="14">
        <v>79537.22</v>
      </c>
      <c r="D35" s="15" t="s">
        <v>20</v>
      </c>
      <c r="E35" s="16">
        <f t="shared" si="14"/>
        <v>18.169999999998254</v>
      </c>
      <c r="F35" s="17">
        <v>4</v>
      </c>
      <c r="G35" s="18">
        <f t="shared" si="15"/>
        <v>0.9995</v>
      </c>
      <c r="H35" s="18">
        <f t="shared" si="10"/>
        <v>0.999</v>
      </c>
      <c r="I35" s="16">
        <f t="shared" si="11"/>
        <v>72.64</v>
      </c>
      <c r="J35" s="16"/>
      <c r="K35" s="16"/>
      <c r="L35" s="16"/>
      <c r="M35" s="16"/>
      <c r="N35" s="16"/>
      <c r="O35" s="16">
        <f>IF($H35=0,ROUND($E35*(O$72/12),2),ROUND($E35*(O$72/12)*$H35,2))</f>
        <v>27.23</v>
      </c>
      <c r="P35" s="16"/>
      <c r="Q35" s="16"/>
      <c r="R35" s="16"/>
      <c r="S35" s="63">
        <f t="shared" si="12"/>
        <v>0.006</v>
      </c>
      <c r="T35" s="16"/>
      <c r="U35" s="16">
        <f t="shared" si="13"/>
        <v>0.29</v>
      </c>
      <c r="V35" s="16">
        <f t="shared" si="9"/>
        <v>11.1</v>
      </c>
      <c r="W35" s="16">
        <f t="shared" si="9"/>
        <v>11.1</v>
      </c>
      <c r="X35" s="16"/>
      <c r="Y35" s="16"/>
      <c r="Z35" s="16"/>
      <c r="AA35" s="16"/>
      <c r="AB35" s="16"/>
      <c r="AC35" s="16"/>
      <c r="AD35" s="16"/>
      <c r="AE35" s="16"/>
      <c r="AF35" s="78"/>
      <c r="AG35" s="79"/>
    </row>
    <row r="36" spans="1:33" s="5" customFormat="1" ht="21.75" customHeight="1">
      <c r="A36" s="12">
        <f t="shared" si="1"/>
        <v>24</v>
      </c>
      <c r="B36" s="13">
        <f t="shared" si="8"/>
        <v>79537.22</v>
      </c>
      <c r="C36" s="14">
        <v>79595.44</v>
      </c>
      <c r="D36" s="15" t="s">
        <v>20</v>
      </c>
      <c r="E36" s="16">
        <f t="shared" si="14"/>
        <v>58.220000000001164</v>
      </c>
      <c r="F36" s="17">
        <v>4</v>
      </c>
      <c r="G36" s="18">
        <f t="shared" si="15"/>
        <v>0.9995</v>
      </c>
      <c r="H36" s="18">
        <f t="shared" si="10"/>
        <v>0.999</v>
      </c>
      <c r="I36" s="16">
        <f t="shared" si="11"/>
        <v>232.76</v>
      </c>
      <c r="J36" s="16"/>
      <c r="K36" s="16"/>
      <c r="L36" s="16"/>
      <c r="M36" s="16"/>
      <c r="N36" s="16"/>
      <c r="O36" s="16">
        <f>IF($H36=0,ROUND($E36*(O$72/12),2),ROUND($E36*(O$72/12)*$H36,2))</f>
        <v>87.24</v>
      </c>
      <c r="P36" s="16"/>
      <c r="Q36" s="16"/>
      <c r="R36" s="16"/>
      <c r="S36" s="63">
        <f t="shared" si="12"/>
        <v>0.018</v>
      </c>
      <c r="T36" s="16"/>
      <c r="U36" s="16">
        <f t="shared" si="13"/>
        <v>0.92</v>
      </c>
      <c r="V36" s="16">
        <f t="shared" si="9"/>
        <v>35.56</v>
      </c>
      <c r="W36" s="16">
        <f t="shared" si="9"/>
        <v>35.56</v>
      </c>
      <c r="X36" s="16"/>
      <c r="Y36" s="16"/>
      <c r="Z36" s="16"/>
      <c r="AA36" s="16"/>
      <c r="AB36" s="16"/>
      <c r="AC36" s="16"/>
      <c r="AD36" s="16"/>
      <c r="AE36" s="16"/>
      <c r="AF36" s="78"/>
      <c r="AG36" s="79"/>
    </row>
    <row r="37" spans="1:33" s="5" customFormat="1" ht="21.75" customHeight="1">
      <c r="A37" s="12">
        <f t="shared" si="1"/>
        <v>25</v>
      </c>
      <c r="B37" s="13">
        <f t="shared" si="8"/>
        <v>79595.44</v>
      </c>
      <c r="C37" s="14">
        <v>79695.44</v>
      </c>
      <c r="D37" s="15" t="s">
        <v>20</v>
      </c>
      <c r="E37" s="16">
        <f t="shared" si="14"/>
        <v>100</v>
      </c>
      <c r="F37" s="17">
        <f>ROUND(AVERAGE(8,4),2)</f>
        <v>6</v>
      </c>
      <c r="G37" s="18">
        <f t="shared" si="15"/>
        <v>0.9992</v>
      </c>
      <c r="H37" s="18">
        <f t="shared" si="10"/>
        <v>0.9984</v>
      </c>
      <c r="I37" s="16">
        <f t="shared" si="11"/>
        <v>599.52</v>
      </c>
      <c r="J37" s="16"/>
      <c r="K37" s="16"/>
      <c r="L37" s="16"/>
      <c r="M37" s="16"/>
      <c r="N37" s="16"/>
      <c r="O37" s="16">
        <f>IF($H37=0,ROUND($E37*(O$72/12),2),ROUND($E37*(O$72/12)*$H37,2))</f>
        <v>149.76</v>
      </c>
      <c r="P37" s="16"/>
      <c r="Q37" s="16"/>
      <c r="R37" s="16"/>
      <c r="S37" s="63">
        <f t="shared" si="12"/>
        <v>0.042</v>
      </c>
      <c r="T37" s="16"/>
      <c r="U37" s="16">
        <f t="shared" si="13"/>
        <v>2.15</v>
      </c>
      <c r="V37" s="16">
        <f t="shared" si="9"/>
        <v>83.25</v>
      </c>
      <c r="W37" s="16">
        <f t="shared" si="9"/>
        <v>83.25</v>
      </c>
      <c r="X37" s="16"/>
      <c r="Y37" s="16"/>
      <c r="Z37" s="16"/>
      <c r="AA37" s="16"/>
      <c r="AB37" s="16"/>
      <c r="AC37" s="16"/>
      <c r="AD37" s="16"/>
      <c r="AE37" s="16"/>
      <c r="AF37" s="78"/>
      <c r="AG37" s="79"/>
    </row>
    <row r="38" spans="1:33" s="5" customFormat="1" ht="21.75" customHeight="1">
      <c r="A38" s="12">
        <f t="shared" si="1"/>
        <v>26</v>
      </c>
      <c r="B38" s="13">
        <f t="shared" si="8"/>
        <v>79695.44</v>
      </c>
      <c r="C38" s="14">
        <v>79978</v>
      </c>
      <c r="D38" s="15" t="s">
        <v>20</v>
      </c>
      <c r="E38" s="16">
        <f t="shared" si="14"/>
        <v>282.5599999999977</v>
      </c>
      <c r="F38" s="17">
        <v>8</v>
      </c>
      <c r="G38" s="18">
        <f t="shared" si="15"/>
        <v>0.999</v>
      </c>
      <c r="H38" s="18">
        <f t="shared" si="10"/>
        <v>0.9979</v>
      </c>
      <c r="I38" s="16">
        <f t="shared" si="11"/>
        <v>2258.22</v>
      </c>
      <c r="J38" s="16"/>
      <c r="K38" s="16"/>
      <c r="L38" s="16"/>
      <c r="M38" s="16"/>
      <c r="N38" s="16"/>
      <c r="O38" s="16">
        <f>IF($H38=0,ROUND($E38*(O$72/12),2),ROUND($E38*(O$72/12)*$H38,2))</f>
        <v>422.95</v>
      </c>
      <c r="P38" s="16"/>
      <c r="Q38" s="16"/>
      <c r="R38" s="16"/>
      <c r="S38" s="63">
        <f t="shared" si="12"/>
        <v>0.149</v>
      </c>
      <c r="T38" s="16"/>
      <c r="U38" s="16">
        <f t="shared" si="13"/>
        <v>7.71</v>
      </c>
      <c r="V38" s="16">
        <f t="shared" si="9"/>
        <v>297.91</v>
      </c>
      <c r="W38" s="16">
        <f t="shared" si="9"/>
        <v>297.91</v>
      </c>
      <c r="X38" s="16"/>
      <c r="Y38" s="16"/>
      <c r="Z38" s="16"/>
      <c r="AA38" s="16"/>
      <c r="AB38" s="16"/>
      <c r="AC38" s="16"/>
      <c r="AD38" s="16"/>
      <c r="AE38" s="16"/>
      <c r="AF38" s="78"/>
      <c r="AG38" s="79"/>
    </row>
    <row r="39" spans="1:33" s="5" customFormat="1" ht="21.75" customHeight="1">
      <c r="A39" s="12">
        <f t="shared" si="1"/>
        <v>27</v>
      </c>
      <c r="B39" s="13">
        <f t="shared" si="8"/>
        <v>79978</v>
      </c>
      <c r="C39" s="14">
        <v>80134</v>
      </c>
      <c r="D39" s="15" t="s">
        <v>20</v>
      </c>
      <c r="E39" s="16">
        <f t="shared" si="14"/>
        <v>156</v>
      </c>
      <c r="F39" s="17">
        <v>8</v>
      </c>
      <c r="G39" s="18">
        <f t="shared" si="15"/>
        <v>0.999</v>
      </c>
      <c r="H39" s="18">
        <f t="shared" si="10"/>
        <v>0.9979</v>
      </c>
      <c r="I39" s="16">
        <f t="shared" si="11"/>
        <v>1246.75</v>
      </c>
      <c r="J39" s="16"/>
      <c r="K39" s="16"/>
      <c r="L39" s="16"/>
      <c r="M39" s="16"/>
      <c r="N39" s="16"/>
      <c r="O39" s="16"/>
      <c r="P39" s="16">
        <f>IF($H39=0,ROUND($E39*(P$72/12),2),ROUND($E39*(P$72/12)*$H39,2))</f>
        <v>259.45</v>
      </c>
      <c r="Q39" s="16">
        <f>IF($H39=0,ROUND($E39*(Q$72/12),2),ROUND($E39*(Q$72/12)*$H39,2))</f>
        <v>285.4</v>
      </c>
      <c r="R39" s="16"/>
      <c r="S39" s="63">
        <f t="shared" si="12"/>
        <v>0.1</v>
      </c>
      <c r="T39" s="16"/>
      <c r="U39" s="16">
        <f t="shared" si="13"/>
        <v>5.15</v>
      </c>
      <c r="V39" s="16">
        <f t="shared" si="9"/>
        <v>199.07</v>
      </c>
      <c r="W39" s="16">
        <f t="shared" si="9"/>
        <v>199.07</v>
      </c>
      <c r="X39" s="16"/>
      <c r="Y39" s="16"/>
      <c r="Z39" s="16"/>
      <c r="AA39" s="16"/>
      <c r="AB39" s="16"/>
      <c r="AC39" s="16"/>
      <c r="AD39" s="16"/>
      <c r="AE39" s="16"/>
      <c r="AF39" s="78"/>
      <c r="AG39" s="79"/>
    </row>
    <row r="40" spans="1:33" s="5" customFormat="1" ht="21.75" customHeight="1">
      <c r="A40" s="12">
        <f t="shared" si="1"/>
        <v>28</v>
      </c>
      <c r="B40" s="13">
        <f t="shared" si="8"/>
        <v>80134</v>
      </c>
      <c r="C40" s="14">
        <v>80148.92</v>
      </c>
      <c r="D40" s="15" t="s">
        <v>20</v>
      </c>
      <c r="E40" s="16">
        <f t="shared" si="14"/>
        <v>14.919999999998254</v>
      </c>
      <c r="F40" s="17">
        <v>8</v>
      </c>
      <c r="G40" s="18">
        <f t="shared" si="15"/>
        <v>0.999</v>
      </c>
      <c r="H40" s="18">
        <f t="shared" si="10"/>
        <v>0.9979</v>
      </c>
      <c r="I40" s="16">
        <f t="shared" si="11"/>
        <v>119.24</v>
      </c>
      <c r="J40" s="16"/>
      <c r="K40" s="16"/>
      <c r="L40" s="16"/>
      <c r="M40" s="16"/>
      <c r="N40" s="16"/>
      <c r="O40" s="16">
        <f>IF($H40=0,ROUND($E40*(O$72/12),2),ROUND($E40*(O$72/12)*$H40,2))</f>
        <v>22.33</v>
      </c>
      <c r="P40" s="16"/>
      <c r="Q40" s="16"/>
      <c r="R40" s="16"/>
      <c r="S40" s="63">
        <f t="shared" si="12"/>
        <v>0.008</v>
      </c>
      <c r="T40" s="16"/>
      <c r="U40" s="16">
        <f t="shared" si="13"/>
        <v>0.41</v>
      </c>
      <c r="V40" s="16">
        <f t="shared" si="9"/>
        <v>15.73</v>
      </c>
      <c r="W40" s="16">
        <f t="shared" si="9"/>
        <v>15.73</v>
      </c>
      <c r="X40" s="16"/>
      <c r="Y40" s="16"/>
      <c r="Z40" s="16"/>
      <c r="AA40" s="16"/>
      <c r="AB40" s="16"/>
      <c r="AC40" s="16"/>
      <c r="AD40" s="16"/>
      <c r="AE40" s="16"/>
      <c r="AF40" s="78"/>
      <c r="AG40" s="79"/>
    </row>
    <row r="41" spans="1:33" s="5" customFormat="1" ht="21.75" customHeight="1">
      <c r="A41" s="12">
        <f t="shared" si="1"/>
        <v>29</v>
      </c>
      <c r="B41" s="13"/>
      <c r="C41" s="14"/>
      <c r="D41" s="15"/>
      <c r="E41" s="16"/>
      <c r="F41" s="58"/>
      <c r="G41" s="18"/>
      <c r="H41" s="16"/>
      <c r="I41" s="53"/>
      <c r="J41" s="16"/>
      <c r="K41" s="16"/>
      <c r="L41" s="16"/>
      <c r="M41" s="16"/>
      <c r="N41" s="16"/>
      <c r="O41" s="16"/>
      <c r="P41" s="16"/>
      <c r="Q41" s="16"/>
      <c r="R41" s="16"/>
      <c r="S41" s="63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78"/>
      <c r="AG41" s="79"/>
    </row>
    <row r="42" spans="1:33" s="5" customFormat="1" ht="21.75" customHeight="1">
      <c r="A42" s="12">
        <f t="shared" si="1"/>
        <v>30</v>
      </c>
      <c r="B42" s="13"/>
      <c r="C42" s="14"/>
      <c r="D42" s="15"/>
      <c r="E42" s="16"/>
      <c r="F42" s="17"/>
      <c r="G42" s="18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63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78"/>
      <c r="AG42" s="79"/>
    </row>
    <row r="43" spans="1:33" s="5" customFormat="1" ht="21.75" customHeight="1">
      <c r="A43" s="12">
        <f t="shared" si="1"/>
        <v>31</v>
      </c>
      <c r="B43" s="13"/>
      <c r="C43" s="14"/>
      <c r="D43" s="15"/>
      <c r="E43" s="16"/>
      <c r="F43" s="17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63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78"/>
      <c r="AG43" s="79"/>
    </row>
    <row r="44" spans="1:33" s="5" customFormat="1" ht="21.75" customHeight="1">
      <c r="A44" s="12">
        <f t="shared" si="1"/>
        <v>32</v>
      </c>
      <c r="B44" s="110" t="s">
        <v>64</v>
      </c>
      <c r="C44" s="111"/>
      <c r="D44" s="111"/>
      <c r="E44" s="111"/>
      <c r="F44" s="111"/>
      <c r="G44" s="111"/>
      <c r="H44" s="111"/>
      <c r="I44" s="112"/>
      <c r="J44" s="16"/>
      <c r="K44" s="16"/>
      <c r="L44" s="16"/>
      <c r="M44" s="16"/>
      <c r="N44" s="16"/>
      <c r="O44" s="16"/>
      <c r="P44" s="16"/>
      <c r="Q44" s="16"/>
      <c r="R44" s="16"/>
      <c r="S44" s="63"/>
      <c r="T44" s="16"/>
      <c r="U44" s="16"/>
      <c r="V44" s="16"/>
      <c r="W44" s="16"/>
      <c r="X44" s="16"/>
      <c r="Y44" s="16"/>
      <c r="Z44" s="16"/>
      <c r="AA44" s="16"/>
      <c r="AB44" s="16"/>
      <c r="AD44" s="16"/>
      <c r="AE44" s="16"/>
      <c r="AF44" s="78"/>
      <c r="AG44" s="79"/>
    </row>
    <row r="45" spans="1:33" s="5" customFormat="1" ht="21.75" customHeight="1">
      <c r="A45" s="12">
        <f t="shared" si="1"/>
        <v>33</v>
      </c>
      <c r="B45" s="19" t="s">
        <v>19</v>
      </c>
      <c r="C45" s="41"/>
      <c r="D45" s="15"/>
      <c r="E45" s="16"/>
      <c r="F45" s="58"/>
      <c r="G45" s="18"/>
      <c r="H45" s="16"/>
      <c r="I45" s="53"/>
      <c r="J45" s="16"/>
      <c r="K45" s="16"/>
      <c r="L45" s="16"/>
      <c r="M45" s="16"/>
      <c r="N45" s="16"/>
      <c r="O45" s="16"/>
      <c r="P45" s="16"/>
      <c r="Q45" s="16"/>
      <c r="R45" s="16"/>
      <c r="S45" s="63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78"/>
      <c r="AG45" s="79"/>
    </row>
    <row r="46" spans="1:33" s="5" customFormat="1" ht="21.75" customHeight="1">
      <c r="A46" s="12">
        <f t="shared" si="1"/>
        <v>34</v>
      </c>
      <c r="B46" s="13" t="s">
        <v>67</v>
      </c>
      <c r="C46" s="14" t="s">
        <v>65</v>
      </c>
      <c r="D46" s="15" t="s">
        <v>25</v>
      </c>
      <c r="E46" s="16">
        <v>355</v>
      </c>
      <c r="F46" s="17">
        <v>12</v>
      </c>
      <c r="G46" s="18"/>
      <c r="H46" s="16"/>
      <c r="I46" s="16">
        <f>IF(G46=0,ROUND($E46*$F46,2),ROUND($E46*$F46*$G46,2))</f>
        <v>4260</v>
      </c>
      <c r="J46" s="16"/>
      <c r="K46" s="40"/>
      <c r="L46" s="16"/>
      <c r="M46" s="16"/>
      <c r="N46" s="16"/>
      <c r="O46" s="16"/>
      <c r="P46" s="16"/>
      <c r="Q46" s="16"/>
      <c r="R46" s="16"/>
      <c r="S46" s="63">
        <f>ROUND(($V46/S$72),3)</f>
        <v>0.237</v>
      </c>
      <c r="T46" s="16"/>
      <c r="U46" s="16">
        <f>ROUND((($U$72*$W$72*$U$73*$U$74*$W46)/2000),2)</f>
        <v>12.25</v>
      </c>
      <c r="V46" s="16">
        <f aca="true" t="shared" si="16" ref="V46:W57">ROUND((($I46+$J46)/9),2)</f>
        <v>473.33</v>
      </c>
      <c r="W46" s="16">
        <f t="shared" si="16"/>
        <v>473.33</v>
      </c>
      <c r="X46" s="16"/>
      <c r="Y46" s="16"/>
      <c r="Z46" s="16"/>
      <c r="AA46" s="16"/>
      <c r="AB46" s="16"/>
      <c r="AC46" s="16"/>
      <c r="AD46" s="16"/>
      <c r="AE46" s="16"/>
      <c r="AF46" s="78"/>
      <c r="AG46" s="79"/>
    </row>
    <row r="47" spans="1:33" s="5" customFormat="1" ht="21.75" customHeight="1">
      <c r="A47" s="12">
        <f t="shared" si="1"/>
        <v>35</v>
      </c>
      <c r="B47" s="13" t="str">
        <f t="shared" si="8"/>
        <v>272+95.00 (I.R. 277)</v>
      </c>
      <c r="C47" s="14" t="s">
        <v>66</v>
      </c>
      <c r="D47" s="15" t="s">
        <v>25</v>
      </c>
      <c r="E47" s="16">
        <v>30</v>
      </c>
      <c r="F47" s="17">
        <f>ROUND(AVERAGE(12,11.89),2)</f>
        <v>11.95</v>
      </c>
      <c r="G47" s="18"/>
      <c r="H47" s="16"/>
      <c r="I47" s="16">
        <f>IF(G47=0,ROUND($E47*$F47,2),ROUND($E47*$F47*$G47,2))</f>
        <v>358.5</v>
      </c>
      <c r="J47" s="16"/>
      <c r="K47" s="16"/>
      <c r="L47" s="16"/>
      <c r="M47" s="16"/>
      <c r="N47" s="16"/>
      <c r="O47" s="16"/>
      <c r="P47" s="16"/>
      <c r="Q47" s="16"/>
      <c r="R47" s="16"/>
      <c r="S47" s="63">
        <f>ROUND(($V47/S$72),3)</f>
        <v>0.02</v>
      </c>
      <c r="T47" s="16"/>
      <c r="U47" s="16">
        <f>ROUND((($U$72*$W$72*$U$73*$U$74*$W47)/2000),2)</f>
        <v>1.03</v>
      </c>
      <c r="V47" s="16">
        <f t="shared" si="16"/>
        <v>39.83</v>
      </c>
      <c r="W47" s="16">
        <f t="shared" si="16"/>
        <v>39.83</v>
      </c>
      <c r="X47" s="16"/>
      <c r="Y47" s="16"/>
      <c r="Z47" s="16"/>
      <c r="AA47" s="16"/>
      <c r="AB47" s="16"/>
      <c r="AC47" s="16"/>
      <c r="AD47" s="16"/>
      <c r="AE47" s="16"/>
      <c r="AF47" s="78"/>
      <c r="AG47" s="79"/>
    </row>
    <row r="48" spans="1:33" s="5" customFormat="1" ht="21.75" customHeight="1">
      <c r="A48" s="12">
        <f t="shared" si="1"/>
        <v>36</v>
      </c>
      <c r="B48" s="13"/>
      <c r="C48" s="14"/>
      <c r="D48" s="15"/>
      <c r="E48" s="16"/>
      <c r="F48" s="17"/>
      <c r="G48" s="18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78"/>
      <c r="AG48" s="79"/>
    </row>
    <row r="49" spans="1:33" s="5" customFormat="1" ht="21.75" customHeight="1" thickBot="1">
      <c r="A49" s="12">
        <f t="shared" si="1"/>
        <v>37</v>
      </c>
      <c r="B49" s="13">
        <v>88798.38</v>
      </c>
      <c r="C49" s="14">
        <v>88933.61</v>
      </c>
      <c r="D49" s="15" t="s">
        <v>25</v>
      </c>
      <c r="E49" s="16">
        <f aca="true" t="shared" si="17" ref="E49:E57">C49-B49</f>
        <v>135.22999999999593</v>
      </c>
      <c r="F49" s="104" t="s">
        <v>23</v>
      </c>
      <c r="G49" s="105"/>
      <c r="H49" s="105"/>
      <c r="I49" s="106"/>
      <c r="J49" s="16">
        <v>1715.25</v>
      </c>
      <c r="K49" s="42"/>
      <c r="L49" s="16"/>
      <c r="M49" s="16"/>
      <c r="N49" s="16"/>
      <c r="O49" s="16"/>
      <c r="P49" s="16"/>
      <c r="Q49" s="16"/>
      <c r="R49" s="16"/>
      <c r="S49" s="63">
        <f aca="true" t="shared" si="18" ref="S49:S57">ROUND(($V49/S$72),3)</f>
        <v>0.095</v>
      </c>
      <c r="T49" s="16"/>
      <c r="U49" s="16">
        <f aca="true" t="shared" si="19" ref="U49:U57">ROUND((($U$72*$W$72*$U$73*$U$74*$W49)/2000),2)</f>
        <v>4.93</v>
      </c>
      <c r="V49" s="16">
        <f t="shared" si="16"/>
        <v>190.58</v>
      </c>
      <c r="W49" s="16">
        <f t="shared" si="16"/>
        <v>190.58</v>
      </c>
      <c r="X49" s="16"/>
      <c r="Y49" s="16"/>
      <c r="Z49" s="16"/>
      <c r="AA49" s="16"/>
      <c r="AB49" s="16"/>
      <c r="AC49" s="16"/>
      <c r="AD49" s="16"/>
      <c r="AE49" s="16"/>
      <c r="AF49" s="103"/>
      <c r="AG49" s="82"/>
    </row>
    <row r="50" spans="1:33" s="5" customFormat="1" ht="21.75" customHeight="1">
      <c r="A50" s="12">
        <f t="shared" si="1"/>
        <v>38</v>
      </c>
      <c r="B50" s="13">
        <f t="shared" si="8"/>
        <v>88933.61</v>
      </c>
      <c r="C50" s="14">
        <v>89266.83</v>
      </c>
      <c r="D50" s="15" t="s">
        <v>25</v>
      </c>
      <c r="E50" s="16">
        <f t="shared" si="17"/>
        <v>333.22000000000116</v>
      </c>
      <c r="F50" s="17">
        <f>ROUND(AVERAGE(12,16),2)</f>
        <v>14</v>
      </c>
      <c r="G50" s="18">
        <f>ROUND((4583.662+($F50/2))/4583.662,4)</f>
        <v>1.0015</v>
      </c>
      <c r="H50" s="16"/>
      <c r="I50" s="16">
        <f aca="true" t="shared" si="20" ref="I50:I57">IF(G50=0,ROUND($E50*$F50,2),ROUND($E50*$F50*$G50,2))</f>
        <v>4672.08</v>
      </c>
      <c r="J50" s="16"/>
      <c r="K50" s="16"/>
      <c r="L50" s="16"/>
      <c r="M50" s="16"/>
      <c r="N50" s="16"/>
      <c r="O50" s="16"/>
      <c r="P50" s="16"/>
      <c r="Q50" s="16"/>
      <c r="R50" s="16"/>
      <c r="S50" s="63">
        <f t="shared" si="18"/>
        <v>0.26</v>
      </c>
      <c r="T50" s="16"/>
      <c r="U50" s="16">
        <f t="shared" si="19"/>
        <v>13.43</v>
      </c>
      <c r="V50" s="16">
        <f t="shared" si="16"/>
        <v>519.12</v>
      </c>
      <c r="W50" s="16">
        <f t="shared" si="16"/>
        <v>519.12</v>
      </c>
      <c r="X50" s="16"/>
      <c r="Y50" s="16"/>
      <c r="Z50" s="16"/>
      <c r="AA50" s="16"/>
      <c r="AB50" s="16"/>
      <c r="AC50" s="16"/>
      <c r="AD50" s="16"/>
      <c r="AE50" s="16"/>
      <c r="AF50" s="76" t="s">
        <v>91</v>
      </c>
      <c r="AG50" s="77"/>
    </row>
    <row r="51" spans="1:33" s="5" customFormat="1" ht="21.75" customHeight="1">
      <c r="A51" s="12">
        <f t="shared" si="1"/>
        <v>39</v>
      </c>
      <c r="B51" s="13">
        <f t="shared" si="8"/>
        <v>89266.83</v>
      </c>
      <c r="C51" s="14">
        <v>89517.13</v>
      </c>
      <c r="D51" s="15" t="s">
        <v>25</v>
      </c>
      <c r="E51" s="16">
        <f t="shared" si="17"/>
        <v>250.3000000000029</v>
      </c>
      <c r="F51" s="17">
        <v>16</v>
      </c>
      <c r="G51" s="18">
        <f>ROUND((4583.662+($F51/2))/4583.662,4)</f>
        <v>1.0017</v>
      </c>
      <c r="H51" s="16"/>
      <c r="I51" s="16">
        <f t="shared" si="20"/>
        <v>4011.61</v>
      </c>
      <c r="J51" s="16"/>
      <c r="K51" s="16"/>
      <c r="L51" s="16"/>
      <c r="M51" s="16"/>
      <c r="N51" s="16"/>
      <c r="O51" s="16"/>
      <c r="P51" s="16"/>
      <c r="Q51" s="16"/>
      <c r="R51" s="16"/>
      <c r="S51" s="63">
        <f t="shared" si="18"/>
        <v>0.223</v>
      </c>
      <c r="T51" s="16"/>
      <c r="U51" s="16">
        <f t="shared" si="19"/>
        <v>11.53</v>
      </c>
      <c r="V51" s="16">
        <f t="shared" si="16"/>
        <v>445.73</v>
      </c>
      <c r="W51" s="16">
        <f t="shared" si="16"/>
        <v>445.73</v>
      </c>
      <c r="X51" s="16"/>
      <c r="Y51" s="16"/>
      <c r="Z51" s="16"/>
      <c r="AA51" s="16"/>
      <c r="AB51" s="16"/>
      <c r="AC51" s="16"/>
      <c r="AD51" s="16"/>
      <c r="AE51" s="16"/>
      <c r="AF51" s="78"/>
      <c r="AG51" s="79"/>
    </row>
    <row r="52" spans="1:33" s="5" customFormat="1" ht="21.75" customHeight="1">
      <c r="A52" s="12">
        <f t="shared" si="1"/>
        <v>40</v>
      </c>
      <c r="B52" s="13">
        <f t="shared" si="8"/>
        <v>89517.13</v>
      </c>
      <c r="C52" s="14">
        <v>89717.13</v>
      </c>
      <c r="D52" s="15" t="s">
        <v>25</v>
      </c>
      <c r="E52" s="16">
        <f t="shared" si="17"/>
        <v>200</v>
      </c>
      <c r="F52" s="17">
        <v>16</v>
      </c>
      <c r="G52" s="18">
        <f>ROUND((((4583.662+($F52/2))/4583.662)+((2083.483+($F52/2))/2083.483))/2,4)</f>
        <v>1.0028</v>
      </c>
      <c r="H52" s="16"/>
      <c r="I52" s="16">
        <f t="shared" si="20"/>
        <v>3208.96</v>
      </c>
      <c r="J52" s="16"/>
      <c r="K52" s="16"/>
      <c r="L52" s="16"/>
      <c r="M52" s="16"/>
      <c r="N52" s="16"/>
      <c r="O52" s="16"/>
      <c r="P52" s="16"/>
      <c r="Q52" s="16"/>
      <c r="R52" s="16"/>
      <c r="S52" s="63">
        <f t="shared" si="18"/>
        <v>0.178</v>
      </c>
      <c r="T52" s="16"/>
      <c r="U52" s="16">
        <f t="shared" si="19"/>
        <v>9.23</v>
      </c>
      <c r="V52" s="16">
        <f t="shared" si="16"/>
        <v>356.55</v>
      </c>
      <c r="W52" s="16">
        <f t="shared" si="16"/>
        <v>356.55</v>
      </c>
      <c r="X52" s="16"/>
      <c r="Y52" s="16"/>
      <c r="Z52" s="16"/>
      <c r="AA52" s="16"/>
      <c r="AB52" s="16"/>
      <c r="AC52" s="16"/>
      <c r="AD52" s="16"/>
      <c r="AE52" s="16"/>
      <c r="AF52" s="78"/>
      <c r="AG52" s="79"/>
    </row>
    <row r="53" spans="1:33" s="5" customFormat="1" ht="21.75" customHeight="1">
      <c r="A53" s="12">
        <f t="shared" si="1"/>
        <v>41</v>
      </c>
      <c r="B53" s="13">
        <f t="shared" si="8"/>
        <v>89717.13</v>
      </c>
      <c r="C53" s="14">
        <v>89901.12</v>
      </c>
      <c r="D53" s="15" t="s">
        <v>25</v>
      </c>
      <c r="E53" s="16">
        <f t="shared" si="17"/>
        <v>183.9899999999907</v>
      </c>
      <c r="F53" s="17">
        <v>16</v>
      </c>
      <c r="G53" s="18">
        <f>ROUND((2083.483+($F53/2))/2083.483,4)</f>
        <v>1.0038</v>
      </c>
      <c r="H53" s="16"/>
      <c r="I53" s="16">
        <f t="shared" si="20"/>
        <v>2955.03</v>
      </c>
      <c r="J53" s="16"/>
      <c r="K53" s="16"/>
      <c r="L53" s="16"/>
      <c r="M53" s="16"/>
      <c r="N53" s="16"/>
      <c r="O53" s="16"/>
      <c r="P53" s="16"/>
      <c r="Q53" s="16"/>
      <c r="R53" s="16"/>
      <c r="S53" s="63">
        <f t="shared" si="18"/>
        <v>0.164</v>
      </c>
      <c r="T53" s="16"/>
      <c r="U53" s="16">
        <f t="shared" si="19"/>
        <v>8.5</v>
      </c>
      <c r="V53" s="16">
        <f t="shared" si="16"/>
        <v>328.34</v>
      </c>
      <c r="W53" s="16">
        <f t="shared" si="16"/>
        <v>328.34</v>
      </c>
      <c r="X53" s="16"/>
      <c r="Y53" s="16"/>
      <c r="Z53" s="16"/>
      <c r="AA53" s="16"/>
      <c r="AB53" s="16"/>
      <c r="AC53" s="16"/>
      <c r="AD53" s="16"/>
      <c r="AE53" s="16"/>
      <c r="AF53" s="78"/>
      <c r="AG53" s="79"/>
    </row>
    <row r="54" spans="1:33" s="5" customFormat="1" ht="21.75" customHeight="1">
      <c r="A54" s="12">
        <f t="shared" si="1"/>
        <v>42</v>
      </c>
      <c r="B54" s="13">
        <f t="shared" si="8"/>
        <v>89901.12</v>
      </c>
      <c r="C54" s="14">
        <v>90101.12</v>
      </c>
      <c r="D54" s="15" t="s">
        <v>25</v>
      </c>
      <c r="E54" s="16">
        <f t="shared" si="17"/>
        <v>200</v>
      </c>
      <c r="F54" s="17">
        <v>16</v>
      </c>
      <c r="G54" s="18">
        <f>ROUND((((1637.022+($F54/2))/1637.022)+((2083.483+($F54/2))/2083.483))/2,4)</f>
        <v>1.0044</v>
      </c>
      <c r="H54" s="16"/>
      <c r="I54" s="16">
        <f t="shared" si="20"/>
        <v>3214.08</v>
      </c>
      <c r="J54" s="16"/>
      <c r="K54" s="16"/>
      <c r="L54" s="16"/>
      <c r="M54" s="16"/>
      <c r="N54" s="16"/>
      <c r="O54" s="16"/>
      <c r="P54" s="16"/>
      <c r="Q54" s="16"/>
      <c r="R54" s="16"/>
      <c r="S54" s="63">
        <f t="shared" si="18"/>
        <v>0.179</v>
      </c>
      <c r="T54" s="16"/>
      <c r="U54" s="16">
        <f t="shared" si="19"/>
        <v>9.24</v>
      </c>
      <c r="V54" s="16">
        <f t="shared" si="16"/>
        <v>357.12</v>
      </c>
      <c r="W54" s="16">
        <f t="shared" si="16"/>
        <v>357.12</v>
      </c>
      <c r="X54" s="16"/>
      <c r="Y54" s="16"/>
      <c r="Z54" s="16"/>
      <c r="AA54" s="16"/>
      <c r="AB54" s="16"/>
      <c r="AC54" s="16"/>
      <c r="AD54" s="16"/>
      <c r="AE54" s="16"/>
      <c r="AF54" s="78"/>
      <c r="AG54" s="79"/>
    </row>
    <row r="55" spans="1:33" s="5" customFormat="1" ht="21.75" customHeight="1">
      <c r="A55" s="12">
        <f t="shared" si="1"/>
        <v>43</v>
      </c>
      <c r="B55" s="13">
        <f t="shared" si="8"/>
        <v>90101.12</v>
      </c>
      <c r="C55" s="14">
        <v>90855.05</v>
      </c>
      <c r="D55" s="15" t="s">
        <v>25</v>
      </c>
      <c r="E55" s="16">
        <f t="shared" si="17"/>
        <v>753.9300000000076</v>
      </c>
      <c r="F55" s="17">
        <v>16</v>
      </c>
      <c r="G55" s="18">
        <f>ROUND((1637.022+($F55/2))/1637.022,4)</f>
        <v>1.0049</v>
      </c>
      <c r="H55" s="16"/>
      <c r="I55" s="16">
        <f t="shared" si="20"/>
        <v>12121.99</v>
      </c>
      <c r="J55" s="16"/>
      <c r="K55" s="16"/>
      <c r="L55" s="16"/>
      <c r="M55" s="16"/>
      <c r="N55" s="16"/>
      <c r="O55" s="16"/>
      <c r="P55" s="16"/>
      <c r="Q55" s="16"/>
      <c r="R55" s="16"/>
      <c r="S55" s="63">
        <f t="shared" si="18"/>
        <v>0.673</v>
      </c>
      <c r="T55" s="16"/>
      <c r="U55" s="16">
        <f t="shared" si="19"/>
        <v>34.85</v>
      </c>
      <c r="V55" s="16">
        <f t="shared" si="16"/>
        <v>1346.89</v>
      </c>
      <c r="W55" s="16">
        <f t="shared" si="16"/>
        <v>1346.89</v>
      </c>
      <c r="X55" s="16"/>
      <c r="Y55" s="16"/>
      <c r="Z55" s="16"/>
      <c r="AA55" s="16"/>
      <c r="AB55" s="16"/>
      <c r="AC55" s="16"/>
      <c r="AD55" s="16"/>
      <c r="AE55" s="16"/>
      <c r="AF55" s="78"/>
      <c r="AG55" s="79"/>
    </row>
    <row r="56" spans="1:33" s="5" customFormat="1" ht="21.75" customHeight="1">
      <c r="A56" s="12">
        <f t="shared" si="1"/>
        <v>44</v>
      </c>
      <c r="B56" s="13">
        <f t="shared" si="8"/>
        <v>90855.05</v>
      </c>
      <c r="C56" s="14">
        <v>91055.05</v>
      </c>
      <c r="D56" s="15" t="s">
        <v>25</v>
      </c>
      <c r="E56" s="16">
        <f t="shared" si="17"/>
        <v>200</v>
      </c>
      <c r="F56" s="17">
        <v>16</v>
      </c>
      <c r="G56" s="18">
        <f>ROUND((((1637.022+($F56/2))/1637.022)+((2237.045+($F56/2))/2237.045))/2,4)</f>
        <v>1.0042</v>
      </c>
      <c r="H56" s="16"/>
      <c r="I56" s="16">
        <f t="shared" si="20"/>
        <v>3213.44</v>
      </c>
      <c r="J56" s="16"/>
      <c r="K56" s="16"/>
      <c r="L56" s="16"/>
      <c r="M56" s="16"/>
      <c r="N56" s="16"/>
      <c r="O56" s="16"/>
      <c r="P56" s="16"/>
      <c r="Q56" s="16"/>
      <c r="R56" s="16"/>
      <c r="S56" s="63">
        <f t="shared" si="18"/>
        <v>0.179</v>
      </c>
      <c r="T56" s="16"/>
      <c r="U56" s="16">
        <f t="shared" si="19"/>
        <v>9.24</v>
      </c>
      <c r="V56" s="16">
        <f t="shared" si="16"/>
        <v>357.05</v>
      </c>
      <c r="W56" s="16">
        <f t="shared" si="16"/>
        <v>357.05</v>
      </c>
      <c r="X56" s="16"/>
      <c r="Y56" s="16"/>
      <c r="Z56" s="16"/>
      <c r="AA56" s="16"/>
      <c r="AB56" s="16"/>
      <c r="AC56" s="16"/>
      <c r="AD56" s="16"/>
      <c r="AE56" s="16"/>
      <c r="AF56" s="78"/>
      <c r="AG56" s="79"/>
    </row>
    <row r="57" spans="1:33" s="5" customFormat="1" ht="21.75" customHeight="1">
      <c r="A57" s="12">
        <f t="shared" si="1"/>
        <v>45</v>
      </c>
      <c r="B57" s="13">
        <f t="shared" si="8"/>
        <v>91055.05</v>
      </c>
      <c r="C57" s="14">
        <v>91489.43</v>
      </c>
      <c r="D57" s="15" t="s">
        <v>25</v>
      </c>
      <c r="E57" s="16">
        <f t="shared" si="17"/>
        <v>434.3799999999901</v>
      </c>
      <c r="F57" s="17">
        <v>16</v>
      </c>
      <c r="G57" s="18">
        <f>ROUND((2237.045+($F57/2))/2237.045,4)</f>
        <v>1.0036</v>
      </c>
      <c r="H57" s="16"/>
      <c r="I57" s="16">
        <f t="shared" si="20"/>
        <v>6975.1</v>
      </c>
      <c r="J57" s="16"/>
      <c r="K57" s="16"/>
      <c r="L57" s="16"/>
      <c r="M57" s="16"/>
      <c r="N57" s="16"/>
      <c r="O57" s="16"/>
      <c r="P57" s="16"/>
      <c r="Q57" s="16"/>
      <c r="R57" s="16"/>
      <c r="S57" s="63">
        <f t="shared" si="18"/>
        <v>0.388</v>
      </c>
      <c r="T57" s="16"/>
      <c r="U57" s="16">
        <f t="shared" si="19"/>
        <v>20.05</v>
      </c>
      <c r="V57" s="16">
        <f t="shared" si="16"/>
        <v>775.01</v>
      </c>
      <c r="W57" s="16">
        <f t="shared" si="16"/>
        <v>775.01</v>
      </c>
      <c r="X57" s="16"/>
      <c r="Y57" s="16"/>
      <c r="Z57" s="16"/>
      <c r="AA57" s="16"/>
      <c r="AB57" s="16"/>
      <c r="AC57" s="16"/>
      <c r="AD57" s="16"/>
      <c r="AE57" s="16"/>
      <c r="AF57" s="78"/>
      <c r="AG57" s="79"/>
    </row>
    <row r="58" spans="1:33" s="5" customFormat="1" ht="21.75" customHeight="1">
      <c r="A58" s="12">
        <f t="shared" si="1"/>
        <v>46</v>
      </c>
      <c r="B58" s="13"/>
      <c r="C58" s="14"/>
      <c r="D58" s="15"/>
      <c r="E58" s="16"/>
      <c r="F58" s="17"/>
      <c r="G58" s="18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78"/>
      <c r="AG58" s="79"/>
    </row>
    <row r="59" spans="1:33" s="25" customFormat="1" ht="21.75" customHeight="1">
      <c r="A59" s="12">
        <f t="shared" si="1"/>
        <v>47</v>
      </c>
      <c r="B59" s="13"/>
      <c r="C59" s="14"/>
      <c r="D59" s="15"/>
      <c r="E59" s="16"/>
      <c r="F59" s="17"/>
      <c r="G59" s="18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78"/>
      <c r="AG59" s="79"/>
    </row>
    <row r="60" spans="1:33" s="25" customFormat="1" ht="21.75" customHeight="1">
      <c r="A60" s="12">
        <f t="shared" si="1"/>
        <v>48</v>
      </c>
      <c r="B60" s="13"/>
      <c r="C60" s="14"/>
      <c r="D60" s="15"/>
      <c r="E60" s="16"/>
      <c r="F60" s="17"/>
      <c r="G60" s="18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78"/>
      <c r="AG60" s="79"/>
    </row>
    <row r="61" spans="1:33" s="25" customFormat="1" ht="21.75" customHeight="1">
      <c r="A61" s="12">
        <f t="shared" si="1"/>
        <v>49</v>
      </c>
      <c r="B61" s="13"/>
      <c r="C61" s="14"/>
      <c r="D61" s="15"/>
      <c r="E61" s="16"/>
      <c r="F61" s="17"/>
      <c r="G61" s="18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78"/>
      <c r="AG61" s="79"/>
    </row>
    <row r="62" spans="1:33" s="25" customFormat="1" ht="21.75" customHeight="1">
      <c r="A62" s="12">
        <f t="shared" si="1"/>
        <v>50</v>
      </c>
      <c r="B62" s="13"/>
      <c r="C62" s="14"/>
      <c r="D62" s="15"/>
      <c r="E62" s="16"/>
      <c r="F62" s="17"/>
      <c r="G62" s="18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78"/>
      <c r="AG62" s="79"/>
    </row>
    <row r="63" spans="1:33" s="25" customFormat="1" ht="21.75" customHeight="1">
      <c r="A63" s="12">
        <f t="shared" si="1"/>
        <v>51</v>
      </c>
      <c r="B63" s="13"/>
      <c r="C63" s="14"/>
      <c r="D63" s="15"/>
      <c r="E63" s="16"/>
      <c r="F63" s="17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80"/>
      <c r="AG63" s="79"/>
    </row>
    <row r="64" spans="1:33" s="25" customFormat="1" ht="21.75" customHeight="1">
      <c r="A64" s="12">
        <f t="shared" si="1"/>
        <v>52</v>
      </c>
      <c r="B64" s="13"/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80"/>
      <c r="AG64" s="79"/>
    </row>
    <row r="65" spans="1:33" s="25" customFormat="1" ht="21.75" customHeight="1">
      <c r="A65" s="12">
        <f t="shared" si="1"/>
        <v>53</v>
      </c>
      <c r="B65" s="13"/>
      <c r="C65" s="14"/>
      <c r="D65" s="15"/>
      <c r="E65" s="16"/>
      <c r="F65" s="17"/>
      <c r="G65" s="1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80"/>
      <c r="AG65" s="79"/>
    </row>
    <row r="66" spans="1:33" s="25" customFormat="1" ht="21.75" customHeight="1" thickBot="1">
      <c r="A66" s="12">
        <f t="shared" si="1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81"/>
      <c r="AG66" s="82"/>
    </row>
    <row r="67" spans="2:33" s="26" customFormat="1" ht="46.5" customHeight="1">
      <c r="B67" s="95" t="s">
        <v>8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7"/>
      <c r="R67" s="85" t="str">
        <f aca="true" t="shared" si="21" ref="R67:AE67">IF(SUM(R13:R66)=0," ",ROUNDUP(SUM(R13:R66),0))</f>
        <v> </v>
      </c>
      <c r="S67" s="85">
        <f t="shared" si="21"/>
        <v>4</v>
      </c>
      <c r="T67" s="85" t="str">
        <f t="shared" si="21"/>
        <v> </v>
      </c>
      <c r="U67" s="85">
        <f t="shared" si="21"/>
        <v>184</v>
      </c>
      <c r="V67" s="85">
        <f t="shared" si="21"/>
        <v>7076</v>
      </c>
      <c r="W67" s="85">
        <f t="shared" si="21"/>
        <v>7076</v>
      </c>
      <c r="X67" s="85" t="str">
        <f t="shared" si="21"/>
        <v> </v>
      </c>
      <c r="Y67" s="85" t="str">
        <f t="shared" si="21"/>
        <v> </v>
      </c>
      <c r="Z67" s="85" t="str">
        <f t="shared" si="21"/>
        <v> </v>
      </c>
      <c r="AA67" s="85" t="str">
        <f t="shared" si="21"/>
        <v> </v>
      </c>
      <c r="AB67" s="85" t="str">
        <f t="shared" si="21"/>
        <v> </v>
      </c>
      <c r="AC67" s="85" t="str">
        <f t="shared" si="21"/>
        <v> </v>
      </c>
      <c r="AD67" s="85" t="str">
        <f t="shared" si="21"/>
        <v> </v>
      </c>
      <c r="AE67" s="85" t="str">
        <f t="shared" si="21"/>
        <v> </v>
      </c>
      <c r="AF67" s="87">
        <v>14</v>
      </c>
      <c r="AG67" s="88"/>
    </row>
    <row r="68" spans="2:33" s="26" customFormat="1" ht="46.5" customHeight="1" thickBot="1"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100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3">
        <v>16</v>
      </c>
      <c r="AG68" s="84"/>
    </row>
    <row r="69" spans="1:34" ht="36" customHeight="1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T69" s="28"/>
      <c r="U69" s="28"/>
      <c r="V69" s="1"/>
      <c r="W69" s="28"/>
      <c r="X69" s="28"/>
      <c r="Y69" s="28"/>
      <c r="Z69" s="28"/>
      <c r="AA69" s="28"/>
      <c r="AB69" s="28"/>
      <c r="AF69" s="28"/>
      <c r="AG69" s="28"/>
      <c r="AH69" s="29"/>
    </row>
    <row r="70" spans="2:33" ht="12.7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T70" s="28"/>
      <c r="U70" s="28"/>
      <c r="V70" s="1"/>
      <c r="W70" s="28"/>
      <c r="X70" s="28"/>
      <c r="Y70" s="28"/>
      <c r="Z70" s="28"/>
      <c r="AA70" s="28"/>
      <c r="AB70" s="28"/>
      <c r="AF70" s="28"/>
      <c r="AG70" s="28"/>
    </row>
    <row r="71" spans="2:33" ht="12.7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T71" s="28"/>
      <c r="U71" s="28"/>
      <c r="V71" s="1"/>
      <c r="W71" s="28"/>
      <c r="X71" s="28"/>
      <c r="Y71" s="28"/>
      <c r="Z71" s="28"/>
      <c r="AA71" s="28"/>
      <c r="AB71" s="28"/>
      <c r="AF71" s="28"/>
      <c r="AG71" s="28"/>
    </row>
    <row r="72" spans="2:33" ht="15.75">
      <c r="B72" s="64" t="s">
        <v>26</v>
      </c>
      <c r="C72" s="65"/>
      <c r="D72" s="65"/>
      <c r="E72" s="65"/>
      <c r="F72" s="65"/>
      <c r="G72" s="66"/>
      <c r="H72" s="43"/>
      <c r="I72" s="43"/>
      <c r="J72" s="43"/>
      <c r="K72" s="43">
        <v>4</v>
      </c>
      <c r="L72" s="43">
        <v>6</v>
      </c>
      <c r="M72" s="43">
        <v>10</v>
      </c>
      <c r="N72" s="43">
        <v>16</v>
      </c>
      <c r="O72" s="43">
        <v>18</v>
      </c>
      <c r="P72" s="43">
        <v>20</v>
      </c>
      <c r="Q72" s="43">
        <v>22</v>
      </c>
      <c r="R72" s="45"/>
      <c r="S72" s="62">
        <v>2000</v>
      </c>
      <c r="T72" s="44"/>
      <c r="U72" s="44">
        <v>0.75</v>
      </c>
      <c r="V72" s="62"/>
      <c r="W72" s="62">
        <v>12</v>
      </c>
      <c r="X72" s="45"/>
      <c r="Y72" s="44"/>
      <c r="Z72" s="44"/>
      <c r="AA72" s="44"/>
      <c r="AB72" s="44"/>
      <c r="AC72" s="44"/>
      <c r="AD72" s="44"/>
      <c r="AF72" s="28"/>
      <c r="AG72" s="28"/>
    </row>
    <row r="73" spans="2:33" ht="15">
      <c r="B73" s="28"/>
      <c r="C73" s="28"/>
      <c r="D73" s="28"/>
      <c r="E73" s="28"/>
      <c r="F73" s="28"/>
      <c r="G73" s="28"/>
      <c r="H73" s="24"/>
      <c r="I73" s="28"/>
      <c r="J73" s="28"/>
      <c r="K73" s="28"/>
      <c r="L73" s="28"/>
      <c r="M73" s="28"/>
      <c r="N73" s="28"/>
      <c r="O73" s="28"/>
      <c r="P73" s="28"/>
      <c r="Q73" s="28"/>
      <c r="R73" s="24"/>
      <c r="T73" s="43"/>
      <c r="U73" s="43">
        <v>115</v>
      </c>
      <c r="V73" s="62"/>
      <c r="W73" s="46"/>
      <c r="X73" s="28"/>
      <c r="Y73" s="28"/>
      <c r="Z73" s="28"/>
      <c r="AA73" s="28"/>
      <c r="AB73" s="28"/>
      <c r="AF73" s="28"/>
      <c r="AG73" s="28"/>
    </row>
    <row r="74" spans="2:33" ht="15">
      <c r="B74" s="28"/>
      <c r="C74" s="30"/>
      <c r="D74" s="28"/>
      <c r="E74" s="28"/>
      <c r="F74" s="28"/>
      <c r="G74" s="28"/>
      <c r="H74" s="31"/>
      <c r="I74" s="28"/>
      <c r="J74" s="28"/>
      <c r="K74" s="120"/>
      <c r="L74" s="121"/>
      <c r="M74" s="121"/>
      <c r="N74" s="121"/>
      <c r="O74" s="121"/>
      <c r="P74" s="121"/>
      <c r="Q74" s="121"/>
      <c r="R74" s="31"/>
      <c r="S74" s="31"/>
      <c r="T74" s="31"/>
      <c r="U74" s="31">
        <v>0.05</v>
      </c>
      <c r="V74" s="44"/>
      <c r="W74" s="31"/>
      <c r="X74" s="31"/>
      <c r="Y74" s="31"/>
      <c r="Z74" s="31"/>
      <c r="AA74" s="31"/>
      <c r="AB74" s="31"/>
      <c r="AC74" s="31"/>
      <c r="AD74" s="31"/>
      <c r="AE74" s="31"/>
      <c r="AF74" s="28"/>
      <c r="AG74" s="28"/>
    </row>
  </sheetData>
  <sheetProtection/>
  <mergeCells count="56">
    <mergeCell ref="B67:Q68"/>
    <mergeCell ref="F3:F11"/>
    <mergeCell ref="G3:G11"/>
    <mergeCell ref="H3:H11"/>
    <mergeCell ref="I3:I11"/>
    <mergeCell ref="AF3:AF5"/>
    <mergeCell ref="P3:P11"/>
    <mergeCell ref="Q3:Q11"/>
    <mergeCell ref="AA4:AA11"/>
    <mergeCell ref="O3:O11"/>
    <mergeCell ref="AG3:AG5"/>
    <mergeCell ref="R4:R11"/>
    <mergeCell ref="S4:S11"/>
    <mergeCell ref="T4:T11"/>
    <mergeCell ref="U4:U11"/>
    <mergeCell ref="AF6:AG49"/>
    <mergeCell ref="AB4:AB11"/>
    <mergeCell ref="AC4:AC11"/>
    <mergeCell ref="AD4:AD11"/>
    <mergeCell ref="AE4:AE11"/>
    <mergeCell ref="F49:I49"/>
    <mergeCell ref="V4:V11"/>
    <mergeCell ref="V67:V68"/>
    <mergeCell ref="B14:I14"/>
    <mergeCell ref="B3:C11"/>
    <mergeCell ref="D3:D11"/>
    <mergeCell ref="E3:E11"/>
    <mergeCell ref="F16:I16"/>
    <mergeCell ref="F24:I24"/>
    <mergeCell ref="B44:I44"/>
    <mergeCell ref="W4:W11"/>
    <mergeCell ref="J3:J11"/>
    <mergeCell ref="K3:K11"/>
    <mergeCell ref="L3:L11"/>
    <mergeCell ref="M3:M11"/>
    <mergeCell ref="N3:N11"/>
    <mergeCell ref="AD67:AD68"/>
    <mergeCell ref="AE67:AE68"/>
    <mergeCell ref="X4:X11"/>
    <mergeCell ref="Y4:Y11"/>
    <mergeCell ref="Z4:Z11"/>
    <mergeCell ref="K74:Q74"/>
    <mergeCell ref="X67:X68"/>
    <mergeCell ref="Y67:Y68"/>
    <mergeCell ref="Z67:Z68"/>
    <mergeCell ref="AA67:AA68"/>
    <mergeCell ref="AF50:AG66"/>
    <mergeCell ref="T67:T68"/>
    <mergeCell ref="U67:U68"/>
    <mergeCell ref="W67:W68"/>
    <mergeCell ref="AB67:AB68"/>
    <mergeCell ref="R67:R68"/>
    <mergeCell ref="S67:S68"/>
    <mergeCell ref="AF67:AG67"/>
    <mergeCell ref="AF68:AG68"/>
    <mergeCell ref="AC67:AC68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L16" sqref="L16"/>
    </sheetView>
  </sheetViews>
  <sheetFormatPr defaultColWidth="9.140625" defaultRowHeight="12.75"/>
  <cols>
    <col min="1" max="3" width="24.7109375" style="1" customWidth="1"/>
    <col min="4" max="21" width="15.7109375" style="1" customWidth="1"/>
    <col min="22" max="22" width="15.7109375" style="47" customWidth="1"/>
    <col min="23" max="31" width="15.7109375" style="1" customWidth="1"/>
    <col min="32" max="34" width="6.7109375" style="1" customWidth="1"/>
    <col min="35" max="16384" width="9.140625" style="1" customWidth="1"/>
  </cols>
  <sheetData>
    <row r="1" spans="18:27" ht="12.75">
      <c r="R1" s="49"/>
      <c r="S1" s="49"/>
      <c r="T1" s="49"/>
      <c r="U1" s="49"/>
      <c r="V1" s="50"/>
      <c r="W1" s="49"/>
      <c r="X1" s="49"/>
      <c r="Z1" s="49"/>
      <c r="AA1" s="49"/>
    </row>
    <row r="2" spans="1:34" s="4" customFormat="1" ht="36" customHeight="1" thickBot="1">
      <c r="A2" s="2"/>
      <c r="B2" s="32" t="s">
        <v>14</v>
      </c>
      <c r="C2" s="33"/>
      <c r="D2" s="34"/>
      <c r="E2" s="34"/>
      <c r="F2" s="34"/>
      <c r="G2" s="34"/>
      <c r="H2" s="51"/>
      <c r="I2" s="35"/>
      <c r="J2" s="34"/>
      <c r="K2" s="34"/>
      <c r="L2" s="34"/>
      <c r="M2" s="34"/>
      <c r="N2" s="34"/>
      <c r="O2" s="34"/>
      <c r="P2" s="34"/>
      <c r="Q2" s="35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2"/>
      <c r="AD2" s="48"/>
      <c r="AH2" s="3"/>
    </row>
    <row r="3" spans="2:34" s="5" customFormat="1" ht="21.75" customHeight="1">
      <c r="B3" s="95" t="s">
        <v>0</v>
      </c>
      <c r="C3" s="97"/>
      <c r="D3" s="117" t="s">
        <v>3</v>
      </c>
      <c r="E3" s="117" t="s">
        <v>4</v>
      </c>
      <c r="F3" s="117" t="s">
        <v>5</v>
      </c>
      <c r="G3" s="107" t="s">
        <v>12</v>
      </c>
      <c r="H3" s="107" t="s">
        <v>93</v>
      </c>
      <c r="I3" s="117" t="s">
        <v>6</v>
      </c>
      <c r="J3" s="107" t="s">
        <v>10</v>
      </c>
      <c r="K3" s="107"/>
      <c r="L3" s="107"/>
      <c r="M3" s="107"/>
      <c r="N3" s="107"/>
      <c r="O3" s="107" t="s">
        <v>15</v>
      </c>
      <c r="P3" s="107" t="s">
        <v>16</v>
      </c>
      <c r="Q3" s="107" t="s">
        <v>17</v>
      </c>
      <c r="R3" s="36">
        <v>204</v>
      </c>
      <c r="S3" s="37">
        <v>204</v>
      </c>
      <c r="T3" s="36"/>
      <c r="U3" s="37">
        <v>206</v>
      </c>
      <c r="V3" s="37">
        <v>206</v>
      </c>
      <c r="W3" s="36">
        <v>206</v>
      </c>
      <c r="X3" s="37"/>
      <c r="Y3" s="36"/>
      <c r="Z3" s="37"/>
      <c r="AA3" s="36"/>
      <c r="AB3" s="37"/>
      <c r="AC3" s="36"/>
      <c r="AD3" s="37"/>
      <c r="AE3" s="37"/>
      <c r="AF3" s="101" t="s">
        <v>11</v>
      </c>
      <c r="AG3" s="101" t="s">
        <v>13</v>
      </c>
      <c r="AH3" s="6"/>
    </row>
    <row r="4" spans="2:34" s="5" customFormat="1" ht="27.75" customHeight="1">
      <c r="B4" s="113"/>
      <c r="C4" s="114"/>
      <c r="D4" s="118"/>
      <c r="E4" s="118"/>
      <c r="F4" s="118"/>
      <c r="G4" s="90"/>
      <c r="H4" s="90"/>
      <c r="I4" s="118"/>
      <c r="J4" s="122"/>
      <c r="K4" s="122"/>
      <c r="L4" s="90"/>
      <c r="M4" s="90"/>
      <c r="N4" s="90"/>
      <c r="O4" s="90"/>
      <c r="P4" s="90"/>
      <c r="Q4" s="90"/>
      <c r="R4" s="92" t="s">
        <v>82</v>
      </c>
      <c r="S4" s="89" t="s">
        <v>83</v>
      </c>
      <c r="T4" s="92"/>
      <c r="U4" s="92" t="s">
        <v>92</v>
      </c>
      <c r="V4" s="89" t="s">
        <v>80</v>
      </c>
      <c r="W4" s="89" t="s">
        <v>81</v>
      </c>
      <c r="X4" s="89"/>
      <c r="Y4" s="92"/>
      <c r="Z4" s="89"/>
      <c r="AA4" s="92"/>
      <c r="AB4" s="89"/>
      <c r="AC4" s="92"/>
      <c r="AD4" s="89"/>
      <c r="AE4" s="89"/>
      <c r="AF4" s="108"/>
      <c r="AG4" s="102"/>
      <c r="AH4" s="7"/>
    </row>
    <row r="5" spans="2:33" s="5" customFormat="1" ht="27.75" customHeight="1" thickBot="1">
      <c r="B5" s="113"/>
      <c r="C5" s="114"/>
      <c r="D5" s="118"/>
      <c r="E5" s="118"/>
      <c r="F5" s="118"/>
      <c r="G5" s="90"/>
      <c r="H5" s="90"/>
      <c r="I5" s="118"/>
      <c r="J5" s="122"/>
      <c r="K5" s="122"/>
      <c r="L5" s="90"/>
      <c r="M5" s="90"/>
      <c r="N5" s="90"/>
      <c r="O5" s="90"/>
      <c r="P5" s="90"/>
      <c r="Q5" s="90"/>
      <c r="R5" s="93"/>
      <c r="S5" s="90"/>
      <c r="T5" s="93"/>
      <c r="U5" s="93"/>
      <c r="V5" s="90"/>
      <c r="W5" s="90"/>
      <c r="X5" s="90"/>
      <c r="Y5" s="93"/>
      <c r="Z5" s="90"/>
      <c r="AA5" s="93"/>
      <c r="AB5" s="90"/>
      <c r="AC5" s="93"/>
      <c r="AD5" s="90"/>
      <c r="AE5" s="90"/>
      <c r="AF5" s="109"/>
      <c r="AG5" s="102"/>
    </row>
    <row r="6" spans="2:33" s="5" customFormat="1" ht="27.75" customHeight="1">
      <c r="B6" s="113"/>
      <c r="C6" s="114"/>
      <c r="D6" s="118"/>
      <c r="E6" s="118"/>
      <c r="F6" s="118"/>
      <c r="G6" s="90"/>
      <c r="H6" s="90"/>
      <c r="I6" s="118"/>
      <c r="J6" s="122"/>
      <c r="K6" s="122"/>
      <c r="L6" s="90"/>
      <c r="M6" s="90"/>
      <c r="N6" s="90"/>
      <c r="O6" s="90"/>
      <c r="P6" s="90"/>
      <c r="Q6" s="90"/>
      <c r="R6" s="93"/>
      <c r="S6" s="90"/>
      <c r="T6" s="93"/>
      <c r="U6" s="93"/>
      <c r="V6" s="90"/>
      <c r="W6" s="90"/>
      <c r="X6" s="90"/>
      <c r="Y6" s="93"/>
      <c r="Z6" s="90"/>
      <c r="AA6" s="93"/>
      <c r="AB6" s="90"/>
      <c r="AC6" s="93"/>
      <c r="AD6" s="90"/>
      <c r="AE6" s="90"/>
      <c r="AF6" s="76" t="s">
        <v>79</v>
      </c>
      <c r="AG6" s="77"/>
    </row>
    <row r="7" spans="2:33" s="5" customFormat="1" ht="27.75" customHeight="1">
      <c r="B7" s="113"/>
      <c r="C7" s="114"/>
      <c r="D7" s="118"/>
      <c r="E7" s="118"/>
      <c r="F7" s="118"/>
      <c r="G7" s="90"/>
      <c r="H7" s="90"/>
      <c r="I7" s="118"/>
      <c r="J7" s="122"/>
      <c r="K7" s="122"/>
      <c r="L7" s="90"/>
      <c r="M7" s="90"/>
      <c r="N7" s="90"/>
      <c r="O7" s="90"/>
      <c r="P7" s="90"/>
      <c r="Q7" s="90"/>
      <c r="R7" s="93"/>
      <c r="S7" s="90"/>
      <c r="T7" s="93"/>
      <c r="U7" s="93"/>
      <c r="V7" s="90"/>
      <c r="W7" s="90"/>
      <c r="X7" s="90"/>
      <c r="Y7" s="93"/>
      <c r="Z7" s="90"/>
      <c r="AA7" s="93"/>
      <c r="AB7" s="90"/>
      <c r="AC7" s="93"/>
      <c r="AD7" s="90"/>
      <c r="AE7" s="90"/>
      <c r="AF7" s="78"/>
      <c r="AG7" s="79"/>
    </row>
    <row r="8" spans="2:33" s="5" customFormat="1" ht="27.75" customHeight="1">
      <c r="B8" s="113"/>
      <c r="C8" s="114"/>
      <c r="D8" s="118"/>
      <c r="E8" s="118"/>
      <c r="F8" s="118"/>
      <c r="G8" s="90"/>
      <c r="H8" s="90"/>
      <c r="I8" s="118"/>
      <c r="J8" s="122"/>
      <c r="K8" s="122"/>
      <c r="L8" s="90"/>
      <c r="M8" s="90"/>
      <c r="N8" s="90"/>
      <c r="O8" s="90"/>
      <c r="P8" s="90"/>
      <c r="Q8" s="90"/>
      <c r="R8" s="93"/>
      <c r="S8" s="90"/>
      <c r="T8" s="93"/>
      <c r="U8" s="93"/>
      <c r="V8" s="90"/>
      <c r="W8" s="90"/>
      <c r="X8" s="90"/>
      <c r="Y8" s="93"/>
      <c r="Z8" s="90"/>
      <c r="AA8" s="93"/>
      <c r="AB8" s="90"/>
      <c r="AC8" s="93"/>
      <c r="AD8" s="90"/>
      <c r="AE8" s="90"/>
      <c r="AF8" s="78"/>
      <c r="AG8" s="79"/>
    </row>
    <row r="9" spans="2:33" s="5" customFormat="1" ht="27.75" customHeight="1">
      <c r="B9" s="113"/>
      <c r="C9" s="114"/>
      <c r="D9" s="118"/>
      <c r="E9" s="118"/>
      <c r="F9" s="118"/>
      <c r="G9" s="90"/>
      <c r="H9" s="90"/>
      <c r="I9" s="118"/>
      <c r="J9" s="122"/>
      <c r="K9" s="122"/>
      <c r="L9" s="90"/>
      <c r="M9" s="90"/>
      <c r="N9" s="90"/>
      <c r="O9" s="90"/>
      <c r="P9" s="90"/>
      <c r="Q9" s="90"/>
      <c r="R9" s="93"/>
      <c r="S9" s="90"/>
      <c r="T9" s="93"/>
      <c r="U9" s="93"/>
      <c r="V9" s="90"/>
      <c r="W9" s="90"/>
      <c r="X9" s="90"/>
      <c r="Y9" s="93"/>
      <c r="Z9" s="90"/>
      <c r="AA9" s="93"/>
      <c r="AB9" s="90"/>
      <c r="AC9" s="93"/>
      <c r="AD9" s="90"/>
      <c r="AE9" s="90"/>
      <c r="AF9" s="78"/>
      <c r="AG9" s="79"/>
    </row>
    <row r="10" spans="2:33" s="5" customFormat="1" ht="27.75" customHeight="1">
      <c r="B10" s="113"/>
      <c r="C10" s="114"/>
      <c r="D10" s="118"/>
      <c r="E10" s="118"/>
      <c r="F10" s="118"/>
      <c r="G10" s="90"/>
      <c r="H10" s="90"/>
      <c r="I10" s="118"/>
      <c r="J10" s="122"/>
      <c r="K10" s="122"/>
      <c r="L10" s="90"/>
      <c r="M10" s="90"/>
      <c r="N10" s="90"/>
      <c r="O10" s="90"/>
      <c r="P10" s="90"/>
      <c r="Q10" s="90"/>
      <c r="R10" s="93"/>
      <c r="S10" s="90"/>
      <c r="T10" s="93"/>
      <c r="U10" s="93"/>
      <c r="V10" s="90"/>
      <c r="W10" s="90"/>
      <c r="X10" s="90"/>
      <c r="Y10" s="93"/>
      <c r="Z10" s="90"/>
      <c r="AA10" s="93"/>
      <c r="AB10" s="90"/>
      <c r="AC10" s="93"/>
      <c r="AD10" s="90"/>
      <c r="AE10" s="90"/>
      <c r="AF10" s="78"/>
      <c r="AG10" s="79"/>
    </row>
    <row r="11" spans="2:33" s="8" customFormat="1" ht="27.75" customHeight="1">
      <c r="B11" s="115"/>
      <c r="C11" s="116"/>
      <c r="D11" s="119"/>
      <c r="E11" s="119"/>
      <c r="F11" s="119"/>
      <c r="G11" s="91"/>
      <c r="H11" s="91"/>
      <c r="I11" s="119"/>
      <c r="J11" s="123"/>
      <c r="K11" s="123"/>
      <c r="L11" s="91"/>
      <c r="M11" s="91"/>
      <c r="N11" s="91"/>
      <c r="O11" s="91"/>
      <c r="P11" s="91"/>
      <c r="Q11" s="91"/>
      <c r="R11" s="94"/>
      <c r="S11" s="91"/>
      <c r="T11" s="94"/>
      <c r="U11" s="94"/>
      <c r="V11" s="91"/>
      <c r="W11" s="91"/>
      <c r="X11" s="91"/>
      <c r="Y11" s="94"/>
      <c r="Z11" s="91"/>
      <c r="AA11" s="94"/>
      <c r="AB11" s="91"/>
      <c r="AC11" s="94"/>
      <c r="AD11" s="91"/>
      <c r="AE11" s="91"/>
      <c r="AF11" s="78"/>
      <c r="AG11" s="79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38"/>
      <c r="I12" s="11" t="s">
        <v>9</v>
      </c>
      <c r="J12" s="11" t="s">
        <v>9</v>
      </c>
      <c r="K12" s="11"/>
      <c r="L12" s="11"/>
      <c r="M12" s="11"/>
      <c r="N12" s="11"/>
      <c r="O12" s="11" t="s">
        <v>9</v>
      </c>
      <c r="P12" s="11" t="s">
        <v>9</v>
      </c>
      <c r="Q12" s="11" t="s">
        <v>9</v>
      </c>
      <c r="R12" s="38" t="s">
        <v>85</v>
      </c>
      <c r="S12" s="11" t="s">
        <v>84</v>
      </c>
      <c r="T12" s="38"/>
      <c r="U12" s="11" t="s">
        <v>86</v>
      </c>
      <c r="V12" s="11" t="s">
        <v>85</v>
      </c>
      <c r="W12" s="38" t="s">
        <v>85</v>
      </c>
      <c r="X12" s="11"/>
      <c r="Y12" s="38"/>
      <c r="Z12" s="11"/>
      <c r="AA12" s="38"/>
      <c r="AB12" s="11"/>
      <c r="AC12" s="38"/>
      <c r="AD12" s="11"/>
      <c r="AE12" s="11"/>
      <c r="AF12" s="78"/>
      <c r="AG12" s="79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78"/>
      <c r="AG13" s="79"/>
    </row>
    <row r="14" spans="1:33" s="5" customFormat="1" ht="21.75" customHeight="1">
      <c r="A14" s="12">
        <f>A13+1</f>
        <v>2</v>
      </c>
      <c r="B14" s="110" t="s">
        <v>77</v>
      </c>
      <c r="C14" s="111"/>
      <c r="D14" s="111"/>
      <c r="E14" s="111"/>
      <c r="F14" s="111"/>
      <c r="G14" s="111"/>
      <c r="H14" s="111"/>
      <c r="I14" s="1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78"/>
      <c r="AG14" s="79"/>
    </row>
    <row r="15" spans="1:33" s="5" customFormat="1" ht="21.75" customHeight="1">
      <c r="A15" s="12">
        <f>A14+1</f>
        <v>3</v>
      </c>
      <c r="B15" s="19" t="s">
        <v>27</v>
      </c>
      <c r="C15" s="60"/>
      <c r="D15" s="15"/>
      <c r="E15" s="16"/>
      <c r="F15" s="23"/>
      <c r="G15" s="18"/>
      <c r="H15" s="16"/>
      <c r="I15" s="16"/>
      <c r="J15" s="16"/>
      <c r="K15" s="16"/>
      <c r="L15" s="15"/>
      <c r="M15" s="15"/>
      <c r="N15" s="15"/>
      <c r="O15" s="15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78"/>
      <c r="AG15" s="79"/>
    </row>
    <row r="16" spans="1:33" s="5" customFormat="1" ht="21.75" customHeight="1">
      <c r="A16" s="12">
        <f>A15+1</f>
        <v>4</v>
      </c>
      <c r="B16" s="13">
        <v>89266.42</v>
      </c>
      <c r="C16" s="14">
        <v>89300</v>
      </c>
      <c r="D16" s="15" t="s">
        <v>25</v>
      </c>
      <c r="E16" s="16">
        <f aca="true" t="shared" si="0" ref="E16:E22">C16-B16</f>
        <v>33.580000000001746</v>
      </c>
      <c r="F16" s="104" t="s">
        <v>23</v>
      </c>
      <c r="G16" s="105"/>
      <c r="H16" s="105"/>
      <c r="I16" s="106"/>
      <c r="J16" s="16">
        <v>134.04</v>
      </c>
      <c r="K16" s="16"/>
      <c r="L16" s="16"/>
      <c r="M16" s="16"/>
      <c r="N16" s="16"/>
      <c r="O16" s="16">
        <f>IF($H16=0,ROUND($E16*(O$72/12),2),ROUND($E16*(O$72/12)*$H16,2))</f>
        <v>50.37</v>
      </c>
      <c r="P16" s="16"/>
      <c r="Q16" s="16"/>
      <c r="R16" s="16"/>
      <c r="S16" s="63">
        <f aca="true" t="shared" si="1" ref="S16:S22">ROUND(($V16/S$72),3)</f>
        <v>0.01</v>
      </c>
      <c r="T16" s="16"/>
      <c r="U16" s="16">
        <f aca="true" t="shared" si="2" ref="U16:U22">ROUND((($U$72*$W$72*$U$73*$U$74*$W16)/2000),2)</f>
        <v>0.53</v>
      </c>
      <c r="V16" s="16">
        <f aca="true" t="shared" si="3" ref="V16:W22">ROUND((($I16+$J16+$O16+$P16+$Q16)/9),2)</f>
        <v>20.49</v>
      </c>
      <c r="W16" s="16">
        <f t="shared" si="3"/>
        <v>20.49</v>
      </c>
      <c r="X16" s="16"/>
      <c r="Y16" s="16"/>
      <c r="Z16" s="16"/>
      <c r="AA16" s="16"/>
      <c r="AB16" s="16"/>
      <c r="AC16" s="16"/>
      <c r="AD16" s="16"/>
      <c r="AE16" s="16"/>
      <c r="AF16" s="78"/>
      <c r="AG16" s="79"/>
    </row>
    <row r="17" spans="1:33" s="5" customFormat="1" ht="21.75" customHeight="1">
      <c r="A17" s="12">
        <f aca="true" t="shared" si="4" ref="A17:A66">A16+1</f>
        <v>5</v>
      </c>
      <c r="B17" s="13">
        <f aca="true" t="shared" si="5" ref="B17:B22">C16</f>
        <v>89300</v>
      </c>
      <c r="C17" s="14">
        <v>89517.13</v>
      </c>
      <c r="D17" s="15" t="s">
        <v>25</v>
      </c>
      <c r="E17" s="16">
        <f t="shared" si="0"/>
        <v>217.13000000000466</v>
      </c>
      <c r="F17" s="17">
        <v>4</v>
      </c>
      <c r="G17" s="18">
        <f>ROUND((4583.662+16+($F17/2))/4583.662,4)</f>
        <v>1.0039</v>
      </c>
      <c r="H17" s="18">
        <f>ROUND((4583.662+16+($F17))/4583.662,4)</f>
        <v>1.0044</v>
      </c>
      <c r="I17" s="16">
        <f>IF(G17=0,ROUND($E17*$F17,2),ROUND($E17*$F17*$G17,2))</f>
        <v>871.91</v>
      </c>
      <c r="J17" s="16"/>
      <c r="K17" s="16"/>
      <c r="L17" s="16"/>
      <c r="M17" s="16"/>
      <c r="N17" s="16"/>
      <c r="O17" s="16">
        <f>IF($H17=0,ROUND($E17*(O$72/12),2),ROUND($E17*(O$72/12)*$H17,2))</f>
        <v>327.13</v>
      </c>
      <c r="P17" s="16"/>
      <c r="Q17" s="16"/>
      <c r="R17" s="16"/>
      <c r="S17" s="63">
        <f t="shared" si="1"/>
        <v>0.067</v>
      </c>
      <c r="T17" s="16"/>
      <c r="U17" s="16">
        <f t="shared" si="2"/>
        <v>3.45</v>
      </c>
      <c r="V17" s="16">
        <f t="shared" si="3"/>
        <v>133.23</v>
      </c>
      <c r="W17" s="16">
        <f t="shared" si="3"/>
        <v>133.23</v>
      </c>
      <c r="X17" s="16"/>
      <c r="Y17" s="16"/>
      <c r="Z17" s="16"/>
      <c r="AA17" s="16"/>
      <c r="AB17" s="16"/>
      <c r="AC17" s="16"/>
      <c r="AD17" s="16"/>
      <c r="AE17" s="16"/>
      <c r="AF17" s="78"/>
      <c r="AG17" s="79"/>
    </row>
    <row r="18" spans="1:33" s="5" customFormat="1" ht="21.75" customHeight="1">
      <c r="A18" s="12">
        <f t="shared" si="4"/>
        <v>6</v>
      </c>
      <c r="B18" s="13">
        <f t="shared" si="5"/>
        <v>89517.13</v>
      </c>
      <c r="C18" s="14">
        <v>89717.13</v>
      </c>
      <c r="D18" s="15" t="s">
        <v>25</v>
      </c>
      <c r="E18" s="16">
        <f t="shared" si="0"/>
        <v>200</v>
      </c>
      <c r="F18" s="17">
        <v>4</v>
      </c>
      <c r="G18" s="18">
        <f>ROUND((((4583.662+16+($F18/2))/4583.662)+((2083.483+16+($F18/2))/2083.483))/2,4)</f>
        <v>1.0063</v>
      </c>
      <c r="H18" s="18">
        <f>ROUND((((4583.662+16+($F18))/4583.662)+((2083.483+16+($F18))/2083.483))/2,4)</f>
        <v>1.007</v>
      </c>
      <c r="I18" s="16">
        <f>IF(G18=0,ROUND($E18*$F18,2),ROUND($E18*$F18*$G18,2))</f>
        <v>805.04</v>
      </c>
      <c r="J18" s="16"/>
      <c r="K18" s="16"/>
      <c r="L18" s="16"/>
      <c r="M18" s="16"/>
      <c r="N18" s="16"/>
      <c r="O18" s="16">
        <f aca="true" t="shared" si="6" ref="O18:O37">IF($H18=0,ROUND($E18*(O$72/12),2),ROUND($E18*(O$72/12)*$H18,2))</f>
        <v>302.1</v>
      </c>
      <c r="P18" s="16"/>
      <c r="Q18" s="16"/>
      <c r="R18" s="16"/>
      <c r="S18" s="63">
        <f t="shared" si="1"/>
        <v>0.062</v>
      </c>
      <c r="T18" s="16"/>
      <c r="U18" s="16">
        <f t="shared" si="2"/>
        <v>3.18</v>
      </c>
      <c r="V18" s="16">
        <f t="shared" si="3"/>
        <v>123.02</v>
      </c>
      <c r="W18" s="16">
        <f t="shared" si="3"/>
        <v>123.02</v>
      </c>
      <c r="X18" s="16"/>
      <c r="Y18" s="16"/>
      <c r="Z18" s="16"/>
      <c r="AA18" s="16"/>
      <c r="AB18" s="16"/>
      <c r="AC18" s="16"/>
      <c r="AD18" s="16"/>
      <c r="AE18" s="16"/>
      <c r="AF18" s="78"/>
      <c r="AG18" s="79"/>
    </row>
    <row r="19" spans="1:33" s="5" customFormat="1" ht="21.75" customHeight="1">
      <c r="A19" s="12">
        <f t="shared" si="4"/>
        <v>7</v>
      </c>
      <c r="B19" s="13">
        <f t="shared" si="5"/>
        <v>89717.13</v>
      </c>
      <c r="C19" s="14">
        <v>89901.12</v>
      </c>
      <c r="D19" s="15" t="s">
        <v>25</v>
      </c>
      <c r="E19" s="16">
        <f t="shared" si="0"/>
        <v>183.9899999999907</v>
      </c>
      <c r="F19" s="17">
        <v>4</v>
      </c>
      <c r="G19" s="18">
        <f>ROUND((2083.483+16+($F19/2))/2083.483,4)</f>
        <v>1.0086</v>
      </c>
      <c r="H19" s="18">
        <f>ROUND((2083.483+16+($F19))/2083.483,4)</f>
        <v>1.0096</v>
      </c>
      <c r="I19" s="16">
        <f>IF(G19=0,ROUND($E19*$F19,2),ROUND($E19*$F19*$G19,2))</f>
        <v>742.29</v>
      </c>
      <c r="J19" s="16"/>
      <c r="K19" s="16"/>
      <c r="L19" s="16"/>
      <c r="M19" s="16"/>
      <c r="N19" s="16"/>
      <c r="O19" s="16">
        <f t="shared" si="6"/>
        <v>278.63</v>
      </c>
      <c r="P19" s="16"/>
      <c r="Q19" s="16"/>
      <c r="R19" s="16"/>
      <c r="S19" s="63">
        <f t="shared" si="1"/>
        <v>0.057</v>
      </c>
      <c r="T19" s="16"/>
      <c r="U19" s="16">
        <f t="shared" si="2"/>
        <v>2.94</v>
      </c>
      <c r="V19" s="16">
        <f t="shared" si="3"/>
        <v>113.44</v>
      </c>
      <c r="W19" s="16">
        <f t="shared" si="3"/>
        <v>113.44</v>
      </c>
      <c r="X19" s="16"/>
      <c r="Y19" s="16"/>
      <c r="Z19" s="16"/>
      <c r="AA19" s="16"/>
      <c r="AB19" s="16"/>
      <c r="AC19" s="16"/>
      <c r="AD19" s="16"/>
      <c r="AE19" s="16"/>
      <c r="AF19" s="78"/>
      <c r="AG19" s="79"/>
    </row>
    <row r="20" spans="1:33" s="5" customFormat="1" ht="21.75" customHeight="1">
      <c r="A20" s="12">
        <f t="shared" si="4"/>
        <v>8</v>
      </c>
      <c r="B20" s="13">
        <f t="shared" si="5"/>
        <v>89901.12</v>
      </c>
      <c r="C20" s="14">
        <v>90101.12</v>
      </c>
      <c r="D20" s="15" t="s">
        <v>25</v>
      </c>
      <c r="E20" s="16">
        <f t="shared" si="0"/>
        <v>200</v>
      </c>
      <c r="F20" s="17">
        <v>4</v>
      </c>
      <c r="G20" s="18">
        <f>ROUND((((1637.022+16+($F20/2))/1637.022)+((2083.483+16+($F20/2))/2083.483))/2,4)</f>
        <v>1.0098</v>
      </c>
      <c r="H20" s="18">
        <f>ROUND((((1637.022+16+($F20))/1637.022)+((2083.483+16+($F20))/2083.483))/2,4)</f>
        <v>1.0109</v>
      </c>
      <c r="I20" s="16">
        <f>IF(G20=0,ROUND($E20*$F20,2),ROUND($E20*$F20*$G20,2))</f>
        <v>807.84</v>
      </c>
      <c r="J20" s="16"/>
      <c r="K20" s="16"/>
      <c r="L20" s="16"/>
      <c r="M20" s="16"/>
      <c r="N20" s="16"/>
      <c r="O20" s="16">
        <f t="shared" si="6"/>
        <v>303.27</v>
      </c>
      <c r="P20" s="16"/>
      <c r="Q20" s="16"/>
      <c r="R20" s="16"/>
      <c r="S20" s="63">
        <f t="shared" si="1"/>
        <v>0.062</v>
      </c>
      <c r="T20" s="16"/>
      <c r="U20" s="16">
        <f t="shared" si="2"/>
        <v>3.19</v>
      </c>
      <c r="V20" s="16">
        <f t="shared" si="3"/>
        <v>123.46</v>
      </c>
      <c r="W20" s="16">
        <f t="shared" si="3"/>
        <v>123.46</v>
      </c>
      <c r="X20" s="16"/>
      <c r="Y20" s="16"/>
      <c r="Z20" s="16"/>
      <c r="AA20" s="16"/>
      <c r="AB20" s="16"/>
      <c r="AC20" s="16"/>
      <c r="AD20" s="16"/>
      <c r="AE20" s="16"/>
      <c r="AF20" s="78"/>
      <c r="AG20" s="79"/>
    </row>
    <row r="21" spans="1:33" s="5" customFormat="1" ht="21.75" customHeight="1">
      <c r="A21" s="12">
        <f t="shared" si="4"/>
        <v>9</v>
      </c>
      <c r="B21" s="13">
        <f t="shared" si="5"/>
        <v>90101.12</v>
      </c>
      <c r="C21" s="14">
        <v>90750</v>
      </c>
      <c r="D21" s="15" t="s">
        <v>25</v>
      </c>
      <c r="E21" s="16">
        <f t="shared" si="0"/>
        <v>648.8800000000047</v>
      </c>
      <c r="F21" s="17">
        <v>4</v>
      </c>
      <c r="G21" s="18">
        <f>ROUND((1637.022+16+($F21/2))/1637.022,4)</f>
        <v>1.011</v>
      </c>
      <c r="H21" s="18">
        <f>ROUND((1637.022+16+($F21))/1637.022,4)</f>
        <v>1.0122</v>
      </c>
      <c r="I21" s="16">
        <f>IF(G21=0,ROUND($E21*$F21,2),ROUND($E21*$F21*$G21,2))</f>
        <v>2624.07</v>
      </c>
      <c r="J21" s="16"/>
      <c r="K21" s="16"/>
      <c r="L21" s="16"/>
      <c r="M21" s="16"/>
      <c r="N21" s="16"/>
      <c r="O21" s="16">
        <f t="shared" si="6"/>
        <v>985.19</v>
      </c>
      <c r="P21" s="16"/>
      <c r="Q21" s="16"/>
      <c r="R21" s="16"/>
      <c r="S21" s="63">
        <f t="shared" si="1"/>
        <v>0.201</v>
      </c>
      <c r="T21" s="16"/>
      <c r="U21" s="16">
        <f t="shared" si="2"/>
        <v>10.38</v>
      </c>
      <c r="V21" s="16">
        <f t="shared" si="3"/>
        <v>401.03</v>
      </c>
      <c r="W21" s="16">
        <f t="shared" si="3"/>
        <v>401.03</v>
      </c>
      <c r="X21" s="16"/>
      <c r="Y21" s="16"/>
      <c r="Z21" s="16"/>
      <c r="AA21" s="16"/>
      <c r="AB21" s="16"/>
      <c r="AC21" s="16"/>
      <c r="AD21" s="16"/>
      <c r="AE21" s="16"/>
      <c r="AF21" s="78"/>
      <c r="AG21" s="79"/>
    </row>
    <row r="22" spans="1:33" s="5" customFormat="1" ht="21.75" customHeight="1">
      <c r="A22" s="12">
        <f t="shared" si="4"/>
        <v>10</v>
      </c>
      <c r="B22" s="13">
        <f t="shared" si="5"/>
        <v>90750</v>
      </c>
      <c r="C22" s="14">
        <v>90764.17</v>
      </c>
      <c r="D22" s="15" t="s">
        <v>25</v>
      </c>
      <c r="E22" s="16">
        <f t="shared" si="0"/>
        <v>14.169999999998254</v>
      </c>
      <c r="F22" s="104" t="s">
        <v>23</v>
      </c>
      <c r="G22" s="105"/>
      <c r="H22" s="105"/>
      <c r="I22" s="106"/>
      <c r="J22" s="16">
        <v>56.58</v>
      </c>
      <c r="K22" s="16"/>
      <c r="L22" s="16"/>
      <c r="M22" s="16"/>
      <c r="N22" s="16"/>
      <c r="O22" s="16">
        <f t="shared" si="6"/>
        <v>21.25</v>
      </c>
      <c r="P22" s="16"/>
      <c r="Q22" s="16"/>
      <c r="R22" s="16"/>
      <c r="S22" s="63">
        <f t="shared" si="1"/>
        <v>0.004</v>
      </c>
      <c r="T22" s="16"/>
      <c r="U22" s="16">
        <f t="shared" si="2"/>
        <v>0.22</v>
      </c>
      <c r="V22" s="16">
        <f t="shared" si="3"/>
        <v>8.65</v>
      </c>
      <c r="W22" s="16">
        <f t="shared" si="3"/>
        <v>8.65</v>
      </c>
      <c r="X22" s="16"/>
      <c r="Y22" s="16"/>
      <c r="Z22" s="16"/>
      <c r="AA22" s="16"/>
      <c r="AB22" s="16"/>
      <c r="AC22" s="16"/>
      <c r="AD22" s="16"/>
      <c r="AE22" s="16"/>
      <c r="AF22" s="78"/>
      <c r="AG22" s="79"/>
    </row>
    <row r="23" spans="1:33" s="5" customFormat="1" ht="21.75" customHeight="1">
      <c r="A23" s="12">
        <f t="shared" si="4"/>
        <v>11</v>
      </c>
      <c r="B23" s="13"/>
      <c r="C23" s="14"/>
      <c r="D23" s="15"/>
      <c r="E23" s="16"/>
      <c r="F23" s="17"/>
      <c r="G23" s="18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63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78"/>
      <c r="AG23" s="79"/>
    </row>
    <row r="24" spans="1:33" s="5" customFormat="1" ht="21.75" customHeight="1">
      <c r="A24" s="12">
        <f t="shared" si="4"/>
        <v>12</v>
      </c>
      <c r="B24" s="13" t="s">
        <v>67</v>
      </c>
      <c r="C24" s="14" t="s">
        <v>65</v>
      </c>
      <c r="D24" s="15" t="s">
        <v>25</v>
      </c>
      <c r="E24" s="16">
        <v>355</v>
      </c>
      <c r="F24" s="17">
        <v>10</v>
      </c>
      <c r="G24" s="18"/>
      <c r="H24" s="16"/>
      <c r="I24" s="16">
        <f aca="true" t="shared" si="7" ref="I24:I32">IF($G24=0,ROUND($E24*$F24,2),ROUND($E24*$F24*$G24,2))</f>
        <v>3550</v>
      </c>
      <c r="J24" s="16"/>
      <c r="K24" s="16"/>
      <c r="L24" s="16"/>
      <c r="M24" s="16"/>
      <c r="N24" s="16"/>
      <c r="O24" s="16">
        <f t="shared" si="6"/>
        <v>532.5</v>
      </c>
      <c r="P24" s="16"/>
      <c r="Q24" s="16"/>
      <c r="R24" s="16"/>
      <c r="S24" s="63">
        <f>ROUND(($V24/S$72),3)</f>
        <v>0.227</v>
      </c>
      <c r="T24" s="16"/>
      <c r="U24" s="16">
        <f>ROUND((($U$72*$W$72*$U$73*$U$74*$W24)/2000),2)</f>
        <v>11.74</v>
      </c>
      <c r="V24" s="16">
        <f>ROUND((($I24+$J24+$O24+$P24+$Q24)/9),2)</f>
        <v>453.61</v>
      </c>
      <c r="W24" s="16">
        <f>ROUND((($I24+$J24+$O24+$P24+$Q24)/9),2)</f>
        <v>453.61</v>
      </c>
      <c r="X24" s="16"/>
      <c r="Y24" s="16"/>
      <c r="Z24" s="16"/>
      <c r="AA24" s="16"/>
      <c r="AB24" s="16"/>
      <c r="AC24" s="16"/>
      <c r="AD24" s="16"/>
      <c r="AE24" s="16"/>
      <c r="AF24" s="78"/>
      <c r="AG24" s="79"/>
    </row>
    <row r="25" spans="1:33" s="5" customFormat="1" ht="21.75" customHeight="1">
      <c r="A25" s="12">
        <f t="shared" si="4"/>
        <v>13</v>
      </c>
      <c r="B25" s="13" t="str">
        <f>C24</f>
        <v>272+95.00 (I.R. 277)</v>
      </c>
      <c r="C25" s="14" t="s">
        <v>66</v>
      </c>
      <c r="D25" s="15" t="s">
        <v>25</v>
      </c>
      <c r="E25" s="16">
        <v>30</v>
      </c>
      <c r="F25" s="17">
        <f>ROUND(AVERAGE(10,11.19),2)</f>
        <v>10.6</v>
      </c>
      <c r="G25" s="18"/>
      <c r="H25" s="16"/>
      <c r="I25" s="16">
        <f t="shared" si="7"/>
        <v>318</v>
      </c>
      <c r="J25" s="16"/>
      <c r="K25" s="16"/>
      <c r="L25" s="16"/>
      <c r="M25" s="16"/>
      <c r="N25" s="16"/>
      <c r="O25" s="16">
        <f t="shared" si="6"/>
        <v>45</v>
      </c>
      <c r="P25" s="16"/>
      <c r="Q25" s="16"/>
      <c r="R25" s="16"/>
      <c r="S25" s="63">
        <f>ROUND(($V25/S$72),3)</f>
        <v>0.02</v>
      </c>
      <c r="T25" s="16"/>
      <c r="U25" s="16">
        <f>ROUND((($U$72*$W$72*$U$73*$U$74*$W25)/2000),2)</f>
        <v>1.04</v>
      </c>
      <c r="V25" s="16">
        <f aca="true" t="shared" si="8" ref="V25:W37">ROUND((($I25+$J25+$O25+$P25+$Q25)/9),2)</f>
        <v>40.33</v>
      </c>
      <c r="W25" s="16">
        <f t="shared" si="8"/>
        <v>40.33</v>
      </c>
      <c r="X25" s="16"/>
      <c r="Y25" s="16"/>
      <c r="Z25" s="16"/>
      <c r="AA25" s="16"/>
      <c r="AB25" s="16"/>
      <c r="AC25" s="16"/>
      <c r="AD25" s="16"/>
      <c r="AE25" s="16"/>
      <c r="AF25" s="78"/>
      <c r="AG25" s="79"/>
    </row>
    <row r="26" spans="1:33" s="5" customFormat="1" ht="21.75" customHeight="1">
      <c r="A26" s="12">
        <f t="shared" si="4"/>
        <v>14</v>
      </c>
      <c r="B26" s="13"/>
      <c r="C26" s="14"/>
      <c r="D26" s="15"/>
      <c r="E26" s="16"/>
      <c r="F26" s="16"/>
      <c r="G26" s="18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63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78"/>
      <c r="AG26" s="79"/>
    </row>
    <row r="27" spans="1:33" s="5" customFormat="1" ht="21.75" customHeight="1">
      <c r="A27" s="12">
        <f t="shared" si="4"/>
        <v>15</v>
      </c>
      <c r="B27" s="13">
        <v>88798.39</v>
      </c>
      <c r="C27" s="14">
        <v>89266.83</v>
      </c>
      <c r="D27" s="15" t="s">
        <v>20</v>
      </c>
      <c r="E27" s="16">
        <f aca="true" t="shared" si="9" ref="E27:E32">C27-B27</f>
        <v>468.4400000000023</v>
      </c>
      <c r="F27" s="16">
        <v>10</v>
      </c>
      <c r="G27" s="18">
        <f>ROUND((4583.662-($F27/2))/4583.662,4)</f>
        <v>0.9989</v>
      </c>
      <c r="H27" s="18">
        <f>ROUND((4583.662-($F27))/4583.662,4)</f>
        <v>0.9978</v>
      </c>
      <c r="I27" s="16">
        <f t="shared" si="7"/>
        <v>4679.25</v>
      </c>
      <c r="J27" s="16"/>
      <c r="K27" s="16"/>
      <c r="L27" s="16"/>
      <c r="M27" s="16"/>
      <c r="N27" s="16"/>
      <c r="O27" s="16">
        <f t="shared" si="6"/>
        <v>701.11</v>
      </c>
      <c r="P27" s="16"/>
      <c r="Q27" s="16"/>
      <c r="R27" s="16"/>
      <c r="S27" s="63">
        <f aca="true" t="shared" si="10" ref="S27:S37">ROUND(($V27/S$72),3)</f>
        <v>0.299</v>
      </c>
      <c r="T27" s="16"/>
      <c r="U27" s="16">
        <f aca="true" t="shared" si="11" ref="U27:U37">ROUND((($U$72*$W$72*$U$73*$U$74*$W27)/2000),2)</f>
        <v>15.47</v>
      </c>
      <c r="V27" s="16">
        <f t="shared" si="8"/>
        <v>597.82</v>
      </c>
      <c r="W27" s="16">
        <f t="shared" si="8"/>
        <v>597.82</v>
      </c>
      <c r="X27" s="16"/>
      <c r="Y27" s="16"/>
      <c r="Z27" s="16"/>
      <c r="AA27" s="16"/>
      <c r="AB27" s="16"/>
      <c r="AC27" s="16"/>
      <c r="AD27" s="16"/>
      <c r="AE27" s="16"/>
      <c r="AF27" s="78"/>
      <c r="AG27" s="79"/>
    </row>
    <row r="28" spans="1:33" s="5" customFormat="1" ht="21.75" customHeight="1">
      <c r="A28" s="12">
        <f t="shared" si="4"/>
        <v>16</v>
      </c>
      <c r="B28" s="13">
        <f aca="true" t="shared" si="12" ref="B28:B49">C27</f>
        <v>89266.83</v>
      </c>
      <c r="C28" s="14">
        <v>89366.83</v>
      </c>
      <c r="D28" s="15" t="s">
        <v>20</v>
      </c>
      <c r="E28" s="16">
        <f t="shared" si="9"/>
        <v>100</v>
      </c>
      <c r="F28" s="17">
        <f>ROUND(AVERAGE(10,6),2)</f>
        <v>8</v>
      </c>
      <c r="G28" s="18">
        <f>ROUND((4583.662-($F28/2))/4583.662,4)</f>
        <v>0.9991</v>
      </c>
      <c r="H28" s="18">
        <f>ROUND((4583.662-($F28))/4583.662,4)</f>
        <v>0.9983</v>
      </c>
      <c r="I28" s="16">
        <f t="shared" si="7"/>
        <v>799.28</v>
      </c>
      <c r="J28" s="16"/>
      <c r="K28" s="16"/>
      <c r="L28" s="16"/>
      <c r="M28" s="16"/>
      <c r="N28" s="16"/>
      <c r="O28" s="16">
        <f t="shared" si="6"/>
        <v>149.75</v>
      </c>
      <c r="P28" s="16"/>
      <c r="Q28" s="16"/>
      <c r="R28" s="16"/>
      <c r="S28" s="63">
        <f t="shared" si="10"/>
        <v>0.053</v>
      </c>
      <c r="T28" s="16"/>
      <c r="U28" s="16">
        <f t="shared" si="11"/>
        <v>2.73</v>
      </c>
      <c r="V28" s="16">
        <f t="shared" si="8"/>
        <v>105.45</v>
      </c>
      <c r="W28" s="16">
        <f t="shared" si="8"/>
        <v>105.45</v>
      </c>
      <c r="X28" s="16"/>
      <c r="Y28" s="16"/>
      <c r="Z28" s="16"/>
      <c r="AA28" s="16"/>
      <c r="AB28" s="16"/>
      <c r="AC28" s="16"/>
      <c r="AD28" s="16"/>
      <c r="AE28" s="16"/>
      <c r="AF28" s="78"/>
      <c r="AG28" s="79"/>
    </row>
    <row r="29" spans="1:33" s="5" customFormat="1" ht="21.75" customHeight="1">
      <c r="A29" s="12">
        <f t="shared" si="4"/>
        <v>17</v>
      </c>
      <c r="B29" s="13">
        <f t="shared" si="12"/>
        <v>89366.83</v>
      </c>
      <c r="C29" s="14">
        <v>89517.13</v>
      </c>
      <c r="D29" s="15" t="s">
        <v>20</v>
      </c>
      <c r="E29" s="16">
        <f t="shared" si="9"/>
        <v>150.3000000000029</v>
      </c>
      <c r="F29" s="16">
        <v>6</v>
      </c>
      <c r="G29" s="18">
        <f>ROUND((4583.662-($F29/2))/4583.662,4)</f>
        <v>0.9993</v>
      </c>
      <c r="H29" s="18">
        <f>ROUND((4583.662-($F29))/4583.662,4)</f>
        <v>0.9987</v>
      </c>
      <c r="I29" s="16">
        <f t="shared" si="7"/>
        <v>901.17</v>
      </c>
      <c r="J29" s="16"/>
      <c r="K29" s="16"/>
      <c r="L29" s="16"/>
      <c r="M29" s="16"/>
      <c r="N29" s="16"/>
      <c r="O29" s="16">
        <f t="shared" si="6"/>
        <v>225.16</v>
      </c>
      <c r="P29" s="16"/>
      <c r="Q29" s="16"/>
      <c r="R29" s="16"/>
      <c r="S29" s="63">
        <f t="shared" si="10"/>
        <v>0.063</v>
      </c>
      <c r="T29" s="16"/>
      <c r="U29" s="16">
        <f t="shared" si="11"/>
        <v>3.24</v>
      </c>
      <c r="V29" s="16">
        <f t="shared" si="8"/>
        <v>125.15</v>
      </c>
      <c r="W29" s="16">
        <f t="shared" si="8"/>
        <v>125.15</v>
      </c>
      <c r="X29" s="16"/>
      <c r="Y29" s="16"/>
      <c r="Z29" s="16"/>
      <c r="AA29" s="16"/>
      <c r="AB29" s="16"/>
      <c r="AC29" s="16"/>
      <c r="AD29" s="16"/>
      <c r="AE29" s="16"/>
      <c r="AF29" s="78"/>
      <c r="AG29" s="79"/>
    </row>
    <row r="30" spans="1:33" s="5" customFormat="1" ht="21.75" customHeight="1">
      <c r="A30" s="12">
        <f t="shared" si="4"/>
        <v>18</v>
      </c>
      <c r="B30" s="13">
        <f t="shared" si="12"/>
        <v>89517.13</v>
      </c>
      <c r="C30" s="14">
        <v>89717.13</v>
      </c>
      <c r="D30" s="15" t="s">
        <v>20</v>
      </c>
      <c r="E30" s="16">
        <f t="shared" si="9"/>
        <v>200</v>
      </c>
      <c r="F30" s="16">
        <v>6</v>
      </c>
      <c r="G30" s="18">
        <f>ROUND((((4583.662-($F30/2))/4583.662)+((2083.483-($F30/2))/2083.483))/2,4)</f>
        <v>0.999</v>
      </c>
      <c r="H30" s="18">
        <f>ROUND((((4583.662-($F30))/4583.662)+((2083.483-($F30))/2083.483))/2,4)</f>
        <v>0.9979</v>
      </c>
      <c r="I30" s="16">
        <f t="shared" si="7"/>
        <v>1198.8</v>
      </c>
      <c r="J30" s="16"/>
      <c r="K30" s="16"/>
      <c r="L30" s="16"/>
      <c r="M30" s="16"/>
      <c r="N30" s="16"/>
      <c r="O30" s="16">
        <f t="shared" si="6"/>
        <v>299.37</v>
      </c>
      <c r="P30" s="16"/>
      <c r="Q30" s="16"/>
      <c r="R30" s="16"/>
      <c r="S30" s="63">
        <f t="shared" si="10"/>
        <v>0.083</v>
      </c>
      <c r="T30" s="16"/>
      <c r="U30" s="16">
        <f t="shared" si="11"/>
        <v>4.31</v>
      </c>
      <c r="V30" s="16">
        <f t="shared" si="8"/>
        <v>166.46</v>
      </c>
      <c r="W30" s="16">
        <f t="shared" si="8"/>
        <v>166.46</v>
      </c>
      <c r="X30" s="16"/>
      <c r="Y30" s="16"/>
      <c r="Z30" s="16"/>
      <c r="AA30" s="16"/>
      <c r="AB30" s="16"/>
      <c r="AC30" s="16"/>
      <c r="AD30" s="16"/>
      <c r="AE30" s="16"/>
      <c r="AF30" s="78"/>
      <c r="AG30" s="79"/>
    </row>
    <row r="31" spans="1:33" s="5" customFormat="1" ht="21.75" customHeight="1">
      <c r="A31" s="12">
        <f t="shared" si="4"/>
        <v>19</v>
      </c>
      <c r="B31" s="13">
        <f t="shared" si="12"/>
        <v>89717.13</v>
      </c>
      <c r="C31" s="14">
        <v>89901.12</v>
      </c>
      <c r="D31" s="15" t="s">
        <v>20</v>
      </c>
      <c r="E31" s="16">
        <f t="shared" si="9"/>
        <v>183.9899999999907</v>
      </c>
      <c r="F31" s="16">
        <v>6</v>
      </c>
      <c r="G31" s="18">
        <f>ROUND((2083.483-($F31/2))/2083.483,4)</f>
        <v>0.9986</v>
      </c>
      <c r="H31" s="18">
        <f>ROUND((2083.483-($F31))/2083.483,4)</f>
        <v>0.9971</v>
      </c>
      <c r="I31" s="16">
        <f t="shared" si="7"/>
        <v>1102.39</v>
      </c>
      <c r="J31" s="16"/>
      <c r="K31" s="16"/>
      <c r="L31" s="16"/>
      <c r="M31" s="16"/>
      <c r="N31" s="16"/>
      <c r="O31" s="16">
        <f t="shared" si="6"/>
        <v>275.18</v>
      </c>
      <c r="P31" s="16"/>
      <c r="Q31" s="16"/>
      <c r="R31" s="16"/>
      <c r="S31" s="63">
        <f t="shared" si="10"/>
        <v>0.077</v>
      </c>
      <c r="T31" s="16"/>
      <c r="U31" s="16">
        <f t="shared" si="11"/>
        <v>3.96</v>
      </c>
      <c r="V31" s="16">
        <f t="shared" si="8"/>
        <v>153.06</v>
      </c>
      <c r="W31" s="16">
        <f t="shared" si="8"/>
        <v>153.06</v>
      </c>
      <c r="X31" s="16"/>
      <c r="Y31" s="16"/>
      <c r="Z31" s="16"/>
      <c r="AA31" s="16"/>
      <c r="AB31" s="16"/>
      <c r="AC31" s="16"/>
      <c r="AD31" s="16"/>
      <c r="AE31" s="16"/>
      <c r="AF31" s="78"/>
      <c r="AG31" s="79"/>
    </row>
    <row r="32" spans="1:33" s="5" customFormat="1" ht="21.75" customHeight="1">
      <c r="A32" s="12">
        <f t="shared" si="4"/>
        <v>20</v>
      </c>
      <c r="B32" s="13">
        <f t="shared" si="12"/>
        <v>89901.12</v>
      </c>
      <c r="C32" s="14">
        <v>90101.12</v>
      </c>
      <c r="D32" s="15" t="s">
        <v>20</v>
      </c>
      <c r="E32" s="16">
        <f t="shared" si="9"/>
        <v>200</v>
      </c>
      <c r="F32" s="16">
        <v>6</v>
      </c>
      <c r="G32" s="18">
        <f>ROUND((((1637.022-($F32/2))/1637.022)+((2083.483-($F32/2))/2083.483))/2,4)</f>
        <v>0.9984</v>
      </c>
      <c r="H32" s="18">
        <f>ROUND((((1637.022-($F32))/1637.022)+((2083.483-($F32))/2083.483))/2,4)</f>
        <v>0.9967</v>
      </c>
      <c r="I32" s="16">
        <f t="shared" si="7"/>
        <v>1198.08</v>
      </c>
      <c r="J32" s="16"/>
      <c r="K32" s="16"/>
      <c r="L32" s="16"/>
      <c r="M32" s="16"/>
      <c r="N32" s="16"/>
      <c r="O32" s="16">
        <f t="shared" si="6"/>
        <v>299.01</v>
      </c>
      <c r="P32" s="16"/>
      <c r="Q32" s="16"/>
      <c r="R32" s="16"/>
      <c r="S32" s="63">
        <f t="shared" si="10"/>
        <v>0.083</v>
      </c>
      <c r="T32" s="16"/>
      <c r="U32" s="16">
        <f t="shared" si="11"/>
        <v>4.3</v>
      </c>
      <c r="V32" s="16">
        <f t="shared" si="8"/>
        <v>166.34</v>
      </c>
      <c r="W32" s="16">
        <f t="shared" si="8"/>
        <v>166.34</v>
      </c>
      <c r="X32" s="16"/>
      <c r="Y32" s="16"/>
      <c r="Z32" s="16"/>
      <c r="AA32" s="16"/>
      <c r="AB32" s="16"/>
      <c r="AC32" s="16"/>
      <c r="AD32" s="16"/>
      <c r="AE32" s="16"/>
      <c r="AF32" s="78"/>
      <c r="AG32" s="79"/>
    </row>
    <row r="33" spans="1:33" s="5" customFormat="1" ht="21.75" customHeight="1">
      <c r="A33" s="12">
        <f t="shared" si="4"/>
        <v>21</v>
      </c>
      <c r="B33" s="13">
        <f t="shared" si="12"/>
        <v>90101.12</v>
      </c>
      <c r="C33" s="14">
        <v>90855.05</v>
      </c>
      <c r="D33" s="15" t="s">
        <v>20</v>
      </c>
      <c r="E33" s="16">
        <f>C33-B33</f>
        <v>753.9300000000076</v>
      </c>
      <c r="F33" s="16">
        <v>6</v>
      </c>
      <c r="G33" s="18">
        <f>ROUND((1637.022-($F33/2))/1637.022,4)</f>
        <v>0.9982</v>
      </c>
      <c r="H33" s="18">
        <f>ROUND((1637.022-($F33))/1637.022,4)</f>
        <v>0.9963</v>
      </c>
      <c r="I33" s="16">
        <f>IF(G33=0,ROUND($E33*$F33,2),ROUND($E33*$F33*$G33,2))</f>
        <v>4515.44</v>
      </c>
      <c r="J33" s="16"/>
      <c r="K33" s="16"/>
      <c r="L33" s="16"/>
      <c r="M33" s="16"/>
      <c r="N33" s="16"/>
      <c r="O33" s="16">
        <f t="shared" si="6"/>
        <v>1126.71</v>
      </c>
      <c r="P33" s="16"/>
      <c r="Q33" s="16"/>
      <c r="R33" s="16"/>
      <c r="S33" s="63">
        <f t="shared" si="10"/>
        <v>0.313</v>
      </c>
      <c r="T33" s="16"/>
      <c r="U33" s="16">
        <f t="shared" si="11"/>
        <v>16.22</v>
      </c>
      <c r="V33" s="16">
        <f t="shared" si="8"/>
        <v>626.91</v>
      </c>
      <c r="W33" s="16">
        <f t="shared" si="8"/>
        <v>626.91</v>
      </c>
      <c r="X33" s="16"/>
      <c r="Y33" s="16"/>
      <c r="Z33" s="16"/>
      <c r="AA33" s="16"/>
      <c r="AB33" s="16"/>
      <c r="AC33" s="16"/>
      <c r="AD33" s="16"/>
      <c r="AE33" s="16"/>
      <c r="AF33" s="78"/>
      <c r="AG33" s="79"/>
    </row>
    <row r="34" spans="1:33" s="5" customFormat="1" ht="21.75" customHeight="1">
      <c r="A34" s="12">
        <f t="shared" si="4"/>
        <v>22</v>
      </c>
      <c r="B34" s="13">
        <f t="shared" si="12"/>
        <v>90855.05</v>
      </c>
      <c r="C34" s="14">
        <v>91005.05</v>
      </c>
      <c r="D34" s="15" t="s">
        <v>20</v>
      </c>
      <c r="E34" s="16">
        <f>C34-B34</f>
        <v>150</v>
      </c>
      <c r="F34" s="16">
        <v>6</v>
      </c>
      <c r="G34" s="18">
        <f>ROUND((((1637.022-($F34/2))/1637.022)+((2237.045-($F34/2))/2237.045))/2,4)</f>
        <v>0.9984</v>
      </c>
      <c r="H34" s="18">
        <f>ROUND((((1637.022-($F34))/1637.022)+((2237.045-($F34))/2237.045))/2,4)</f>
        <v>0.9968</v>
      </c>
      <c r="I34" s="16">
        <f>IF(G34=0,ROUND($E34*$F34,2),ROUND($E34*$F34*$G34,2))</f>
        <v>898.56</v>
      </c>
      <c r="J34" s="16"/>
      <c r="K34" s="16"/>
      <c r="L34" s="16"/>
      <c r="M34" s="16"/>
      <c r="N34" s="16"/>
      <c r="O34" s="16">
        <f t="shared" si="6"/>
        <v>224.28</v>
      </c>
      <c r="P34" s="16"/>
      <c r="Q34" s="16"/>
      <c r="R34" s="16"/>
      <c r="S34" s="63">
        <f t="shared" si="10"/>
        <v>0.062</v>
      </c>
      <c r="T34" s="16"/>
      <c r="U34" s="16">
        <f t="shared" si="11"/>
        <v>3.23</v>
      </c>
      <c r="V34" s="16">
        <f t="shared" si="8"/>
        <v>124.76</v>
      </c>
      <c r="W34" s="16">
        <f t="shared" si="8"/>
        <v>124.76</v>
      </c>
      <c r="X34" s="16"/>
      <c r="Y34" s="16"/>
      <c r="Z34" s="16"/>
      <c r="AA34" s="16"/>
      <c r="AB34" s="16"/>
      <c r="AC34" s="16"/>
      <c r="AD34" s="16"/>
      <c r="AE34" s="16"/>
      <c r="AF34" s="78"/>
      <c r="AG34" s="79"/>
    </row>
    <row r="35" spans="1:33" s="5" customFormat="1" ht="21.75" customHeight="1">
      <c r="A35" s="12">
        <f t="shared" si="4"/>
        <v>23</v>
      </c>
      <c r="B35" s="13">
        <f t="shared" si="12"/>
        <v>91005.05</v>
      </c>
      <c r="C35" s="14">
        <v>91055.05</v>
      </c>
      <c r="D35" s="15" t="s">
        <v>20</v>
      </c>
      <c r="E35" s="16">
        <f>C35-B35</f>
        <v>50</v>
      </c>
      <c r="F35" s="17">
        <f>ROUND(AVERAGE(8,6),2)</f>
        <v>7</v>
      </c>
      <c r="G35" s="18">
        <f>ROUND((((1637.022-($F35/2))/1637.022)+((2237.045-($F35/2))/2237.045))/2,4)</f>
        <v>0.9981</v>
      </c>
      <c r="H35" s="18">
        <f>ROUND((((1637.022-($F35))/1637.022)+((2237.045-($F35))/2237.045))/2,4)</f>
        <v>0.9963</v>
      </c>
      <c r="I35" s="16">
        <f>IF(G35=0,ROUND($E35*$F35,2),ROUND($E35*$F35*$G35,2))</f>
        <v>349.34</v>
      </c>
      <c r="J35" s="16"/>
      <c r="K35" s="16"/>
      <c r="L35" s="16"/>
      <c r="M35" s="16"/>
      <c r="N35" s="16"/>
      <c r="O35" s="16">
        <f t="shared" si="6"/>
        <v>74.72</v>
      </c>
      <c r="P35" s="16"/>
      <c r="Q35" s="16"/>
      <c r="R35" s="16"/>
      <c r="S35" s="63">
        <f t="shared" si="10"/>
        <v>0.024</v>
      </c>
      <c r="T35" s="16"/>
      <c r="U35" s="16">
        <f t="shared" si="11"/>
        <v>1.22</v>
      </c>
      <c r="V35" s="16">
        <f t="shared" si="8"/>
        <v>47.12</v>
      </c>
      <c r="W35" s="16">
        <f t="shared" si="8"/>
        <v>47.12</v>
      </c>
      <c r="X35" s="16"/>
      <c r="Y35" s="16"/>
      <c r="Z35" s="16"/>
      <c r="AA35" s="16"/>
      <c r="AB35" s="16"/>
      <c r="AC35" s="16"/>
      <c r="AD35" s="16"/>
      <c r="AE35" s="16"/>
      <c r="AF35" s="78"/>
      <c r="AG35" s="79"/>
    </row>
    <row r="36" spans="1:33" s="5" customFormat="1" ht="21.75" customHeight="1">
      <c r="A36" s="12">
        <f t="shared" si="4"/>
        <v>24</v>
      </c>
      <c r="B36" s="13">
        <f t="shared" si="12"/>
        <v>91055.05</v>
      </c>
      <c r="C36" s="14">
        <v>91475</v>
      </c>
      <c r="D36" s="15" t="s">
        <v>20</v>
      </c>
      <c r="E36" s="16">
        <f>C36-B36</f>
        <v>419.9499999999971</v>
      </c>
      <c r="F36" s="17">
        <v>8</v>
      </c>
      <c r="G36" s="18">
        <f>ROUND((2237.045-($F36/2))/2237.045,4)</f>
        <v>0.9982</v>
      </c>
      <c r="H36" s="18">
        <f>ROUND((2237.045-($F36))/2237.045,4)</f>
        <v>0.9964</v>
      </c>
      <c r="I36" s="16">
        <f>IF(G36=0,ROUND($E36*$F36,2),ROUND($E36*$F36*$G36,2))</f>
        <v>3353.55</v>
      </c>
      <c r="J36" s="16"/>
      <c r="K36" s="16"/>
      <c r="L36" s="16"/>
      <c r="M36" s="16"/>
      <c r="N36" s="16"/>
      <c r="O36" s="16">
        <f t="shared" si="6"/>
        <v>627.66</v>
      </c>
      <c r="P36" s="16"/>
      <c r="Q36" s="16"/>
      <c r="R36" s="16"/>
      <c r="S36" s="63">
        <f t="shared" si="10"/>
        <v>0.221</v>
      </c>
      <c r="T36" s="16"/>
      <c r="U36" s="16">
        <f t="shared" si="11"/>
        <v>11.45</v>
      </c>
      <c r="V36" s="16">
        <f t="shared" si="8"/>
        <v>442.36</v>
      </c>
      <c r="W36" s="16">
        <f t="shared" si="8"/>
        <v>442.36</v>
      </c>
      <c r="X36" s="16"/>
      <c r="Y36" s="16"/>
      <c r="Z36" s="16"/>
      <c r="AA36" s="16"/>
      <c r="AB36" s="16"/>
      <c r="AC36" s="16"/>
      <c r="AD36" s="16"/>
      <c r="AE36" s="16"/>
      <c r="AF36" s="78"/>
      <c r="AG36" s="79"/>
    </row>
    <row r="37" spans="1:33" s="5" customFormat="1" ht="21.75" customHeight="1">
      <c r="A37" s="12">
        <f t="shared" si="4"/>
        <v>25</v>
      </c>
      <c r="B37" s="13">
        <f t="shared" si="12"/>
        <v>91475</v>
      </c>
      <c r="C37" s="14">
        <v>91489.43</v>
      </c>
      <c r="D37" s="15" t="s">
        <v>20</v>
      </c>
      <c r="E37" s="16">
        <f>C37-B37</f>
        <v>14.429999999993015</v>
      </c>
      <c r="F37" s="17">
        <f>ROUND(AVERAGE(8,7.429),2)</f>
        <v>7.71</v>
      </c>
      <c r="G37" s="18">
        <f>ROUND((2237.045-($F37/2))/2237.045,4)</f>
        <v>0.9983</v>
      </c>
      <c r="H37" s="18">
        <f>ROUND((2237.045-($F37))/2237.045,4)</f>
        <v>0.9966</v>
      </c>
      <c r="I37" s="16">
        <f>IF(G37=0,ROUND($E37*$F37,2),ROUND($E37*$F37*$G37,2))</f>
        <v>111.07</v>
      </c>
      <c r="J37" s="16"/>
      <c r="K37" s="16"/>
      <c r="L37" s="16"/>
      <c r="M37" s="16"/>
      <c r="N37" s="16"/>
      <c r="O37" s="16">
        <f t="shared" si="6"/>
        <v>21.57</v>
      </c>
      <c r="P37" s="16"/>
      <c r="Q37" s="16"/>
      <c r="R37" s="16"/>
      <c r="S37" s="63">
        <f t="shared" si="10"/>
        <v>0.007</v>
      </c>
      <c r="T37" s="16"/>
      <c r="U37" s="16">
        <f t="shared" si="11"/>
        <v>0.38</v>
      </c>
      <c r="V37" s="16">
        <f t="shared" si="8"/>
        <v>14.74</v>
      </c>
      <c r="W37" s="16">
        <f t="shared" si="8"/>
        <v>14.74</v>
      </c>
      <c r="X37" s="16"/>
      <c r="Y37" s="16"/>
      <c r="Z37" s="16"/>
      <c r="AA37" s="16"/>
      <c r="AB37" s="16"/>
      <c r="AC37" s="16"/>
      <c r="AD37" s="16"/>
      <c r="AE37" s="16"/>
      <c r="AF37" s="78"/>
      <c r="AG37" s="79"/>
    </row>
    <row r="38" spans="1:33" s="5" customFormat="1" ht="21.75" customHeight="1">
      <c r="A38" s="12">
        <f t="shared" si="4"/>
        <v>26</v>
      </c>
      <c r="B38" s="13"/>
      <c r="C38" s="14"/>
      <c r="D38" s="15"/>
      <c r="E38" s="16"/>
      <c r="F38" s="17"/>
      <c r="G38" s="1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63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78"/>
      <c r="AG38" s="79"/>
    </row>
    <row r="39" spans="1:33" s="5" customFormat="1" ht="21.75" customHeight="1">
      <c r="A39" s="12">
        <f t="shared" si="4"/>
        <v>27</v>
      </c>
      <c r="B39" s="110" t="s">
        <v>68</v>
      </c>
      <c r="C39" s="111"/>
      <c r="D39" s="111"/>
      <c r="E39" s="111"/>
      <c r="F39" s="111"/>
      <c r="G39" s="111"/>
      <c r="H39" s="111"/>
      <c r="I39" s="112"/>
      <c r="J39" s="16"/>
      <c r="K39" s="16"/>
      <c r="L39" s="16"/>
      <c r="M39" s="16"/>
      <c r="N39" s="16"/>
      <c r="O39" s="16"/>
      <c r="P39" s="16"/>
      <c r="Q39" s="16"/>
      <c r="R39" s="16"/>
      <c r="S39" s="63"/>
      <c r="T39" s="16"/>
      <c r="U39" s="16"/>
      <c r="V39" s="16"/>
      <c r="W39" s="16"/>
      <c r="X39" s="16"/>
      <c r="Y39" s="16"/>
      <c r="Z39" s="16"/>
      <c r="AA39" s="16"/>
      <c r="AB39" s="16"/>
      <c r="AD39" s="16"/>
      <c r="AE39" s="16"/>
      <c r="AF39" s="78"/>
      <c r="AG39" s="79"/>
    </row>
    <row r="40" spans="1:33" s="5" customFormat="1" ht="21.75" customHeight="1">
      <c r="A40" s="12">
        <f t="shared" si="4"/>
        <v>28</v>
      </c>
      <c r="B40" s="19" t="s">
        <v>19</v>
      </c>
      <c r="C40" s="41"/>
      <c r="D40" s="15"/>
      <c r="E40" s="16"/>
      <c r="F40" s="58"/>
      <c r="G40" s="18"/>
      <c r="H40" s="16"/>
      <c r="I40" s="53"/>
      <c r="J40" s="16"/>
      <c r="K40" s="16"/>
      <c r="L40" s="16"/>
      <c r="M40" s="16"/>
      <c r="N40" s="16"/>
      <c r="O40" s="16"/>
      <c r="P40" s="16"/>
      <c r="Q40" s="16"/>
      <c r="R40" s="16"/>
      <c r="S40" s="63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78"/>
      <c r="AG40" s="79"/>
    </row>
    <row r="41" spans="1:33" s="5" customFormat="1" ht="21.75" customHeight="1">
      <c r="A41" s="12">
        <f t="shared" si="4"/>
        <v>29</v>
      </c>
      <c r="B41" s="13">
        <v>2450</v>
      </c>
      <c r="C41" s="14">
        <v>2466</v>
      </c>
      <c r="D41" s="15" t="s">
        <v>25</v>
      </c>
      <c r="E41" s="16">
        <f aca="true" t="shared" si="13" ref="E41:E49">C41-B41</f>
        <v>16</v>
      </c>
      <c r="F41" s="17">
        <f>ROUND(AVERAGE(12,12.455),2)</f>
        <v>12.23</v>
      </c>
      <c r="G41" s="18"/>
      <c r="H41" s="16"/>
      <c r="I41" s="16">
        <f>IF(G41=0,ROUND($E41*$F41,2),ROUND($E41*$F41*$G41,2))</f>
        <v>195.68</v>
      </c>
      <c r="J41" s="16"/>
      <c r="K41" s="40"/>
      <c r="L41" s="16"/>
      <c r="M41" s="16"/>
      <c r="N41" s="16"/>
      <c r="O41" s="16"/>
      <c r="P41" s="16"/>
      <c r="Q41" s="16"/>
      <c r="R41" s="16"/>
      <c r="S41" s="63">
        <f>ROUND(($V41/S$72),3)</f>
        <v>0.011</v>
      </c>
      <c r="T41" s="16"/>
      <c r="U41" s="16">
        <f>ROUND((($U$72*$W$72*$U$73*$U$74*$W41)/2000),2)</f>
        <v>0.56</v>
      </c>
      <c r="V41" s="16">
        <f aca="true" t="shared" si="14" ref="V41:V49">ROUND((($I41+$J41)/9),2)</f>
        <v>21.74</v>
      </c>
      <c r="W41" s="16">
        <f aca="true" t="shared" si="15" ref="W41:W49">ROUND((($I41+$J41)/9),2)</f>
        <v>21.74</v>
      </c>
      <c r="X41" s="16"/>
      <c r="Y41" s="16"/>
      <c r="Z41" s="16"/>
      <c r="AA41" s="16"/>
      <c r="AB41" s="16"/>
      <c r="AC41" s="16"/>
      <c r="AD41" s="16"/>
      <c r="AE41" s="16"/>
      <c r="AF41" s="78"/>
      <c r="AG41" s="79"/>
    </row>
    <row r="42" spans="1:33" s="5" customFormat="1" ht="21.75" customHeight="1">
      <c r="A42" s="12">
        <f t="shared" si="4"/>
        <v>30</v>
      </c>
      <c r="B42" s="13">
        <f t="shared" si="12"/>
        <v>2466</v>
      </c>
      <c r="C42" s="14">
        <v>2607.65</v>
      </c>
      <c r="D42" s="15" t="s">
        <v>25</v>
      </c>
      <c r="E42" s="16">
        <f t="shared" si="13"/>
        <v>141.6500000000001</v>
      </c>
      <c r="F42" s="17">
        <v>12</v>
      </c>
      <c r="G42" s="18"/>
      <c r="H42" s="16"/>
      <c r="I42" s="16">
        <f>IF(G42=0,ROUND($E42*$F42,2),ROUND($E42*$F42*$G42,2))</f>
        <v>1699.8</v>
      </c>
      <c r="J42" s="16"/>
      <c r="K42" s="16"/>
      <c r="L42" s="16"/>
      <c r="M42" s="16"/>
      <c r="N42" s="16"/>
      <c r="O42" s="16"/>
      <c r="P42" s="16"/>
      <c r="Q42" s="16"/>
      <c r="R42" s="16"/>
      <c r="S42" s="63">
        <f>ROUND(($V42/S$72),3)</f>
        <v>0.094</v>
      </c>
      <c r="T42" s="16"/>
      <c r="U42" s="16">
        <f>ROUND((($U$72*$W$72*$U$73*$U$74*$W42)/2000),2)</f>
        <v>4.89</v>
      </c>
      <c r="V42" s="16">
        <f t="shared" si="14"/>
        <v>188.87</v>
      </c>
      <c r="W42" s="16">
        <f t="shared" si="15"/>
        <v>188.87</v>
      </c>
      <c r="X42" s="16"/>
      <c r="Y42" s="16"/>
      <c r="Z42" s="16"/>
      <c r="AA42" s="16"/>
      <c r="AB42" s="16"/>
      <c r="AC42" s="16"/>
      <c r="AD42" s="16"/>
      <c r="AE42" s="16"/>
      <c r="AF42" s="78"/>
      <c r="AG42" s="79"/>
    </row>
    <row r="43" spans="1:33" s="5" customFormat="1" ht="21.75" customHeight="1">
      <c r="A43" s="12">
        <f t="shared" si="4"/>
        <v>31</v>
      </c>
      <c r="B43" s="13">
        <f t="shared" si="12"/>
        <v>2607.65</v>
      </c>
      <c r="C43" s="14">
        <v>2753.5</v>
      </c>
      <c r="D43" s="15" t="s">
        <v>25</v>
      </c>
      <c r="E43" s="16">
        <f t="shared" si="13"/>
        <v>145.8499999999999</v>
      </c>
      <c r="F43" s="17">
        <v>12</v>
      </c>
      <c r="G43" s="18">
        <f>ROUND((2362.116-($F43/2))/2362.116,4)</f>
        <v>0.9975</v>
      </c>
      <c r="H43" s="16"/>
      <c r="I43" s="16">
        <f>IF(G43=0,ROUND($E43*$F43,2),ROUND($E43*$F43*$G43,2))</f>
        <v>1745.82</v>
      </c>
      <c r="J43" s="16"/>
      <c r="K43" s="42"/>
      <c r="L43" s="16"/>
      <c r="M43" s="16"/>
      <c r="N43" s="16"/>
      <c r="O43" s="16"/>
      <c r="P43" s="16"/>
      <c r="Q43" s="42"/>
      <c r="R43" s="16"/>
      <c r="S43" s="63">
        <f>ROUND(($V43/S$72),3)</f>
        <v>0.097</v>
      </c>
      <c r="T43" s="16"/>
      <c r="U43" s="16">
        <f>ROUND((($U$72*$W$72*$U$73*$U$74*$W43)/2000),2)</f>
        <v>5.02</v>
      </c>
      <c r="V43" s="16">
        <f t="shared" si="14"/>
        <v>193.98</v>
      </c>
      <c r="W43" s="16">
        <f t="shared" si="15"/>
        <v>193.98</v>
      </c>
      <c r="X43" s="16"/>
      <c r="Y43" s="16"/>
      <c r="Z43" s="16"/>
      <c r="AA43" s="16"/>
      <c r="AB43" s="16"/>
      <c r="AC43" s="16"/>
      <c r="AD43" s="16"/>
      <c r="AE43" s="16"/>
      <c r="AF43" s="78"/>
      <c r="AG43" s="79"/>
    </row>
    <row r="44" spans="1:33" s="5" customFormat="1" ht="21.75" customHeight="1">
      <c r="A44" s="12">
        <f t="shared" si="4"/>
        <v>32</v>
      </c>
      <c r="B44" s="13">
        <f t="shared" si="12"/>
        <v>2753.5</v>
      </c>
      <c r="C44" s="14">
        <v>2770</v>
      </c>
      <c r="D44" s="15" t="s">
        <v>25</v>
      </c>
      <c r="E44" s="16">
        <f t="shared" si="13"/>
        <v>16.5</v>
      </c>
      <c r="F44" s="17">
        <f>ROUND(AVERAGE(12,11.725),2)</f>
        <v>11.86</v>
      </c>
      <c r="G44" s="18">
        <f>ROUND((2362.116-($F44/2))/2362.116,4)</f>
        <v>0.9975</v>
      </c>
      <c r="H44" s="16"/>
      <c r="I44" s="16">
        <f>IF(G44=0,ROUND($E44*$F44,2),ROUND($E44*$F44*$G44,2))</f>
        <v>195.2</v>
      </c>
      <c r="J44" s="16"/>
      <c r="K44" s="42"/>
      <c r="L44" s="16"/>
      <c r="M44" s="16"/>
      <c r="N44" s="16"/>
      <c r="O44" s="16"/>
      <c r="P44" s="16"/>
      <c r="Q44" s="16"/>
      <c r="R44" s="16"/>
      <c r="S44" s="63">
        <f>ROUND(($V44/S$72),3)</f>
        <v>0.011</v>
      </c>
      <c r="T44" s="16"/>
      <c r="U44" s="16">
        <f>ROUND((($U$72*$W$72*$U$73*$U$74*$W44)/2000),2)</f>
        <v>0.56</v>
      </c>
      <c r="V44" s="16">
        <f t="shared" si="14"/>
        <v>21.69</v>
      </c>
      <c r="W44" s="16">
        <f t="shared" si="15"/>
        <v>21.69</v>
      </c>
      <c r="X44" s="16"/>
      <c r="Y44" s="16"/>
      <c r="Z44" s="16"/>
      <c r="AA44" s="16"/>
      <c r="AB44" s="16"/>
      <c r="AC44" s="16"/>
      <c r="AD44" s="16"/>
      <c r="AE44" s="16"/>
      <c r="AF44" s="78"/>
      <c r="AG44" s="79"/>
    </row>
    <row r="45" spans="1:33" s="5" customFormat="1" ht="21.75" customHeight="1">
      <c r="A45" s="12">
        <f t="shared" si="4"/>
        <v>33</v>
      </c>
      <c r="B45" s="13"/>
      <c r="C45" s="14"/>
      <c r="D45" s="15"/>
      <c r="E45" s="16"/>
      <c r="F45" s="17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63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78"/>
      <c r="AG45" s="79"/>
    </row>
    <row r="46" spans="1:33" s="5" customFormat="1" ht="21.75" customHeight="1">
      <c r="A46" s="12">
        <f t="shared" si="4"/>
        <v>34</v>
      </c>
      <c r="B46" s="13">
        <v>2450</v>
      </c>
      <c r="C46" s="14">
        <v>2489</v>
      </c>
      <c r="D46" s="15" t="s">
        <v>20</v>
      </c>
      <c r="E46" s="16">
        <f t="shared" si="13"/>
        <v>39</v>
      </c>
      <c r="F46" s="17">
        <f>ROUND(AVERAGE(12,10.884),2)</f>
        <v>11.44</v>
      </c>
      <c r="G46" s="18"/>
      <c r="H46" s="16"/>
      <c r="I46" s="16">
        <f>IF(G46=0,ROUND($E46*$F46,2),ROUND($E46*$F46*$G46,2))</f>
        <v>446.16</v>
      </c>
      <c r="J46" s="16"/>
      <c r="K46" s="16"/>
      <c r="L46" s="16"/>
      <c r="M46" s="16"/>
      <c r="N46" s="16"/>
      <c r="O46" s="16"/>
      <c r="P46" s="16"/>
      <c r="Q46" s="16"/>
      <c r="R46" s="16"/>
      <c r="S46" s="63">
        <f>ROUND(($V46/S$72),3)</f>
        <v>0.025</v>
      </c>
      <c r="T46" s="16"/>
      <c r="U46" s="16">
        <f>ROUND((($U$72*$W$72*$U$73*$U$74*$W46)/2000),2)</f>
        <v>1.28</v>
      </c>
      <c r="V46" s="16">
        <f t="shared" si="14"/>
        <v>49.57</v>
      </c>
      <c r="W46" s="16">
        <f t="shared" si="15"/>
        <v>49.57</v>
      </c>
      <c r="X46" s="16"/>
      <c r="Y46" s="16"/>
      <c r="Z46" s="16"/>
      <c r="AA46" s="16"/>
      <c r="AB46" s="16"/>
      <c r="AC46" s="16"/>
      <c r="AD46" s="16"/>
      <c r="AE46" s="16"/>
      <c r="AF46" s="78"/>
      <c r="AG46" s="79"/>
    </row>
    <row r="47" spans="1:33" s="5" customFormat="1" ht="21.75" customHeight="1">
      <c r="A47" s="12">
        <f t="shared" si="4"/>
        <v>35</v>
      </c>
      <c r="B47" s="13">
        <f t="shared" si="12"/>
        <v>2489</v>
      </c>
      <c r="C47" s="14">
        <v>2607.65</v>
      </c>
      <c r="D47" s="15" t="s">
        <v>20</v>
      </c>
      <c r="E47" s="16">
        <f t="shared" si="13"/>
        <v>118.65000000000009</v>
      </c>
      <c r="F47" s="17">
        <v>12</v>
      </c>
      <c r="G47" s="18"/>
      <c r="H47" s="16"/>
      <c r="I47" s="16">
        <f>IF(G47=0,ROUND($E47*$F47,2),ROUND($E47*$F47*$G47,2))</f>
        <v>1423.8</v>
      </c>
      <c r="J47" s="16"/>
      <c r="K47" s="16"/>
      <c r="L47" s="16"/>
      <c r="M47" s="16"/>
      <c r="N47" s="16"/>
      <c r="O47" s="16"/>
      <c r="P47" s="16"/>
      <c r="Q47" s="16"/>
      <c r="R47" s="16"/>
      <c r="S47" s="63">
        <f>ROUND(($V47/S$72),3)</f>
        <v>0.079</v>
      </c>
      <c r="T47" s="16"/>
      <c r="U47" s="16">
        <f>ROUND((($U$72*$W$72*$U$73*$U$74*$W47)/2000),2)</f>
        <v>4.09</v>
      </c>
      <c r="V47" s="16">
        <f t="shared" si="14"/>
        <v>158.2</v>
      </c>
      <c r="W47" s="16">
        <f t="shared" si="15"/>
        <v>158.2</v>
      </c>
      <c r="X47" s="16"/>
      <c r="Y47" s="16"/>
      <c r="Z47" s="16"/>
      <c r="AA47" s="16"/>
      <c r="AB47" s="16"/>
      <c r="AC47" s="16"/>
      <c r="AD47" s="16"/>
      <c r="AE47" s="16"/>
      <c r="AF47" s="78"/>
      <c r="AG47" s="79"/>
    </row>
    <row r="48" spans="1:33" s="5" customFormat="1" ht="21.75" customHeight="1">
      <c r="A48" s="12">
        <f t="shared" si="4"/>
        <v>36</v>
      </c>
      <c r="B48" s="13">
        <f t="shared" si="12"/>
        <v>2607.65</v>
      </c>
      <c r="C48" s="14">
        <v>2753.5</v>
      </c>
      <c r="D48" s="15" t="s">
        <v>20</v>
      </c>
      <c r="E48" s="16">
        <f t="shared" si="13"/>
        <v>145.8499999999999</v>
      </c>
      <c r="F48" s="17">
        <v>12</v>
      </c>
      <c r="G48" s="18">
        <f>ROUND((2362.116+($F48/2))/2362.116,4)</f>
        <v>1.0025</v>
      </c>
      <c r="H48" s="16"/>
      <c r="I48" s="16">
        <f>IF(G48=0,ROUND($E48*$F48,2),ROUND($E48*$F48*$G48,2))</f>
        <v>1754.58</v>
      </c>
      <c r="J48" s="16"/>
      <c r="K48" s="16"/>
      <c r="L48" s="16"/>
      <c r="M48" s="16"/>
      <c r="N48" s="16"/>
      <c r="O48" s="16"/>
      <c r="P48" s="16"/>
      <c r="Q48" s="16"/>
      <c r="R48" s="16"/>
      <c r="S48" s="63">
        <f>ROUND(($V48/S$72),3)</f>
        <v>0.097</v>
      </c>
      <c r="T48" s="16"/>
      <c r="U48" s="16">
        <f>ROUND((($U$72*$W$72*$U$73*$U$74*$W48)/2000),2)</f>
        <v>5.04</v>
      </c>
      <c r="V48" s="16">
        <f t="shared" si="14"/>
        <v>194.95</v>
      </c>
      <c r="W48" s="16">
        <f t="shared" si="15"/>
        <v>194.95</v>
      </c>
      <c r="X48" s="16"/>
      <c r="Y48" s="16"/>
      <c r="Z48" s="16"/>
      <c r="AA48" s="16"/>
      <c r="AB48" s="16"/>
      <c r="AC48" s="16"/>
      <c r="AD48" s="16"/>
      <c r="AE48" s="16"/>
      <c r="AF48" s="78"/>
      <c r="AG48" s="79"/>
    </row>
    <row r="49" spans="1:33" s="5" customFormat="1" ht="21.75" customHeight="1">
      <c r="A49" s="12">
        <f t="shared" si="4"/>
        <v>37</v>
      </c>
      <c r="B49" s="13">
        <f t="shared" si="12"/>
        <v>2753.5</v>
      </c>
      <c r="C49" s="14">
        <v>2770</v>
      </c>
      <c r="D49" s="15" t="s">
        <v>20</v>
      </c>
      <c r="E49" s="16">
        <f t="shared" si="13"/>
        <v>16.5</v>
      </c>
      <c r="F49" s="17">
        <f>ROUND(AVERAGE(12,11.528),2)</f>
        <v>11.76</v>
      </c>
      <c r="G49" s="18">
        <f>ROUND((2362.116+($F49/2))/2362.116,4)</f>
        <v>1.0025</v>
      </c>
      <c r="H49" s="16"/>
      <c r="I49" s="16">
        <f>IF(G49=0,ROUND($E49*$F49,2),ROUND($E49*$F49*$G49,2))</f>
        <v>194.53</v>
      </c>
      <c r="J49" s="16"/>
      <c r="K49" s="16"/>
      <c r="L49" s="16"/>
      <c r="M49" s="16"/>
      <c r="N49" s="16"/>
      <c r="O49" s="16"/>
      <c r="P49" s="16"/>
      <c r="Q49" s="16"/>
      <c r="R49" s="16"/>
      <c r="S49" s="63">
        <f>ROUND(($V49/S$72),3)</f>
        <v>0.011</v>
      </c>
      <c r="T49" s="16"/>
      <c r="U49" s="16">
        <f>ROUND((($U$72*$W$72*$U$73*$U$74*$W49)/2000),2)</f>
        <v>0.56</v>
      </c>
      <c r="V49" s="16">
        <f t="shared" si="14"/>
        <v>21.61</v>
      </c>
      <c r="W49" s="16">
        <f t="shared" si="15"/>
        <v>21.61</v>
      </c>
      <c r="X49" s="16"/>
      <c r="Y49" s="16"/>
      <c r="Z49" s="16"/>
      <c r="AA49" s="16"/>
      <c r="AB49" s="16"/>
      <c r="AC49" s="16"/>
      <c r="AD49" s="16"/>
      <c r="AE49" s="16"/>
      <c r="AF49" s="78"/>
      <c r="AG49" s="79"/>
    </row>
    <row r="50" spans="1:33" s="5" customFormat="1" ht="21.75" customHeight="1" thickBot="1">
      <c r="A50" s="12">
        <f t="shared" si="4"/>
        <v>38</v>
      </c>
      <c r="B50" s="13"/>
      <c r="C50" s="14"/>
      <c r="D50" s="15"/>
      <c r="E50" s="16"/>
      <c r="F50" s="17"/>
      <c r="G50" s="18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63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03"/>
      <c r="AG50" s="82"/>
    </row>
    <row r="51" spans="1:33" s="5" customFormat="1" ht="21.75" customHeight="1">
      <c r="A51" s="12">
        <f t="shared" si="4"/>
        <v>39</v>
      </c>
      <c r="B51" s="19" t="s">
        <v>27</v>
      </c>
      <c r="C51" s="14"/>
      <c r="D51" s="15"/>
      <c r="E51" s="16"/>
      <c r="F51" s="17"/>
      <c r="G51" s="18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63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76" t="s">
        <v>91</v>
      </c>
      <c r="AG51" s="77"/>
    </row>
    <row r="52" spans="1:33" s="5" customFormat="1" ht="21.75" customHeight="1">
      <c r="A52" s="12">
        <f t="shared" si="4"/>
        <v>40</v>
      </c>
      <c r="B52" s="13">
        <v>2450</v>
      </c>
      <c r="C52" s="14">
        <v>2463.23</v>
      </c>
      <c r="D52" s="15" t="s">
        <v>25</v>
      </c>
      <c r="E52" s="16">
        <f aca="true" t="shared" si="16" ref="E52:E58">C52-B52</f>
        <v>13.230000000000018</v>
      </c>
      <c r="F52" s="17">
        <v>4</v>
      </c>
      <c r="G52" s="18"/>
      <c r="H52" s="16"/>
      <c r="I52" s="16">
        <f aca="true" t="shared" si="17" ref="I52:I61">IF($G52=0,ROUND($E52*$F52,2),ROUND($E52*$F52*$G52,2))</f>
        <v>52.92</v>
      </c>
      <c r="J52" s="16"/>
      <c r="K52" s="16"/>
      <c r="L52" s="16"/>
      <c r="M52" s="16"/>
      <c r="N52" s="16"/>
      <c r="O52" s="16">
        <f>IF($H52=0,ROUND($E52*(O$72/12),2),ROUND($E52*(O$72/12)*$H52,2))</f>
        <v>19.85</v>
      </c>
      <c r="P52" s="15"/>
      <c r="Q52" s="16"/>
      <c r="R52" s="16"/>
      <c r="S52" s="63">
        <f aca="true" t="shared" si="18" ref="S52:S63">ROUND(($V52/S$72),3)</f>
        <v>0.004</v>
      </c>
      <c r="T52" s="16"/>
      <c r="U52" s="16">
        <f aca="true" t="shared" si="19" ref="U52:U63">ROUND((($U$72*$W$72*$U$73*$U$74*$W52)/2000),2)</f>
        <v>0.21</v>
      </c>
      <c r="V52" s="16">
        <f>ROUND((($I52+$J52+$O52+$P52+$Q52)/9),2)</f>
        <v>8.09</v>
      </c>
      <c r="W52" s="16">
        <f>ROUND((($I52+$J52+$O52+$P52+$Q52)/9),2)</f>
        <v>8.09</v>
      </c>
      <c r="X52" s="16"/>
      <c r="Y52" s="16"/>
      <c r="Z52" s="16"/>
      <c r="AA52" s="16"/>
      <c r="AB52" s="16"/>
      <c r="AC52" s="16"/>
      <c r="AD52" s="16"/>
      <c r="AE52" s="16"/>
      <c r="AF52" s="78"/>
      <c r="AG52" s="79"/>
    </row>
    <row r="53" spans="1:33" s="5" customFormat="1" ht="21.75" customHeight="1">
      <c r="A53" s="12">
        <f t="shared" si="4"/>
        <v>41</v>
      </c>
      <c r="B53" s="13">
        <f>C52</f>
        <v>2463.23</v>
      </c>
      <c r="C53" s="14">
        <v>2466</v>
      </c>
      <c r="D53" s="15" t="s">
        <v>25</v>
      </c>
      <c r="E53" s="16">
        <f t="shared" si="16"/>
        <v>2.769999999999982</v>
      </c>
      <c r="F53" s="17">
        <f>ROUND(AVERAGE(4,3.654),2)</f>
        <v>3.83</v>
      </c>
      <c r="G53" s="18"/>
      <c r="H53" s="16"/>
      <c r="I53" s="16">
        <f t="shared" si="17"/>
        <v>10.61</v>
      </c>
      <c r="J53" s="16"/>
      <c r="K53" s="16"/>
      <c r="L53" s="16"/>
      <c r="M53" s="16"/>
      <c r="N53" s="16"/>
      <c r="O53" s="16">
        <f>IF($H53=0,ROUND($E53*(O$72/12),2),ROUND($E53*(O$72/12)*$H53,2))</f>
        <v>4.15</v>
      </c>
      <c r="P53" s="15"/>
      <c r="Q53" s="16"/>
      <c r="R53" s="16"/>
      <c r="S53" s="63">
        <f t="shared" si="18"/>
        <v>0.001</v>
      </c>
      <c r="T53" s="16"/>
      <c r="U53" s="16">
        <f t="shared" si="19"/>
        <v>0.04</v>
      </c>
      <c r="V53" s="16">
        <f aca="true" t="shared" si="20" ref="V53:W63">ROUND((($I53+$J53+$O53+$P53+$Q53)/9),2)</f>
        <v>1.64</v>
      </c>
      <c r="W53" s="16">
        <f t="shared" si="20"/>
        <v>1.64</v>
      </c>
      <c r="X53" s="16"/>
      <c r="Y53" s="16"/>
      <c r="Z53" s="16"/>
      <c r="AA53" s="16"/>
      <c r="AB53" s="16"/>
      <c r="AC53" s="16"/>
      <c r="AD53" s="16"/>
      <c r="AE53" s="16"/>
      <c r="AF53" s="78"/>
      <c r="AG53" s="79"/>
    </row>
    <row r="54" spans="1:33" s="5" customFormat="1" ht="21.75" customHeight="1">
      <c r="A54" s="12">
        <f t="shared" si="4"/>
        <v>42</v>
      </c>
      <c r="B54" s="13">
        <f>C53</f>
        <v>2466</v>
      </c>
      <c r="C54" s="14">
        <v>2470.6</v>
      </c>
      <c r="D54" s="15" t="s">
        <v>25</v>
      </c>
      <c r="E54" s="16">
        <f>C54-B54</f>
        <v>4.599999999999909</v>
      </c>
      <c r="F54" s="17">
        <f>ROUND(AVERAGE(3.654,2.947),2)</f>
        <v>3.3</v>
      </c>
      <c r="G54" s="18"/>
      <c r="H54" s="16"/>
      <c r="I54" s="16">
        <f t="shared" si="17"/>
        <v>15.18</v>
      </c>
      <c r="J54" s="16"/>
      <c r="K54" s="16"/>
      <c r="L54" s="16"/>
      <c r="M54" s="16"/>
      <c r="N54" s="16"/>
      <c r="O54" s="16">
        <f>IF($H54=0,ROUND($E54*(O$72/12),2),ROUND($E54*(O$72/12)*$H54,2))</f>
        <v>6.9</v>
      </c>
      <c r="P54" s="15"/>
      <c r="Q54" s="16"/>
      <c r="R54" s="16"/>
      <c r="S54" s="63">
        <f t="shared" si="18"/>
        <v>0.001</v>
      </c>
      <c r="T54" s="16"/>
      <c r="U54" s="16">
        <f t="shared" si="19"/>
        <v>0.06</v>
      </c>
      <c r="V54" s="16">
        <f t="shared" si="20"/>
        <v>2.45</v>
      </c>
      <c r="W54" s="16">
        <f t="shared" si="20"/>
        <v>2.45</v>
      </c>
      <c r="X54" s="16"/>
      <c r="Y54" s="16"/>
      <c r="Z54" s="16"/>
      <c r="AA54" s="16"/>
      <c r="AB54" s="16"/>
      <c r="AC54" s="16"/>
      <c r="AD54" s="16"/>
      <c r="AE54" s="16"/>
      <c r="AF54" s="78"/>
      <c r="AG54" s="79"/>
    </row>
    <row r="55" spans="1:33" s="5" customFormat="1" ht="21.75" customHeight="1">
      <c r="A55" s="12">
        <f t="shared" si="4"/>
        <v>43</v>
      </c>
      <c r="B55" s="13">
        <f>C54</f>
        <v>2470.6</v>
      </c>
      <c r="C55" s="14">
        <v>2501.85</v>
      </c>
      <c r="D55" s="15" t="s">
        <v>25</v>
      </c>
      <c r="E55" s="16">
        <f t="shared" si="16"/>
        <v>31.25</v>
      </c>
      <c r="F55" s="16">
        <v>2.95</v>
      </c>
      <c r="G55" s="18"/>
      <c r="H55" s="16"/>
      <c r="I55" s="16">
        <f t="shared" si="17"/>
        <v>92.19</v>
      </c>
      <c r="J55" s="16"/>
      <c r="K55" s="16"/>
      <c r="L55" s="16"/>
      <c r="M55" s="16"/>
      <c r="N55" s="16"/>
      <c r="O55" s="16">
        <f>IF($H55=0,ROUND($E55*(O$72/12),2),ROUND($E55*(O$72/12)*$H55,2))</f>
        <v>46.88</v>
      </c>
      <c r="P55" s="15"/>
      <c r="Q55" s="16"/>
      <c r="R55" s="16"/>
      <c r="S55" s="63">
        <f t="shared" si="18"/>
        <v>0.008</v>
      </c>
      <c r="T55" s="16"/>
      <c r="U55" s="16">
        <f t="shared" si="19"/>
        <v>0.4</v>
      </c>
      <c r="V55" s="16">
        <f t="shared" si="20"/>
        <v>15.45</v>
      </c>
      <c r="W55" s="16">
        <f t="shared" si="20"/>
        <v>15.45</v>
      </c>
      <c r="X55" s="16"/>
      <c r="Y55" s="16"/>
      <c r="Z55" s="16"/>
      <c r="AA55" s="16"/>
      <c r="AB55" s="16"/>
      <c r="AC55" s="16"/>
      <c r="AD55" s="16"/>
      <c r="AE55" s="16"/>
      <c r="AF55" s="78"/>
      <c r="AG55" s="79"/>
    </row>
    <row r="56" spans="1:33" s="5" customFormat="1" ht="21.75" customHeight="1">
      <c r="A56" s="12">
        <f t="shared" si="4"/>
        <v>44</v>
      </c>
      <c r="B56" s="13">
        <f>C55</f>
        <v>2501.85</v>
      </c>
      <c r="C56" s="14">
        <v>2520</v>
      </c>
      <c r="D56" s="15" t="s">
        <v>25</v>
      </c>
      <c r="E56" s="16">
        <f t="shared" si="16"/>
        <v>18.15000000000009</v>
      </c>
      <c r="F56" s="16">
        <v>2.95</v>
      </c>
      <c r="G56" s="18"/>
      <c r="H56" s="16"/>
      <c r="I56" s="16">
        <f t="shared" si="17"/>
        <v>53.54</v>
      </c>
      <c r="J56" s="16"/>
      <c r="K56" s="16"/>
      <c r="L56" s="16"/>
      <c r="M56" s="16"/>
      <c r="N56" s="16"/>
      <c r="O56" s="16">
        <f>IF($H56=0,ROUND($E56*(O$72/12),2),ROUND($E56*(O$72/12)*$H56,2))</f>
        <v>27.23</v>
      </c>
      <c r="P56" s="16"/>
      <c r="Q56" s="16"/>
      <c r="R56" s="16"/>
      <c r="S56" s="63">
        <f t="shared" si="18"/>
        <v>0.004</v>
      </c>
      <c r="T56" s="16"/>
      <c r="U56" s="16">
        <f t="shared" si="19"/>
        <v>0.23</v>
      </c>
      <c r="V56" s="16">
        <f t="shared" si="20"/>
        <v>8.97</v>
      </c>
      <c r="W56" s="16">
        <f t="shared" si="20"/>
        <v>8.97</v>
      </c>
      <c r="X56" s="16"/>
      <c r="Y56" s="16"/>
      <c r="Z56" s="16"/>
      <c r="AA56" s="16"/>
      <c r="AB56" s="16"/>
      <c r="AC56" s="16"/>
      <c r="AD56" s="16"/>
      <c r="AE56" s="16"/>
      <c r="AF56" s="78"/>
      <c r="AG56" s="79"/>
    </row>
    <row r="57" spans="1:33" s="5" customFormat="1" ht="21.75" customHeight="1">
      <c r="A57" s="12">
        <f t="shared" si="4"/>
        <v>45</v>
      </c>
      <c r="B57" s="13">
        <f>C56</f>
        <v>2520</v>
      </c>
      <c r="C57" s="14">
        <v>2607.65</v>
      </c>
      <c r="D57" s="15" t="s">
        <v>25</v>
      </c>
      <c r="E57" s="16">
        <f t="shared" si="16"/>
        <v>87.65000000000009</v>
      </c>
      <c r="F57" s="16">
        <v>2.95</v>
      </c>
      <c r="G57" s="18"/>
      <c r="H57" s="16"/>
      <c r="I57" s="16">
        <f t="shared" si="17"/>
        <v>258.57</v>
      </c>
      <c r="J57" s="16"/>
      <c r="K57" s="16"/>
      <c r="L57" s="16"/>
      <c r="M57" s="16"/>
      <c r="N57" s="16"/>
      <c r="O57" s="16"/>
      <c r="P57" s="16">
        <f>IF($H57=0,ROUND($E57*(P$72/12),2),ROUND($E57*(P$72/12)*$H57,2))</f>
        <v>146.08</v>
      </c>
      <c r="Q57" s="16">
        <f>IF($H57=0,ROUND($E57*(Q$72/12),2),ROUND($E57*(Q$72/12)*$H57,2))</f>
        <v>160.69</v>
      </c>
      <c r="R57" s="16"/>
      <c r="S57" s="63">
        <f t="shared" si="18"/>
        <v>0.031</v>
      </c>
      <c r="T57" s="16"/>
      <c r="U57" s="16">
        <f t="shared" si="19"/>
        <v>1.63</v>
      </c>
      <c r="V57" s="16">
        <f t="shared" si="20"/>
        <v>62.82</v>
      </c>
      <c r="W57" s="16">
        <f t="shared" si="20"/>
        <v>62.82</v>
      </c>
      <c r="X57" s="16"/>
      <c r="Y57" s="16"/>
      <c r="Z57" s="16"/>
      <c r="AA57" s="16"/>
      <c r="AB57" s="16"/>
      <c r="AC57" s="16"/>
      <c r="AD57" s="16"/>
      <c r="AE57" s="16"/>
      <c r="AF57" s="78"/>
      <c r="AG57" s="79"/>
    </row>
    <row r="58" spans="1:33" s="5" customFormat="1" ht="21.75" customHeight="1">
      <c r="A58" s="12">
        <f t="shared" si="4"/>
        <v>46</v>
      </c>
      <c r="B58" s="13">
        <f aca="true" t="shared" si="21" ref="B58:B63">C57</f>
        <v>2607.65</v>
      </c>
      <c r="C58" s="14">
        <v>2688.48</v>
      </c>
      <c r="D58" s="15" t="s">
        <v>25</v>
      </c>
      <c r="E58" s="16">
        <f t="shared" si="16"/>
        <v>80.82999999999993</v>
      </c>
      <c r="F58" s="104" t="s">
        <v>23</v>
      </c>
      <c r="G58" s="105"/>
      <c r="H58" s="105"/>
      <c r="I58" s="106"/>
      <c r="J58" s="16">
        <v>200.04</v>
      </c>
      <c r="K58" s="16"/>
      <c r="L58" s="16"/>
      <c r="M58" s="16"/>
      <c r="N58" s="16"/>
      <c r="O58" s="16"/>
      <c r="P58" s="16">
        <f>IF($H58=0,ROUND($E58*(P$72/12),2),ROUND($E58*(P$72/12)*$H58,2))</f>
        <v>134.72</v>
      </c>
      <c r="Q58" s="16">
        <f>IF($H58=0,ROUND($E58*(Q$72/12),2),ROUND($E58*(Q$72/12)*$H58,2))</f>
        <v>148.19</v>
      </c>
      <c r="R58" s="16"/>
      <c r="S58" s="63">
        <f t="shared" si="18"/>
        <v>0.027</v>
      </c>
      <c r="T58" s="16"/>
      <c r="U58" s="16">
        <f t="shared" si="19"/>
        <v>1.39</v>
      </c>
      <c r="V58" s="16">
        <f t="shared" si="20"/>
        <v>53.66</v>
      </c>
      <c r="W58" s="16">
        <f t="shared" si="20"/>
        <v>53.66</v>
      </c>
      <c r="X58" s="16"/>
      <c r="Y58" s="16"/>
      <c r="Z58" s="16"/>
      <c r="AA58" s="16"/>
      <c r="AB58" s="16"/>
      <c r="AC58" s="16"/>
      <c r="AD58" s="16"/>
      <c r="AE58" s="16"/>
      <c r="AF58" s="78"/>
      <c r="AG58" s="79"/>
    </row>
    <row r="59" spans="1:33" s="5" customFormat="1" ht="21.75" customHeight="1">
      <c r="A59" s="12">
        <f t="shared" si="4"/>
        <v>47</v>
      </c>
      <c r="B59" s="13">
        <f t="shared" si="21"/>
        <v>2688.48</v>
      </c>
      <c r="C59" s="14">
        <v>2706.73</v>
      </c>
      <c r="D59" s="15" t="s">
        <v>25</v>
      </c>
      <c r="E59" s="16">
        <f>C59-B59</f>
        <v>18.25</v>
      </c>
      <c r="F59" s="16">
        <v>1.57</v>
      </c>
      <c r="G59" s="18">
        <f>ROUND((2362.116-12-($F59/2))/2362.116,4)</f>
        <v>0.9946</v>
      </c>
      <c r="H59" s="18">
        <f>ROUND((2362.116-12-($F59))/2362.116,4)</f>
        <v>0.9943</v>
      </c>
      <c r="I59" s="16">
        <f t="shared" si="17"/>
        <v>28.5</v>
      </c>
      <c r="J59" s="16"/>
      <c r="K59" s="16"/>
      <c r="L59" s="16"/>
      <c r="M59" s="16"/>
      <c r="N59" s="16"/>
      <c r="O59" s="16">
        <f>IF($H59=0,ROUND($E59*(O$72/12),2),ROUND($E59*(O$72/12)*$H59,2))</f>
        <v>27.22</v>
      </c>
      <c r="P59" s="16"/>
      <c r="Q59" s="16"/>
      <c r="R59" s="16"/>
      <c r="S59" s="63">
        <f t="shared" si="18"/>
        <v>0.003</v>
      </c>
      <c r="T59" s="16"/>
      <c r="U59" s="16">
        <f t="shared" si="19"/>
        <v>0.16</v>
      </c>
      <c r="V59" s="16">
        <f t="shared" si="20"/>
        <v>6.19</v>
      </c>
      <c r="W59" s="16">
        <f t="shared" si="20"/>
        <v>6.19</v>
      </c>
      <c r="X59" s="16"/>
      <c r="Y59" s="16"/>
      <c r="Z59" s="16"/>
      <c r="AA59" s="16"/>
      <c r="AB59" s="16"/>
      <c r="AC59" s="16"/>
      <c r="AD59" s="16"/>
      <c r="AE59" s="16"/>
      <c r="AF59" s="78"/>
      <c r="AG59" s="79"/>
    </row>
    <row r="60" spans="1:33" s="5" customFormat="1" ht="21.75" customHeight="1">
      <c r="A60" s="12">
        <f t="shared" si="4"/>
        <v>48</v>
      </c>
      <c r="B60" s="13">
        <f t="shared" si="21"/>
        <v>2706.73</v>
      </c>
      <c r="C60" s="14">
        <v>2738.16</v>
      </c>
      <c r="D60" s="15" t="s">
        <v>25</v>
      </c>
      <c r="E60" s="16">
        <f>C60-B60</f>
        <v>31.429999999999836</v>
      </c>
      <c r="F60" s="16">
        <v>1.57</v>
      </c>
      <c r="G60" s="18">
        <f>ROUND((2362.116-12-($F60/2))/2362.116,4)</f>
        <v>0.9946</v>
      </c>
      <c r="H60" s="18">
        <f>ROUND((2362.116-12-($F60))/2362.116,4)</f>
        <v>0.9943</v>
      </c>
      <c r="I60" s="16">
        <f t="shared" si="17"/>
        <v>49.08</v>
      </c>
      <c r="J60" s="16"/>
      <c r="K60" s="16"/>
      <c r="L60" s="16"/>
      <c r="M60" s="16"/>
      <c r="N60" s="16"/>
      <c r="O60" s="16">
        <f>IF($H60=0,ROUND($E60*(O$72/12),2),ROUND($E60*(O$72/12)*$H60,2))</f>
        <v>46.88</v>
      </c>
      <c r="P60" s="16"/>
      <c r="Q60" s="16"/>
      <c r="R60" s="16"/>
      <c r="S60" s="63">
        <f t="shared" si="18"/>
        <v>0.005</v>
      </c>
      <c r="T60" s="16"/>
      <c r="U60" s="16">
        <f t="shared" si="19"/>
        <v>0.28</v>
      </c>
      <c r="V60" s="16">
        <f t="shared" si="20"/>
        <v>10.66</v>
      </c>
      <c r="W60" s="16">
        <f t="shared" si="20"/>
        <v>10.66</v>
      </c>
      <c r="X60" s="16"/>
      <c r="Y60" s="16"/>
      <c r="Z60" s="16"/>
      <c r="AA60" s="16"/>
      <c r="AB60" s="16"/>
      <c r="AC60" s="16"/>
      <c r="AD60" s="16"/>
      <c r="AE60" s="16"/>
      <c r="AF60" s="78"/>
      <c r="AG60" s="79"/>
    </row>
    <row r="61" spans="1:33" s="25" customFormat="1" ht="21.75" customHeight="1">
      <c r="A61" s="12">
        <f t="shared" si="4"/>
        <v>49</v>
      </c>
      <c r="B61" s="13">
        <f t="shared" si="21"/>
        <v>2738.16</v>
      </c>
      <c r="C61" s="14">
        <v>2748.86</v>
      </c>
      <c r="D61" s="15" t="s">
        <v>25</v>
      </c>
      <c r="E61" s="16">
        <f>C61-B61</f>
        <v>10.700000000000273</v>
      </c>
      <c r="F61" s="17">
        <f>ROUND(AVERAGE(2,1.572),2)</f>
        <v>1.79</v>
      </c>
      <c r="G61" s="18">
        <f>ROUND((2362.116-12-($F61/2))/2362.116,4)</f>
        <v>0.9945</v>
      </c>
      <c r="H61" s="18">
        <f>ROUND((2362.116-12-($F61))/2362.116,4)</f>
        <v>0.9942</v>
      </c>
      <c r="I61" s="16">
        <f t="shared" si="17"/>
        <v>19.05</v>
      </c>
      <c r="J61" s="16"/>
      <c r="K61" s="16"/>
      <c r="L61" s="16"/>
      <c r="M61" s="16"/>
      <c r="N61" s="16"/>
      <c r="O61" s="16">
        <f>IF($H61=0,ROUND($E61*(O$72/12),2),ROUND($E61*(O$72/12)*$H61,2))</f>
        <v>15.96</v>
      </c>
      <c r="P61" s="16"/>
      <c r="Q61" s="16"/>
      <c r="R61" s="16"/>
      <c r="S61" s="63">
        <f t="shared" si="18"/>
        <v>0.002</v>
      </c>
      <c r="T61" s="16"/>
      <c r="U61" s="16">
        <f t="shared" si="19"/>
        <v>0.1</v>
      </c>
      <c r="V61" s="16">
        <f t="shared" si="20"/>
        <v>3.89</v>
      </c>
      <c r="W61" s="16">
        <f t="shared" si="20"/>
        <v>3.89</v>
      </c>
      <c r="X61" s="16"/>
      <c r="Y61" s="16"/>
      <c r="Z61" s="16"/>
      <c r="AA61" s="16"/>
      <c r="AB61" s="16"/>
      <c r="AC61" s="16"/>
      <c r="AD61" s="16"/>
      <c r="AE61" s="16"/>
      <c r="AF61" s="78"/>
      <c r="AG61" s="79"/>
    </row>
    <row r="62" spans="1:33" s="25" customFormat="1" ht="21.75" customHeight="1">
      <c r="A62" s="12">
        <f t="shared" si="4"/>
        <v>50</v>
      </c>
      <c r="B62" s="13">
        <f t="shared" si="21"/>
        <v>2748.86</v>
      </c>
      <c r="C62" s="14">
        <v>2753.5</v>
      </c>
      <c r="D62" s="15" t="s">
        <v>25</v>
      </c>
      <c r="E62" s="16">
        <f>C62-B62</f>
        <v>4.639999999999873</v>
      </c>
      <c r="F62" s="16">
        <v>2</v>
      </c>
      <c r="G62" s="18">
        <f>ROUND((2362.116-12-($F62/2))/2362.116,4)</f>
        <v>0.9945</v>
      </c>
      <c r="H62" s="18">
        <f>ROUND((2362.116-12-($F62))/2362.116,4)</f>
        <v>0.9941</v>
      </c>
      <c r="I62" s="16">
        <f>IF(G62=0,ROUND($E62*$F62,2),ROUND($E62*$F62*$G62,2))</f>
        <v>9.23</v>
      </c>
      <c r="J62" s="16"/>
      <c r="K62" s="16"/>
      <c r="L62" s="16"/>
      <c r="M62" s="16"/>
      <c r="N62" s="16"/>
      <c r="O62" s="16">
        <f>IF($H62=0,ROUND($E62*(O$72/12),2),ROUND($E62*(O$72/12)*$H62,2))</f>
        <v>6.92</v>
      </c>
      <c r="P62" s="16"/>
      <c r="Q62" s="16"/>
      <c r="R62" s="16"/>
      <c r="S62" s="63">
        <f t="shared" si="18"/>
        <v>0.001</v>
      </c>
      <c r="T62" s="16"/>
      <c r="U62" s="16">
        <f t="shared" si="19"/>
        <v>0.05</v>
      </c>
      <c r="V62" s="16">
        <f t="shared" si="20"/>
        <v>1.79</v>
      </c>
      <c r="W62" s="16">
        <f t="shared" si="20"/>
        <v>1.79</v>
      </c>
      <c r="X62" s="16"/>
      <c r="Y62" s="16"/>
      <c r="Z62" s="16"/>
      <c r="AA62" s="16"/>
      <c r="AB62" s="16"/>
      <c r="AC62" s="16"/>
      <c r="AD62" s="16"/>
      <c r="AE62" s="16"/>
      <c r="AF62" s="78"/>
      <c r="AG62" s="79"/>
    </row>
    <row r="63" spans="1:33" s="25" customFormat="1" ht="21.75" customHeight="1">
      <c r="A63" s="12">
        <f t="shared" si="4"/>
        <v>51</v>
      </c>
      <c r="B63" s="13">
        <f t="shared" si="21"/>
        <v>2753.5</v>
      </c>
      <c r="C63" s="14">
        <v>2770</v>
      </c>
      <c r="D63" s="15" t="s">
        <v>25</v>
      </c>
      <c r="E63" s="16">
        <f>C63-B63</f>
        <v>16.5</v>
      </c>
      <c r="F63" s="16">
        <v>2</v>
      </c>
      <c r="G63" s="18">
        <f>ROUND((2362.116-11.86-($F63/2))/2362.116,4)</f>
        <v>0.9946</v>
      </c>
      <c r="H63" s="18">
        <f>ROUND((2362.116-11.86-($F63))/2362.116,4)</f>
        <v>0.9941</v>
      </c>
      <c r="I63" s="16">
        <f>IF(G63=0,ROUND($E63*$F63,2),ROUND($E63*$F63*$G63,2))</f>
        <v>32.82</v>
      </c>
      <c r="J63" s="16"/>
      <c r="K63" s="16"/>
      <c r="L63" s="16"/>
      <c r="M63" s="16"/>
      <c r="N63" s="16"/>
      <c r="O63" s="16">
        <f>IF($H63=0,ROUND($E63*(O$72/12),2),ROUND($E63*(O$72/12)*$H63,2))</f>
        <v>24.6</v>
      </c>
      <c r="P63" s="16"/>
      <c r="Q63" s="16"/>
      <c r="R63" s="16"/>
      <c r="S63" s="63">
        <f t="shared" si="18"/>
        <v>0.003</v>
      </c>
      <c r="T63" s="16"/>
      <c r="U63" s="16">
        <f t="shared" si="19"/>
        <v>0.17</v>
      </c>
      <c r="V63" s="16">
        <f t="shared" si="20"/>
        <v>6.38</v>
      </c>
      <c r="W63" s="16">
        <f t="shared" si="20"/>
        <v>6.38</v>
      </c>
      <c r="X63" s="16"/>
      <c r="Y63" s="16"/>
      <c r="Z63" s="16"/>
      <c r="AA63" s="16"/>
      <c r="AB63" s="16"/>
      <c r="AC63" s="16"/>
      <c r="AD63" s="16"/>
      <c r="AE63" s="16"/>
      <c r="AF63" s="78"/>
      <c r="AG63" s="79"/>
    </row>
    <row r="64" spans="1:33" s="25" customFormat="1" ht="21.75" customHeight="1">
      <c r="A64" s="12">
        <f t="shared" si="4"/>
        <v>52</v>
      </c>
      <c r="B64" s="13"/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63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80"/>
      <c r="AG64" s="79"/>
    </row>
    <row r="65" spans="1:33" s="25" customFormat="1" ht="21.75" customHeight="1">
      <c r="A65" s="12">
        <f t="shared" si="4"/>
        <v>53</v>
      </c>
      <c r="B65" s="13"/>
      <c r="C65" s="14"/>
      <c r="D65" s="15"/>
      <c r="E65" s="16"/>
      <c r="F65" s="17"/>
      <c r="G65" s="1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80"/>
      <c r="AG65" s="79"/>
    </row>
    <row r="66" spans="1:33" s="25" customFormat="1" ht="21.75" customHeight="1" thickBot="1">
      <c r="A66" s="12">
        <f t="shared" si="4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81"/>
      <c r="AG66" s="82"/>
    </row>
    <row r="67" spans="2:33" s="26" customFormat="1" ht="46.5" customHeight="1">
      <c r="B67" s="95" t="s">
        <v>8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7"/>
      <c r="R67" s="85" t="str">
        <f aca="true" t="shared" si="22" ref="R67:AE67">IF(SUM(R13:R66)=0," ",ROUNDUP(SUM(R13:R66),0))</f>
        <v> </v>
      </c>
      <c r="S67" s="85">
        <f t="shared" si="22"/>
        <v>3</v>
      </c>
      <c r="T67" s="85" t="str">
        <f t="shared" si="22"/>
        <v> </v>
      </c>
      <c r="U67" s="85">
        <f t="shared" si="22"/>
        <v>130</v>
      </c>
      <c r="V67" s="85">
        <f t="shared" si="22"/>
        <v>5021</v>
      </c>
      <c r="W67" s="85">
        <f t="shared" si="22"/>
        <v>5021</v>
      </c>
      <c r="X67" s="85" t="str">
        <f t="shared" si="22"/>
        <v> </v>
      </c>
      <c r="Y67" s="85" t="str">
        <f t="shared" si="22"/>
        <v> </v>
      </c>
      <c r="Z67" s="85" t="str">
        <f t="shared" si="22"/>
        <v> </v>
      </c>
      <c r="AA67" s="85" t="str">
        <f t="shared" si="22"/>
        <v> </v>
      </c>
      <c r="AB67" s="85" t="str">
        <f t="shared" si="22"/>
        <v> </v>
      </c>
      <c r="AC67" s="85" t="str">
        <f t="shared" si="22"/>
        <v> </v>
      </c>
      <c r="AD67" s="85" t="str">
        <f t="shared" si="22"/>
        <v> </v>
      </c>
      <c r="AE67" s="85" t="str">
        <f t="shared" si="22"/>
        <v> </v>
      </c>
      <c r="AF67" s="87">
        <v>15</v>
      </c>
      <c r="AG67" s="88"/>
    </row>
    <row r="68" spans="2:33" s="26" customFormat="1" ht="46.5" customHeight="1" thickBot="1"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100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3">
        <v>16</v>
      </c>
      <c r="AG68" s="84"/>
    </row>
    <row r="69" spans="1:34" ht="36" customHeight="1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T69" s="28"/>
      <c r="U69" s="28"/>
      <c r="V69" s="1"/>
      <c r="W69" s="28"/>
      <c r="X69" s="28"/>
      <c r="Y69" s="28"/>
      <c r="Z69" s="28"/>
      <c r="AA69" s="28"/>
      <c r="AB69" s="28"/>
      <c r="AF69" s="28"/>
      <c r="AG69" s="28"/>
      <c r="AH69" s="29"/>
    </row>
    <row r="70" spans="2:33" ht="12.7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T70" s="28"/>
      <c r="U70" s="28"/>
      <c r="V70" s="1"/>
      <c r="W70" s="28"/>
      <c r="X70" s="28"/>
      <c r="Y70" s="28"/>
      <c r="Z70" s="28"/>
      <c r="AA70" s="28"/>
      <c r="AB70" s="28"/>
      <c r="AF70" s="28"/>
      <c r="AG70" s="28"/>
    </row>
    <row r="71" spans="2:33" ht="12.7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T71" s="28"/>
      <c r="U71" s="28"/>
      <c r="V71" s="1"/>
      <c r="W71" s="28"/>
      <c r="X71" s="28"/>
      <c r="Y71" s="28"/>
      <c r="Z71" s="28"/>
      <c r="AA71" s="28"/>
      <c r="AB71" s="28"/>
      <c r="AF71" s="28"/>
      <c r="AG71" s="28"/>
    </row>
    <row r="72" spans="2:33" ht="15.75">
      <c r="B72" s="64" t="s">
        <v>26</v>
      </c>
      <c r="C72" s="65"/>
      <c r="D72" s="65"/>
      <c r="E72" s="65"/>
      <c r="F72" s="65"/>
      <c r="G72" s="66"/>
      <c r="H72" s="43"/>
      <c r="I72" s="43"/>
      <c r="J72" s="43"/>
      <c r="K72" s="43">
        <v>4</v>
      </c>
      <c r="L72" s="43">
        <v>6</v>
      </c>
      <c r="M72" s="43">
        <v>10</v>
      </c>
      <c r="N72" s="43">
        <v>16</v>
      </c>
      <c r="O72" s="43">
        <v>18</v>
      </c>
      <c r="P72" s="43">
        <v>20</v>
      </c>
      <c r="Q72" s="43">
        <v>22</v>
      </c>
      <c r="R72" s="45"/>
      <c r="S72" s="62">
        <v>2000</v>
      </c>
      <c r="T72" s="44"/>
      <c r="U72" s="44">
        <v>0.75</v>
      </c>
      <c r="V72" s="62"/>
      <c r="W72" s="62">
        <v>12</v>
      </c>
      <c r="X72" s="45"/>
      <c r="Y72" s="44"/>
      <c r="Z72" s="44"/>
      <c r="AA72" s="44"/>
      <c r="AB72" s="44"/>
      <c r="AC72" s="44"/>
      <c r="AD72" s="44"/>
      <c r="AF72" s="28"/>
      <c r="AG72" s="28"/>
    </row>
    <row r="73" spans="2:33" ht="15">
      <c r="B73" s="28"/>
      <c r="C73" s="28"/>
      <c r="D73" s="28"/>
      <c r="E73" s="28"/>
      <c r="F73" s="28"/>
      <c r="G73" s="28"/>
      <c r="H73" s="24"/>
      <c r="I73" s="28"/>
      <c r="J73" s="28"/>
      <c r="K73" s="28"/>
      <c r="L73" s="28"/>
      <c r="M73" s="28"/>
      <c r="N73" s="28"/>
      <c r="O73" s="28"/>
      <c r="P73" s="28"/>
      <c r="Q73" s="28"/>
      <c r="R73" s="24"/>
      <c r="T73" s="43"/>
      <c r="U73" s="43">
        <v>115</v>
      </c>
      <c r="V73" s="62"/>
      <c r="W73" s="46"/>
      <c r="X73" s="28"/>
      <c r="Y73" s="28"/>
      <c r="Z73" s="28"/>
      <c r="AA73" s="28"/>
      <c r="AB73" s="28"/>
      <c r="AF73" s="28"/>
      <c r="AG73" s="28"/>
    </row>
    <row r="74" spans="2:33" ht="15">
      <c r="B74" s="28"/>
      <c r="C74" s="30"/>
      <c r="D74" s="28"/>
      <c r="E74" s="28"/>
      <c r="F74" s="28"/>
      <c r="G74" s="28"/>
      <c r="H74" s="31"/>
      <c r="I74" s="28"/>
      <c r="J74" s="28"/>
      <c r="K74" s="120"/>
      <c r="L74" s="121"/>
      <c r="M74" s="121"/>
      <c r="N74" s="121"/>
      <c r="O74" s="121"/>
      <c r="P74" s="121"/>
      <c r="Q74" s="121"/>
      <c r="R74" s="31"/>
      <c r="S74" s="31"/>
      <c r="T74" s="31"/>
      <c r="U74" s="31">
        <v>0.05</v>
      </c>
      <c r="V74" s="44"/>
      <c r="W74" s="31"/>
      <c r="X74" s="31"/>
      <c r="Y74" s="31"/>
      <c r="Z74" s="31"/>
      <c r="AA74" s="31"/>
      <c r="AB74" s="31"/>
      <c r="AC74" s="31"/>
      <c r="AD74" s="31"/>
      <c r="AE74" s="31"/>
      <c r="AF74" s="28"/>
      <c r="AG74" s="28"/>
    </row>
  </sheetData>
  <sheetProtection/>
  <mergeCells count="56">
    <mergeCell ref="F58:I58"/>
    <mergeCell ref="I3:I11"/>
    <mergeCell ref="B14:I14"/>
    <mergeCell ref="H3:H11"/>
    <mergeCell ref="G3:G11"/>
    <mergeCell ref="F3:F11"/>
    <mergeCell ref="E3:E11"/>
    <mergeCell ref="D3:D11"/>
    <mergeCell ref="B3:C11"/>
    <mergeCell ref="T4:T11"/>
    <mergeCell ref="U4:U11"/>
    <mergeCell ref="V4:V11"/>
    <mergeCell ref="W4:W11"/>
    <mergeCell ref="L3:L11"/>
    <mergeCell ref="M3:M11"/>
    <mergeCell ref="O3:O11"/>
    <mergeCell ref="J3:J11"/>
    <mergeCell ref="K3:K11"/>
    <mergeCell ref="AF67:AG67"/>
    <mergeCell ref="AF68:AG68"/>
    <mergeCell ref="AF51:AG66"/>
    <mergeCell ref="AF6:AG50"/>
    <mergeCell ref="AA4:AA11"/>
    <mergeCell ref="U67:U68"/>
    <mergeCell ref="AF3:AF5"/>
    <mergeCell ref="AG3:AG5"/>
    <mergeCell ref="AD4:AD11"/>
    <mergeCell ref="AB4:AB11"/>
    <mergeCell ref="X4:X11"/>
    <mergeCell ref="Y4:Y11"/>
    <mergeCell ref="Z4:Z11"/>
    <mergeCell ref="N3:N11"/>
    <mergeCell ref="P3:P11"/>
    <mergeCell ref="Q3:Q11"/>
    <mergeCell ref="R4:R11"/>
    <mergeCell ref="S4:S11"/>
    <mergeCell ref="V67:V68"/>
    <mergeCell ref="W67:W68"/>
    <mergeCell ref="X67:X68"/>
    <mergeCell ref="AE67:AE68"/>
    <mergeCell ref="Z67:Z68"/>
    <mergeCell ref="AC4:AC11"/>
    <mergeCell ref="AA67:AA68"/>
    <mergeCell ref="AB67:AB68"/>
    <mergeCell ref="AC67:AC68"/>
    <mergeCell ref="AE4:AE11"/>
    <mergeCell ref="B67:Q68"/>
    <mergeCell ref="K74:Q74"/>
    <mergeCell ref="F16:I16"/>
    <mergeCell ref="F22:I22"/>
    <mergeCell ref="B39:I39"/>
    <mergeCell ref="AD67:AD68"/>
    <mergeCell ref="Y67:Y68"/>
    <mergeCell ref="R67:R68"/>
    <mergeCell ref="S67:S68"/>
    <mergeCell ref="T67:T68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2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6"/>
  <sheetViews>
    <sheetView view="pageBreakPreview" zoomScale="50" zoomScaleNormal="25" zoomScaleSheetLayoutView="50" workbookViewId="0" topLeftCell="A1">
      <selection activeCell="S31" sqref="S31"/>
    </sheetView>
  </sheetViews>
  <sheetFormatPr defaultColWidth="9.140625" defaultRowHeight="12.75"/>
  <cols>
    <col min="1" max="3" width="24.7109375" style="1" customWidth="1"/>
    <col min="4" max="21" width="15.7109375" style="1" customWidth="1"/>
    <col min="22" max="22" width="15.7109375" style="47" customWidth="1"/>
    <col min="23" max="31" width="15.7109375" style="1" customWidth="1"/>
    <col min="32" max="34" width="6.7109375" style="1" customWidth="1"/>
    <col min="35" max="16384" width="9.140625" style="1" customWidth="1"/>
  </cols>
  <sheetData>
    <row r="1" spans="18:27" ht="12.75">
      <c r="R1" s="49"/>
      <c r="S1" s="49"/>
      <c r="T1" s="49"/>
      <c r="U1" s="49"/>
      <c r="V1" s="50"/>
      <c r="W1" s="49"/>
      <c r="X1" s="49"/>
      <c r="Z1" s="49"/>
      <c r="AA1" s="49"/>
    </row>
    <row r="2" spans="1:34" s="4" customFormat="1" ht="36" customHeight="1" thickBot="1">
      <c r="A2" s="2"/>
      <c r="B2" s="32" t="s">
        <v>14</v>
      </c>
      <c r="C2" s="33"/>
      <c r="D2" s="34"/>
      <c r="E2" s="34"/>
      <c r="F2" s="34"/>
      <c r="G2" s="34"/>
      <c r="H2" s="51"/>
      <c r="I2" s="35"/>
      <c r="J2" s="34"/>
      <c r="K2" s="34"/>
      <c r="L2" s="34"/>
      <c r="M2" s="34"/>
      <c r="N2" s="34"/>
      <c r="O2" s="34"/>
      <c r="P2" s="34"/>
      <c r="Q2" s="35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2"/>
      <c r="AD2" s="48"/>
      <c r="AH2" s="3"/>
    </row>
    <row r="3" spans="2:34" s="5" customFormat="1" ht="21.75" customHeight="1">
      <c r="B3" s="95" t="s">
        <v>0</v>
      </c>
      <c r="C3" s="97"/>
      <c r="D3" s="117" t="s">
        <v>3</v>
      </c>
      <c r="E3" s="117" t="s">
        <v>4</v>
      </c>
      <c r="F3" s="117" t="s">
        <v>5</v>
      </c>
      <c r="G3" s="107" t="s">
        <v>12</v>
      </c>
      <c r="H3" s="124"/>
      <c r="I3" s="117" t="s">
        <v>6</v>
      </c>
      <c r="J3" s="107" t="s">
        <v>10</v>
      </c>
      <c r="K3" s="107"/>
      <c r="L3" s="107"/>
      <c r="M3" s="107"/>
      <c r="N3" s="107"/>
      <c r="O3" s="107" t="s">
        <v>15</v>
      </c>
      <c r="P3" s="107" t="s">
        <v>16</v>
      </c>
      <c r="Q3" s="107" t="s">
        <v>17</v>
      </c>
      <c r="R3" s="36">
        <v>204</v>
      </c>
      <c r="S3" s="37">
        <v>204</v>
      </c>
      <c r="T3" s="36"/>
      <c r="U3" s="37">
        <v>206</v>
      </c>
      <c r="V3" s="37">
        <v>206</v>
      </c>
      <c r="W3" s="36">
        <v>206</v>
      </c>
      <c r="X3" s="37"/>
      <c r="Y3" s="36"/>
      <c r="Z3" s="37"/>
      <c r="AA3" s="36"/>
      <c r="AB3" s="37"/>
      <c r="AC3" s="36"/>
      <c r="AD3" s="37"/>
      <c r="AE3" s="37"/>
      <c r="AF3" s="101" t="s">
        <v>11</v>
      </c>
      <c r="AG3" s="101" t="s">
        <v>13</v>
      </c>
      <c r="AH3" s="6"/>
    </row>
    <row r="4" spans="2:34" s="5" customFormat="1" ht="27.75" customHeight="1">
      <c r="B4" s="113"/>
      <c r="C4" s="114"/>
      <c r="D4" s="118"/>
      <c r="E4" s="118"/>
      <c r="F4" s="118"/>
      <c r="G4" s="90"/>
      <c r="H4" s="125"/>
      <c r="I4" s="118"/>
      <c r="J4" s="122"/>
      <c r="K4" s="122"/>
      <c r="L4" s="90"/>
      <c r="M4" s="90"/>
      <c r="N4" s="90"/>
      <c r="O4" s="90"/>
      <c r="P4" s="90"/>
      <c r="Q4" s="90"/>
      <c r="R4" s="92" t="s">
        <v>82</v>
      </c>
      <c r="S4" s="89" t="s">
        <v>83</v>
      </c>
      <c r="T4" s="92"/>
      <c r="U4" s="92" t="s">
        <v>92</v>
      </c>
      <c r="V4" s="89" t="s">
        <v>80</v>
      </c>
      <c r="W4" s="89" t="s">
        <v>81</v>
      </c>
      <c r="X4" s="89"/>
      <c r="Y4" s="92"/>
      <c r="Z4" s="89"/>
      <c r="AA4" s="92"/>
      <c r="AB4" s="89"/>
      <c r="AC4" s="92"/>
      <c r="AD4" s="89"/>
      <c r="AE4" s="89"/>
      <c r="AF4" s="108"/>
      <c r="AG4" s="102"/>
      <c r="AH4" s="7"/>
    </row>
    <row r="5" spans="2:33" s="5" customFormat="1" ht="27.75" customHeight="1" thickBot="1">
      <c r="B5" s="113"/>
      <c r="C5" s="114"/>
      <c r="D5" s="118"/>
      <c r="E5" s="118"/>
      <c r="F5" s="118"/>
      <c r="G5" s="90"/>
      <c r="H5" s="125"/>
      <c r="I5" s="118"/>
      <c r="J5" s="122"/>
      <c r="K5" s="122"/>
      <c r="L5" s="90"/>
      <c r="M5" s="90"/>
      <c r="N5" s="90"/>
      <c r="O5" s="90"/>
      <c r="P5" s="90"/>
      <c r="Q5" s="90"/>
      <c r="R5" s="93"/>
      <c r="S5" s="90"/>
      <c r="T5" s="93"/>
      <c r="U5" s="93"/>
      <c r="V5" s="90"/>
      <c r="W5" s="90"/>
      <c r="X5" s="90"/>
      <c r="Y5" s="93"/>
      <c r="Z5" s="90"/>
      <c r="AA5" s="93"/>
      <c r="AB5" s="90"/>
      <c r="AC5" s="93"/>
      <c r="AD5" s="90"/>
      <c r="AE5" s="90"/>
      <c r="AF5" s="109"/>
      <c r="AG5" s="102"/>
    </row>
    <row r="6" spans="2:33" s="5" customFormat="1" ht="27.75" customHeight="1">
      <c r="B6" s="113"/>
      <c r="C6" s="114"/>
      <c r="D6" s="118"/>
      <c r="E6" s="118"/>
      <c r="F6" s="118"/>
      <c r="G6" s="90"/>
      <c r="H6" s="125"/>
      <c r="I6" s="118"/>
      <c r="J6" s="122"/>
      <c r="K6" s="122"/>
      <c r="L6" s="90"/>
      <c r="M6" s="90"/>
      <c r="N6" s="90"/>
      <c r="O6" s="90"/>
      <c r="P6" s="90"/>
      <c r="Q6" s="90"/>
      <c r="R6" s="93"/>
      <c r="S6" s="90"/>
      <c r="T6" s="93"/>
      <c r="U6" s="93"/>
      <c r="V6" s="90"/>
      <c r="W6" s="90"/>
      <c r="X6" s="90"/>
      <c r="Y6" s="93"/>
      <c r="Z6" s="90"/>
      <c r="AA6" s="93"/>
      <c r="AB6" s="90"/>
      <c r="AC6" s="93"/>
      <c r="AD6" s="90"/>
      <c r="AE6" s="90"/>
      <c r="AF6" s="76" t="s">
        <v>79</v>
      </c>
      <c r="AG6" s="77"/>
    </row>
    <row r="7" spans="2:33" s="5" customFormat="1" ht="27.75" customHeight="1">
      <c r="B7" s="113"/>
      <c r="C7" s="114"/>
      <c r="D7" s="118"/>
      <c r="E7" s="118"/>
      <c r="F7" s="118"/>
      <c r="G7" s="90"/>
      <c r="H7" s="125"/>
      <c r="I7" s="118"/>
      <c r="J7" s="122"/>
      <c r="K7" s="122"/>
      <c r="L7" s="90"/>
      <c r="M7" s="90"/>
      <c r="N7" s="90"/>
      <c r="O7" s="90"/>
      <c r="P7" s="90"/>
      <c r="Q7" s="90"/>
      <c r="R7" s="93"/>
      <c r="S7" s="90"/>
      <c r="T7" s="93"/>
      <c r="U7" s="93"/>
      <c r="V7" s="90"/>
      <c r="W7" s="90"/>
      <c r="X7" s="90"/>
      <c r="Y7" s="93"/>
      <c r="Z7" s="90"/>
      <c r="AA7" s="93"/>
      <c r="AB7" s="90"/>
      <c r="AC7" s="93"/>
      <c r="AD7" s="90"/>
      <c r="AE7" s="90"/>
      <c r="AF7" s="78"/>
      <c r="AG7" s="79"/>
    </row>
    <row r="8" spans="2:33" s="5" customFormat="1" ht="27.75" customHeight="1">
      <c r="B8" s="113"/>
      <c r="C8" s="114"/>
      <c r="D8" s="118"/>
      <c r="E8" s="118"/>
      <c r="F8" s="118"/>
      <c r="G8" s="90"/>
      <c r="H8" s="125"/>
      <c r="I8" s="118"/>
      <c r="J8" s="122"/>
      <c r="K8" s="122"/>
      <c r="L8" s="90"/>
      <c r="M8" s="90"/>
      <c r="N8" s="90"/>
      <c r="O8" s="90"/>
      <c r="P8" s="90"/>
      <c r="Q8" s="90"/>
      <c r="R8" s="93"/>
      <c r="S8" s="90"/>
      <c r="T8" s="93"/>
      <c r="U8" s="93"/>
      <c r="V8" s="90"/>
      <c r="W8" s="90"/>
      <c r="X8" s="90"/>
      <c r="Y8" s="93"/>
      <c r="Z8" s="90"/>
      <c r="AA8" s="93"/>
      <c r="AB8" s="90"/>
      <c r="AC8" s="93"/>
      <c r="AD8" s="90"/>
      <c r="AE8" s="90"/>
      <c r="AF8" s="78"/>
      <c r="AG8" s="79"/>
    </row>
    <row r="9" spans="2:33" s="5" customFormat="1" ht="27.75" customHeight="1">
      <c r="B9" s="113"/>
      <c r="C9" s="114"/>
      <c r="D9" s="118"/>
      <c r="E9" s="118"/>
      <c r="F9" s="118"/>
      <c r="G9" s="90"/>
      <c r="H9" s="125"/>
      <c r="I9" s="118"/>
      <c r="J9" s="122"/>
      <c r="K9" s="122"/>
      <c r="L9" s="90"/>
      <c r="M9" s="90"/>
      <c r="N9" s="90"/>
      <c r="O9" s="90"/>
      <c r="P9" s="90"/>
      <c r="Q9" s="90"/>
      <c r="R9" s="93"/>
      <c r="S9" s="90"/>
      <c r="T9" s="93"/>
      <c r="U9" s="93"/>
      <c r="V9" s="90"/>
      <c r="W9" s="90"/>
      <c r="X9" s="90"/>
      <c r="Y9" s="93"/>
      <c r="Z9" s="90"/>
      <c r="AA9" s="93"/>
      <c r="AB9" s="90"/>
      <c r="AC9" s="93"/>
      <c r="AD9" s="90"/>
      <c r="AE9" s="90"/>
      <c r="AF9" s="78"/>
      <c r="AG9" s="79"/>
    </row>
    <row r="10" spans="2:33" s="5" customFormat="1" ht="27.75" customHeight="1">
      <c r="B10" s="113"/>
      <c r="C10" s="114"/>
      <c r="D10" s="118"/>
      <c r="E10" s="118"/>
      <c r="F10" s="118"/>
      <c r="G10" s="90"/>
      <c r="H10" s="125"/>
      <c r="I10" s="118"/>
      <c r="J10" s="122"/>
      <c r="K10" s="122"/>
      <c r="L10" s="90"/>
      <c r="M10" s="90"/>
      <c r="N10" s="90"/>
      <c r="O10" s="90"/>
      <c r="P10" s="90"/>
      <c r="Q10" s="90"/>
      <c r="R10" s="93"/>
      <c r="S10" s="90"/>
      <c r="T10" s="93"/>
      <c r="U10" s="93"/>
      <c r="V10" s="90"/>
      <c r="W10" s="90"/>
      <c r="X10" s="90"/>
      <c r="Y10" s="93"/>
      <c r="Z10" s="90"/>
      <c r="AA10" s="93"/>
      <c r="AB10" s="90"/>
      <c r="AC10" s="93"/>
      <c r="AD10" s="90"/>
      <c r="AE10" s="90"/>
      <c r="AF10" s="78"/>
      <c r="AG10" s="79"/>
    </row>
    <row r="11" spans="2:33" s="8" customFormat="1" ht="27.75" customHeight="1">
      <c r="B11" s="115"/>
      <c r="C11" s="116"/>
      <c r="D11" s="119"/>
      <c r="E11" s="119"/>
      <c r="F11" s="119"/>
      <c r="G11" s="91"/>
      <c r="H11" s="126"/>
      <c r="I11" s="119"/>
      <c r="J11" s="123"/>
      <c r="K11" s="123"/>
      <c r="L11" s="91"/>
      <c r="M11" s="91"/>
      <c r="N11" s="91"/>
      <c r="O11" s="91"/>
      <c r="P11" s="91"/>
      <c r="Q11" s="91"/>
      <c r="R11" s="94"/>
      <c r="S11" s="91"/>
      <c r="T11" s="94"/>
      <c r="U11" s="94"/>
      <c r="V11" s="91"/>
      <c r="W11" s="91"/>
      <c r="X11" s="91"/>
      <c r="Y11" s="94"/>
      <c r="Z11" s="91"/>
      <c r="AA11" s="94"/>
      <c r="AB11" s="91"/>
      <c r="AC11" s="94"/>
      <c r="AD11" s="91"/>
      <c r="AE11" s="91"/>
      <c r="AF11" s="78"/>
      <c r="AG11" s="79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38"/>
      <c r="I12" s="11" t="s">
        <v>9</v>
      </c>
      <c r="J12" s="11" t="s">
        <v>9</v>
      </c>
      <c r="K12" s="11"/>
      <c r="L12" s="11"/>
      <c r="M12" s="11"/>
      <c r="N12" s="11"/>
      <c r="O12" s="11" t="s">
        <v>9</v>
      </c>
      <c r="P12" s="11" t="s">
        <v>9</v>
      </c>
      <c r="Q12" s="11" t="s">
        <v>9</v>
      </c>
      <c r="R12" s="38" t="s">
        <v>85</v>
      </c>
      <c r="S12" s="11" t="s">
        <v>84</v>
      </c>
      <c r="T12" s="38"/>
      <c r="U12" s="11" t="s">
        <v>86</v>
      </c>
      <c r="V12" s="11" t="s">
        <v>85</v>
      </c>
      <c r="W12" s="38" t="s">
        <v>85</v>
      </c>
      <c r="X12" s="11"/>
      <c r="Y12" s="38"/>
      <c r="Z12" s="11"/>
      <c r="AA12" s="38"/>
      <c r="AB12" s="11"/>
      <c r="AC12" s="38"/>
      <c r="AD12" s="11"/>
      <c r="AE12" s="11"/>
      <c r="AF12" s="78"/>
      <c r="AG12" s="79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78"/>
      <c r="AG13" s="79"/>
    </row>
    <row r="14" spans="1:33" s="5" customFormat="1" ht="21.75" customHeight="1">
      <c r="A14" s="12">
        <f>A13+1</f>
        <v>2</v>
      </c>
      <c r="B14" s="110" t="s">
        <v>78</v>
      </c>
      <c r="C14" s="111"/>
      <c r="D14" s="111"/>
      <c r="E14" s="111"/>
      <c r="F14" s="111"/>
      <c r="G14" s="111"/>
      <c r="H14" s="111"/>
      <c r="I14" s="1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78"/>
      <c r="AG14" s="79"/>
    </row>
    <row r="15" spans="1:33" s="5" customFormat="1" ht="21.75" customHeight="1">
      <c r="A15" s="12">
        <f>A14+1</f>
        <v>3</v>
      </c>
      <c r="B15" s="19" t="s">
        <v>28</v>
      </c>
      <c r="C15" s="60"/>
      <c r="D15" s="15"/>
      <c r="E15" s="16"/>
      <c r="F15" s="23"/>
      <c r="G15" s="18"/>
      <c r="H15" s="16"/>
      <c r="I15" s="16"/>
      <c r="J15" s="16"/>
      <c r="K15" s="16"/>
      <c r="L15" s="15"/>
      <c r="M15" s="15"/>
      <c r="N15" s="15"/>
      <c r="O15" s="15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78"/>
      <c r="AG15" s="79"/>
    </row>
    <row r="16" spans="1:33" s="5" customFormat="1" ht="21.75" customHeight="1">
      <c r="A16" s="12">
        <f>A15+1</f>
        <v>4</v>
      </c>
      <c r="B16" s="13">
        <v>2450</v>
      </c>
      <c r="C16" s="14">
        <v>2503.51</v>
      </c>
      <c r="D16" s="15" t="s">
        <v>20</v>
      </c>
      <c r="E16" s="16">
        <f aca="true" t="shared" si="0" ref="E16:E22">C16-B16</f>
        <v>53.51000000000022</v>
      </c>
      <c r="F16" s="17">
        <v>4</v>
      </c>
      <c r="G16" s="18"/>
      <c r="H16" s="16"/>
      <c r="I16" s="16">
        <f>IF(G16=0,ROUND($E16*$F16,2),ROUND($E16*$F16*$G16,2))</f>
        <v>214.04</v>
      </c>
      <c r="J16" s="16"/>
      <c r="K16" s="16"/>
      <c r="L16" s="16"/>
      <c r="M16" s="16"/>
      <c r="N16" s="16"/>
      <c r="O16" s="16">
        <f>IF($H16=0,ROUND($E16*(O$72/12),2),ROUND($E16*(O$72/12)*$H16,2))</f>
        <v>80.27</v>
      </c>
      <c r="P16" s="16"/>
      <c r="Q16" s="16"/>
      <c r="R16" s="16"/>
      <c r="S16" s="63">
        <f aca="true" t="shared" si="1" ref="S16:S22">ROUND(($V16/S$72),3)</f>
        <v>0.016</v>
      </c>
      <c r="T16" s="16"/>
      <c r="U16" s="16">
        <f aca="true" t="shared" si="2" ref="U16:U22">ROUND((($U$72*$W$72*$U$73*$U$74*$W16)/2000),2)</f>
        <v>0.85</v>
      </c>
      <c r="V16" s="16">
        <f>ROUND((($I16+$J16+$O16+$P16+$Q16)/9),2)</f>
        <v>32.7</v>
      </c>
      <c r="W16" s="16">
        <f>ROUND((($I16+$J16+$O16+$P16+$Q16)/9),2)</f>
        <v>32.7</v>
      </c>
      <c r="X16" s="16"/>
      <c r="Y16" s="16"/>
      <c r="Z16" s="16"/>
      <c r="AA16" s="16"/>
      <c r="AB16" s="16"/>
      <c r="AC16" s="16"/>
      <c r="AD16" s="16"/>
      <c r="AE16" s="16"/>
      <c r="AF16" s="78"/>
      <c r="AG16" s="79"/>
    </row>
    <row r="17" spans="1:33" s="5" customFormat="1" ht="21.75" customHeight="1">
      <c r="A17" s="12">
        <f aca="true" t="shared" si="3" ref="A17:A66">A16+1</f>
        <v>5</v>
      </c>
      <c r="B17" s="13">
        <f aca="true" t="shared" si="4" ref="B17:B22">C16</f>
        <v>2503.51</v>
      </c>
      <c r="C17" s="14">
        <v>2513.44</v>
      </c>
      <c r="D17" s="15" t="s">
        <v>20</v>
      </c>
      <c r="E17" s="16">
        <f t="shared" si="0"/>
        <v>9.929999999999836</v>
      </c>
      <c r="F17" s="17">
        <f>ROUND(AVERAGE(4,5.985),2)</f>
        <v>4.99</v>
      </c>
      <c r="G17" s="18"/>
      <c r="H17" s="16"/>
      <c r="I17" s="16">
        <f>IF(G17=0,ROUND($E17*$F17,2),ROUND($E17*$F17*$G17,2))</f>
        <v>49.55</v>
      </c>
      <c r="J17" s="16"/>
      <c r="K17" s="16"/>
      <c r="L17" s="16"/>
      <c r="M17" s="16"/>
      <c r="N17" s="16"/>
      <c r="O17" s="16">
        <f aca="true" t="shared" si="5" ref="O17:Q20">IF($H17=0,ROUND($E17*(O$72/12),2),ROUND($E17*(O$72/12)*$H17,2))</f>
        <v>14.89</v>
      </c>
      <c r="P17" s="16"/>
      <c r="Q17" s="16"/>
      <c r="R17" s="16"/>
      <c r="S17" s="63">
        <f t="shared" si="1"/>
        <v>0.004</v>
      </c>
      <c r="T17" s="16"/>
      <c r="U17" s="16">
        <f t="shared" si="2"/>
        <v>0.19</v>
      </c>
      <c r="V17" s="16">
        <f aca="true" t="shared" si="6" ref="V17:W22">ROUND((($I17+$J17+$O17+$P17+$Q17)/9),2)</f>
        <v>7.16</v>
      </c>
      <c r="W17" s="16">
        <f t="shared" si="6"/>
        <v>7.16</v>
      </c>
      <c r="X17" s="16"/>
      <c r="Y17" s="16"/>
      <c r="Z17" s="16"/>
      <c r="AA17" s="16"/>
      <c r="AB17" s="16"/>
      <c r="AC17" s="16"/>
      <c r="AD17" s="16"/>
      <c r="AE17" s="16"/>
      <c r="AF17" s="78"/>
      <c r="AG17" s="79"/>
    </row>
    <row r="18" spans="1:33" s="5" customFormat="1" ht="21.75" customHeight="1">
      <c r="A18" s="12">
        <f t="shared" si="3"/>
        <v>6</v>
      </c>
      <c r="B18" s="13">
        <f t="shared" si="4"/>
        <v>2513.44</v>
      </c>
      <c r="C18" s="14">
        <v>2531.58</v>
      </c>
      <c r="D18" s="15" t="s">
        <v>20</v>
      </c>
      <c r="E18" s="16">
        <f t="shared" si="0"/>
        <v>18.139999999999873</v>
      </c>
      <c r="F18" s="17">
        <v>5.99</v>
      </c>
      <c r="G18" s="18"/>
      <c r="H18" s="16"/>
      <c r="I18" s="16">
        <f>IF(G18=0,ROUND($E18*$F18,2),ROUND($E18*$F18*$G18,2))</f>
        <v>108.66</v>
      </c>
      <c r="J18" s="16"/>
      <c r="K18" s="16"/>
      <c r="L18" s="16"/>
      <c r="M18" s="16"/>
      <c r="N18" s="16"/>
      <c r="O18" s="16">
        <f t="shared" si="5"/>
        <v>27.21</v>
      </c>
      <c r="P18" s="16"/>
      <c r="Q18" s="16"/>
      <c r="R18" s="16"/>
      <c r="S18" s="63">
        <f t="shared" si="1"/>
        <v>0.008</v>
      </c>
      <c r="T18" s="16"/>
      <c r="U18" s="16">
        <f t="shared" si="2"/>
        <v>0.39</v>
      </c>
      <c r="V18" s="16">
        <f t="shared" si="6"/>
        <v>15.1</v>
      </c>
      <c r="W18" s="16">
        <f t="shared" si="6"/>
        <v>15.1</v>
      </c>
      <c r="X18" s="16"/>
      <c r="Y18" s="16"/>
      <c r="Z18" s="16"/>
      <c r="AA18" s="16"/>
      <c r="AB18" s="16"/>
      <c r="AC18" s="16"/>
      <c r="AD18" s="16"/>
      <c r="AE18" s="16"/>
      <c r="AF18" s="78"/>
      <c r="AG18" s="79"/>
    </row>
    <row r="19" spans="1:33" s="5" customFormat="1" ht="21.75" customHeight="1">
      <c r="A19" s="12">
        <f t="shared" si="3"/>
        <v>7</v>
      </c>
      <c r="B19" s="13">
        <f t="shared" si="4"/>
        <v>2531.58</v>
      </c>
      <c r="C19" s="14">
        <v>2607.65</v>
      </c>
      <c r="D19" s="15" t="s">
        <v>20</v>
      </c>
      <c r="E19" s="16">
        <f t="shared" si="0"/>
        <v>76.07000000000016</v>
      </c>
      <c r="F19" s="17">
        <v>5.99</v>
      </c>
      <c r="G19" s="18"/>
      <c r="H19" s="16"/>
      <c r="I19" s="16">
        <f>IF(G19=0,ROUND($E19*$F19,2),ROUND($E19*$F19*$G19,2))</f>
        <v>455.66</v>
      </c>
      <c r="J19" s="16"/>
      <c r="K19" s="16"/>
      <c r="L19" s="16"/>
      <c r="M19" s="16"/>
      <c r="N19" s="16"/>
      <c r="O19" s="16"/>
      <c r="P19" s="16">
        <f t="shared" si="5"/>
        <v>126.78</v>
      </c>
      <c r="Q19" s="16">
        <f t="shared" si="5"/>
        <v>139.46</v>
      </c>
      <c r="R19" s="16"/>
      <c r="S19" s="63">
        <f t="shared" si="1"/>
        <v>0.04</v>
      </c>
      <c r="T19" s="16"/>
      <c r="U19" s="16">
        <f t="shared" si="2"/>
        <v>2.08</v>
      </c>
      <c r="V19" s="16">
        <f t="shared" si="6"/>
        <v>80.21</v>
      </c>
      <c r="W19" s="16">
        <f t="shared" si="6"/>
        <v>80.21</v>
      </c>
      <c r="X19" s="16"/>
      <c r="Y19" s="16"/>
      <c r="Z19" s="16"/>
      <c r="AA19" s="16"/>
      <c r="AB19" s="16"/>
      <c r="AC19" s="16"/>
      <c r="AD19" s="16"/>
      <c r="AE19" s="16"/>
      <c r="AF19" s="78"/>
      <c r="AG19" s="79"/>
    </row>
    <row r="20" spans="1:33" s="5" customFormat="1" ht="21.75" customHeight="1">
      <c r="A20" s="12">
        <f t="shared" si="3"/>
        <v>8</v>
      </c>
      <c r="B20" s="13">
        <f t="shared" si="4"/>
        <v>2607.65</v>
      </c>
      <c r="C20" s="14">
        <v>2698.84</v>
      </c>
      <c r="D20" s="15" t="s">
        <v>20</v>
      </c>
      <c r="E20" s="16">
        <f t="shared" si="0"/>
        <v>91.19000000000005</v>
      </c>
      <c r="F20" s="104" t="s">
        <v>23</v>
      </c>
      <c r="G20" s="105"/>
      <c r="H20" s="105"/>
      <c r="I20" s="106"/>
      <c r="J20" s="16">
        <v>603.61</v>
      </c>
      <c r="K20" s="16"/>
      <c r="L20" s="16"/>
      <c r="M20" s="16"/>
      <c r="N20" s="16"/>
      <c r="O20" s="16"/>
      <c r="P20" s="16">
        <f t="shared" si="5"/>
        <v>151.98</v>
      </c>
      <c r="Q20" s="16">
        <f t="shared" si="5"/>
        <v>167.18</v>
      </c>
      <c r="R20" s="16"/>
      <c r="S20" s="63">
        <f t="shared" si="1"/>
        <v>0.051</v>
      </c>
      <c r="T20" s="16"/>
      <c r="U20" s="16">
        <f t="shared" si="2"/>
        <v>2.65</v>
      </c>
      <c r="V20" s="16">
        <f t="shared" si="6"/>
        <v>102.53</v>
      </c>
      <c r="W20" s="16">
        <f t="shared" si="6"/>
        <v>102.53</v>
      </c>
      <c r="X20" s="16"/>
      <c r="Y20" s="16"/>
      <c r="Z20" s="16"/>
      <c r="AA20" s="16"/>
      <c r="AB20" s="16"/>
      <c r="AC20" s="16"/>
      <c r="AD20" s="16"/>
      <c r="AE20" s="16"/>
      <c r="AF20" s="78"/>
      <c r="AG20" s="79"/>
    </row>
    <row r="21" spans="1:33" s="5" customFormat="1" ht="21.75" customHeight="1">
      <c r="A21" s="12">
        <f t="shared" si="3"/>
        <v>9</v>
      </c>
      <c r="B21" s="13">
        <f t="shared" si="4"/>
        <v>2698.84</v>
      </c>
      <c r="C21" s="14">
        <v>2753.5</v>
      </c>
      <c r="D21" s="15" t="s">
        <v>20</v>
      </c>
      <c r="E21" s="16">
        <f t="shared" si="0"/>
        <v>54.659999999999854</v>
      </c>
      <c r="F21" s="17">
        <f>ROUND(AVERAGE(7.76,5.208),2)</f>
        <v>6.48</v>
      </c>
      <c r="G21" s="18">
        <f>ROUND((2362.116+12+($F21/2))/2362.116,4)</f>
        <v>1.0065</v>
      </c>
      <c r="H21" s="18">
        <f>ROUND((2362.116+12+($F21))/2362.116,4)</f>
        <v>1.0078</v>
      </c>
      <c r="I21" s="16">
        <f>IF(G21=0,ROUND($E21*$F21,2),ROUND($E21*$F21*$G21,2))</f>
        <v>356.5</v>
      </c>
      <c r="J21" s="16"/>
      <c r="K21" s="16"/>
      <c r="L21" s="16"/>
      <c r="M21" s="16"/>
      <c r="N21" s="16"/>
      <c r="O21" s="16">
        <f>IF($H21=0,ROUND($E21*(O$72/12),2),ROUND($E21*(O$72/12)*$H21,2))</f>
        <v>82.63</v>
      </c>
      <c r="P21" s="16"/>
      <c r="Q21" s="16"/>
      <c r="R21" s="16"/>
      <c r="S21" s="63">
        <f t="shared" si="1"/>
        <v>0.024</v>
      </c>
      <c r="T21" s="16"/>
      <c r="U21" s="16">
        <f t="shared" si="2"/>
        <v>1.26</v>
      </c>
      <c r="V21" s="16">
        <f t="shared" si="6"/>
        <v>48.79</v>
      </c>
      <c r="W21" s="16">
        <f t="shared" si="6"/>
        <v>48.79</v>
      </c>
      <c r="X21" s="16"/>
      <c r="Y21" s="16"/>
      <c r="Z21" s="16"/>
      <c r="AA21" s="16"/>
      <c r="AB21" s="16"/>
      <c r="AC21" s="16"/>
      <c r="AD21" s="16"/>
      <c r="AE21" s="16"/>
      <c r="AF21" s="78"/>
      <c r="AG21" s="79"/>
    </row>
    <row r="22" spans="1:33" s="5" customFormat="1" ht="21.75" customHeight="1">
      <c r="A22" s="12">
        <f t="shared" si="3"/>
        <v>10</v>
      </c>
      <c r="B22" s="13">
        <f t="shared" si="4"/>
        <v>2753.5</v>
      </c>
      <c r="C22" s="14">
        <v>2770</v>
      </c>
      <c r="D22" s="15" t="s">
        <v>20</v>
      </c>
      <c r="E22" s="16">
        <f t="shared" si="0"/>
        <v>16.5</v>
      </c>
      <c r="F22" s="17">
        <f>ROUND(AVERAGE(4.908,5.208),2)</f>
        <v>5.06</v>
      </c>
      <c r="G22" s="18">
        <f>ROUND((2362.116+11.76+($F22/2))/2362.116,4)</f>
        <v>1.006</v>
      </c>
      <c r="H22" s="18">
        <f>ROUND((2362.116+11.76+($F22))/2362.116,4)</f>
        <v>1.0071</v>
      </c>
      <c r="I22" s="16">
        <f>IF(G22=0,ROUND($E22*$F22,2),ROUND($E22*$F22*$G22,2))</f>
        <v>83.99</v>
      </c>
      <c r="J22" s="16"/>
      <c r="K22" s="16"/>
      <c r="L22" s="16"/>
      <c r="M22" s="16"/>
      <c r="N22" s="16"/>
      <c r="O22" s="16">
        <f>IF($H22=0,ROUND($E22*(O$72/12),2),ROUND($E22*(O$72/12)*$H22,2))</f>
        <v>24.93</v>
      </c>
      <c r="P22" s="16"/>
      <c r="Q22" s="16"/>
      <c r="R22" s="16"/>
      <c r="S22" s="63">
        <f t="shared" si="1"/>
        <v>0.006</v>
      </c>
      <c r="T22" s="16"/>
      <c r="U22" s="16">
        <f t="shared" si="2"/>
        <v>0.31</v>
      </c>
      <c r="V22" s="16">
        <f t="shared" si="6"/>
        <v>12.1</v>
      </c>
      <c r="W22" s="16">
        <f t="shared" si="6"/>
        <v>12.1</v>
      </c>
      <c r="X22" s="16"/>
      <c r="Y22" s="16"/>
      <c r="Z22" s="16"/>
      <c r="AA22" s="16"/>
      <c r="AB22" s="16"/>
      <c r="AC22" s="16"/>
      <c r="AD22" s="16"/>
      <c r="AE22" s="16"/>
      <c r="AF22" s="78"/>
      <c r="AG22" s="79"/>
    </row>
    <row r="23" spans="1:33" s="5" customFormat="1" ht="21.75" customHeight="1">
      <c r="A23" s="12">
        <f t="shared" si="3"/>
        <v>11</v>
      </c>
      <c r="B23" s="13"/>
      <c r="C23" s="14"/>
      <c r="D23" s="15"/>
      <c r="E23" s="16"/>
      <c r="F23" s="16"/>
      <c r="G23" s="18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63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78"/>
      <c r="AG23" s="79"/>
    </row>
    <row r="24" spans="1:33" s="5" customFormat="1" ht="21.75" customHeight="1">
      <c r="A24" s="12">
        <f t="shared" si="3"/>
        <v>12</v>
      </c>
      <c r="B24" s="13"/>
      <c r="C24" s="14"/>
      <c r="D24" s="15"/>
      <c r="E24" s="16"/>
      <c r="F24" s="16"/>
      <c r="G24" s="18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63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78"/>
      <c r="AG24" s="79"/>
    </row>
    <row r="25" spans="1:33" s="5" customFormat="1" ht="21.75" customHeight="1">
      <c r="A25" s="12">
        <f t="shared" si="3"/>
        <v>13</v>
      </c>
      <c r="B25" s="13"/>
      <c r="C25" s="14"/>
      <c r="D25" s="15"/>
      <c r="E25" s="16"/>
      <c r="F25" s="23"/>
      <c r="G25" s="1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63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78"/>
      <c r="AG25" s="79"/>
    </row>
    <row r="26" spans="1:33" s="5" customFormat="1" ht="21.75" customHeight="1">
      <c r="A26" s="12">
        <f t="shared" si="3"/>
        <v>14</v>
      </c>
      <c r="B26" s="13"/>
      <c r="C26" s="14"/>
      <c r="D26" s="15"/>
      <c r="E26" s="16"/>
      <c r="F26" s="16"/>
      <c r="G26" s="18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63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78"/>
      <c r="AG26" s="79"/>
    </row>
    <row r="27" spans="1:33" s="5" customFormat="1" ht="21.75" customHeight="1">
      <c r="A27" s="12">
        <f t="shared" si="3"/>
        <v>15</v>
      </c>
      <c r="B27" s="13"/>
      <c r="C27" s="14"/>
      <c r="D27" s="15"/>
      <c r="E27" s="16"/>
      <c r="F27" s="17"/>
      <c r="G27" s="18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78"/>
      <c r="AG27" s="79"/>
    </row>
    <row r="28" spans="1:33" s="5" customFormat="1" ht="21.75" customHeight="1">
      <c r="A28" s="12">
        <f t="shared" si="3"/>
        <v>16</v>
      </c>
      <c r="B28" s="13"/>
      <c r="C28" s="14"/>
      <c r="D28" s="15"/>
      <c r="E28" s="16"/>
      <c r="F28" s="17"/>
      <c r="G28" s="1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78"/>
      <c r="AG28" s="79"/>
    </row>
    <row r="29" spans="1:33" s="5" customFormat="1" ht="21.75" customHeight="1">
      <c r="A29" s="12">
        <f t="shared" si="3"/>
        <v>17</v>
      </c>
      <c r="B29" s="13"/>
      <c r="C29" s="14"/>
      <c r="D29" s="15"/>
      <c r="E29" s="16"/>
      <c r="F29" s="17"/>
      <c r="G29" s="18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78"/>
      <c r="AG29" s="79"/>
    </row>
    <row r="30" spans="1:33" s="5" customFormat="1" ht="21.75" customHeight="1">
      <c r="A30" s="12">
        <f t="shared" si="3"/>
        <v>18</v>
      </c>
      <c r="B30" s="13"/>
      <c r="C30" s="14"/>
      <c r="D30" s="15"/>
      <c r="E30" s="16"/>
      <c r="F30" s="17"/>
      <c r="G30" s="1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78"/>
      <c r="AG30" s="79"/>
    </row>
    <row r="31" spans="1:33" s="5" customFormat="1" ht="21.75" customHeight="1">
      <c r="A31" s="12">
        <f t="shared" si="3"/>
        <v>19</v>
      </c>
      <c r="B31" s="13"/>
      <c r="C31" s="14"/>
      <c r="D31" s="15"/>
      <c r="E31" s="16"/>
      <c r="F31" s="58"/>
      <c r="G31" s="18"/>
      <c r="H31" s="16"/>
      <c r="I31" s="53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78"/>
      <c r="AG31" s="79"/>
    </row>
    <row r="32" spans="1:33" s="5" customFormat="1" ht="21.75" customHeight="1">
      <c r="A32" s="12">
        <f t="shared" si="3"/>
        <v>20</v>
      </c>
      <c r="B32" s="13"/>
      <c r="C32" s="14"/>
      <c r="D32" s="15"/>
      <c r="E32" s="16"/>
      <c r="F32" s="17"/>
      <c r="G32" s="1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78"/>
      <c r="AG32" s="79"/>
    </row>
    <row r="33" spans="1:33" s="5" customFormat="1" ht="21.75" customHeight="1">
      <c r="A33" s="12">
        <f t="shared" si="3"/>
        <v>21</v>
      </c>
      <c r="B33" s="13"/>
      <c r="C33" s="14"/>
      <c r="D33" s="15"/>
      <c r="E33" s="16"/>
      <c r="F33" s="17"/>
      <c r="G33" s="18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78"/>
      <c r="AG33" s="79"/>
    </row>
    <row r="34" spans="1:33" s="5" customFormat="1" ht="21.75" customHeight="1">
      <c r="A34" s="12">
        <f t="shared" si="3"/>
        <v>22</v>
      </c>
      <c r="B34" s="13"/>
      <c r="C34" s="14"/>
      <c r="D34" s="15"/>
      <c r="E34" s="16"/>
      <c r="F34" s="17"/>
      <c r="G34" s="18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78"/>
      <c r="AG34" s="79"/>
    </row>
    <row r="35" spans="1:33" s="5" customFormat="1" ht="21.75" customHeight="1">
      <c r="A35" s="12">
        <f t="shared" si="3"/>
        <v>23</v>
      </c>
      <c r="B35" s="13"/>
      <c r="C35" s="14"/>
      <c r="D35" s="15"/>
      <c r="E35" s="16"/>
      <c r="F35" s="17"/>
      <c r="G35" s="18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78"/>
      <c r="AG35" s="79"/>
    </row>
    <row r="36" spans="1:33" s="5" customFormat="1" ht="21.75" customHeight="1">
      <c r="A36" s="12">
        <f t="shared" si="3"/>
        <v>24</v>
      </c>
      <c r="B36" s="13"/>
      <c r="C36" s="14"/>
      <c r="D36" s="15"/>
      <c r="E36" s="16"/>
      <c r="F36" s="17"/>
      <c r="G36" s="18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78"/>
      <c r="AG36" s="79"/>
    </row>
    <row r="37" spans="1:33" s="5" customFormat="1" ht="21.75" customHeight="1">
      <c r="A37" s="12">
        <f t="shared" si="3"/>
        <v>25</v>
      </c>
      <c r="B37" s="13"/>
      <c r="C37" s="14"/>
      <c r="D37" s="15"/>
      <c r="E37" s="16"/>
      <c r="F37" s="58"/>
      <c r="G37" s="18"/>
      <c r="H37" s="16"/>
      <c r="I37" s="53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78"/>
      <c r="AG37" s="79"/>
    </row>
    <row r="38" spans="1:33" s="5" customFormat="1" ht="21.75" customHeight="1">
      <c r="A38" s="12">
        <f t="shared" si="3"/>
        <v>26</v>
      </c>
      <c r="B38" s="13"/>
      <c r="C38" s="14"/>
      <c r="D38" s="15"/>
      <c r="E38" s="16"/>
      <c r="F38" s="17"/>
      <c r="G38" s="1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78"/>
      <c r="AG38" s="79"/>
    </row>
    <row r="39" spans="1:33" s="5" customFormat="1" ht="21.75" customHeight="1">
      <c r="A39" s="12">
        <f t="shared" si="3"/>
        <v>27</v>
      </c>
      <c r="B39" s="59"/>
      <c r="C39" s="14"/>
      <c r="D39" s="60"/>
      <c r="E39" s="16"/>
      <c r="F39" s="60"/>
      <c r="G39" s="18"/>
      <c r="H39" s="16"/>
      <c r="I39" s="61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78"/>
      <c r="AG39" s="79"/>
    </row>
    <row r="40" spans="1:33" s="5" customFormat="1" ht="21.75" customHeight="1">
      <c r="A40" s="12">
        <f t="shared" si="3"/>
        <v>28</v>
      </c>
      <c r="B40" s="19"/>
      <c r="C40" s="14"/>
      <c r="D40" s="15"/>
      <c r="E40" s="16"/>
      <c r="F40" s="58"/>
      <c r="G40" s="18"/>
      <c r="H40" s="16"/>
      <c r="I40" s="53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78"/>
      <c r="AG40" s="79"/>
    </row>
    <row r="41" spans="1:33" s="5" customFormat="1" ht="21.75" customHeight="1">
      <c r="A41" s="12">
        <f t="shared" si="3"/>
        <v>29</v>
      </c>
      <c r="B41" s="13"/>
      <c r="C41" s="14"/>
      <c r="D41" s="15"/>
      <c r="E41" s="16"/>
      <c r="F41" s="17"/>
      <c r="G41" s="18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78"/>
      <c r="AG41" s="79"/>
    </row>
    <row r="42" spans="1:33" s="5" customFormat="1" ht="21.75" customHeight="1">
      <c r="A42" s="12">
        <f t="shared" si="3"/>
        <v>30</v>
      </c>
      <c r="B42" s="13"/>
      <c r="C42" s="14"/>
      <c r="D42" s="15"/>
      <c r="E42" s="16"/>
      <c r="F42" s="17"/>
      <c r="G42" s="18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78"/>
      <c r="AG42" s="79"/>
    </row>
    <row r="43" spans="1:33" s="5" customFormat="1" ht="21.75" customHeight="1">
      <c r="A43" s="12">
        <f t="shared" si="3"/>
        <v>31</v>
      </c>
      <c r="B43" s="13"/>
      <c r="C43" s="14"/>
      <c r="D43" s="15"/>
      <c r="E43" s="16"/>
      <c r="F43" s="17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78"/>
      <c r="AG43" s="79"/>
    </row>
    <row r="44" spans="1:33" s="5" customFormat="1" ht="21.75" customHeight="1">
      <c r="A44" s="12">
        <f t="shared" si="3"/>
        <v>32</v>
      </c>
      <c r="B44" s="59"/>
      <c r="C44" s="14"/>
      <c r="D44" s="60"/>
      <c r="E44" s="16"/>
      <c r="F44" s="60"/>
      <c r="G44" s="18"/>
      <c r="H44" s="16"/>
      <c r="I44" s="61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D44" s="16"/>
      <c r="AE44" s="16"/>
      <c r="AF44" s="78"/>
      <c r="AG44" s="79"/>
    </row>
    <row r="45" spans="1:33" s="5" customFormat="1" ht="21.75" customHeight="1">
      <c r="A45" s="12">
        <f t="shared" si="3"/>
        <v>33</v>
      </c>
      <c r="B45" s="19"/>
      <c r="C45" s="14"/>
      <c r="D45" s="15"/>
      <c r="E45" s="16"/>
      <c r="F45" s="58"/>
      <c r="G45" s="18"/>
      <c r="H45" s="16"/>
      <c r="I45" s="5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78"/>
      <c r="AG45" s="79"/>
    </row>
    <row r="46" spans="1:33" s="5" customFormat="1" ht="21.75" customHeight="1">
      <c r="A46" s="12">
        <f t="shared" si="3"/>
        <v>34</v>
      </c>
      <c r="B46" s="13"/>
      <c r="C46" s="14"/>
      <c r="D46" s="15"/>
      <c r="E46" s="16"/>
      <c r="F46" s="17"/>
      <c r="G46" s="18"/>
      <c r="H46" s="16"/>
      <c r="I46" s="16"/>
      <c r="J46" s="16"/>
      <c r="K46" s="40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78"/>
      <c r="AG46" s="79"/>
    </row>
    <row r="47" spans="1:33" s="5" customFormat="1" ht="21.75" customHeight="1">
      <c r="A47" s="12">
        <f t="shared" si="3"/>
        <v>35</v>
      </c>
      <c r="B47" s="13"/>
      <c r="C47" s="14"/>
      <c r="D47" s="15"/>
      <c r="E47" s="16"/>
      <c r="F47" s="17"/>
      <c r="G47" s="18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78"/>
      <c r="AG47" s="79"/>
    </row>
    <row r="48" spans="1:33" s="5" customFormat="1" ht="21.75" customHeight="1">
      <c r="A48" s="12">
        <f t="shared" si="3"/>
        <v>36</v>
      </c>
      <c r="B48" s="13"/>
      <c r="C48" s="14"/>
      <c r="D48" s="15"/>
      <c r="E48" s="16"/>
      <c r="F48" s="17"/>
      <c r="G48" s="18"/>
      <c r="H48" s="16"/>
      <c r="I48" s="16"/>
      <c r="J48" s="16"/>
      <c r="K48" s="42"/>
      <c r="L48" s="16"/>
      <c r="M48" s="16"/>
      <c r="N48" s="16"/>
      <c r="O48" s="16"/>
      <c r="P48" s="16"/>
      <c r="Q48" s="42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78"/>
      <c r="AG48" s="79"/>
    </row>
    <row r="49" spans="1:33" s="5" customFormat="1" ht="21.75" customHeight="1">
      <c r="A49" s="12">
        <f t="shared" si="3"/>
        <v>37</v>
      </c>
      <c r="B49" s="13"/>
      <c r="C49" s="14"/>
      <c r="D49" s="15"/>
      <c r="E49" s="16"/>
      <c r="F49" s="17"/>
      <c r="G49" s="18"/>
      <c r="H49" s="16"/>
      <c r="I49" s="16"/>
      <c r="J49" s="16"/>
      <c r="K49" s="42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78"/>
      <c r="AG49" s="79"/>
    </row>
    <row r="50" spans="1:33" s="5" customFormat="1" ht="21.75" customHeight="1" thickBot="1">
      <c r="A50" s="12">
        <f t="shared" si="3"/>
        <v>38</v>
      </c>
      <c r="B50" s="13"/>
      <c r="C50" s="14"/>
      <c r="D50" s="15"/>
      <c r="E50" s="16"/>
      <c r="F50" s="17"/>
      <c r="G50" s="18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03"/>
      <c r="AG50" s="82"/>
    </row>
    <row r="51" spans="1:33" s="5" customFormat="1" ht="21.75" customHeight="1">
      <c r="A51" s="12">
        <f t="shared" si="3"/>
        <v>39</v>
      </c>
      <c r="B51" s="13"/>
      <c r="C51" s="14"/>
      <c r="D51" s="15"/>
      <c r="E51" s="16"/>
      <c r="F51" s="17"/>
      <c r="G51" s="18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76" t="s">
        <v>91</v>
      </c>
      <c r="AG51" s="77"/>
    </row>
    <row r="52" spans="1:33" s="5" customFormat="1" ht="21.75" customHeight="1">
      <c r="A52" s="12">
        <f t="shared" si="3"/>
        <v>40</v>
      </c>
      <c r="B52" s="13"/>
      <c r="C52" s="14"/>
      <c r="D52" s="15"/>
      <c r="E52" s="16"/>
      <c r="F52" s="17"/>
      <c r="G52" s="1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78"/>
      <c r="AG52" s="79"/>
    </row>
    <row r="53" spans="1:33" s="5" customFormat="1" ht="21.75" customHeight="1">
      <c r="A53" s="12">
        <f t="shared" si="3"/>
        <v>41</v>
      </c>
      <c r="B53" s="13"/>
      <c r="C53" s="14"/>
      <c r="D53" s="15"/>
      <c r="E53" s="16"/>
      <c r="F53" s="17"/>
      <c r="G53" s="18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78"/>
      <c r="AG53" s="79"/>
    </row>
    <row r="54" spans="1:33" s="5" customFormat="1" ht="21.75" customHeight="1">
      <c r="A54" s="12">
        <f t="shared" si="3"/>
        <v>42</v>
      </c>
      <c r="B54" s="13"/>
      <c r="C54" s="14"/>
      <c r="D54" s="15"/>
      <c r="E54" s="16"/>
      <c r="F54" s="17"/>
      <c r="G54" s="1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78"/>
      <c r="AG54" s="79"/>
    </row>
    <row r="55" spans="1:33" s="5" customFormat="1" ht="21.75" customHeight="1">
      <c r="A55" s="12">
        <f t="shared" si="3"/>
        <v>43</v>
      </c>
      <c r="B55" s="13"/>
      <c r="C55" s="14"/>
      <c r="D55" s="15"/>
      <c r="E55" s="16"/>
      <c r="F55" s="17"/>
      <c r="G55" s="18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78"/>
      <c r="AG55" s="79"/>
    </row>
    <row r="56" spans="1:33" s="5" customFormat="1" ht="21.75" customHeight="1">
      <c r="A56" s="12">
        <f t="shared" si="3"/>
        <v>44</v>
      </c>
      <c r="B56" s="19"/>
      <c r="C56" s="14"/>
      <c r="D56" s="15"/>
      <c r="E56" s="16"/>
      <c r="F56" s="17"/>
      <c r="G56" s="18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78"/>
      <c r="AG56" s="79"/>
    </row>
    <row r="57" spans="1:33" s="5" customFormat="1" ht="21.75" customHeight="1">
      <c r="A57" s="12">
        <f t="shared" si="3"/>
        <v>45</v>
      </c>
      <c r="B57" s="13"/>
      <c r="C57" s="14"/>
      <c r="D57" s="15"/>
      <c r="E57" s="16"/>
      <c r="F57" s="17"/>
      <c r="G57" s="18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78"/>
      <c r="AG57" s="79"/>
    </row>
    <row r="58" spans="1:33" s="5" customFormat="1" ht="21.75" customHeight="1">
      <c r="A58" s="12">
        <f t="shared" si="3"/>
        <v>46</v>
      </c>
      <c r="B58" s="13"/>
      <c r="C58" s="14"/>
      <c r="D58" s="15"/>
      <c r="E58" s="16"/>
      <c r="F58" s="17"/>
      <c r="G58" s="18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78"/>
      <c r="AG58" s="79"/>
    </row>
    <row r="59" spans="1:33" s="5" customFormat="1" ht="21.75" customHeight="1">
      <c r="A59" s="12">
        <f t="shared" si="3"/>
        <v>47</v>
      </c>
      <c r="B59" s="13"/>
      <c r="C59" s="14"/>
      <c r="D59" s="15"/>
      <c r="E59" s="16"/>
      <c r="F59" s="17"/>
      <c r="G59" s="18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78"/>
      <c r="AG59" s="79"/>
    </row>
    <row r="60" spans="1:33" s="25" customFormat="1" ht="21.75" customHeight="1">
      <c r="A60" s="12">
        <f t="shared" si="3"/>
        <v>48</v>
      </c>
      <c r="B60" s="13"/>
      <c r="C60" s="14"/>
      <c r="D60" s="15"/>
      <c r="E60" s="16"/>
      <c r="F60" s="17"/>
      <c r="G60" s="18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78"/>
      <c r="AG60" s="79"/>
    </row>
    <row r="61" spans="1:33" s="25" customFormat="1" ht="21.75" customHeight="1">
      <c r="A61" s="12">
        <f t="shared" si="3"/>
        <v>49</v>
      </c>
      <c r="B61" s="13"/>
      <c r="C61" s="14"/>
      <c r="D61" s="15"/>
      <c r="E61" s="16"/>
      <c r="F61" s="17"/>
      <c r="G61" s="18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78"/>
      <c r="AG61" s="79"/>
    </row>
    <row r="62" spans="1:33" s="25" customFormat="1" ht="21.75" customHeight="1">
      <c r="A62" s="12">
        <f t="shared" si="3"/>
        <v>50</v>
      </c>
      <c r="B62" s="13"/>
      <c r="C62" s="14"/>
      <c r="D62" s="15"/>
      <c r="E62" s="16"/>
      <c r="F62" s="17"/>
      <c r="G62" s="18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78"/>
      <c r="AG62" s="79"/>
    </row>
    <row r="63" spans="1:33" s="25" customFormat="1" ht="21.75" customHeight="1">
      <c r="A63" s="12">
        <f t="shared" si="3"/>
        <v>51</v>
      </c>
      <c r="B63" s="13"/>
      <c r="C63" s="14"/>
      <c r="D63" s="15"/>
      <c r="E63" s="16"/>
      <c r="F63" s="17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78"/>
      <c r="AG63" s="79"/>
    </row>
    <row r="64" spans="1:33" s="25" customFormat="1" ht="21.75" customHeight="1">
      <c r="A64" s="12">
        <f t="shared" si="3"/>
        <v>52</v>
      </c>
      <c r="B64" s="13"/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80"/>
      <c r="AG64" s="79"/>
    </row>
    <row r="65" spans="1:33" s="25" customFormat="1" ht="21.75" customHeight="1">
      <c r="A65" s="12">
        <f t="shared" si="3"/>
        <v>53</v>
      </c>
      <c r="B65" s="13"/>
      <c r="C65" s="14"/>
      <c r="D65" s="15"/>
      <c r="E65" s="16"/>
      <c r="F65" s="17"/>
      <c r="G65" s="1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80"/>
      <c r="AG65" s="79"/>
    </row>
    <row r="66" spans="1:33" s="25" customFormat="1" ht="21.75" customHeight="1" thickBot="1">
      <c r="A66" s="12">
        <f t="shared" si="3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81"/>
      <c r="AG66" s="82"/>
    </row>
    <row r="67" spans="2:33" s="26" customFormat="1" ht="46.5" customHeight="1">
      <c r="B67" s="95" t="s">
        <v>8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7"/>
      <c r="R67" s="85" t="str">
        <f aca="true" t="shared" si="7" ref="R67:AE67">IF(SUM(R13:R66)=0," ",ROUNDUP(SUM(R13:R66),0))</f>
        <v> </v>
      </c>
      <c r="S67" s="85">
        <f t="shared" si="7"/>
        <v>1</v>
      </c>
      <c r="T67" s="85" t="str">
        <f t="shared" si="7"/>
        <v> </v>
      </c>
      <c r="U67" s="85">
        <f t="shared" si="7"/>
        <v>8</v>
      </c>
      <c r="V67" s="85">
        <f t="shared" si="7"/>
        <v>299</v>
      </c>
      <c r="W67" s="85">
        <f t="shared" si="7"/>
        <v>299</v>
      </c>
      <c r="X67" s="85" t="str">
        <f t="shared" si="7"/>
        <v> </v>
      </c>
      <c r="Y67" s="85" t="str">
        <f t="shared" si="7"/>
        <v> </v>
      </c>
      <c r="Z67" s="85" t="str">
        <f t="shared" si="7"/>
        <v> </v>
      </c>
      <c r="AA67" s="85" t="str">
        <f t="shared" si="7"/>
        <v> </v>
      </c>
      <c r="AB67" s="85" t="str">
        <f t="shared" si="7"/>
        <v> </v>
      </c>
      <c r="AC67" s="85" t="str">
        <f t="shared" si="7"/>
        <v> </v>
      </c>
      <c r="AD67" s="85" t="str">
        <f t="shared" si="7"/>
        <v> </v>
      </c>
      <c r="AE67" s="85" t="str">
        <f t="shared" si="7"/>
        <v> </v>
      </c>
      <c r="AF67" s="87">
        <v>16</v>
      </c>
      <c r="AG67" s="88"/>
    </row>
    <row r="68" spans="2:33" s="26" customFormat="1" ht="46.5" customHeight="1" thickBot="1"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100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3">
        <v>16</v>
      </c>
      <c r="AG68" s="84"/>
    </row>
    <row r="69" spans="1:34" ht="36" customHeight="1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T69" s="28"/>
      <c r="U69" s="28"/>
      <c r="V69" s="1"/>
      <c r="W69" s="28"/>
      <c r="X69" s="28"/>
      <c r="Y69" s="28"/>
      <c r="Z69" s="28"/>
      <c r="AA69" s="28"/>
      <c r="AB69" s="28"/>
      <c r="AF69" s="28"/>
      <c r="AG69" s="28"/>
      <c r="AH69" s="29"/>
    </row>
    <row r="70" spans="2:33" ht="12.7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T70" s="28"/>
      <c r="U70" s="28"/>
      <c r="V70" s="1"/>
      <c r="W70" s="28"/>
      <c r="X70" s="28"/>
      <c r="Y70" s="28"/>
      <c r="Z70" s="28"/>
      <c r="AA70" s="28"/>
      <c r="AB70" s="28"/>
      <c r="AF70" s="28"/>
      <c r="AG70" s="28"/>
    </row>
    <row r="71" spans="2:33" ht="12.7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T71" s="28"/>
      <c r="U71" s="28"/>
      <c r="V71" s="1"/>
      <c r="W71" s="28"/>
      <c r="X71" s="28"/>
      <c r="Y71" s="28"/>
      <c r="Z71" s="28"/>
      <c r="AA71" s="28"/>
      <c r="AB71" s="28"/>
      <c r="AF71" s="28"/>
      <c r="AG71" s="28"/>
    </row>
    <row r="72" spans="2:33" ht="15.75">
      <c r="B72" s="64" t="s">
        <v>26</v>
      </c>
      <c r="C72" s="65"/>
      <c r="D72" s="65"/>
      <c r="E72" s="65"/>
      <c r="F72" s="65"/>
      <c r="G72" s="66"/>
      <c r="H72" s="43"/>
      <c r="I72" s="43"/>
      <c r="J72" s="43"/>
      <c r="K72" s="43">
        <v>4</v>
      </c>
      <c r="L72" s="43">
        <v>6</v>
      </c>
      <c r="M72" s="43">
        <v>10</v>
      </c>
      <c r="N72" s="43">
        <v>16</v>
      </c>
      <c r="O72" s="43">
        <v>18</v>
      </c>
      <c r="P72" s="43">
        <v>20</v>
      </c>
      <c r="Q72" s="43">
        <v>22</v>
      </c>
      <c r="R72" s="45"/>
      <c r="S72" s="62">
        <v>2000</v>
      </c>
      <c r="T72" s="44"/>
      <c r="U72" s="44">
        <v>0.75</v>
      </c>
      <c r="V72" s="62"/>
      <c r="W72" s="62">
        <v>12</v>
      </c>
      <c r="X72" s="45"/>
      <c r="Y72" s="44"/>
      <c r="Z72" s="44"/>
      <c r="AA72" s="44"/>
      <c r="AB72" s="44"/>
      <c r="AC72" s="44"/>
      <c r="AD72" s="44"/>
      <c r="AF72" s="28"/>
      <c r="AG72" s="28"/>
    </row>
    <row r="73" spans="2:33" ht="15">
      <c r="B73" s="28"/>
      <c r="C73" s="28"/>
      <c r="D73" s="28"/>
      <c r="E73" s="28"/>
      <c r="F73" s="28"/>
      <c r="G73" s="28"/>
      <c r="H73" s="24"/>
      <c r="I73" s="28"/>
      <c r="J73" s="28"/>
      <c r="K73" s="28"/>
      <c r="L73" s="28"/>
      <c r="M73" s="28"/>
      <c r="N73" s="28"/>
      <c r="O73" s="28"/>
      <c r="P73" s="28"/>
      <c r="Q73" s="28"/>
      <c r="R73" s="24"/>
      <c r="T73" s="43"/>
      <c r="U73" s="43">
        <v>115</v>
      </c>
      <c r="V73" s="62"/>
      <c r="W73" s="46"/>
      <c r="X73" s="28"/>
      <c r="Y73" s="28"/>
      <c r="Z73" s="28"/>
      <c r="AA73" s="28"/>
      <c r="AB73" s="28"/>
      <c r="AF73" s="28"/>
      <c r="AG73" s="28"/>
    </row>
    <row r="74" spans="2:33" ht="15">
      <c r="B74" s="28"/>
      <c r="C74" s="30"/>
      <c r="D74" s="28"/>
      <c r="E74" s="28"/>
      <c r="F74" s="28"/>
      <c r="G74" s="28"/>
      <c r="H74" s="31"/>
      <c r="I74" s="28"/>
      <c r="J74" s="28"/>
      <c r="K74" s="120"/>
      <c r="L74" s="121"/>
      <c r="M74" s="121"/>
      <c r="N74" s="121"/>
      <c r="O74" s="121"/>
      <c r="P74" s="121"/>
      <c r="Q74" s="121"/>
      <c r="R74" s="31"/>
      <c r="S74" s="31"/>
      <c r="T74" s="31"/>
      <c r="U74" s="31">
        <v>0.05</v>
      </c>
      <c r="V74" s="44"/>
      <c r="W74" s="31"/>
      <c r="X74" s="31"/>
      <c r="Y74" s="31"/>
      <c r="Z74" s="31"/>
      <c r="AA74" s="31"/>
      <c r="AB74" s="31"/>
      <c r="AC74" s="31"/>
      <c r="AD74" s="31"/>
      <c r="AE74" s="31"/>
      <c r="AF74" s="28"/>
      <c r="AG74" s="28"/>
    </row>
    <row r="80" spans="2:23" ht="15">
      <c r="B80" s="69"/>
      <c r="C80" s="69"/>
      <c r="D80" s="70"/>
      <c r="E80" s="71"/>
      <c r="F80" s="71"/>
      <c r="G80" s="72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3"/>
      <c r="T80" s="71"/>
      <c r="U80" s="71"/>
      <c r="V80" s="71"/>
      <c r="W80" s="71"/>
    </row>
    <row r="81" spans="2:23" ht="15">
      <c r="B81" s="69"/>
      <c r="C81" s="69"/>
      <c r="D81" s="70"/>
      <c r="E81" s="71"/>
      <c r="F81" s="71"/>
      <c r="G81" s="72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3"/>
      <c r="T81" s="71"/>
      <c r="U81" s="71"/>
      <c r="V81" s="71"/>
      <c r="W81" s="71"/>
    </row>
    <row r="82" spans="2:23" ht="15">
      <c r="B82" s="69"/>
      <c r="C82" s="69"/>
      <c r="D82" s="70"/>
      <c r="E82" s="71"/>
      <c r="F82" s="71"/>
      <c r="G82" s="72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3"/>
      <c r="T82" s="71"/>
      <c r="U82" s="71"/>
      <c r="V82" s="71"/>
      <c r="W82" s="71"/>
    </row>
    <row r="83" spans="2:23" ht="15">
      <c r="B83" s="69"/>
      <c r="C83" s="69"/>
      <c r="D83" s="70"/>
      <c r="E83" s="71"/>
      <c r="F83" s="71"/>
      <c r="G83" s="72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3"/>
      <c r="T83" s="71"/>
      <c r="U83" s="71"/>
      <c r="V83" s="71"/>
      <c r="W83" s="71"/>
    </row>
    <row r="84" spans="2:23" ht="15">
      <c r="B84" s="69"/>
      <c r="C84" s="69"/>
      <c r="D84" s="70"/>
      <c r="E84" s="71"/>
      <c r="F84" s="74"/>
      <c r="G84" s="74"/>
      <c r="H84" s="74"/>
      <c r="I84" s="74"/>
      <c r="J84" s="71"/>
      <c r="K84" s="71"/>
      <c r="L84" s="71"/>
      <c r="M84" s="71"/>
      <c r="N84" s="71"/>
      <c r="O84" s="71"/>
      <c r="P84" s="71"/>
      <c r="Q84" s="71"/>
      <c r="R84" s="71"/>
      <c r="S84" s="73"/>
      <c r="T84" s="71"/>
      <c r="U84" s="71"/>
      <c r="V84" s="71"/>
      <c r="W84" s="71"/>
    </row>
    <row r="85" spans="2:23" ht="15">
      <c r="B85" s="69"/>
      <c r="C85" s="69"/>
      <c r="D85" s="70"/>
      <c r="E85" s="71"/>
      <c r="F85" s="71"/>
      <c r="G85" s="72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3"/>
      <c r="T85" s="71"/>
      <c r="U85" s="71"/>
      <c r="V85" s="71"/>
      <c r="W85" s="71"/>
    </row>
    <row r="86" spans="2:23" ht="15">
      <c r="B86" s="69"/>
      <c r="C86" s="69"/>
      <c r="D86" s="70"/>
      <c r="E86" s="71"/>
      <c r="F86" s="71"/>
      <c r="G86" s="72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3"/>
      <c r="T86" s="71"/>
      <c r="U86" s="71"/>
      <c r="V86" s="71"/>
      <c r="W86" s="71"/>
    </row>
  </sheetData>
  <sheetProtection/>
  <mergeCells count="53">
    <mergeCell ref="Q3:Q11"/>
    <mergeCell ref="F20:I20"/>
    <mergeCell ref="B3:C11"/>
    <mergeCell ref="D3:D11"/>
    <mergeCell ref="E3:E11"/>
    <mergeCell ref="F3:F11"/>
    <mergeCell ref="G3:G11"/>
    <mergeCell ref="I3:I11"/>
    <mergeCell ref="H3:H11"/>
    <mergeCell ref="W67:W68"/>
    <mergeCell ref="AE4:AE11"/>
    <mergeCell ref="AC4:AC11"/>
    <mergeCell ref="J3:J11"/>
    <mergeCell ref="K3:K11"/>
    <mergeCell ref="L3:L11"/>
    <mergeCell ref="M3:M11"/>
    <mergeCell ref="AA4:AA11"/>
    <mergeCell ref="AB4:AB11"/>
    <mergeCell ref="P3:P11"/>
    <mergeCell ref="U4:U11"/>
    <mergeCell ref="AF3:AF5"/>
    <mergeCell ref="AG3:AG5"/>
    <mergeCell ref="R4:R11"/>
    <mergeCell ref="S4:S11"/>
    <mergeCell ref="T4:T11"/>
    <mergeCell ref="V4:V11"/>
    <mergeCell ref="W4:W11"/>
    <mergeCell ref="K74:Q74"/>
    <mergeCell ref="Y67:Y68"/>
    <mergeCell ref="Z67:Z68"/>
    <mergeCell ref="AA67:AA68"/>
    <mergeCell ref="AB67:AB68"/>
    <mergeCell ref="N3:N11"/>
    <mergeCell ref="O3:O11"/>
    <mergeCell ref="X4:X11"/>
    <mergeCell ref="Y4:Y11"/>
    <mergeCell ref="B67:Q68"/>
    <mergeCell ref="AE67:AE68"/>
    <mergeCell ref="AF67:AG67"/>
    <mergeCell ref="AF68:AG68"/>
    <mergeCell ref="X67:X68"/>
    <mergeCell ref="AF6:AG50"/>
    <mergeCell ref="AD67:AD68"/>
    <mergeCell ref="AF51:AG66"/>
    <mergeCell ref="AD4:AD11"/>
    <mergeCell ref="Z4:Z11"/>
    <mergeCell ref="AC67:AC68"/>
    <mergeCell ref="V67:V68"/>
    <mergeCell ref="R67:R68"/>
    <mergeCell ref="S67:S68"/>
    <mergeCell ref="T67:T68"/>
    <mergeCell ref="U67:U68"/>
    <mergeCell ref="B14:I14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Q55" sqref="Q55"/>
    </sheetView>
  </sheetViews>
  <sheetFormatPr defaultColWidth="9.140625" defaultRowHeight="12.75"/>
  <cols>
    <col min="1" max="3" width="24.7109375" style="1" customWidth="1"/>
    <col min="4" max="21" width="15.7109375" style="1" customWidth="1"/>
    <col min="22" max="22" width="15.7109375" style="47" customWidth="1"/>
    <col min="23" max="31" width="15.7109375" style="1" customWidth="1"/>
    <col min="32" max="34" width="6.7109375" style="1" customWidth="1"/>
    <col min="35" max="16384" width="9.140625" style="1" customWidth="1"/>
  </cols>
  <sheetData>
    <row r="1" spans="18:27" ht="12.75">
      <c r="R1" s="49"/>
      <c r="S1" s="49"/>
      <c r="T1" s="49"/>
      <c r="U1" s="49"/>
      <c r="V1" s="50"/>
      <c r="W1" s="49"/>
      <c r="X1" s="49"/>
      <c r="Z1" s="49"/>
      <c r="AA1" s="49"/>
    </row>
    <row r="2" spans="1:34" s="4" customFormat="1" ht="36" customHeight="1" thickBot="1">
      <c r="A2" s="2"/>
      <c r="B2" s="32" t="s">
        <v>14</v>
      </c>
      <c r="C2" s="33"/>
      <c r="D2" s="34"/>
      <c r="E2" s="34"/>
      <c r="F2" s="34"/>
      <c r="G2" s="34"/>
      <c r="H2" s="51"/>
      <c r="I2" s="35"/>
      <c r="J2" s="34"/>
      <c r="K2" s="34"/>
      <c r="L2" s="34"/>
      <c r="M2" s="34"/>
      <c r="N2" s="34"/>
      <c r="O2" s="34"/>
      <c r="P2" s="34"/>
      <c r="Q2" s="35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2"/>
      <c r="AD2" s="48"/>
      <c r="AH2" s="3"/>
    </row>
    <row r="3" spans="2:34" s="5" customFormat="1" ht="21.75" customHeight="1">
      <c r="B3" s="95" t="s">
        <v>0</v>
      </c>
      <c r="C3" s="97"/>
      <c r="D3" s="117" t="s">
        <v>3</v>
      </c>
      <c r="E3" s="117" t="s">
        <v>4</v>
      </c>
      <c r="F3" s="117" t="s">
        <v>5</v>
      </c>
      <c r="G3" s="107" t="s">
        <v>12</v>
      </c>
      <c r="H3" s="107" t="s">
        <v>93</v>
      </c>
      <c r="I3" s="117" t="s">
        <v>6</v>
      </c>
      <c r="J3" s="107" t="s">
        <v>10</v>
      </c>
      <c r="K3" s="107"/>
      <c r="L3" s="107"/>
      <c r="M3" s="107"/>
      <c r="N3" s="107"/>
      <c r="O3" s="107" t="s">
        <v>15</v>
      </c>
      <c r="P3" s="107" t="s">
        <v>16</v>
      </c>
      <c r="Q3" s="107" t="s">
        <v>17</v>
      </c>
      <c r="R3" s="36">
        <v>204</v>
      </c>
      <c r="S3" s="37">
        <v>204</v>
      </c>
      <c r="T3" s="36"/>
      <c r="U3" s="37">
        <v>206</v>
      </c>
      <c r="V3" s="37">
        <v>206</v>
      </c>
      <c r="W3" s="36">
        <v>206</v>
      </c>
      <c r="X3" s="37"/>
      <c r="Y3" s="36"/>
      <c r="Z3" s="37"/>
      <c r="AA3" s="36"/>
      <c r="AB3" s="37"/>
      <c r="AC3" s="36"/>
      <c r="AD3" s="37"/>
      <c r="AE3" s="37"/>
      <c r="AF3" s="101" t="s">
        <v>11</v>
      </c>
      <c r="AG3" s="101" t="s">
        <v>13</v>
      </c>
      <c r="AH3" s="6"/>
    </row>
    <row r="4" spans="2:34" s="5" customFormat="1" ht="27.75" customHeight="1">
      <c r="B4" s="113"/>
      <c r="C4" s="114"/>
      <c r="D4" s="118"/>
      <c r="E4" s="118"/>
      <c r="F4" s="118"/>
      <c r="G4" s="90"/>
      <c r="H4" s="90"/>
      <c r="I4" s="118"/>
      <c r="J4" s="122"/>
      <c r="K4" s="122"/>
      <c r="L4" s="90"/>
      <c r="M4" s="90"/>
      <c r="N4" s="90"/>
      <c r="O4" s="90"/>
      <c r="P4" s="90"/>
      <c r="Q4" s="90"/>
      <c r="R4" s="92" t="s">
        <v>82</v>
      </c>
      <c r="S4" s="89" t="s">
        <v>83</v>
      </c>
      <c r="T4" s="92"/>
      <c r="U4" s="92" t="s">
        <v>92</v>
      </c>
      <c r="V4" s="89" t="s">
        <v>80</v>
      </c>
      <c r="W4" s="89" t="s">
        <v>81</v>
      </c>
      <c r="X4" s="89"/>
      <c r="Y4" s="92"/>
      <c r="Z4" s="89"/>
      <c r="AA4" s="92"/>
      <c r="AB4" s="89"/>
      <c r="AC4" s="92"/>
      <c r="AD4" s="89"/>
      <c r="AE4" s="89"/>
      <c r="AF4" s="108"/>
      <c r="AG4" s="102"/>
      <c r="AH4" s="7"/>
    </row>
    <row r="5" spans="2:33" s="5" customFormat="1" ht="27.75" customHeight="1" thickBot="1">
      <c r="B5" s="113"/>
      <c r="C5" s="114"/>
      <c r="D5" s="118"/>
      <c r="E5" s="118"/>
      <c r="F5" s="118"/>
      <c r="G5" s="90"/>
      <c r="H5" s="90"/>
      <c r="I5" s="118"/>
      <c r="J5" s="122"/>
      <c r="K5" s="122"/>
      <c r="L5" s="90"/>
      <c r="M5" s="90"/>
      <c r="N5" s="90"/>
      <c r="O5" s="90"/>
      <c r="P5" s="90"/>
      <c r="Q5" s="90"/>
      <c r="R5" s="93"/>
      <c r="S5" s="90"/>
      <c r="T5" s="93"/>
      <c r="U5" s="93"/>
      <c r="V5" s="90"/>
      <c r="W5" s="90"/>
      <c r="X5" s="90"/>
      <c r="Y5" s="93"/>
      <c r="Z5" s="90"/>
      <c r="AA5" s="93"/>
      <c r="AB5" s="90"/>
      <c r="AC5" s="93"/>
      <c r="AD5" s="90"/>
      <c r="AE5" s="90"/>
      <c r="AF5" s="109"/>
      <c r="AG5" s="102"/>
    </row>
    <row r="6" spans="2:33" s="5" customFormat="1" ht="27.75" customHeight="1">
      <c r="B6" s="113"/>
      <c r="C6" s="114"/>
      <c r="D6" s="118"/>
      <c r="E6" s="118"/>
      <c r="F6" s="118"/>
      <c r="G6" s="90"/>
      <c r="H6" s="90"/>
      <c r="I6" s="118"/>
      <c r="J6" s="122"/>
      <c r="K6" s="122"/>
      <c r="L6" s="90"/>
      <c r="M6" s="90"/>
      <c r="N6" s="90"/>
      <c r="O6" s="90"/>
      <c r="P6" s="90"/>
      <c r="Q6" s="90"/>
      <c r="R6" s="93"/>
      <c r="S6" s="90"/>
      <c r="T6" s="93"/>
      <c r="U6" s="93"/>
      <c r="V6" s="90"/>
      <c r="W6" s="90"/>
      <c r="X6" s="90"/>
      <c r="Y6" s="93"/>
      <c r="Z6" s="90"/>
      <c r="AA6" s="93"/>
      <c r="AB6" s="90"/>
      <c r="AC6" s="93"/>
      <c r="AD6" s="90"/>
      <c r="AE6" s="90"/>
      <c r="AF6" s="76" t="s">
        <v>79</v>
      </c>
      <c r="AG6" s="77"/>
    </row>
    <row r="7" spans="2:33" s="5" customFormat="1" ht="27.75" customHeight="1">
      <c r="B7" s="113"/>
      <c r="C7" s="114"/>
      <c r="D7" s="118"/>
      <c r="E7" s="118"/>
      <c r="F7" s="118"/>
      <c r="G7" s="90"/>
      <c r="H7" s="90"/>
      <c r="I7" s="118"/>
      <c r="J7" s="122"/>
      <c r="K7" s="122"/>
      <c r="L7" s="90"/>
      <c r="M7" s="90"/>
      <c r="N7" s="90"/>
      <c r="O7" s="90"/>
      <c r="P7" s="90"/>
      <c r="Q7" s="90"/>
      <c r="R7" s="93"/>
      <c r="S7" s="90"/>
      <c r="T7" s="93"/>
      <c r="U7" s="93"/>
      <c r="V7" s="90"/>
      <c r="W7" s="90"/>
      <c r="X7" s="90"/>
      <c r="Y7" s="93"/>
      <c r="Z7" s="90"/>
      <c r="AA7" s="93"/>
      <c r="AB7" s="90"/>
      <c r="AC7" s="93"/>
      <c r="AD7" s="90"/>
      <c r="AE7" s="90"/>
      <c r="AF7" s="78"/>
      <c r="AG7" s="79"/>
    </row>
    <row r="8" spans="2:33" s="5" customFormat="1" ht="27.75" customHeight="1">
      <c r="B8" s="113"/>
      <c r="C8" s="114"/>
      <c r="D8" s="118"/>
      <c r="E8" s="118"/>
      <c r="F8" s="118"/>
      <c r="G8" s="90"/>
      <c r="H8" s="90"/>
      <c r="I8" s="118"/>
      <c r="J8" s="122"/>
      <c r="K8" s="122"/>
      <c r="L8" s="90"/>
      <c r="M8" s="90"/>
      <c r="N8" s="90"/>
      <c r="O8" s="90"/>
      <c r="P8" s="90"/>
      <c r="Q8" s="90"/>
      <c r="R8" s="93"/>
      <c r="S8" s="90"/>
      <c r="T8" s="93"/>
      <c r="U8" s="93"/>
      <c r="V8" s="90"/>
      <c r="W8" s="90"/>
      <c r="X8" s="90"/>
      <c r="Y8" s="93"/>
      <c r="Z8" s="90"/>
      <c r="AA8" s="93"/>
      <c r="AB8" s="90"/>
      <c r="AC8" s="93"/>
      <c r="AD8" s="90"/>
      <c r="AE8" s="90"/>
      <c r="AF8" s="78"/>
      <c r="AG8" s="79"/>
    </row>
    <row r="9" spans="2:33" s="5" customFormat="1" ht="27.75" customHeight="1">
      <c r="B9" s="113"/>
      <c r="C9" s="114"/>
      <c r="D9" s="118"/>
      <c r="E9" s="118"/>
      <c r="F9" s="118"/>
      <c r="G9" s="90"/>
      <c r="H9" s="90"/>
      <c r="I9" s="118"/>
      <c r="J9" s="122"/>
      <c r="K9" s="122"/>
      <c r="L9" s="90"/>
      <c r="M9" s="90"/>
      <c r="N9" s="90"/>
      <c r="O9" s="90"/>
      <c r="P9" s="90"/>
      <c r="Q9" s="90"/>
      <c r="R9" s="93"/>
      <c r="S9" s="90"/>
      <c r="T9" s="93"/>
      <c r="U9" s="93"/>
      <c r="V9" s="90"/>
      <c r="W9" s="90"/>
      <c r="X9" s="90"/>
      <c r="Y9" s="93"/>
      <c r="Z9" s="90"/>
      <c r="AA9" s="93"/>
      <c r="AB9" s="90"/>
      <c r="AC9" s="93"/>
      <c r="AD9" s="90"/>
      <c r="AE9" s="90"/>
      <c r="AF9" s="78"/>
      <c r="AG9" s="79"/>
    </row>
    <row r="10" spans="2:33" s="5" customFormat="1" ht="27.75" customHeight="1">
      <c r="B10" s="113"/>
      <c r="C10" s="114"/>
      <c r="D10" s="118"/>
      <c r="E10" s="118"/>
      <c r="F10" s="118"/>
      <c r="G10" s="90"/>
      <c r="H10" s="90"/>
      <c r="I10" s="118"/>
      <c r="J10" s="122"/>
      <c r="K10" s="122"/>
      <c r="L10" s="90"/>
      <c r="M10" s="90"/>
      <c r="N10" s="90"/>
      <c r="O10" s="90"/>
      <c r="P10" s="90"/>
      <c r="Q10" s="90"/>
      <c r="R10" s="93"/>
      <c r="S10" s="90"/>
      <c r="T10" s="93"/>
      <c r="U10" s="93"/>
      <c r="V10" s="90"/>
      <c r="W10" s="90"/>
      <c r="X10" s="90"/>
      <c r="Y10" s="93"/>
      <c r="Z10" s="90"/>
      <c r="AA10" s="93"/>
      <c r="AB10" s="90"/>
      <c r="AC10" s="93"/>
      <c r="AD10" s="90"/>
      <c r="AE10" s="90"/>
      <c r="AF10" s="78"/>
      <c r="AG10" s="79"/>
    </row>
    <row r="11" spans="2:33" s="8" customFormat="1" ht="27.75" customHeight="1">
      <c r="B11" s="115"/>
      <c r="C11" s="116"/>
      <c r="D11" s="119"/>
      <c r="E11" s="119"/>
      <c r="F11" s="119"/>
      <c r="G11" s="91"/>
      <c r="H11" s="91"/>
      <c r="I11" s="119"/>
      <c r="J11" s="123"/>
      <c r="K11" s="123"/>
      <c r="L11" s="91"/>
      <c r="M11" s="91"/>
      <c r="N11" s="91"/>
      <c r="O11" s="91"/>
      <c r="P11" s="91"/>
      <c r="Q11" s="91"/>
      <c r="R11" s="94"/>
      <c r="S11" s="91"/>
      <c r="T11" s="94"/>
      <c r="U11" s="94"/>
      <c r="V11" s="91"/>
      <c r="W11" s="91"/>
      <c r="X11" s="91"/>
      <c r="Y11" s="94"/>
      <c r="Z11" s="91"/>
      <c r="AA11" s="94"/>
      <c r="AB11" s="91"/>
      <c r="AC11" s="94"/>
      <c r="AD11" s="91"/>
      <c r="AE11" s="91"/>
      <c r="AF11" s="78"/>
      <c r="AG11" s="79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38"/>
      <c r="I12" s="11" t="s">
        <v>9</v>
      </c>
      <c r="J12" s="11" t="s">
        <v>9</v>
      </c>
      <c r="K12" s="11"/>
      <c r="L12" s="11"/>
      <c r="M12" s="11"/>
      <c r="N12" s="11"/>
      <c r="O12" s="11" t="s">
        <v>9</v>
      </c>
      <c r="P12" s="11" t="s">
        <v>9</v>
      </c>
      <c r="Q12" s="11" t="s">
        <v>9</v>
      </c>
      <c r="R12" s="38" t="s">
        <v>85</v>
      </c>
      <c r="S12" s="11" t="s">
        <v>84</v>
      </c>
      <c r="T12" s="38"/>
      <c r="U12" s="11" t="s">
        <v>86</v>
      </c>
      <c r="V12" s="11" t="s">
        <v>85</v>
      </c>
      <c r="W12" s="38" t="s">
        <v>85</v>
      </c>
      <c r="X12" s="11"/>
      <c r="Y12" s="38"/>
      <c r="Z12" s="11"/>
      <c r="AA12" s="38"/>
      <c r="AB12" s="11"/>
      <c r="AC12" s="38"/>
      <c r="AD12" s="11"/>
      <c r="AE12" s="11"/>
      <c r="AF12" s="78"/>
      <c r="AG12" s="79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78"/>
      <c r="AG13" s="79"/>
    </row>
    <row r="14" spans="1:33" s="5" customFormat="1" ht="21.75" customHeight="1">
      <c r="A14" s="12">
        <f>A13+1</f>
        <v>2</v>
      </c>
      <c r="B14" s="110" t="s">
        <v>70</v>
      </c>
      <c r="C14" s="111"/>
      <c r="D14" s="111"/>
      <c r="E14" s="111"/>
      <c r="F14" s="111"/>
      <c r="G14" s="111"/>
      <c r="H14" s="111"/>
      <c r="I14" s="1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78"/>
      <c r="AG14" s="79"/>
    </row>
    <row r="15" spans="1:33" s="5" customFormat="1" ht="21.75" customHeight="1">
      <c r="A15" s="12">
        <f aca="true" t="shared" si="0" ref="A15:A29">A14+1</f>
        <v>3</v>
      </c>
      <c r="B15" s="19" t="s">
        <v>28</v>
      </c>
      <c r="C15" s="20"/>
      <c r="D15" s="15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  <c r="P15" s="15"/>
      <c r="Q15" s="16"/>
      <c r="R15" s="16"/>
      <c r="S15" s="63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78"/>
      <c r="AG15" s="79"/>
    </row>
    <row r="16" spans="1:33" s="5" customFormat="1" ht="21.75" customHeight="1">
      <c r="A16" s="12">
        <f t="shared" si="0"/>
        <v>4</v>
      </c>
      <c r="B16" s="14">
        <v>43098.14</v>
      </c>
      <c r="C16" s="21">
        <v>43122.5</v>
      </c>
      <c r="D16" s="15" t="s">
        <v>22</v>
      </c>
      <c r="E16" s="16">
        <f aca="true" t="shared" si="1" ref="E16:E24">C16-B16</f>
        <v>24.360000000000582</v>
      </c>
      <c r="F16" s="104" t="s">
        <v>23</v>
      </c>
      <c r="G16" s="105"/>
      <c r="H16" s="105"/>
      <c r="I16" s="106"/>
      <c r="J16" s="16">
        <f>ROUND(392.74,2)</f>
        <v>392.74</v>
      </c>
      <c r="K16" s="16"/>
      <c r="L16" s="15"/>
      <c r="M16" s="15"/>
      <c r="N16" s="15"/>
      <c r="O16" s="16">
        <f aca="true" t="shared" si="2" ref="O16:O22">IF($H16=0,ROUND($E16*(O$72/12),2),ROUND($E16*(O$72/12)*$H16,2))</f>
        <v>36.54</v>
      </c>
      <c r="P16" s="15"/>
      <c r="Q16" s="16"/>
      <c r="R16" s="16"/>
      <c r="S16" s="63">
        <f aca="true" t="shared" si="3" ref="S16:S24">ROUND(($V16/S$72),3)</f>
        <v>0.024</v>
      </c>
      <c r="T16" s="16"/>
      <c r="U16" s="16">
        <f aca="true" t="shared" si="4" ref="U16:U24">ROUND((($U$72*$W$72*$U$73*$U$74*$W16)/2000),2)</f>
        <v>1.23</v>
      </c>
      <c r="V16" s="16">
        <f>ROUND((($I16+$J16+$O16+$P16+$Q16)/9),2)</f>
        <v>47.7</v>
      </c>
      <c r="W16" s="16">
        <f>ROUND((($I16+$J16+$O16+$P16+$Q16)/9),2)</f>
        <v>47.7</v>
      </c>
      <c r="X16" s="16"/>
      <c r="Y16" s="16"/>
      <c r="Z16" s="16"/>
      <c r="AA16" s="16"/>
      <c r="AB16" s="16"/>
      <c r="AC16" s="16"/>
      <c r="AD16" s="16"/>
      <c r="AE16" s="16"/>
      <c r="AF16" s="78"/>
      <c r="AG16" s="79"/>
    </row>
    <row r="17" spans="1:33" s="5" customFormat="1" ht="21.75" customHeight="1">
      <c r="A17" s="12">
        <f t="shared" si="0"/>
        <v>5</v>
      </c>
      <c r="B17" s="13">
        <f aca="true" t="shared" si="5" ref="B17:B24">C16</f>
        <v>43122.5</v>
      </c>
      <c r="C17" s="14">
        <v>43310</v>
      </c>
      <c r="D17" s="15" t="s">
        <v>22</v>
      </c>
      <c r="E17" s="16">
        <f t="shared" si="1"/>
        <v>187.5</v>
      </c>
      <c r="F17" s="17">
        <f>ROUND(AVERAGE(10,17.5),2)</f>
        <v>13.75</v>
      </c>
      <c r="G17" s="18">
        <f>ROUND((14228.5617+12+48+($F17/2))/14228.5617,4)</f>
        <v>1.0047</v>
      </c>
      <c r="H17" s="18">
        <f>ROUND((14228.5617+12+48+($F17))/14228.5617,4)</f>
        <v>1.0052</v>
      </c>
      <c r="I17" s="16">
        <f>IF($G17=0,ROUND($E17*$F17,2),ROUND($E17*$F17*$G17,2))</f>
        <v>2590.24</v>
      </c>
      <c r="J17" s="16"/>
      <c r="K17" s="16"/>
      <c r="L17" s="15"/>
      <c r="M17" s="15"/>
      <c r="N17" s="15"/>
      <c r="O17" s="16">
        <f t="shared" si="2"/>
        <v>282.71</v>
      </c>
      <c r="P17" s="15"/>
      <c r="Q17" s="16"/>
      <c r="R17" s="16"/>
      <c r="S17" s="63">
        <f t="shared" si="3"/>
        <v>0.16</v>
      </c>
      <c r="T17" s="16"/>
      <c r="U17" s="16">
        <f t="shared" si="4"/>
        <v>8.26</v>
      </c>
      <c r="V17" s="16">
        <f aca="true" t="shared" si="6" ref="V17:W24">ROUND((($I17+$J17+$O17+$P17+$Q17)/9),2)</f>
        <v>319.22</v>
      </c>
      <c r="W17" s="16">
        <f t="shared" si="6"/>
        <v>319.22</v>
      </c>
      <c r="X17" s="16"/>
      <c r="Y17" s="16"/>
      <c r="Z17" s="16"/>
      <c r="AA17" s="16"/>
      <c r="AB17" s="16"/>
      <c r="AC17" s="16"/>
      <c r="AD17" s="16"/>
      <c r="AE17" s="16"/>
      <c r="AF17" s="78"/>
      <c r="AG17" s="79"/>
    </row>
    <row r="18" spans="1:33" s="5" customFormat="1" ht="21.75" customHeight="1">
      <c r="A18" s="12">
        <f t="shared" si="0"/>
        <v>6</v>
      </c>
      <c r="B18" s="13">
        <f t="shared" si="5"/>
        <v>43310</v>
      </c>
      <c r="C18" s="14">
        <v>44823.91</v>
      </c>
      <c r="D18" s="15" t="s">
        <v>22</v>
      </c>
      <c r="E18" s="16">
        <f t="shared" si="1"/>
        <v>1513.9100000000035</v>
      </c>
      <c r="F18" s="23">
        <v>10</v>
      </c>
      <c r="G18" s="18">
        <f>ROUND((14228.5617+12+48+($F18/2))/14228.5617,4)</f>
        <v>1.0046</v>
      </c>
      <c r="H18" s="18">
        <f>ROUND((14228.5617+12+48+($F18))/14228.5617,4)</f>
        <v>1.0049</v>
      </c>
      <c r="I18" s="16">
        <f>IF($G18=0,ROUND($E18*$F18,2),ROUND($E18*$F18*$G18,2))</f>
        <v>15208.74</v>
      </c>
      <c r="J18" s="16"/>
      <c r="K18" s="16"/>
      <c r="L18" s="16"/>
      <c r="M18" s="16"/>
      <c r="N18" s="16"/>
      <c r="O18" s="16">
        <f t="shared" si="2"/>
        <v>2281.99</v>
      </c>
      <c r="P18" s="15"/>
      <c r="Q18" s="16"/>
      <c r="R18" s="16"/>
      <c r="S18" s="63">
        <f t="shared" si="3"/>
        <v>0.972</v>
      </c>
      <c r="T18" s="16"/>
      <c r="U18" s="16">
        <f t="shared" si="4"/>
        <v>50.29</v>
      </c>
      <c r="V18" s="16">
        <f t="shared" si="6"/>
        <v>1943.41</v>
      </c>
      <c r="W18" s="16">
        <f t="shared" si="6"/>
        <v>1943.41</v>
      </c>
      <c r="X18" s="16"/>
      <c r="Y18" s="16"/>
      <c r="Z18" s="16"/>
      <c r="AA18" s="16"/>
      <c r="AB18" s="16"/>
      <c r="AC18" s="16"/>
      <c r="AD18" s="16"/>
      <c r="AE18" s="16"/>
      <c r="AF18" s="78"/>
      <c r="AG18" s="79"/>
    </row>
    <row r="19" spans="1:33" s="5" customFormat="1" ht="21.75" customHeight="1">
      <c r="A19" s="12">
        <f t="shared" si="0"/>
        <v>7</v>
      </c>
      <c r="B19" s="13">
        <f t="shared" si="5"/>
        <v>44823.91</v>
      </c>
      <c r="C19" s="14">
        <v>46702.5</v>
      </c>
      <c r="D19" s="15" t="s">
        <v>22</v>
      </c>
      <c r="E19" s="16">
        <f t="shared" si="1"/>
        <v>1878.5899999999965</v>
      </c>
      <c r="F19" s="23">
        <v>10</v>
      </c>
      <c r="G19" s="18"/>
      <c r="H19" s="16"/>
      <c r="I19" s="16">
        <f>IF($G19=0,ROUND($E19*$F19,2),ROUND($E19*$F19*$G19,2))</f>
        <v>18785.9</v>
      </c>
      <c r="J19" s="16"/>
      <c r="K19" s="16"/>
      <c r="L19" s="16"/>
      <c r="M19" s="16"/>
      <c r="N19" s="16"/>
      <c r="O19" s="16">
        <f t="shared" si="2"/>
        <v>2817.88</v>
      </c>
      <c r="P19" s="15"/>
      <c r="Q19" s="16"/>
      <c r="R19" s="16"/>
      <c r="S19" s="63">
        <f t="shared" si="3"/>
        <v>1.2</v>
      </c>
      <c r="T19" s="16"/>
      <c r="U19" s="16">
        <f t="shared" si="4"/>
        <v>62.11</v>
      </c>
      <c r="V19" s="16">
        <f t="shared" si="6"/>
        <v>2400.42</v>
      </c>
      <c r="W19" s="16">
        <f t="shared" si="6"/>
        <v>2400.42</v>
      </c>
      <c r="X19" s="16"/>
      <c r="Y19" s="16"/>
      <c r="Z19" s="16"/>
      <c r="AA19" s="16"/>
      <c r="AB19" s="16"/>
      <c r="AC19" s="16"/>
      <c r="AD19" s="16"/>
      <c r="AE19" s="16"/>
      <c r="AF19" s="78"/>
      <c r="AG19" s="79"/>
    </row>
    <row r="20" spans="1:33" s="5" customFormat="1" ht="21.75" customHeight="1">
      <c r="A20" s="12">
        <f t="shared" si="0"/>
        <v>8</v>
      </c>
      <c r="B20" s="13">
        <f t="shared" si="5"/>
        <v>46702.5</v>
      </c>
      <c r="C20" s="14">
        <v>46815</v>
      </c>
      <c r="D20" s="15" t="s">
        <v>22</v>
      </c>
      <c r="E20" s="16">
        <f t="shared" si="1"/>
        <v>112.5</v>
      </c>
      <c r="F20" s="17">
        <f>ROUND(AVERAGE(10,5.5),2)</f>
        <v>7.75</v>
      </c>
      <c r="G20" s="18"/>
      <c r="H20" s="16"/>
      <c r="I20" s="16">
        <f>IF($G20=0,ROUND($E20*$F20,2),ROUND($E20*$F20*$G20,2))</f>
        <v>871.88</v>
      </c>
      <c r="J20" s="16"/>
      <c r="K20" s="16"/>
      <c r="L20" s="16"/>
      <c r="M20" s="16"/>
      <c r="N20" s="16"/>
      <c r="O20" s="16">
        <f t="shared" si="2"/>
        <v>168.75</v>
      </c>
      <c r="P20" s="15"/>
      <c r="Q20" s="16"/>
      <c r="R20" s="16"/>
      <c r="S20" s="63">
        <f t="shared" si="3"/>
        <v>0.058</v>
      </c>
      <c r="T20" s="16"/>
      <c r="U20" s="16">
        <f t="shared" si="4"/>
        <v>2.99</v>
      </c>
      <c r="V20" s="16">
        <f t="shared" si="6"/>
        <v>115.63</v>
      </c>
      <c r="W20" s="16">
        <f t="shared" si="6"/>
        <v>115.63</v>
      </c>
      <c r="X20" s="16"/>
      <c r="Y20" s="16"/>
      <c r="Z20" s="16"/>
      <c r="AA20" s="16"/>
      <c r="AB20" s="16"/>
      <c r="AC20" s="16"/>
      <c r="AD20" s="16"/>
      <c r="AE20" s="16"/>
      <c r="AF20" s="78"/>
      <c r="AG20" s="79"/>
    </row>
    <row r="21" spans="1:33" s="5" customFormat="1" ht="21.75" customHeight="1">
      <c r="A21" s="12">
        <f t="shared" si="0"/>
        <v>9</v>
      </c>
      <c r="B21" s="13">
        <f t="shared" si="5"/>
        <v>46815</v>
      </c>
      <c r="C21" s="14">
        <v>46846.85</v>
      </c>
      <c r="D21" s="15" t="s">
        <v>22</v>
      </c>
      <c r="E21" s="16">
        <f t="shared" si="1"/>
        <v>31.849999999998545</v>
      </c>
      <c r="F21" s="23">
        <v>5.5</v>
      </c>
      <c r="G21" s="18"/>
      <c r="H21" s="16"/>
      <c r="I21" s="16">
        <f>IF($G21=0,ROUND($E21*$F21,2),ROUND($E21*$F21*$G21,2))</f>
        <v>175.17</v>
      </c>
      <c r="J21" s="16"/>
      <c r="K21" s="16"/>
      <c r="L21" s="16"/>
      <c r="M21" s="16"/>
      <c r="N21" s="16"/>
      <c r="O21" s="16">
        <f t="shared" si="2"/>
        <v>47.77</v>
      </c>
      <c r="P21" s="15"/>
      <c r="Q21" s="16"/>
      <c r="R21" s="16"/>
      <c r="S21" s="63">
        <f t="shared" si="3"/>
        <v>0.012</v>
      </c>
      <c r="T21" s="16"/>
      <c r="U21" s="16">
        <f t="shared" si="4"/>
        <v>0.64</v>
      </c>
      <c r="V21" s="16">
        <f t="shared" si="6"/>
        <v>24.77</v>
      </c>
      <c r="W21" s="16">
        <f t="shared" si="6"/>
        <v>24.77</v>
      </c>
      <c r="X21" s="16"/>
      <c r="Y21" s="16"/>
      <c r="Z21" s="16"/>
      <c r="AA21" s="16"/>
      <c r="AB21" s="16"/>
      <c r="AC21" s="16"/>
      <c r="AD21" s="16"/>
      <c r="AE21" s="16"/>
      <c r="AF21" s="78"/>
      <c r="AG21" s="79"/>
    </row>
    <row r="22" spans="1:33" s="5" customFormat="1" ht="21.75" customHeight="1">
      <c r="A22" s="12">
        <f t="shared" si="0"/>
        <v>10</v>
      </c>
      <c r="B22" s="13">
        <f t="shared" si="5"/>
        <v>46846.85</v>
      </c>
      <c r="C22" s="14">
        <v>46865</v>
      </c>
      <c r="D22" s="15" t="s">
        <v>22</v>
      </c>
      <c r="E22" s="16">
        <f t="shared" si="1"/>
        <v>18.150000000001455</v>
      </c>
      <c r="F22" s="23">
        <v>5.5</v>
      </c>
      <c r="G22" s="18"/>
      <c r="H22" s="16"/>
      <c r="I22" s="16">
        <f>IF(G22=0,ROUND($E22*$F22,2),ROUND($E22*$F22*$G22,2))</f>
        <v>99.83</v>
      </c>
      <c r="J22" s="16"/>
      <c r="K22" s="16"/>
      <c r="L22" s="16"/>
      <c r="M22" s="16"/>
      <c r="N22" s="16"/>
      <c r="O22" s="16">
        <f t="shared" si="2"/>
        <v>27.23</v>
      </c>
      <c r="P22" s="15"/>
      <c r="Q22" s="16"/>
      <c r="R22" s="16"/>
      <c r="S22" s="63">
        <f t="shared" si="3"/>
        <v>0.007</v>
      </c>
      <c r="T22" s="16"/>
      <c r="U22" s="16">
        <f t="shared" si="4"/>
        <v>0.37</v>
      </c>
      <c r="V22" s="16">
        <f t="shared" si="6"/>
        <v>14.12</v>
      </c>
      <c r="W22" s="16">
        <f t="shared" si="6"/>
        <v>14.12</v>
      </c>
      <c r="X22" s="16"/>
      <c r="Y22" s="16"/>
      <c r="Z22" s="16"/>
      <c r="AA22" s="16"/>
      <c r="AB22" s="16"/>
      <c r="AC22" s="16"/>
      <c r="AD22" s="16"/>
      <c r="AE22" s="16"/>
      <c r="AF22" s="78"/>
      <c r="AG22" s="79"/>
    </row>
    <row r="23" spans="1:33" s="5" customFormat="1" ht="21.75" customHeight="1">
      <c r="A23" s="12">
        <f t="shared" si="0"/>
        <v>11</v>
      </c>
      <c r="B23" s="13">
        <f t="shared" si="5"/>
        <v>46865</v>
      </c>
      <c r="C23" s="14">
        <v>46923.83</v>
      </c>
      <c r="D23" s="15" t="s">
        <v>22</v>
      </c>
      <c r="E23" s="16">
        <f t="shared" si="1"/>
        <v>58.830000000001746</v>
      </c>
      <c r="F23" s="23">
        <v>5.5</v>
      </c>
      <c r="G23" s="18"/>
      <c r="H23" s="16"/>
      <c r="I23" s="16">
        <f>IF(G23=0,ROUND($E23*$F23,2),ROUND($E23*$F23*$G23,2))</f>
        <v>323.57</v>
      </c>
      <c r="J23" s="16"/>
      <c r="K23" s="16"/>
      <c r="L23" s="16"/>
      <c r="M23" s="16"/>
      <c r="N23" s="16"/>
      <c r="O23" s="16"/>
      <c r="P23" s="16">
        <f>IF($H23=0,ROUND($E23*(P$72/12),2),ROUND($E23*(P$72/12)*$H23,2))</f>
        <v>98.05</v>
      </c>
      <c r="Q23" s="16">
        <f>IF($H23=0,ROUND($E23*(Q$72/12),2),ROUND($E23*(Q$72/12)*$H23,2))</f>
        <v>107.86</v>
      </c>
      <c r="R23" s="16"/>
      <c r="S23" s="63">
        <f t="shared" si="3"/>
        <v>0.029</v>
      </c>
      <c r="T23" s="16"/>
      <c r="U23" s="16">
        <f t="shared" si="4"/>
        <v>1.52</v>
      </c>
      <c r="V23" s="16">
        <f t="shared" si="6"/>
        <v>58.83</v>
      </c>
      <c r="W23" s="16">
        <f t="shared" si="6"/>
        <v>58.83</v>
      </c>
      <c r="X23" s="16"/>
      <c r="Y23" s="16"/>
      <c r="Z23" s="16"/>
      <c r="AA23" s="16"/>
      <c r="AB23" s="16"/>
      <c r="AC23" s="16"/>
      <c r="AD23" s="16"/>
      <c r="AE23" s="16"/>
      <c r="AF23" s="78"/>
      <c r="AG23" s="79"/>
    </row>
    <row r="24" spans="1:33" s="5" customFormat="1" ht="21.75" customHeight="1">
      <c r="A24" s="12">
        <f t="shared" si="0"/>
        <v>12</v>
      </c>
      <c r="B24" s="13">
        <f t="shared" si="5"/>
        <v>46923.83</v>
      </c>
      <c r="C24" s="14">
        <v>46946.33</v>
      </c>
      <c r="D24" s="15" t="s">
        <v>22</v>
      </c>
      <c r="E24" s="16">
        <f t="shared" si="1"/>
        <v>22.5</v>
      </c>
      <c r="F24" s="17">
        <f>ROUND(AVERAGE(10,5.5),2)</f>
        <v>7.75</v>
      </c>
      <c r="G24" s="18"/>
      <c r="H24" s="16"/>
      <c r="I24" s="16">
        <f>IF(G24=0,ROUND($E24*$F24,2),ROUND($E24*$F24*$G24,2))</f>
        <v>174.38</v>
      </c>
      <c r="J24" s="16"/>
      <c r="K24" s="16"/>
      <c r="L24" s="16"/>
      <c r="M24" s="16"/>
      <c r="N24" s="16"/>
      <c r="O24" s="16">
        <f>IF($H24=0,ROUND($E24*(O$72/12),2),ROUND($E24*(O$72/12)*$H24,2))</f>
        <v>33.75</v>
      </c>
      <c r="P24" s="16"/>
      <c r="Q24" s="16"/>
      <c r="R24" s="16"/>
      <c r="S24" s="63">
        <f t="shared" si="3"/>
        <v>0.012</v>
      </c>
      <c r="T24" s="16"/>
      <c r="U24" s="16">
        <f t="shared" si="4"/>
        <v>0.6</v>
      </c>
      <c r="V24" s="16">
        <f t="shared" si="6"/>
        <v>23.13</v>
      </c>
      <c r="W24" s="16">
        <f t="shared" si="6"/>
        <v>23.13</v>
      </c>
      <c r="X24" s="16"/>
      <c r="Y24" s="16"/>
      <c r="Z24" s="16"/>
      <c r="AA24" s="16"/>
      <c r="AB24" s="16"/>
      <c r="AC24" s="16"/>
      <c r="AD24" s="16"/>
      <c r="AE24" s="16"/>
      <c r="AF24" s="78"/>
      <c r="AG24" s="79"/>
    </row>
    <row r="25" spans="1:33" s="5" customFormat="1" ht="21.75" customHeight="1">
      <c r="A25" s="12">
        <f t="shared" si="0"/>
        <v>13</v>
      </c>
      <c r="B25" s="13"/>
      <c r="C25" s="14"/>
      <c r="D25" s="15"/>
      <c r="E25" s="16"/>
      <c r="F25" s="17"/>
      <c r="G25" s="1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63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78"/>
      <c r="AG25" s="79"/>
    </row>
    <row r="26" spans="1:33" s="5" customFormat="1" ht="21.75" customHeight="1">
      <c r="A26" s="12">
        <f t="shared" si="0"/>
        <v>14</v>
      </c>
      <c r="B26" s="22">
        <v>37150</v>
      </c>
      <c r="C26" s="14">
        <v>37702.12</v>
      </c>
      <c r="D26" s="15" t="s">
        <v>21</v>
      </c>
      <c r="E26" s="16">
        <f aca="true" t="shared" si="7" ref="E26:E31">C26-B26</f>
        <v>552.1200000000026</v>
      </c>
      <c r="F26" s="104" t="s">
        <v>23</v>
      </c>
      <c r="G26" s="105"/>
      <c r="H26" s="105"/>
      <c r="I26" s="106"/>
      <c r="J26" s="16">
        <v>12310.94</v>
      </c>
      <c r="K26" s="16"/>
      <c r="L26" s="16"/>
      <c r="M26" s="16"/>
      <c r="N26" s="16"/>
      <c r="O26" s="16"/>
      <c r="P26" s="16"/>
      <c r="Q26" s="16"/>
      <c r="R26" s="16"/>
      <c r="S26" s="63">
        <f aca="true" t="shared" si="8" ref="S26:S31">ROUND(($V26/S$72),3)</f>
        <v>0.684</v>
      </c>
      <c r="T26" s="16"/>
      <c r="U26" s="16">
        <f aca="true" t="shared" si="9" ref="U26:U31">ROUND((($U$72*$W$72*$U$73*$U$74*$W26)/2000),2)</f>
        <v>35.39</v>
      </c>
      <c r="V26" s="16">
        <f aca="true" t="shared" si="10" ref="V26:W38">ROUND((($I26+$J26)/9),2)</f>
        <v>1367.88</v>
      </c>
      <c r="W26" s="16">
        <f t="shared" si="10"/>
        <v>1367.88</v>
      </c>
      <c r="X26" s="16"/>
      <c r="Y26" s="16"/>
      <c r="Z26" s="16"/>
      <c r="AA26" s="16"/>
      <c r="AB26" s="16"/>
      <c r="AC26" s="16"/>
      <c r="AD26" s="16"/>
      <c r="AE26" s="16"/>
      <c r="AF26" s="78"/>
      <c r="AG26" s="79"/>
    </row>
    <row r="27" spans="1:33" s="5" customFormat="1" ht="21.75" customHeight="1">
      <c r="A27" s="12">
        <f t="shared" si="0"/>
        <v>15</v>
      </c>
      <c r="B27" s="13">
        <f>C26</f>
        <v>37702.12</v>
      </c>
      <c r="C27" s="14">
        <v>38050</v>
      </c>
      <c r="D27" s="15" t="s">
        <v>21</v>
      </c>
      <c r="E27" s="16">
        <f t="shared" si="7"/>
        <v>347.8799999999974</v>
      </c>
      <c r="F27" s="17">
        <f>ROUND(AVERAGE(17.265,13.786),2)</f>
        <v>15.53</v>
      </c>
      <c r="G27" s="18"/>
      <c r="H27" s="16"/>
      <c r="I27" s="16">
        <f>IF(G27=0,ROUND($E27*$F27,2),ROUND($E27*$F27*$G27,2))</f>
        <v>5402.58</v>
      </c>
      <c r="J27" s="16"/>
      <c r="K27" s="16"/>
      <c r="L27" s="16"/>
      <c r="M27" s="16"/>
      <c r="N27" s="16"/>
      <c r="O27" s="16"/>
      <c r="P27" s="16"/>
      <c r="Q27" s="16"/>
      <c r="R27" s="16"/>
      <c r="S27" s="63">
        <f t="shared" si="8"/>
        <v>0.3</v>
      </c>
      <c r="T27" s="16"/>
      <c r="U27" s="16">
        <f t="shared" si="9"/>
        <v>15.53</v>
      </c>
      <c r="V27" s="16">
        <f t="shared" si="10"/>
        <v>600.29</v>
      </c>
      <c r="W27" s="16">
        <f t="shared" si="10"/>
        <v>600.29</v>
      </c>
      <c r="X27" s="16"/>
      <c r="Y27" s="16"/>
      <c r="Z27" s="16"/>
      <c r="AA27" s="16"/>
      <c r="AB27" s="16"/>
      <c r="AC27" s="16"/>
      <c r="AD27" s="16"/>
      <c r="AE27" s="16"/>
      <c r="AF27" s="78"/>
      <c r="AG27" s="79"/>
    </row>
    <row r="28" spans="1:33" s="5" customFormat="1" ht="21.75" customHeight="1">
      <c r="A28" s="12">
        <f t="shared" si="0"/>
        <v>16</v>
      </c>
      <c r="B28" s="13">
        <f>C27</f>
        <v>38050</v>
      </c>
      <c r="C28" s="14">
        <v>39137.36</v>
      </c>
      <c r="D28" s="15" t="s">
        <v>21</v>
      </c>
      <c r="E28" s="16">
        <f t="shared" si="7"/>
        <v>1087.3600000000006</v>
      </c>
      <c r="F28" s="17">
        <v>13.79</v>
      </c>
      <c r="G28" s="18"/>
      <c r="H28" s="16"/>
      <c r="I28" s="16">
        <f>IF(G28=0,ROUND($E28*$F28,2),ROUND($E28*$F28*$G28,2))</f>
        <v>14994.69</v>
      </c>
      <c r="J28" s="16"/>
      <c r="K28" s="16"/>
      <c r="L28" s="16"/>
      <c r="M28" s="16"/>
      <c r="N28" s="16"/>
      <c r="O28" s="16"/>
      <c r="P28" s="16"/>
      <c r="Q28" s="16"/>
      <c r="R28" s="16"/>
      <c r="S28" s="63">
        <f t="shared" si="8"/>
        <v>0.833</v>
      </c>
      <c r="T28" s="16"/>
      <c r="U28" s="16">
        <f t="shared" si="9"/>
        <v>43.11</v>
      </c>
      <c r="V28" s="16">
        <f t="shared" si="10"/>
        <v>1666.08</v>
      </c>
      <c r="W28" s="16">
        <f t="shared" si="10"/>
        <v>1666.08</v>
      </c>
      <c r="X28" s="16"/>
      <c r="Y28" s="16"/>
      <c r="Z28" s="16"/>
      <c r="AA28" s="16"/>
      <c r="AB28" s="16"/>
      <c r="AC28" s="16"/>
      <c r="AD28" s="16"/>
      <c r="AE28" s="16"/>
      <c r="AF28" s="78"/>
      <c r="AG28" s="79"/>
    </row>
    <row r="29" spans="1:33" s="5" customFormat="1" ht="21.75" customHeight="1">
      <c r="A29" s="12">
        <f t="shared" si="0"/>
        <v>17</v>
      </c>
      <c r="B29" s="13">
        <f>C28</f>
        <v>39137.36</v>
      </c>
      <c r="C29" s="14">
        <v>40459.11</v>
      </c>
      <c r="D29" s="15" t="s">
        <v>21</v>
      </c>
      <c r="E29" s="16">
        <f t="shared" si="7"/>
        <v>1321.75</v>
      </c>
      <c r="F29" s="17">
        <v>12</v>
      </c>
      <c r="G29" s="18">
        <f>ROUND((21630.9102+($F29/2))/21630.9102,4)</f>
        <v>1.0003</v>
      </c>
      <c r="H29" s="18">
        <f>ROUND((21630.9102+($F29))/21630.9102,4)</f>
        <v>1.0006</v>
      </c>
      <c r="I29" s="16">
        <f>IF(G29=0,ROUND($E29*$F29,2),ROUND($E29*$F29*$G29,2))</f>
        <v>15865.76</v>
      </c>
      <c r="J29" s="16"/>
      <c r="K29" s="16"/>
      <c r="L29" s="16"/>
      <c r="M29" s="16"/>
      <c r="N29" s="16"/>
      <c r="O29" s="16"/>
      <c r="P29" s="16"/>
      <c r="Q29" s="16"/>
      <c r="R29" s="16"/>
      <c r="S29" s="63">
        <f t="shared" si="8"/>
        <v>0.881</v>
      </c>
      <c r="T29" s="16"/>
      <c r="U29" s="16">
        <f t="shared" si="9"/>
        <v>45.61</v>
      </c>
      <c r="V29" s="16">
        <f t="shared" si="10"/>
        <v>1762.86</v>
      </c>
      <c r="W29" s="16">
        <f t="shared" si="10"/>
        <v>1762.86</v>
      </c>
      <c r="X29" s="16"/>
      <c r="Y29" s="16"/>
      <c r="Z29" s="16"/>
      <c r="AA29" s="16"/>
      <c r="AB29" s="16"/>
      <c r="AC29" s="16"/>
      <c r="AD29" s="16"/>
      <c r="AE29" s="16"/>
      <c r="AF29" s="78"/>
      <c r="AG29" s="79"/>
    </row>
    <row r="30" spans="1:33" s="5" customFormat="1" ht="21.75" customHeight="1">
      <c r="A30" s="12">
        <f aca="true" t="shared" si="11" ref="A30:A66">A29+1</f>
        <v>18</v>
      </c>
      <c r="B30" s="14">
        <f>C29</f>
        <v>40459.11</v>
      </c>
      <c r="C30" s="39">
        <v>42503.33</v>
      </c>
      <c r="D30" s="15" t="s">
        <v>21</v>
      </c>
      <c r="E30" s="16">
        <f t="shared" si="7"/>
        <v>2044.2200000000012</v>
      </c>
      <c r="F30" s="17">
        <v>12</v>
      </c>
      <c r="G30" s="18"/>
      <c r="H30" s="16"/>
      <c r="I30" s="16">
        <f>IF(G30=0,ROUND($E30*$F30,2),ROUND($E30*$F30*$G30,2))</f>
        <v>24530.64</v>
      </c>
      <c r="J30" s="16"/>
      <c r="K30" s="16"/>
      <c r="L30" s="16"/>
      <c r="M30" s="16"/>
      <c r="N30" s="16"/>
      <c r="O30" s="16"/>
      <c r="P30" s="16"/>
      <c r="Q30" s="16"/>
      <c r="R30" s="16"/>
      <c r="S30" s="63">
        <f t="shared" si="8"/>
        <v>1.363</v>
      </c>
      <c r="T30" s="16"/>
      <c r="U30" s="16">
        <f t="shared" si="9"/>
        <v>70.53</v>
      </c>
      <c r="V30" s="16">
        <f t="shared" si="10"/>
        <v>2725.63</v>
      </c>
      <c r="W30" s="16">
        <f t="shared" si="10"/>
        <v>2725.63</v>
      </c>
      <c r="X30" s="16"/>
      <c r="Y30" s="16"/>
      <c r="Z30" s="16"/>
      <c r="AA30" s="16"/>
      <c r="AB30" s="16"/>
      <c r="AC30" s="16"/>
      <c r="AD30" s="16"/>
      <c r="AE30" s="16"/>
      <c r="AF30" s="78"/>
      <c r="AG30" s="79"/>
    </row>
    <row r="31" spans="1:33" s="5" customFormat="1" ht="21.75" customHeight="1">
      <c r="A31" s="12">
        <f t="shared" si="11"/>
        <v>19</v>
      </c>
      <c r="B31" s="14">
        <f>C30</f>
        <v>42503.33</v>
      </c>
      <c r="C31" s="21">
        <v>42528.33</v>
      </c>
      <c r="D31" s="15" t="s">
        <v>21</v>
      </c>
      <c r="E31" s="16">
        <f t="shared" si="7"/>
        <v>25</v>
      </c>
      <c r="F31" s="17">
        <v>12</v>
      </c>
      <c r="G31" s="18"/>
      <c r="H31" s="16"/>
      <c r="I31" s="16">
        <f>IF(G31=0,ROUND($E31*$F31,2),ROUND($E31*$F31*$G31,2))</f>
        <v>300</v>
      </c>
      <c r="J31" s="16"/>
      <c r="K31" s="16"/>
      <c r="L31" s="16"/>
      <c r="M31" s="16"/>
      <c r="N31" s="16"/>
      <c r="O31" s="16"/>
      <c r="P31" s="16"/>
      <c r="Q31" s="16"/>
      <c r="R31" s="16"/>
      <c r="S31" s="63">
        <f t="shared" si="8"/>
        <v>0.017</v>
      </c>
      <c r="T31" s="16"/>
      <c r="U31" s="16">
        <f t="shared" si="9"/>
        <v>0.86</v>
      </c>
      <c r="V31" s="16">
        <f t="shared" si="10"/>
        <v>33.33</v>
      </c>
      <c r="W31" s="16">
        <f t="shared" si="10"/>
        <v>33.33</v>
      </c>
      <c r="X31" s="16"/>
      <c r="Y31" s="16"/>
      <c r="Z31" s="16"/>
      <c r="AA31" s="16"/>
      <c r="AB31" s="16"/>
      <c r="AC31" s="16"/>
      <c r="AD31" s="16"/>
      <c r="AE31" s="16"/>
      <c r="AF31" s="78"/>
      <c r="AG31" s="79"/>
    </row>
    <row r="32" spans="1:33" s="5" customFormat="1" ht="21.75" customHeight="1">
      <c r="A32" s="12">
        <f t="shared" si="11"/>
        <v>20</v>
      </c>
      <c r="B32" s="14"/>
      <c r="C32" s="14"/>
      <c r="D32" s="15"/>
      <c r="E32" s="16"/>
      <c r="F32" s="17"/>
      <c r="G32" s="1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63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78"/>
      <c r="AG32" s="79"/>
    </row>
    <row r="33" spans="1:33" s="5" customFormat="1" ht="21.75" customHeight="1">
      <c r="A33" s="12">
        <f t="shared" si="11"/>
        <v>21</v>
      </c>
      <c r="B33" s="14">
        <v>42683.9</v>
      </c>
      <c r="C33" s="14">
        <v>42708.9</v>
      </c>
      <c r="D33" s="15" t="s">
        <v>21</v>
      </c>
      <c r="E33" s="16">
        <f aca="true" t="shared" si="12" ref="E33:E42">C33-B33</f>
        <v>25</v>
      </c>
      <c r="F33" s="17">
        <v>12</v>
      </c>
      <c r="G33" s="18"/>
      <c r="H33" s="16"/>
      <c r="I33" s="16">
        <f>IF(G33=0,ROUND($E33*$F33,2),ROUND($E33*$F33*$G33,2))</f>
        <v>300</v>
      </c>
      <c r="J33" s="16"/>
      <c r="K33" s="16"/>
      <c r="L33" s="16"/>
      <c r="M33" s="16"/>
      <c r="N33" s="16"/>
      <c r="O33" s="16"/>
      <c r="P33" s="16"/>
      <c r="Q33" s="16"/>
      <c r="R33" s="16"/>
      <c r="S33" s="63">
        <f>ROUND(($V33/S$72),3)</f>
        <v>0.017</v>
      </c>
      <c r="T33" s="16"/>
      <c r="U33" s="16">
        <f>ROUND((($U$72*$W$72*$U$73*$U$74*$W33)/2000),2)</f>
        <v>0.86</v>
      </c>
      <c r="V33" s="16">
        <f t="shared" si="10"/>
        <v>33.33</v>
      </c>
      <c r="W33" s="16">
        <f t="shared" si="10"/>
        <v>33.33</v>
      </c>
      <c r="X33" s="16"/>
      <c r="Y33" s="16"/>
      <c r="Z33" s="16"/>
      <c r="AA33" s="16"/>
      <c r="AB33" s="16"/>
      <c r="AC33" s="16"/>
      <c r="AD33" s="16"/>
      <c r="AE33" s="16"/>
      <c r="AF33" s="78"/>
      <c r="AG33" s="79"/>
    </row>
    <row r="34" spans="1:33" s="5" customFormat="1" ht="21.75" customHeight="1">
      <c r="A34" s="12">
        <f t="shared" si="11"/>
        <v>22</v>
      </c>
      <c r="B34" s="14">
        <f>C33</f>
        <v>42708.9</v>
      </c>
      <c r="C34" s="14">
        <v>42841.24</v>
      </c>
      <c r="D34" s="15" t="s">
        <v>21</v>
      </c>
      <c r="E34" s="16">
        <f t="shared" si="12"/>
        <v>132.3399999999965</v>
      </c>
      <c r="F34" s="17">
        <v>12</v>
      </c>
      <c r="G34" s="18"/>
      <c r="H34" s="16"/>
      <c r="I34" s="16">
        <f>IF(G34=0,ROUND($E34*$F34,2),ROUND($E34*$F34*$G34,2))</f>
        <v>1588.08</v>
      </c>
      <c r="J34" s="16"/>
      <c r="K34" s="16"/>
      <c r="L34" s="16"/>
      <c r="M34" s="16"/>
      <c r="N34" s="16"/>
      <c r="O34" s="16"/>
      <c r="P34" s="16"/>
      <c r="Q34" s="16"/>
      <c r="R34" s="16"/>
      <c r="S34" s="63">
        <f>ROUND(($V34/S$72),3)</f>
        <v>0.088</v>
      </c>
      <c r="T34" s="16"/>
      <c r="U34" s="16">
        <f>ROUND((($U$72*$W$72*$U$73*$U$74*$W34)/2000),2)</f>
        <v>4.57</v>
      </c>
      <c r="V34" s="16">
        <f t="shared" si="10"/>
        <v>176.45</v>
      </c>
      <c r="W34" s="16">
        <f t="shared" si="10"/>
        <v>176.45</v>
      </c>
      <c r="X34" s="16"/>
      <c r="Y34" s="16"/>
      <c r="Z34" s="16"/>
      <c r="AA34" s="16"/>
      <c r="AB34" s="16"/>
      <c r="AC34" s="16"/>
      <c r="AD34" s="16"/>
      <c r="AE34" s="16"/>
      <c r="AF34" s="78"/>
      <c r="AG34" s="79"/>
    </row>
    <row r="35" spans="1:33" s="5" customFormat="1" ht="21.75" customHeight="1">
      <c r="A35" s="12">
        <f t="shared" si="11"/>
        <v>23</v>
      </c>
      <c r="B35" s="14">
        <f>C34</f>
        <v>42841.24</v>
      </c>
      <c r="C35" s="14">
        <v>42900.13</v>
      </c>
      <c r="D35" s="15" t="s">
        <v>21</v>
      </c>
      <c r="E35" s="16">
        <f t="shared" si="12"/>
        <v>58.88999999999942</v>
      </c>
      <c r="F35" s="17">
        <v>12</v>
      </c>
      <c r="G35" s="18">
        <f>ROUND((14228.562+($F35/2))/14228.562,4)</f>
        <v>1.0004</v>
      </c>
      <c r="H35" s="18">
        <f>ROUND((14228.562+($F35))/14228.562,4)</f>
        <v>1.0008</v>
      </c>
      <c r="I35" s="16">
        <f>IF(G35=0,ROUND($E35*$F35,2),ROUND($E35*$F35*$G35,2))</f>
        <v>706.96</v>
      </c>
      <c r="J35" s="16"/>
      <c r="K35" s="16"/>
      <c r="L35" s="16"/>
      <c r="M35" s="16"/>
      <c r="N35" s="16"/>
      <c r="O35" s="16"/>
      <c r="P35" s="16"/>
      <c r="Q35" s="16"/>
      <c r="R35" s="16"/>
      <c r="S35" s="63">
        <f>ROUND(($V35/S$72),3)</f>
        <v>0.039</v>
      </c>
      <c r="T35" s="16"/>
      <c r="U35" s="16">
        <f>ROUND((($U$72*$W$72*$U$73*$U$74*$W35)/2000),2)</f>
        <v>2.03</v>
      </c>
      <c r="V35" s="16">
        <f t="shared" si="10"/>
        <v>78.55</v>
      </c>
      <c r="W35" s="16">
        <f t="shared" si="10"/>
        <v>78.55</v>
      </c>
      <c r="X35" s="16"/>
      <c r="Y35" s="16"/>
      <c r="Z35" s="16"/>
      <c r="AA35" s="16"/>
      <c r="AB35" s="16"/>
      <c r="AC35" s="16"/>
      <c r="AD35" s="16"/>
      <c r="AE35" s="16"/>
      <c r="AF35" s="78"/>
      <c r="AG35" s="79"/>
    </row>
    <row r="36" spans="1:33" s="5" customFormat="1" ht="21.75" customHeight="1">
      <c r="A36" s="12">
        <f t="shared" si="11"/>
        <v>24</v>
      </c>
      <c r="B36" s="13"/>
      <c r="C36" s="14"/>
      <c r="D36" s="15"/>
      <c r="E36" s="16"/>
      <c r="F36" s="23"/>
      <c r="G36" s="18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63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78"/>
      <c r="AG36" s="79"/>
    </row>
    <row r="37" spans="1:33" s="5" customFormat="1" ht="21.75" customHeight="1">
      <c r="A37" s="12">
        <f t="shared" si="11"/>
        <v>25</v>
      </c>
      <c r="B37" s="13">
        <v>43114.75</v>
      </c>
      <c r="C37" s="14">
        <v>44823.91</v>
      </c>
      <c r="D37" s="15" t="s">
        <v>21</v>
      </c>
      <c r="E37" s="16">
        <f t="shared" si="12"/>
        <v>1709.1600000000035</v>
      </c>
      <c r="F37" s="17">
        <v>12</v>
      </c>
      <c r="G37" s="18">
        <f>ROUND((14228.562+($F37/2))/14228.562,4)</f>
        <v>1.0004</v>
      </c>
      <c r="H37" s="18">
        <f>ROUND((14228.562+($F37))/14228.562,4)</f>
        <v>1.0008</v>
      </c>
      <c r="I37" s="16">
        <f aca="true" t="shared" si="13" ref="I37:I42">IF(G37=0,ROUND($E37*$F37,2),ROUND($E37*$F37*$G37,2))</f>
        <v>20518.12</v>
      </c>
      <c r="J37" s="16"/>
      <c r="K37" s="16"/>
      <c r="L37" s="16"/>
      <c r="M37" s="16"/>
      <c r="N37" s="16"/>
      <c r="O37" s="16"/>
      <c r="P37" s="16"/>
      <c r="Q37" s="16"/>
      <c r="R37" s="16"/>
      <c r="S37" s="63">
        <f aca="true" t="shared" si="14" ref="S37:S42">ROUND(($V37/S$72),3)</f>
        <v>1.14</v>
      </c>
      <c r="T37" s="16"/>
      <c r="U37" s="16">
        <f aca="true" t="shared" si="15" ref="U37:U42">ROUND((($U$72*$W$72*$U$73*$U$74*$W37)/2000),2)</f>
        <v>58.99</v>
      </c>
      <c r="V37" s="16">
        <f t="shared" si="10"/>
        <v>2279.79</v>
      </c>
      <c r="W37" s="16">
        <f t="shared" si="10"/>
        <v>2279.79</v>
      </c>
      <c r="X37" s="16"/>
      <c r="Y37" s="16"/>
      <c r="Z37" s="16"/>
      <c r="AA37" s="16"/>
      <c r="AB37" s="16"/>
      <c r="AC37" s="16"/>
      <c r="AD37" s="16"/>
      <c r="AE37" s="16"/>
      <c r="AF37" s="78"/>
      <c r="AG37" s="79"/>
    </row>
    <row r="38" spans="1:33" s="5" customFormat="1" ht="21.75" customHeight="1">
      <c r="A38" s="12">
        <f t="shared" si="11"/>
        <v>26</v>
      </c>
      <c r="B38" s="13">
        <f>C37</f>
        <v>44823.91</v>
      </c>
      <c r="C38" s="14">
        <v>45110</v>
      </c>
      <c r="D38" s="15" t="s">
        <v>21</v>
      </c>
      <c r="E38" s="16">
        <f t="shared" si="12"/>
        <v>286.0899999999965</v>
      </c>
      <c r="F38" s="17">
        <v>12</v>
      </c>
      <c r="G38" s="18"/>
      <c r="H38" s="16"/>
      <c r="I38" s="16">
        <f t="shared" si="13"/>
        <v>3433.08</v>
      </c>
      <c r="J38" s="16"/>
      <c r="K38" s="16"/>
      <c r="L38" s="16"/>
      <c r="M38" s="16"/>
      <c r="N38" s="16"/>
      <c r="O38" s="16"/>
      <c r="P38" s="16"/>
      <c r="Q38" s="16"/>
      <c r="R38" s="16"/>
      <c r="S38" s="63">
        <f t="shared" si="14"/>
        <v>0.191</v>
      </c>
      <c r="T38" s="16"/>
      <c r="U38" s="16">
        <f t="shared" si="15"/>
        <v>9.87</v>
      </c>
      <c r="V38" s="16">
        <f t="shared" si="10"/>
        <v>381.45</v>
      </c>
      <c r="W38" s="16">
        <f t="shared" si="10"/>
        <v>381.45</v>
      </c>
      <c r="X38" s="16"/>
      <c r="Y38" s="16"/>
      <c r="Z38" s="16"/>
      <c r="AA38" s="16"/>
      <c r="AB38" s="16"/>
      <c r="AC38" s="16"/>
      <c r="AD38" s="16"/>
      <c r="AE38" s="16"/>
      <c r="AF38" s="78"/>
      <c r="AG38" s="79"/>
    </row>
    <row r="39" spans="1:33" s="5" customFormat="1" ht="21.75" customHeight="1">
      <c r="A39" s="12">
        <f t="shared" si="11"/>
        <v>27</v>
      </c>
      <c r="B39" s="14">
        <f>C38</f>
        <v>45110</v>
      </c>
      <c r="C39" s="14">
        <v>45950</v>
      </c>
      <c r="D39" s="15" t="s">
        <v>21</v>
      </c>
      <c r="E39" s="16">
        <f t="shared" si="12"/>
        <v>840</v>
      </c>
      <c r="F39" s="17">
        <f>ROUND(AVERAGE(12,24),2)</f>
        <v>18</v>
      </c>
      <c r="G39" s="18"/>
      <c r="H39" s="16"/>
      <c r="I39" s="16">
        <f t="shared" si="13"/>
        <v>15120</v>
      </c>
      <c r="J39" s="16"/>
      <c r="K39" s="16"/>
      <c r="L39" s="16"/>
      <c r="M39" s="16"/>
      <c r="N39" s="16"/>
      <c r="O39" s="16"/>
      <c r="P39" s="16"/>
      <c r="Q39" s="16"/>
      <c r="R39" s="16"/>
      <c r="S39" s="63">
        <f t="shared" si="14"/>
        <v>0.84</v>
      </c>
      <c r="T39" s="16"/>
      <c r="U39" s="16">
        <f t="shared" si="15"/>
        <v>43.47</v>
      </c>
      <c r="V39" s="16">
        <f aca="true" t="shared" si="16" ref="V39:W42">ROUND((($I39+$J39)/9),2)</f>
        <v>1680</v>
      </c>
      <c r="W39" s="16">
        <f t="shared" si="16"/>
        <v>1680</v>
      </c>
      <c r="X39" s="16"/>
      <c r="Y39" s="16"/>
      <c r="Z39" s="16"/>
      <c r="AA39" s="16"/>
      <c r="AB39" s="16"/>
      <c r="AC39" s="16"/>
      <c r="AD39" s="16"/>
      <c r="AE39" s="16"/>
      <c r="AF39" s="78"/>
      <c r="AG39" s="79"/>
    </row>
    <row r="40" spans="1:33" s="5" customFormat="1" ht="21.75" customHeight="1">
      <c r="A40" s="12">
        <f t="shared" si="11"/>
        <v>28</v>
      </c>
      <c r="B40" s="13">
        <f>C39</f>
        <v>45950</v>
      </c>
      <c r="C40" s="14">
        <v>46050</v>
      </c>
      <c r="D40" s="15" t="s">
        <v>21</v>
      </c>
      <c r="E40" s="16">
        <f t="shared" si="12"/>
        <v>100</v>
      </c>
      <c r="F40" s="17">
        <f>ROUND(AVERAGE(12,24),2)</f>
        <v>18</v>
      </c>
      <c r="G40" s="18"/>
      <c r="H40" s="16"/>
      <c r="I40" s="16">
        <f t="shared" si="13"/>
        <v>1800</v>
      </c>
      <c r="J40" s="16"/>
      <c r="K40" s="16"/>
      <c r="L40" s="16"/>
      <c r="M40" s="16"/>
      <c r="N40" s="16"/>
      <c r="O40" s="16"/>
      <c r="P40" s="16"/>
      <c r="Q40" s="16"/>
      <c r="R40" s="16"/>
      <c r="S40" s="63">
        <f t="shared" si="14"/>
        <v>0.1</v>
      </c>
      <c r="T40" s="16"/>
      <c r="U40" s="16">
        <f t="shared" si="15"/>
        <v>5.18</v>
      </c>
      <c r="V40" s="16">
        <f t="shared" si="16"/>
        <v>200</v>
      </c>
      <c r="W40" s="16">
        <f t="shared" si="16"/>
        <v>200</v>
      </c>
      <c r="X40" s="16"/>
      <c r="Y40" s="16"/>
      <c r="Z40" s="16"/>
      <c r="AA40" s="16"/>
      <c r="AB40" s="16"/>
      <c r="AC40" s="16"/>
      <c r="AD40" s="16"/>
      <c r="AE40" s="16"/>
      <c r="AF40" s="78"/>
      <c r="AG40" s="79"/>
    </row>
    <row r="41" spans="1:33" s="5" customFormat="1" ht="21.75" customHeight="1">
      <c r="A41" s="12">
        <f t="shared" si="11"/>
        <v>29</v>
      </c>
      <c r="B41" s="13">
        <f>C40</f>
        <v>46050</v>
      </c>
      <c r="C41" s="14">
        <v>46936.72</v>
      </c>
      <c r="D41" s="15" t="s">
        <v>21</v>
      </c>
      <c r="E41" s="16">
        <f t="shared" si="12"/>
        <v>886.7200000000012</v>
      </c>
      <c r="F41" s="17">
        <v>12</v>
      </c>
      <c r="G41" s="18"/>
      <c r="H41" s="16"/>
      <c r="I41" s="16">
        <f t="shared" si="13"/>
        <v>10640.64</v>
      </c>
      <c r="J41" s="16"/>
      <c r="K41" s="16"/>
      <c r="L41" s="16"/>
      <c r="M41" s="16"/>
      <c r="N41" s="16"/>
      <c r="O41" s="16"/>
      <c r="P41" s="16"/>
      <c r="Q41" s="16"/>
      <c r="R41" s="16"/>
      <c r="S41" s="63">
        <f t="shared" si="14"/>
        <v>0.591</v>
      </c>
      <c r="T41" s="16"/>
      <c r="U41" s="16">
        <f t="shared" si="15"/>
        <v>30.59</v>
      </c>
      <c r="V41" s="16">
        <f t="shared" si="16"/>
        <v>1182.29</v>
      </c>
      <c r="W41" s="16">
        <f t="shared" si="16"/>
        <v>1182.29</v>
      </c>
      <c r="X41" s="16"/>
      <c r="Y41" s="16"/>
      <c r="Z41" s="16"/>
      <c r="AA41" s="16"/>
      <c r="AB41" s="16"/>
      <c r="AC41" s="16"/>
      <c r="AD41" s="16"/>
      <c r="AE41" s="16"/>
      <c r="AF41" s="78"/>
      <c r="AG41" s="79"/>
    </row>
    <row r="42" spans="1:33" s="5" customFormat="1" ht="21.75" customHeight="1">
      <c r="A42" s="12">
        <f t="shared" si="11"/>
        <v>30</v>
      </c>
      <c r="B42" s="13">
        <f>C41</f>
        <v>46936.72</v>
      </c>
      <c r="C42" s="14">
        <v>46946.33</v>
      </c>
      <c r="D42" s="15" t="s">
        <v>21</v>
      </c>
      <c r="E42" s="16">
        <f t="shared" si="12"/>
        <v>9.610000000000582</v>
      </c>
      <c r="F42" s="17">
        <f>ROUND(AVERAGE(8.898,9.058),2)</f>
        <v>8.98</v>
      </c>
      <c r="G42" s="18"/>
      <c r="H42" s="16"/>
      <c r="I42" s="16">
        <f t="shared" si="13"/>
        <v>86.3</v>
      </c>
      <c r="J42" s="16"/>
      <c r="K42" s="16"/>
      <c r="L42" s="16"/>
      <c r="M42" s="16"/>
      <c r="N42" s="16"/>
      <c r="O42" s="16"/>
      <c r="P42" s="16"/>
      <c r="Q42" s="16"/>
      <c r="R42" s="16"/>
      <c r="S42" s="63">
        <f t="shared" si="14"/>
        <v>0.005</v>
      </c>
      <c r="T42" s="16"/>
      <c r="U42" s="16">
        <f t="shared" si="15"/>
        <v>0.25</v>
      </c>
      <c r="V42" s="16">
        <f t="shared" si="16"/>
        <v>9.59</v>
      </c>
      <c r="W42" s="16">
        <f t="shared" si="16"/>
        <v>9.59</v>
      </c>
      <c r="X42" s="16"/>
      <c r="Y42" s="16"/>
      <c r="Z42" s="16"/>
      <c r="AA42" s="16"/>
      <c r="AB42" s="16"/>
      <c r="AC42" s="16"/>
      <c r="AD42" s="16"/>
      <c r="AE42" s="16"/>
      <c r="AF42" s="78"/>
      <c r="AG42" s="79"/>
    </row>
    <row r="43" spans="1:33" s="5" customFormat="1" ht="21.75" customHeight="1">
      <c r="A43" s="12">
        <f t="shared" si="11"/>
        <v>31</v>
      </c>
      <c r="B43" s="13"/>
      <c r="C43" s="14"/>
      <c r="D43" s="15"/>
      <c r="E43" s="16"/>
      <c r="F43" s="23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63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78"/>
      <c r="AG43" s="79"/>
    </row>
    <row r="44" spans="1:33" s="5" customFormat="1" ht="21.75" customHeight="1">
      <c r="A44" s="12">
        <f t="shared" si="11"/>
        <v>32</v>
      </c>
      <c r="B44" s="13"/>
      <c r="C44" s="14"/>
      <c r="D44" s="15"/>
      <c r="E44" s="16"/>
      <c r="F44" s="17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63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78"/>
      <c r="AG44" s="79"/>
    </row>
    <row r="45" spans="1:33" s="5" customFormat="1" ht="21.75" customHeight="1">
      <c r="A45" s="12">
        <f t="shared" si="11"/>
        <v>33</v>
      </c>
      <c r="B45" s="13"/>
      <c r="C45" s="14"/>
      <c r="D45" s="15"/>
      <c r="E45" s="16"/>
      <c r="F45" s="17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63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78"/>
      <c r="AG45" s="79"/>
    </row>
    <row r="46" spans="1:33" s="5" customFormat="1" ht="21.75" customHeight="1">
      <c r="A46" s="12">
        <f t="shared" si="11"/>
        <v>34</v>
      </c>
      <c r="B46" s="22"/>
      <c r="C46" s="14"/>
      <c r="D46" s="15"/>
      <c r="E46" s="16"/>
      <c r="F46" s="17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63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78"/>
      <c r="AG46" s="79"/>
    </row>
    <row r="47" spans="1:33" s="5" customFormat="1" ht="21.75" customHeight="1">
      <c r="A47" s="12">
        <f t="shared" si="11"/>
        <v>35</v>
      </c>
      <c r="B47" s="22"/>
      <c r="C47" s="14"/>
      <c r="D47" s="15"/>
      <c r="E47" s="16"/>
      <c r="F47" s="17"/>
      <c r="G47" s="18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63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78"/>
      <c r="AG47" s="79"/>
    </row>
    <row r="48" spans="1:33" s="5" customFormat="1" ht="21.75" customHeight="1">
      <c r="A48" s="12">
        <f t="shared" si="11"/>
        <v>36</v>
      </c>
      <c r="B48" s="22"/>
      <c r="C48" s="14"/>
      <c r="D48" s="15"/>
      <c r="E48" s="16"/>
      <c r="F48" s="17"/>
      <c r="G48" s="18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63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78"/>
      <c r="AG48" s="79"/>
    </row>
    <row r="49" spans="1:33" s="5" customFormat="1" ht="21.75" customHeight="1">
      <c r="A49" s="12">
        <f t="shared" si="11"/>
        <v>37</v>
      </c>
      <c r="B49" s="13"/>
      <c r="C49" s="14"/>
      <c r="D49" s="15"/>
      <c r="E49" s="16"/>
      <c r="F49" s="17"/>
      <c r="G49" s="18"/>
      <c r="H49" s="16"/>
      <c r="I49" s="53"/>
      <c r="J49" s="16"/>
      <c r="K49" s="16"/>
      <c r="L49" s="16"/>
      <c r="M49" s="16"/>
      <c r="N49" s="16"/>
      <c r="O49" s="16"/>
      <c r="P49" s="16"/>
      <c r="Q49" s="42"/>
      <c r="R49" s="16"/>
      <c r="S49" s="63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78"/>
      <c r="AG49" s="79"/>
    </row>
    <row r="50" spans="1:33" s="5" customFormat="1" ht="21.75" customHeight="1" thickBot="1">
      <c r="A50" s="12">
        <f t="shared" si="11"/>
        <v>38</v>
      </c>
      <c r="B50" s="13"/>
      <c r="C50" s="14"/>
      <c r="D50" s="15"/>
      <c r="E50" s="16"/>
      <c r="F50" s="17"/>
      <c r="G50" s="18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63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03"/>
      <c r="AG50" s="82"/>
    </row>
    <row r="51" spans="1:33" s="5" customFormat="1" ht="21.75" customHeight="1">
      <c r="A51" s="12">
        <f t="shared" si="11"/>
        <v>39</v>
      </c>
      <c r="B51" s="13"/>
      <c r="C51" s="14"/>
      <c r="D51" s="15"/>
      <c r="E51" s="16"/>
      <c r="F51" s="17"/>
      <c r="G51" s="18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63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76" t="s">
        <v>91</v>
      </c>
      <c r="AG51" s="77"/>
    </row>
    <row r="52" spans="1:33" s="5" customFormat="1" ht="21.75" customHeight="1">
      <c r="A52" s="12">
        <f t="shared" si="11"/>
        <v>40</v>
      </c>
      <c r="B52" s="13"/>
      <c r="C52" s="14"/>
      <c r="D52" s="15"/>
      <c r="E52" s="16"/>
      <c r="F52" s="17"/>
      <c r="G52" s="1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63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78"/>
      <c r="AG52" s="79"/>
    </row>
    <row r="53" spans="1:33" s="5" customFormat="1" ht="21.75" customHeight="1">
      <c r="A53" s="12">
        <f t="shared" si="11"/>
        <v>41</v>
      </c>
      <c r="B53" s="14"/>
      <c r="C53" s="14"/>
      <c r="D53" s="15"/>
      <c r="E53" s="16"/>
      <c r="F53" s="23"/>
      <c r="G53" s="18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63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78"/>
      <c r="AG53" s="79"/>
    </row>
    <row r="54" spans="1:33" s="5" customFormat="1" ht="21.75" customHeight="1">
      <c r="A54" s="12">
        <f t="shared" si="11"/>
        <v>42</v>
      </c>
      <c r="B54" s="13"/>
      <c r="C54" s="14"/>
      <c r="D54" s="15"/>
      <c r="E54" s="16"/>
      <c r="F54" s="23"/>
      <c r="G54" s="1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63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78"/>
      <c r="AG54" s="79"/>
    </row>
    <row r="55" spans="1:33" s="5" customFormat="1" ht="21.75" customHeight="1">
      <c r="A55" s="12">
        <f t="shared" si="11"/>
        <v>43</v>
      </c>
      <c r="B55" s="13"/>
      <c r="C55" s="14"/>
      <c r="D55" s="15"/>
      <c r="E55" s="16"/>
      <c r="F55" s="23"/>
      <c r="G55" s="18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78"/>
      <c r="AG55" s="79"/>
    </row>
    <row r="56" spans="1:33" s="5" customFormat="1" ht="21.75" customHeight="1">
      <c r="A56" s="12">
        <f t="shared" si="11"/>
        <v>44</v>
      </c>
      <c r="B56" s="14"/>
      <c r="C56" s="54"/>
      <c r="D56" s="15"/>
      <c r="E56" s="16"/>
      <c r="F56" s="55"/>
      <c r="G56" s="18"/>
      <c r="H56" s="16"/>
      <c r="I56" s="53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78"/>
      <c r="AG56" s="79"/>
    </row>
    <row r="57" spans="1:33" s="5" customFormat="1" ht="21.75" customHeight="1">
      <c r="A57" s="12">
        <f t="shared" si="11"/>
        <v>45</v>
      </c>
      <c r="B57" s="13"/>
      <c r="C57" s="14"/>
      <c r="D57" s="15"/>
      <c r="E57" s="16"/>
      <c r="F57" s="17"/>
      <c r="G57" s="18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78"/>
      <c r="AG57" s="79"/>
    </row>
    <row r="58" spans="1:33" s="25" customFormat="1" ht="21.75" customHeight="1">
      <c r="A58" s="12">
        <f t="shared" si="11"/>
        <v>46</v>
      </c>
      <c r="B58" s="13"/>
      <c r="C58" s="14"/>
      <c r="D58" s="15"/>
      <c r="E58" s="16"/>
      <c r="F58" s="17"/>
      <c r="G58" s="18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78"/>
      <c r="AG58" s="79"/>
    </row>
    <row r="59" spans="1:33" s="25" customFormat="1" ht="21.75" customHeight="1">
      <c r="A59" s="12">
        <f t="shared" si="11"/>
        <v>47</v>
      </c>
      <c r="B59" s="13"/>
      <c r="C59" s="14"/>
      <c r="D59" s="15"/>
      <c r="E59" s="16"/>
      <c r="F59" s="17"/>
      <c r="G59" s="18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78"/>
      <c r="AG59" s="79"/>
    </row>
    <row r="60" spans="1:33" s="25" customFormat="1" ht="21.75" customHeight="1">
      <c r="A60" s="12">
        <f t="shared" si="11"/>
        <v>48</v>
      </c>
      <c r="B60" s="13"/>
      <c r="C60" s="14"/>
      <c r="D60" s="15"/>
      <c r="E60" s="16"/>
      <c r="F60" s="17"/>
      <c r="G60" s="18"/>
      <c r="H60" s="16"/>
      <c r="I60" s="53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78"/>
      <c r="AG60" s="79"/>
    </row>
    <row r="61" spans="1:33" s="25" customFormat="1" ht="21.75" customHeight="1">
      <c r="A61" s="12">
        <f t="shared" si="11"/>
        <v>49</v>
      </c>
      <c r="B61" s="13"/>
      <c r="C61" s="14"/>
      <c r="D61" s="15"/>
      <c r="E61" s="16"/>
      <c r="F61" s="17"/>
      <c r="G61" s="18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78"/>
      <c r="AG61" s="79"/>
    </row>
    <row r="62" spans="1:33" s="25" customFormat="1" ht="21.75" customHeight="1">
      <c r="A62" s="12">
        <f t="shared" si="11"/>
        <v>50</v>
      </c>
      <c r="B62" s="13"/>
      <c r="C62" s="14"/>
      <c r="D62" s="15"/>
      <c r="E62" s="16"/>
      <c r="F62" s="17"/>
      <c r="G62" s="18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78"/>
      <c r="AG62" s="79"/>
    </row>
    <row r="63" spans="1:33" s="25" customFormat="1" ht="21.75" customHeight="1">
      <c r="A63" s="12">
        <f t="shared" si="11"/>
        <v>51</v>
      </c>
      <c r="B63" s="13"/>
      <c r="C63" s="14"/>
      <c r="D63" s="15"/>
      <c r="E63" s="16"/>
      <c r="F63" s="17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78"/>
      <c r="AG63" s="79"/>
    </row>
    <row r="64" spans="1:33" s="25" customFormat="1" ht="21.75" customHeight="1">
      <c r="A64" s="12">
        <f t="shared" si="11"/>
        <v>52</v>
      </c>
      <c r="B64" s="13"/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80"/>
      <c r="AG64" s="79"/>
    </row>
    <row r="65" spans="1:33" s="25" customFormat="1" ht="21.75" customHeight="1">
      <c r="A65" s="12">
        <f t="shared" si="11"/>
        <v>53</v>
      </c>
      <c r="B65" s="13"/>
      <c r="C65" s="14"/>
      <c r="D65" s="15"/>
      <c r="E65" s="16"/>
      <c r="F65" s="17"/>
      <c r="G65" s="1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80"/>
      <c r="AG65" s="79"/>
    </row>
    <row r="66" spans="1:33" s="25" customFormat="1" ht="21.75" customHeight="1" thickBot="1">
      <c r="A66" s="12">
        <f t="shared" si="11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81"/>
      <c r="AG66" s="82"/>
    </row>
    <row r="67" spans="2:33" s="26" customFormat="1" ht="46.5" customHeight="1">
      <c r="B67" s="95" t="s">
        <v>8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7"/>
      <c r="R67" s="85" t="str">
        <f aca="true" t="shared" si="17" ref="R67:AE67">IF(SUM(R13:R66)=0," ",ROUNDUP(SUM(R13:R66),0))</f>
        <v> </v>
      </c>
      <c r="S67" s="85">
        <f t="shared" si="17"/>
        <v>10</v>
      </c>
      <c r="T67" s="85" t="str">
        <f t="shared" si="17"/>
        <v> </v>
      </c>
      <c r="U67" s="85">
        <f t="shared" si="17"/>
        <v>495</v>
      </c>
      <c r="V67" s="85">
        <f t="shared" si="17"/>
        <v>19125</v>
      </c>
      <c r="W67" s="85">
        <f t="shared" si="17"/>
        <v>19125</v>
      </c>
      <c r="X67" s="85" t="str">
        <f t="shared" si="17"/>
        <v> </v>
      </c>
      <c r="Y67" s="85" t="str">
        <f t="shared" si="17"/>
        <v> </v>
      </c>
      <c r="Z67" s="85" t="str">
        <f t="shared" si="17"/>
        <v> </v>
      </c>
      <c r="AA67" s="85" t="str">
        <f t="shared" si="17"/>
        <v> </v>
      </c>
      <c r="AB67" s="85" t="str">
        <f t="shared" si="17"/>
        <v> </v>
      </c>
      <c r="AC67" s="85" t="str">
        <f t="shared" si="17"/>
        <v> </v>
      </c>
      <c r="AD67" s="85" t="str">
        <f t="shared" si="17"/>
        <v> </v>
      </c>
      <c r="AE67" s="85" t="str">
        <f t="shared" si="17"/>
        <v> </v>
      </c>
      <c r="AF67" s="87">
        <v>3</v>
      </c>
      <c r="AG67" s="88"/>
    </row>
    <row r="68" spans="2:33" s="26" customFormat="1" ht="46.5" customHeight="1" thickBot="1"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100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3">
        <v>16</v>
      </c>
      <c r="AG68" s="84"/>
    </row>
    <row r="69" spans="1:34" ht="36" customHeight="1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T69" s="28"/>
      <c r="U69" s="28"/>
      <c r="V69" s="1"/>
      <c r="W69" s="28"/>
      <c r="X69" s="28"/>
      <c r="Y69" s="28"/>
      <c r="Z69" s="28"/>
      <c r="AA69" s="28"/>
      <c r="AB69" s="28"/>
      <c r="AF69" s="28"/>
      <c r="AG69" s="28"/>
      <c r="AH69" s="29"/>
    </row>
    <row r="70" spans="2:33" ht="12.7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T70" s="28"/>
      <c r="U70" s="28"/>
      <c r="V70" s="1"/>
      <c r="W70" s="28"/>
      <c r="X70" s="28"/>
      <c r="Y70" s="28"/>
      <c r="Z70" s="28"/>
      <c r="AA70" s="28"/>
      <c r="AB70" s="28"/>
      <c r="AF70" s="28"/>
      <c r="AG70" s="28"/>
    </row>
    <row r="71" spans="2:33" ht="12.7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T71" s="28"/>
      <c r="U71" s="28"/>
      <c r="V71" s="1"/>
      <c r="W71" s="28"/>
      <c r="X71" s="28"/>
      <c r="Y71" s="28"/>
      <c r="Z71" s="28"/>
      <c r="AA71" s="28"/>
      <c r="AB71" s="28"/>
      <c r="AF71" s="28"/>
      <c r="AG71" s="28"/>
    </row>
    <row r="72" spans="2:33" ht="15.75">
      <c r="B72" s="64" t="s">
        <v>26</v>
      </c>
      <c r="C72" s="65"/>
      <c r="D72" s="65"/>
      <c r="E72" s="65"/>
      <c r="F72" s="65"/>
      <c r="G72" s="66"/>
      <c r="H72" s="43"/>
      <c r="I72" s="43"/>
      <c r="J72" s="43"/>
      <c r="K72" s="43">
        <v>4</v>
      </c>
      <c r="L72" s="43">
        <v>6</v>
      </c>
      <c r="M72" s="43">
        <v>10</v>
      </c>
      <c r="N72" s="43">
        <v>16</v>
      </c>
      <c r="O72" s="43">
        <v>18</v>
      </c>
      <c r="P72" s="43">
        <v>20</v>
      </c>
      <c r="Q72" s="43">
        <v>22</v>
      </c>
      <c r="R72" s="45"/>
      <c r="S72" s="62">
        <v>2000</v>
      </c>
      <c r="T72" s="44"/>
      <c r="U72" s="44">
        <v>0.75</v>
      </c>
      <c r="V72" s="62"/>
      <c r="W72" s="62">
        <v>12</v>
      </c>
      <c r="X72" s="45"/>
      <c r="Y72" s="44"/>
      <c r="Z72" s="44"/>
      <c r="AA72" s="44"/>
      <c r="AB72" s="44"/>
      <c r="AC72" s="44"/>
      <c r="AD72" s="44"/>
      <c r="AF72" s="28"/>
      <c r="AG72" s="28"/>
    </row>
    <row r="73" spans="2:33" ht="15">
      <c r="B73" s="28"/>
      <c r="C73" s="28"/>
      <c r="D73" s="28"/>
      <c r="E73" s="28"/>
      <c r="F73" s="28"/>
      <c r="G73" s="28"/>
      <c r="H73" s="24"/>
      <c r="I73" s="28"/>
      <c r="J73" s="28"/>
      <c r="K73" s="28"/>
      <c r="L73" s="28"/>
      <c r="M73" s="28"/>
      <c r="N73" s="28"/>
      <c r="O73" s="28"/>
      <c r="P73" s="28"/>
      <c r="Q73" s="28"/>
      <c r="R73" s="24"/>
      <c r="T73" s="43"/>
      <c r="U73" s="43">
        <v>115</v>
      </c>
      <c r="V73" s="62"/>
      <c r="W73" s="46"/>
      <c r="X73" s="28"/>
      <c r="Y73" s="28"/>
      <c r="Z73" s="28"/>
      <c r="AA73" s="28"/>
      <c r="AB73" s="28"/>
      <c r="AF73" s="28"/>
      <c r="AG73" s="28"/>
    </row>
    <row r="74" spans="2:33" ht="15">
      <c r="B74" s="28"/>
      <c r="C74" s="30"/>
      <c r="D74" s="28"/>
      <c r="E74" s="28"/>
      <c r="F74" s="28"/>
      <c r="G74" s="28"/>
      <c r="H74" s="31"/>
      <c r="I74" s="28"/>
      <c r="J74" s="28"/>
      <c r="K74" s="120"/>
      <c r="L74" s="121"/>
      <c r="M74" s="121"/>
      <c r="N74" s="121"/>
      <c r="O74" s="121"/>
      <c r="P74" s="121"/>
      <c r="Q74" s="121"/>
      <c r="R74" s="31"/>
      <c r="S74" s="31"/>
      <c r="T74" s="31"/>
      <c r="U74" s="31">
        <v>0.05</v>
      </c>
      <c r="V74" s="44"/>
      <c r="W74" s="31"/>
      <c r="X74" s="31"/>
      <c r="Y74" s="31"/>
      <c r="Z74" s="31"/>
      <c r="AA74" s="31"/>
      <c r="AB74" s="31"/>
      <c r="AC74" s="31"/>
      <c r="AD74" s="31"/>
      <c r="AE74" s="31"/>
      <c r="AF74" s="28"/>
      <c r="AG74" s="28"/>
    </row>
  </sheetData>
  <sheetProtection/>
  <mergeCells count="54">
    <mergeCell ref="E3:E11"/>
    <mergeCell ref="G3:G11"/>
    <mergeCell ref="H3:H11"/>
    <mergeCell ref="O3:O11"/>
    <mergeCell ref="X4:X11"/>
    <mergeCell ref="Y4:Y11"/>
    <mergeCell ref="V4:V11"/>
    <mergeCell ref="W4:W11"/>
    <mergeCell ref="I3:I11"/>
    <mergeCell ref="S4:S11"/>
    <mergeCell ref="B67:Q68"/>
    <mergeCell ref="F26:I26"/>
    <mergeCell ref="B3:C11"/>
    <mergeCell ref="D3:D11"/>
    <mergeCell ref="F3:F11"/>
    <mergeCell ref="J3:J11"/>
    <mergeCell ref="K3:K11"/>
    <mergeCell ref="L3:L11"/>
    <mergeCell ref="M3:M11"/>
    <mergeCell ref="N3:N11"/>
    <mergeCell ref="P3:P11"/>
    <mergeCell ref="Q3:Q11"/>
    <mergeCell ref="AG3:AG5"/>
    <mergeCell ref="AF3:AF5"/>
    <mergeCell ref="AB4:AB11"/>
    <mergeCell ref="AC4:AC11"/>
    <mergeCell ref="AD4:AD11"/>
    <mergeCell ref="AE4:AE11"/>
    <mergeCell ref="AF68:AG68"/>
    <mergeCell ref="V67:V68"/>
    <mergeCell ref="X67:X68"/>
    <mergeCell ref="Y67:Y68"/>
    <mergeCell ref="Z67:Z68"/>
    <mergeCell ref="AA67:AA68"/>
    <mergeCell ref="K74:Q74"/>
    <mergeCell ref="F16:I16"/>
    <mergeCell ref="AB67:AB68"/>
    <mergeCell ref="B14:I14"/>
    <mergeCell ref="AE67:AE68"/>
    <mergeCell ref="AA4:AA11"/>
    <mergeCell ref="R4:R11"/>
    <mergeCell ref="T4:T11"/>
    <mergeCell ref="U4:U11"/>
    <mergeCell ref="Z4:Z11"/>
    <mergeCell ref="AF51:AG66"/>
    <mergeCell ref="AF6:AG50"/>
    <mergeCell ref="AC67:AC68"/>
    <mergeCell ref="AD67:AD68"/>
    <mergeCell ref="R67:R68"/>
    <mergeCell ref="S67:S68"/>
    <mergeCell ref="W67:W68"/>
    <mergeCell ref="T67:T68"/>
    <mergeCell ref="U67:U68"/>
    <mergeCell ref="AF67:AG67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2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N63" sqref="N63"/>
    </sheetView>
  </sheetViews>
  <sheetFormatPr defaultColWidth="9.140625" defaultRowHeight="12.75"/>
  <cols>
    <col min="1" max="3" width="24.7109375" style="1" customWidth="1"/>
    <col min="4" max="21" width="15.7109375" style="1" customWidth="1"/>
    <col min="22" max="22" width="15.7109375" style="47" customWidth="1"/>
    <col min="23" max="31" width="15.7109375" style="1" customWidth="1"/>
    <col min="32" max="34" width="6.7109375" style="1" customWidth="1"/>
    <col min="35" max="16384" width="9.140625" style="1" customWidth="1"/>
  </cols>
  <sheetData>
    <row r="1" spans="18:27" ht="12.75">
      <c r="R1" s="49"/>
      <c r="S1" s="49"/>
      <c r="T1" s="49"/>
      <c r="U1" s="49"/>
      <c r="V1" s="50"/>
      <c r="W1" s="49"/>
      <c r="X1" s="49"/>
      <c r="Z1" s="49"/>
      <c r="AA1" s="49"/>
    </row>
    <row r="2" spans="1:34" s="4" customFormat="1" ht="36" customHeight="1" thickBot="1">
      <c r="A2" s="2"/>
      <c r="B2" s="32" t="s">
        <v>14</v>
      </c>
      <c r="C2" s="33"/>
      <c r="D2" s="34"/>
      <c r="E2" s="34"/>
      <c r="F2" s="34"/>
      <c r="G2" s="34"/>
      <c r="H2" s="51"/>
      <c r="I2" s="35"/>
      <c r="J2" s="34"/>
      <c r="K2" s="34"/>
      <c r="L2" s="34"/>
      <c r="M2" s="34"/>
      <c r="N2" s="34"/>
      <c r="O2" s="34"/>
      <c r="P2" s="34"/>
      <c r="Q2" s="35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2"/>
      <c r="AD2" s="48"/>
      <c r="AH2" s="3"/>
    </row>
    <row r="3" spans="2:34" s="5" customFormat="1" ht="21.75" customHeight="1">
      <c r="B3" s="95" t="s">
        <v>0</v>
      </c>
      <c r="C3" s="97"/>
      <c r="D3" s="117" t="s">
        <v>3</v>
      </c>
      <c r="E3" s="117" t="s">
        <v>4</v>
      </c>
      <c r="F3" s="117" t="s">
        <v>5</v>
      </c>
      <c r="G3" s="107" t="s">
        <v>12</v>
      </c>
      <c r="H3" s="107" t="s">
        <v>93</v>
      </c>
      <c r="I3" s="117" t="s">
        <v>6</v>
      </c>
      <c r="J3" s="107" t="s">
        <v>10</v>
      </c>
      <c r="K3" s="107"/>
      <c r="L3" s="107"/>
      <c r="M3" s="107"/>
      <c r="N3" s="107"/>
      <c r="O3" s="107" t="s">
        <v>15</v>
      </c>
      <c r="P3" s="107" t="s">
        <v>16</v>
      </c>
      <c r="Q3" s="107" t="s">
        <v>17</v>
      </c>
      <c r="R3" s="36">
        <v>204</v>
      </c>
      <c r="S3" s="37">
        <v>204</v>
      </c>
      <c r="T3" s="36"/>
      <c r="U3" s="37">
        <v>206</v>
      </c>
      <c r="V3" s="37">
        <v>206</v>
      </c>
      <c r="W3" s="36">
        <v>206</v>
      </c>
      <c r="X3" s="37"/>
      <c r="Y3" s="36"/>
      <c r="Z3" s="37"/>
      <c r="AA3" s="36"/>
      <c r="AB3" s="37"/>
      <c r="AC3" s="36"/>
      <c r="AD3" s="37"/>
      <c r="AE3" s="37"/>
      <c r="AF3" s="101" t="s">
        <v>11</v>
      </c>
      <c r="AG3" s="101" t="s">
        <v>13</v>
      </c>
      <c r="AH3" s="6"/>
    </row>
    <row r="4" spans="2:34" s="5" customFormat="1" ht="27.75" customHeight="1">
      <c r="B4" s="113"/>
      <c r="C4" s="114"/>
      <c r="D4" s="118"/>
      <c r="E4" s="118"/>
      <c r="F4" s="118"/>
      <c r="G4" s="90"/>
      <c r="H4" s="90"/>
      <c r="I4" s="118"/>
      <c r="J4" s="122"/>
      <c r="K4" s="122"/>
      <c r="L4" s="90"/>
      <c r="M4" s="90"/>
      <c r="N4" s="90"/>
      <c r="O4" s="90"/>
      <c r="P4" s="90"/>
      <c r="Q4" s="90"/>
      <c r="R4" s="92" t="s">
        <v>82</v>
      </c>
      <c r="S4" s="89" t="s">
        <v>83</v>
      </c>
      <c r="T4" s="92"/>
      <c r="U4" s="92" t="s">
        <v>92</v>
      </c>
      <c r="V4" s="89" t="s">
        <v>80</v>
      </c>
      <c r="W4" s="89" t="s">
        <v>81</v>
      </c>
      <c r="X4" s="89"/>
      <c r="Y4" s="92"/>
      <c r="Z4" s="89"/>
      <c r="AA4" s="92"/>
      <c r="AB4" s="89"/>
      <c r="AC4" s="92"/>
      <c r="AD4" s="89"/>
      <c r="AE4" s="89"/>
      <c r="AF4" s="108"/>
      <c r="AG4" s="102"/>
      <c r="AH4" s="7"/>
    </row>
    <row r="5" spans="2:33" s="5" customFormat="1" ht="27.75" customHeight="1" thickBot="1">
      <c r="B5" s="113"/>
      <c r="C5" s="114"/>
      <c r="D5" s="118"/>
      <c r="E5" s="118"/>
      <c r="F5" s="118"/>
      <c r="G5" s="90"/>
      <c r="H5" s="90"/>
      <c r="I5" s="118"/>
      <c r="J5" s="122"/>
      <c r="K5" s="122"/>
      <c r="L5" s="90"/>
      <c r="M5" s="90"/>
      <c r="N5" s="90"/>
      <c r="O5" s="90"/>
      <c r="P5" s="90"/>
      <c r="Q5" s="90"/>
      <c r="R5" s="93"/>
      <c r="S5" s="90"/>
      <c r="T5" s="93"/>
      <c r="U5" s="93"/>
      <c r="V5" s="90"/>
      <c r="W5" s="90"/>
      <c r="X5" s="90"/>
      <c r="Y5" s="93"/>
      <c r="Z5" s="90"/>
      <c r="AA5" s="93"/>
      <c r="AB5" s="90"/>
      <c r="AC5" s="93"/>
      <c r="AD5" s="90"/>
      <c r="AE5" s="90"/>
      <c r="AF5" s="109"/>
      <c r="AG5" s="102"/>
    </row>
    <row r="6" spans="2:33" s="5" customFormat="1" ht="27.75" customHeight="1">
      <c r="B6" s="113"/>
      <c r="C6" s="114"/>
      <c r="D6" s="118"/>
      <c r="E6" s="118"/>
      <c r="F6" s="118"/>
      <c r="G6" s="90"/>
      <c r="H6" s="90"/>
      <c r="I6" s="118"/>
      <c r="J6" s="122"/>
      <c r="K6" s="122"/>
      <c r="L6" s="90"/>
      <c r="M6" s="90"/>
      <c r="N6" s="90"/>
      <c r="O6" s="90"/>
      <c r="P6" s="90"/>
      <c r="Q6" s="90"/>
      <c r="R6" s="93"/>
      <c r="S6" s="90"/>
      <c r="T6" s="93"/>
      <c r="U6" s="93"/>
      <c r="V6" s="90"/>
      <c r="W6" s="90"/>
      <c r="X6" s="90"/>
      <c r="Y6" s="93"/>
      <c r="Z6" s="90"/>
      <c r="AA6" s="93"/>
      <c r="AB6" s="90"/>
      <c r="AC6" s="93"/>
      <c r="AD6" s="90"/>
      <c r="AE6" s="90"/>
      <c r="AF6" s="76" t="s">
        <v>79</v>
      </c>
      <c r="AG6" s="77"/>
    </row>
    <row r="7" spans="2:33" s="5" customFormat="1" ht="27.75" customHeight="1">
      <c r="B7" s="113"/>
      <c r="C7" s="114"/>
      <c r="D7" s="118"/>
      <c r="E7" s="118"/>
      <c r="F7" s="118"/>
      <c r="G7" s="90"/>
      <c r="H7" s="90"/>
      <c r="I7" s="118"/>
      <c r="J7" s="122"/>
      <c r="K7" s="122"/>
      <c r="L7" s="90"/>
      <c r="M7" s="90"/>
      <c r="N7" s="90"/>
      <c r="O7" s="90"/>
      <c r="P7" s="90"/>
      <c r="Q7" s="90"/>
      <c r="R7" s="93"/>
      <c r="S7" s="90"/>
      <c r="T7" s="93"/>
      <c r="U7" s="93"/>
      <c r="V7" s="90"/>
      <c r="W7" s="90"/>
      <c r="X7" s="90"/>
      <c r="Y7" s="93"/>
      <c r="Z7" s="90"/>
      <c r="AA7" s="93"/>
      <c r="AB7" s="90"/>
      <c r="AC7" s="93"/>
      <c r="AD7" s="90"/>
      <c r="AE7" s="90"/>
      <c r="AF7" s="78"/>
      <c r="AG7" s="79"/>
    </row>
    <row r="8" spans="2:33" s="5" customFormat="1" ht="27.75" customHeight="1">
      <c r="B8" s="113"/>
      <c r="C8" s="114"/>
      <c r="D8" s="118"/>
      <c r="E8" s="118"/>
      <c r="F8" s="118"/>
      <c r="G8" s="90"/>
      <c r="H8" s="90"/>
      <c r="I8" s="118"/>
      <c r="J8" s="122"/>
      <c r="K8" s="122"/>
      <c r="L8" s="90"/>
      <c r="M8" s="90"/>
      <c r="N8" s="90"/>
      <c r="O8" s="90"/>
      <c r="P8" s="90"/>
      <c r="Q8" s="90"/>
      <c r="R8" s="93"/>
      <c r="S8" s="90"/>
      <c r="T8" s="93"/>
      <c r="U8" s="93"/>
      <c r="V8" s="90"/>
      <c r="W8" s="90"/>
      <c r="X8" s="90"/>
      <c r="Y8" s="93"/>
      <c r="Z8" s="90"/>
      <c r="AA8" s="93"/>
      <c r="AB8" s="90"/>
      <c r="AC8" s="93"/>
      <c r="AD8" s="90"/>
      <c r="AE8" s="90"/>
      <c r="AF8" s="78"/>
      <c r="AG8" s="79"/>
    </row>
    <row r="9" spans="2:33" s="5" customFormat="1" ht="27.75" customHeight="1">
      <c r="B9" s="113"/>
      <c r="C9" s="114"/>
      <c r="D9" s="118"/>
      <c r="E9" s="118"/>
      <c r="F9" s="118"/>
      <c r="G9" s="90"/>
      <c r="H9" s="90"/>
      <c r="I9" s="118"/>
      <c r="J9" s="122"/>
      <c r="K9" s="122"/>
      <c r="L9" s="90"/>
      <c r="M9" s="90"/>
      <c r="N9" s="90"/>
      <c r="O9" s="90"/>
      <c r="P9" s="90"/>
      <c r="Q9" s="90"/>
      <c r="R9" s="93"/>
      <c r="S9" s="90"/>
      <c r="T9" s="93"/>
      <c r="U9" s="93"/>
      <c r="V9" s="90"/>
      <c r="W9" s="90"/>
      <c r="X9" s="90"/>
      <c r="Y9" s="93"/>
      <c r="Z9" s="90"/>
      <c r="AA9" s="93"/>
      <c r="AB9" s="90"/>
      <c r="AC9" s="93"/>
      <c r="AD9" s="90"/>
      <c r="AE9" s="90"/>
      <c r="AF9" s="78"/>
      <c r="AG9" s="79"/>
    </row>
    <row r="10" spans="2:33" s="5" customFormat="1" ht="27.75" customHeight="1">
      <c r="B10" s="113"/>
      <c r="C10" s="114"/>
      <c r="D10" s="118"/>
      <c r="E10" s="118"/>
      <c r="F10" s="118"/>
      <c r="G10" s="90"/>
      <c r="H10" s="90"/>
      <c r="I10" s="118"/>
      <c r="J10" s="122"/>
      <c r="K10" s="122"/>
      <c r="L10" s="90"/>
      <c r="M10" s="90"/>
      <c r="N10" s="90"/>
      <c r="O10" s="90"/>
      <c r="P10" s="90"/>
      <c r="Q10" s="90"/>
      <c r="R10" s="93"/>
      <c r="S10" s="90"/>
      <c r="T10" s="93"/>
      <c r="U10" s="93"/>
      <c r="V10" s="90"/>
      <c r="W10" s="90"/>
      <c r="X10" s="90"/>
      <c r="Y10" s="93"/>
      <c r="Z10" s="90"/>
      <c r="AA10" s="93"/>
      <c r="AB10" s="90"/>
      <c r="AC10" s="93"/>
      <c r="AD10" s="90"/>
      <c r="AE10" s="90"/>
      <c r="AF10" s="78"/>
      <c r="AG10" s="79"/>
    </row>
    <row r="11" spans="2:33" s="8" customFormat="1" ht="27.75" customHeight="1">
      <c r="B11" s="115"/>
      <c r="C11" s="116"/>
      <c r="D11" s="119"/>
      <c r="E11" s="119"/>
      <c r="F11" s="119"/>
      <c r="G11" s="91"/>
      <c r="H11" s="91"/>
      <c r="I11" s="119"/>
      <c r="J11" s="123"/>
      <c r="K11" s="123"/>
      <c r="L11" s="91"/>
      <c r="M11" s="91"/>
      <c r="N11" s="91"/>
      <c r="O11" s="91"/>
      <c r="P11" s="91"/>
      <c r="Q11" s="91"/>
      <c r="R11" s="94"/>
      <c r="S11" s="91"/>
      <c r="T11" s="94"/>
      <c r="U11" s="94"/>
      <c r="V11" s="91"/>
      <c r="W11" s="91"/>
      <c r="X11" s="91"/>
      <c r="Y11" s="94"/>
      <c r="Z11" s="91"/>
      <c r="AA11" s="94"/>
      <c r="AB11" s="91"/>
      <c r="AC11" s="94"/>
      <c r="AD11" s="91"/>
      <c r="AE11" s="91"/>
      <c r="AF11" s="78"/>
      <c r="AG11" s="79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38"/>
      <c r="I12" s="11" t="s">
        <v>9</v>
      </c>
      <c r="J12" s="11" t="s">
        <v>9</v>
      </c>
      <c r="K12" s="11"/>
      <c r="L12" s="11"/>
      <c r="M12" s="11"/>
      <c r="N12" s="11"/>
      <c r="O12" s="11" t="s">
        <v>9</v>
      </c>
      <c r="P12" s="11" t="s">
        <v>9</v>
      </c>
      <c r="Q12" s="11" t="s">
        <v>9</v>
      </c>
      <c r="R12" s="38" t="s">
        <v>85</v>
      </c>
      <c r="S12" s="11" t="s">
        <v>84</v>
      </c>
      <c r="T12" s="38"/>
      <c r="U12" s="11" t="s">
        <v>86</v>
      </c>
      <c r="V12" s="11" t="s">
        <v>85</v>
      </c>
      <c r="W12" s="38" t="s">
        <v>85</v>
      </c>
      <c r="X12" s="11"/>
      <c r="Y12" s="38"/>
      <c r="Z12" s="11"/>
      <c r="AA12" s="38"/>
      <c r="AB12" s="11"/>
      <c r="AC12" s="38"/>
      <c r="AD12" s="11"/>
      <c r="AE12" s="11"/>
      <c r="AF12" s="78"/>
      <c r="AG12" s="79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78"/>
      <c r="AG13" s="79"/>
    </row>
    <row r="14" spans="1:33" s="5" customFormat="1" ht="21.75" customHeight="1">
      <c r="A14" s="12">
        <f>A13+1</f>
        <v>2</v>
      </c>
      <c r="B14" s="110" t="s">
        <v>31</v>
      </c>
      <c r="C14" s="111"/>
      <c r="D14" s="111"/>
      <c r="E14" s="111"/>
      <c r="F14" s="111"/>
      <c r="G14" s="111"/>
      <c r="H14" s="111"/>
      <c r="I14" s="112"/>
      <c r="J14" s="16"/>
      <c r="K14" s="16"/>
      <c r="L14" s="15"/>
      <c r="M14" s="15"/>
      <c r="N14" s="15"/>
      <c r="O14" s="15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78"/>
      <c r="AG14" s="79"/>
    </row>
    <row r="15" spans="1:33" s="5" customFormat="1" ht="21.75" customHeight="1">
      <c r="A15" s="12">
        <f>A14+1</f>
        <v>3</v>
      </c>
      <c r="B15" s="19" t="s">
        <v>19</v>
      </c>
      <c r="C15" s="20"/>
      <c r="D15" s="15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78"/>
      <c r="AG15" s="79"/>
    </row>
    <row r="16" spans="1:33" s="5" customFormat="1" ht="21.75" customHeight="1">
      <c r="A16" s="12">
        <f aca="true" t="shared" si="0" ref="A16:A66">A15+1</f>
        <v>4</v>
      </c>
      <c r="B16" s="22">
        <v>39137.36</v>
      </c>
      <c r="C16" s="21">
        <v>39200</v>
      </c>
      <c r="D16" s="15" t="s">
        <v>25</v>
      </c>
      <c r="E16" s="16">
        <f aca="true" t="shared" si="1" ref="E16:E24">C16-B16</f>
        <v>62.63999999999942</v>
      </c>
      <c r="F16" s="17">
        <f>ROUND((48.586+48)/2,2)</f>
        <v>48.29</v>
      </c>
      <c r="G16" s="18">
        <f>ROUND((21630.9102-((17.554+18)/2)-($F16/2))/21630.9102,4)</f>
        <v>0.9981</v>
      </c>
      <c r="H16" s="16"/>
      <c r="I16" s="16">
        <f>IF($G16=0,ROUND($E16*$F16,2),ROUND($E16*$F16*$G16,2))</f>
        <v>3019.14</v>
      </c>
      <c r="J16" s="16"/>
      <c r="K16" s="16"/>
      <c r="L16" s="15"/>
      <c r="M16" s="15"/>
      <c r="N16" s="15"/>
      <c r="O16" s="15"/>
      <c r="P16" s="16"/>
      <c r="Q16" s="16"/>
      <c r="R16" s="16"/>
      <c r="S16" s="63">
        <f>ROUND(($V16/S$72),3)</f>
        <v>0.168</v>
      </c>
      <c r="T16" s="16"/>
      <c r="U16" s="16">
        <f>ROUND((($U$72*$W$72*$U$73*$U$74*$W16)/2000),2)</f>
        <v>8.68</v>
      </c>
      <c r="V16" s="16">
        <f>ROUND((($I16+$J16)/9),2)</f>
        <v>335.46</v>
      </c>
      <c r="W16" s="16">
        <f>ROUND((($I16+$J16)/9),2)</f>
        <v>335.46</v>
      </c>
      <c r="X16" s="16"/>
      <c r="Y16" s="16"/>
      <c r="Z16" s="16"/>
      <c r="AA16" s="16"/>
      <c r="AB16" s="16"/>
      <c r="AC16" s="16"/>
      <c r="AD16" s="16"/>
      <c r="AE16" s="16"/>
      <c r="AF16" s="78"/>
      <c r="AG16" s="79"/>
    </row>
    <row r="17" spans="1:33" s="5" customFormat="1" ht="21.75" customHeight="1">
      <c r="A17" s="12">
        <f t="shared" si="0"/>
        <v>5</v>
      </c>
      <c r="B17" s="13">
        <f>C16</f>
        <v>39200</v>
      </c>
      <c r="C17" s="14">
        <v>39800</v>
      </c>
      <c r="D17" s="15" t="s">
        <v>25</v>
      </c>
      <c r="E17" s="16">
        <f t="shared" si="1"/>
        <v>600</v>
      </c>
      <c r="F17" s="17">
        <v>48</v>
      </c>
      <c r="G17" s="18">
        <f>ROUND((21630.9102-((12+18)/2)-($F17/2))/21630.9102,4)</f>
        <v>0.9982</v>
      </c>
      <c r="H17" s="16"/>
      <c r="I17" s="16">
        <f>IF($G17=0,ROUND($E17*$F17,2),ROUND($E17*$F17*$G17,2))</f>
        <v>28748.16</v>
      </c>
      <c r="J17" s="16"/>
      <c r="K17" s="16"/>
      <c r="L17" s="16"/>
      <c r="M17" s="16"/>
      <c r="N17" s="16"/>
      <c r="O17" s="16"/>
      <c r="P17" s="16"/>
      <c r="Q17" s="16"/>
      <c r="R17" s="16"/>
      <c r="S17" s="63">
        <f aca="true" t="shared" si="2" ref="S17:S56">ROUND(($V17/S$72),3)</f>
        <v>1.597</v>
      </c>
      <c r="T17" s="16"/>
      <c r="U17" s="16">
        <f aca="true" t="shared" si="3" ref="U17:U56">ROUND((($U$72*$W$72*$U$73*$U$74*$W17)/2000),2)</f>
        <v>82.65</v>
      </c>
      <c r="V17" s="16">
        <f aca="true" t="shared" si="4" ref="V17:W29">ROUND((($I17+$J17)/9),2)</f>
        <v>3194.24</v>
      </c>
      <c r="W17" s="16">
        <f t="shared" si="4"/>
        <v>3194.24</v>
      </c>
      <c r="X17" s="16"/>
      <c r="Y17" s="16"/>
      <c r="Z17" s="16"/>
      <c r="AA17" s="16"/>
      <c r="AB17" s="16"/>
      <c r="AC17" s="16"/>
      <c r="AD17" s="16"/>
      <c r="AE17" s="16"/>
      <c r="AF17" s="78"/>
      <c r="AG17" s="79"/>
    </row>
    <row r="18" spans="1:33" s="5" customFormat="1" ht="21.75" customHeight="1">
      <c r="A18" s="12">
        <f t="shared" si="0"/>
        <v>6</v>
      </c>
      <c r="B18" s="13">
        <f>C17</f>
        <v>39800</v>
      </c>
      <c r="C18" s="14">
        <v>40459.11</v>
      </c>
      <c r="D18" s="15" t="s">
        <v>25</v>
      </c>
      <c r="E18" s="16">
        <f t="shared" si="1"/>
        <v>659.1100000000006</v>
      </c>
      <c r="F18" s="17">
        <v>48</v>
      </c>
      <c r="G18" s="18">
        <f>ROUND((21630.9102-12-($F18/2))/21630.9102,4)</f>
        <v>0.9983</v>
      </c>
      <c r="H18" s="16"/>
      <c r="I18" s="16">
        <f>IF($G18=0,ROUND($E18*$F18,2),ROUND($E18*$F18*$G18,2))</f>
        <v>31583.5</v>
      </c>
      <c r="J18" s="16"/>
      <c r="K18" s="16"/>
      <c r="L18" s="16"/>
      <c r="M18" s="16"/>
      <c r="N18" s="16"/>
      <c r="O18" s="16"/>
      <c r="P18" s="16"/>
      <c r="Q18" s="16"/>
      <c r="R18" s="16"/>
      <c r="S18" s="63">
        <f t="shared" si="2"/>
        <v>1.755</v>
      </c>
      <c r="T18" s="16"/>
      <c r="U18" s="16">
        <f t="shared" si="3"/>
        <v>90.8</v>
      </c>
      <c r="V18" s="16">
        <f t="shared" si="4"/>
        <v>3509.28</v>
      </c>
      <c r="W18" s="16">
        <f t="shared" si="4"/>
        <v>3509.28</v>
      </c>
      <c r="X18" s="16"/>
      <c r="Y18" s="16"/>
      <c r="Z18" s="16"/>
      <c r="AA18" s="16"/>
      <c r="AB18" s="16"/>
      <c r="AC18" s="16"/>
      <c r="AD18" s="16"/>
      <c r="AE18" s="16"/>
      <c r="AF18" s="78"/>
      <c r="AG18" s="79"/>
    </row>
    <row r="19" spans="1:33" s="5" customFormat="1" ht="21.75" customHeight="1">
      <c r="A19" s="12">
        <f t="shared" si="0"/>
        <v>7</v>
      </c>
      <c r="B19" s="13">
        <f>C18</f>
        <v>40459.11</v>
      </c>
      <c r="C19" s="14">
        <v>42516.12</v>
      </c>
      <c r="D19" s="15" t="s">
        <v>25</v>
      </c>
      <c r="E19" s="16">
        <f t="shared" si="1"/>
        <v>2057.010000000002</v>
      </c>
      <c r="F19" s="17">
        <v>48</v>
      </c>
      <c r="G19" s="18"/>
      <c r="H19" s="16"/>
      <c r="I19" s="16">
        <f>IF($G19=0,ROUND($E19*$F19,2),ROUND($E19*$F19*$G19,2))</f>
        <v>98736.48</v>
      </c>
      <c r="J19" s="16"/>
      <c r="K19" s="16"/>
      <c r="L19" s="16"/>
      <c r="M19" s="16"/>
      <c r="N19" s="16"/>
      <c r="O19" s="16"/>
      <c r="P19" s="16"/>
      <c r="Q19" s="16"/>
      <c r="R19" s="16"/>
      <c r="S19" s="63">
        <f t="shared" si="2"/>
        <v>5.485</v>
      </c>
      <c r="T19" s="16"/>
      <c r="U19" s="16">
        <f t="shared" si="3"/>
        <v>283.87</v>
      </c>
      <c r="V19" s="16">
        <f t="shared" si="4"/>
        <v>10970.72</v>
      </c>
      <c r="W19" s="16">
        <f t="shared" si="4"/>
        <v>10970.72</v>
      </c>
      <c r="X19" s="16"/>
      <c r="Y19" s="16"/>
      <c r="Z19" s="16"/>
      <c r="AA19" s="16"/>
      <c r="AB19" s="16"/>
      <c r="AC19" s="16"/>
      <c r="AD19" s="16"/>
      <c r="AE19" s="16"/>
      <c r="AF19" s="78"/>
      <c r="AG19" s="79"/>
    </row>
    <row r="20" spans="1:33" s="5" customFormat="1" ht="21.75" customHeight="1">
      <c r="A20" s="12">
        <f t="shared" si="0"/>
        <v>8</v>
      </c>
      <c r="B20" s="13">
        <f>C19</f>
        <v>42516.12</v>
      </c>
      <c r="C20" s="14">
        <v>42541.12</v>
      </c>
      <c r="D20" s="15" t="s">
        <v>25</v>
      </c>
      <c r="E20" s="16">
        <f t="shared" si="1"/>
        <v>25</v>
      </c>
      <c r="F20" s="17">
        <v>48</v>
      </c>
      <c r="G20" s="15"/>
      <c r="H20" s="16"/>
      <c r="I20" s="16">
        <f>IF($G20=0,ROUND($E20*$F20,2),ROUND($E20*$F20*$G20,2))</f>
        <v>1200</v>
      </c>
      <c r="J20" s="16"/>
      <c r="K20" s="16"/>
      <c r="L20" s="16"/>
      <c r="M20" s="16"/>
      <c r="N20" s="16"/>
      <c r="O20" s="16"/>
      <c r="P20" s="16"/>
      <c r="Q20" s="16"/>
      <c r="R20" s="16"/>
      <c r="S20" s="63">
        <f t="shared" si="2"/>
        <v>0.067</v>
      </c>
      <c r="T20" s="16"/>
      <c r="U20" s="16">
        <f t="shared" si="3"/>
        <v>3.45</v>
      </c>
      <c r="V20" s="16">
        <f t="shared" si="4"/>
        <v>133.33</v>
      </c>
      <c r="W20" s="16">
        <f t="shared" si="4"/>
        <v>133.33</v>
      </c>
      <c r="X20" s="16"/>
      <c r="Y20" s="16"/>
      <c r="Z20" s="16"/>
      <c r="AA20" s="16"/>
      <c r="AB20" s="16"/>
      <c r="AC20" s="16"/>
      <c r="AD20" s="16"/>
      <c r="AE20" s="16"/>
      <c r="AF20" s="78"/>
      <c r="AG20" s="79"/>
    </row>
    <row r="21" spans="1:33" s="5" customFormat="1" ht="21.75" customHeight="1">
      <c r="A21" s="12">
        <f t="shared" si="0"/>
        <v>9</v>
      </c>
      <c r="B21" s="13"/>
      <c r="C21" s="14"/>
      <c r="D21" s="15"/>
      <c r="E21" s="16"/>
      <c r="F21" s="17"/>
      <c r="G21" s="18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63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78"/>
      <c r="AG21" s="79"/>
    </row>
    <row r="22" spans="1:33" s="5" customFormat="1" ht="21.75" customHeight="1">
      <c r="A22" s="12">
        <f t="shared" si="0"/>
        <v>10</v>
      </c>
      <c r="B22" s="13">
        <v>42696.69</v>
      </c>
      <c r="C22" s="14">
        <v>42721.69</v>
      </c>
      <c r="D22" s="15" t="s">
        <v>25</v>
      </c>
      <c r="E22" s="16">
        <f t="shared" si="1"/>
        <v>25</v>
      </c>
      <c r="F22" s="17">
        <v>48</v>
      </c>
      <c r="G22" s="18"/>
      <c r="H22" s="16"/>
      <c r="I22" s="16">
        <f>IF(G22=0,ROUND($E22*$F22,2),ROUND($E22*$F22*$G22,2))</f>
        <v>1200</v>
      </c>
      <c r="J22" s="16"/>
      <c r="K22" s="16"/>
      <c r="L22" s="16"/>
      <c r="M22" s="16"/>
      <c r="N22" s="16"/>
      <c r="O22" s="16"/>
      <c r="P22" s="16"/>
      <c r="Q22" s="16"/>
      <c r="R22" s="16"/>
      <c r="S22" s="63">
        <f t="shared" si="2"/>
        <v>0.067</v>
      </c>
      <c r="T22" s="16"/>
      <c r="U22" s="16">
        <f t="shared" si="3"/>
        <v>3.45</v>
      </c>
      <c r="V22" s="16">
        <f t="shared" si="4"/>
        <v>133.33</v>
      </c>
      <c r="W22" s="16">
        <f t="shared" si="4"/>
        <v>133.33</v>
      </c>
      <c r="X22" s="16"/>
      <c r="Y22" s="16"/>
      <c r="Z22" s="16"/>
      <c r="AA22" s="16"/>
      <c r="AB22" s="16"/>
      <c r="AC22" s="16"/>
      <c r="AD22" s="16"/>
      <c r="AE22" s="16"/>
      <c r="AF22" s="78"/>
      <c r="AG22" s="79"/>
    </row>
    <row r="23" spans="1:33" s="5" customFormat="1" ht="21.75" customHeight="1">
      <c r="A23" s="12">
        <f t="shared" si="0"/>
        <v>11</v>
      </c>
      <c r="B23" s="13">
        <f>C22</f>
        <v>42721.69</v>
      </c>
      <c r="C23" s="14">
        <v>42841.24</v>
      </c>
      <c r="D23" s="15" t="s">
        <v>25</v>
      </c>
      <c r="E23" s="16">
        <f t="shared" si="1"/>
        <v>119.54999999999563</v>
      </c>
      <c r="F23" s="17">
        <v>48</v>
      </c>
      <c r="G23" s="18"/>
      <c r="H23" s="16"/>
      <c r="I23" s="16">
        <f>IF(G23=0,ROUND($E23*$F23,2),ROUND($E23*$F23*$G23,2))</f>
        <v>5738.4</v>
      </c>
      <c r="J23" s="16"/>
      <c r="K23" s="16"/>
      <c r="L23" s="16"/>
      <c r="M23" s="16"/>
      <c r="N23" s="16"/>
      <c r="O23" s="16"/>
      <c r="P23" s="16"/>
      <c r="Q23" s="16"/>
      <c r="R23" s="16"/>
      <c r="S23" s="63">
        <f t="shared" si="2"/>
        <v>0.319</v>
      </c>
      <c r="T23" s="16"/>
      <c r="U23" s="16">
        <f t="shared" si="3"/>
        <v>16.5</v>
      </c>
      <c r="V23" s="16">
        <f t="shared" si="4"/>
        <v>637.6</v>
      </c>
      <c r="W23" s="16">
        <f t="shared" si="4"/>
        <v>637.6</v>
      </c>
      <c r="X23" s="16"/>
      <c r="Y23" s="16"/>
      <c r="Z23" s="16"/>
      <c r="AA23" s="16"/>
      <c r="AB23" s="16"/>
      <c r="AC23" s="16"/>
      <c r="AD23" s="16"/>
      <c r="AE23" s="16"/>
      <c r="AF23" s="78"/>
      <c r="AG23" s="79"/>
    </row>
    <row r="24" spans="1:33" s="5" customFormat="1" ht="21.75" customHeight="1">
      <c r="A24" s="12">
        <f t="shared" si="0"/>
        <v>12</v>
      </c>
      <c r="B24" s="13">
        <f>C23</f>
        <v>42841.24</v>
      </c>
      <c r="C24" s="14">
        <v>42909.29</v>
      </c>
      <c r="D24" s="15" t="s">
        <v>25</v>
      </c>
      <c r="E24" s="16">
        <f t="shared" si="1"/>
        <v>68.05000000000291</v>
      </c>
      <c r="F24" s="17">
        <v>48</v>
      </c>
      <c r="G24" s="18">
        <f>ROUND((14228.562-12-($F24/2))/14228.562,4)</f>
        <v>0.9975</v>
      </c>
      <c r="H24" s="16"/>
      <c r="I24" s="16">
        <f>IF(G24=0,ROUND($E24*$F24,2),ROUND($E24*$F24*$G24,2))</f>
        <v>3258.23</v>
      </c>
      <c r="J24" s="16"/>
      <c r="K24" s="16"/>
      <c r="L24" s="16"/>
      <c r="M24" s="16"/>
      <c r="N24" s="16"/>
      <c r="O24" s="16"/>
      <c r="P24" s="16"/>
      <c r="Q24" s="16"/>
      <c r="R24" s="16"/>
      <c r="S24" s="63">
        <f t="shared" si="2"/>
        <v>0.181</v>
      </c>
      <c r="T24" s="16"/>
      <c r="U24" s="16">
        <f t="shared" si="3"/>
        <v>9.37</v>
      </c>
      <c r="V24" s="16">
        <f t="shared" si="4"/>
        <v>362.03</v>
      </c>
      <c r="W24" s="16">
        <f t="shared" si="4"/>
        <v>362.03</v>
      </c>
      <c r="X24" s="16"/>
      <c r="Y24" s="16"/>
      <c r="Z24" s="16"/>
      <c r="AA24" s="16"/>
      <c r="AB24" s="16"/>
      <c r="AC24" s="16"/>
      <c r="AD24" s="16"/>
      <c r="AE24" s="16"/>
      <c r="AF24" s="78"/>
      <c r="AG24" s="79"/>
    </row>
    <row r="25" spans="1:33" s="5" customFormat="1" ht="21.75" customHeight="1">
      <c r="A25" s="12">
        <f t="shared" si="0"/>
        <v>13</v>
      </c>
      <c r="B25" s="13"/>
      <c r="C25" s="14"/>
      <c r="D25" s="15"/>
      <c r="E25" s="16"/>
      <c r="F25" s="17"/>
      <c r="G25" s="1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63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78"/>
      <c r="AG25" s="79"/>
    </row>
    <row r="26" spans="1:33" s="5" customFormat="1" ht="21.75" customHeight="1">
      <c r="A26" s="12">
        <f t="shared" si="0"/>
        <v>14</v>
      </c>
      <c r="B26" s="13">
        <v>43124.58</v>
      </c>
      <c r="C26" s="14">
        <v>43150</v>
      </c>
      <c r="D26" s="15" t="s">
        <v>25</v>
      </c>
      <c r="E26" s="16">
        <f>C26-B26</f>
        <v>25.419999999998254</v>
      </c>
      <c r="F26" s="17">
        <v>48</v>
      </c>
      <c r="G26" s="18">
        <f>ROUND((14228.562-12-($F26/2))/14228.562,4)</f>
        <v>0.9975</v>
      </c>
      <c r="H26" s="16"/>
      <c r="I26" s="16">
        <f>IF(G26=0,ROUND($E26*$F26,2),ROUND($E26*$F26*$G26,2))</f>
        <v>1217.11</v>
      </c>
      <c r="J26" s="16"/>
      <c r="K26" s="16"/>
      <c r="L26" s="16"/>
      <c r="M26" s="16"/>
      <c r="N26" s="16"/>
      <c r="O26" s="16"/>
      <c r="P26" s="16"/>
      <c r="Q26" s="16"/>
      <c r="R26" s="16"/>
      <c r="S26" s="63">
        <f t="shared" si="2"/>
        <v>0.068</v>
      </c>
      <c r="T26" s="16"/>
      <c r="U26" s="16">
        <f t="shared" si="3"/>
        <v>3.5</v>
      </c>
      <c r="V26" s="16">
        <f t="shared" si="4"/>
        <v>135.23</v>
      </c>
      <c r="W26" s="16">
        <f t="shared" si="4"/>
        <v>135.23</v>
      </c>
      <c r="X26" s="16"/>
      <c r="Y26" s="16"/>
      <c r="Z26" s="16"/>
      <c r="AA26" s="16"/>
      <c r="AB26" s="16"/>
      <c r="AC26" s="16"/>
      <c r="AD26" s="16"/>
      <c r="AE26" s="16"/>
      <c r="AF26" s="78"/>
      <c r="AG26" s="79"/>
    </row>
    <row r="27" spans="1:33" s="5" customFormat="1" ht="21.75" customHeight="1">
      <c r="A27" s="12">
        <f t="shared" si="0"/>
        <v>15</v>
      </c>
      <c r="B27" s="13">
        <f>C26</f>
        <v>43150</v>
      </c>
      <c r="C27" s="14">
        <v>43990</v>
      </c>
      <c r="D27" s="15" t="s">
        <v>25</v>
      </c>
      <c r="E27" s="16">
        <f>C27-B27</f>
        <v>840</v>
      </c>
      <c r="F27" s="17">
        <f>ROUND(AVERAGE(48,60),2)</f>
        <v>54</v>
      </c>
      <c r="G27" s="18">
        <f>ROUND((14228.562-12-($F27/2))/14228.562,4)</f>
        <v>0.9973</v>
      </c>
      <c r="H27" s="16"/>
      <c r="I27" s="16">
        <f>IF(G27=0,ROUND($E27*$F27,2),ROUND($E27*$F27*$G27,2))</f>
        <v>45237.53</v>
      </c>
      <c r="J27" s="16"/>
      <c r="K27" s="16"/>
      <c r="L27" s="16"/>
      <c r="M27" s="16"/>
      <c r="N27" s="16"/>
      <c r="O27" s="16"/>
      <c r="P27" s="16"/>
      <c r="Q27" s="16"/>
      <c r="R27" s="16"/>
      <c r="S27" s="63">
        <f t="shared" si="2"/>
        <v>2.513</v>
      </c>
      <c r="T27" s="16"/>
      <c r="U27" s="16">
        <f t="shared" si="3"/>
        <v>130.06</v>
      </c>
      <c r="V27" s="16">
        <f t="shared" si="4"/>
        <v>5026.39</v>
      </c>
      <c r="W27" s="16">
        <f t="shared" si="4"/>
        <v>5026.39</v>
      </c>
      <c r="X27" s="16"/>
      <c r="Y27" s="16"/>
      <c r="Z27" s="16"/>
      <c r="AA27" s="16"/>
      <c r="AB27" s="16"/>
      <c r="AC27" s="16"/>
      <c r="AD27" s="16"/>
      <c r="AE27" s="16"/>
      <c r="AF27" s="78"/>
      <c r="AG27" s="79"/>
    </row>
    <row r="28" spans="1:33" s="5" customFormat="1" ht="21.75" customHeight="1">
      <c r="A28" s="12">
        <f t="shared" si="0"/>
        <v>16</v>
      </c>
      <c r="B28" s="13">
        <f>C27</f>
        <v>43990</v>
      </c>
      <c r="C28" s="14">
        <v>44823.91</v>
      </c>
      <c r="D28" s="15" t="s">
        <v>25</v>
      </c>
      <c r="E28" s="16">
        <f>C28-B28</f>
        <v>833.9100000000035</v>
      </c>
      <c r="F28" s="17">
        <v>60</v>
      </c>
      <c r="G28" s="18">
        <f>ROUND((14228.562-12-($F28/2))/14228.562,4)</f>
        <v>0.997</v>
      </c>
      <c r="H28" s="16"/>
      <c r="I28" s="16">
        <f>IF(G28=0,ROUND($E28*$F28,2),ROUND($E28*$F28*$G28,2))</f>
        <v>49884.5</v>
      </c>
      <c r="J28" s="16"/>
      <c r="K28" s="16"/>
      <c r="L28" s="16"/>
      <c r="M28" s="16"/>
      <c r="N28" s="16"/>
      <c r="O28" s="16"/>
      <c r="P28" s="16"/>
      <c r="Q28" s="16"/>
      <c r="R28" s="16"/>
      <c r="S28" s="63">
        <f t="shared" si="2"/>
        <v>2.771</v>
      </c>
      <c r="T28" s="16"/>
      <c r="U28" s="16">
        <f t="shared" si="3"/>
        <v>143.42</v>
      </c>
      <c r="V28" s="16">
        <f t="shared" si="4"/>
        <v>5542.72</v>
      </c>
      <c r="W28" s="16">
        <f t="shared" si="4"/>
        <v>5542.72</v>
      </c>
      <c r="X28" s="16"/>
      <c r="Y28" s="16"/>
      <c r="Z28" s="16"/>
      <c r="AA28" s="16"/>
      <c r="AB28" s="16"/>
      <c r="AC28" s="16"/>
      <c r="AD28" s="16"/>
      <c r="AE28" s="16"/>
      <c r="AF28" s="78"/>
      <c r="AG28" s="79"/>
    </row>
    <row r="29" spans="1:33" s="5" customFormat="1" ht="21.75" customHeight="1">
      <c r="A29" s="12">
        <f t="shared" si="0"/>
        <v>17</v>
      </c>
      <c r="B29" s="13">
        <f>C28</f>
        <v>44823.91</v>
      </c>
      <c r="C29" s="14">
        <v>46946.33</v>
      </c>
      <c r="D29" s="15" t="s">
        <v>25</v>
      </c>
      <c r="E29" s="16">
        <f>C29-B29</f>
        <v>2122.4199999999983</v>
      </c>
      <c r="F29" s="17">
        <v>60</v>
      </c>
      <c r="G29" s="18"/>
      <c r="H29" s="16"/>
      <c r="I29" s="16">
        <f>IF(G29=0,ROUND($E29*$F29,2),ROUND($E29*$F29*$G29,2))</f>
        <v>127345.2</v>
      </c>
      <c r="J29" s="16"/>
      <c r="K29" s="16"/>
      <c r="L29" s="16"/>
      <c r="M29" s="16"/>
      <c r="N29" s="16"/>
      <c r="O29" s="16"/>
      <c r="P29" s="16"/>
      <c r="Q29" s="16"/>
      <c r="R29" s="16"/>
      <c r="S29" s="63">
        <f t="shared" si="2"/>
        <v>7.075</v>
      </c>
      <c r="T29" s="16"/>
      <c r="U29" s="16">
        <f t="shared" si="3"/>
        <v>366.12</v>
      </c>
      <c r="V29" s="16">
        <f t="shared" si="4"/>
        <v>14149.47</v>
      </c>
      <c r="W29" s="16">
        <f t="shared" si="4"/>
        <v>14149.47</v>
      </c>
      <c r="X29" s="16"/>
      <c r="Y29" s="16"/>
      <c r="Z29" s="16"/>
      <c r="AA29" s="16"/>
      <c r="AB29" s="16"/>
      <c r="AC29" s="16"/>
      <c r="AD29" s="16"/>
      <c r="AE29" s="16"/>
      <c r="AF29" s="78"/>
      <c r="AG29" s="79"/>
    </row>
    <row r="30" spans="1:33" s="5" customFormat="1" ht="21.75" customHeight="1">
      <c r="A30" s="12">
        <f t="shared" si="0"/>
        <v>18</v>
      </c>
      <c r="B30" s="13"/>
      <c r="C30" s="14"/>
      <c r="D30" s="15"/>
      <c r="E30" s="16"/>
      <c r="F30" s="17"/>
      <c r="G30" s="1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63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78"/>
      <c r="AG30" s="79"/>
    </row>
    <row r="31" spans="1:33" s="5" customFormat="1" ht="21.75" customHeight="1">
      <c r="A31" s="12">
        <f t="shared" si="0"/>
        <v>19</v>
      </c>
      <c r="B31" s="19" t="s">
        <v>27</v>
      </c>
      <c r="C31" s="14"/>
      <c r="D31" s="15"/>
      <c r="E31" s="16"/>
      <c r="F31" s="17"/>
      <c r="G31" s="1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63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78"/>
      <c r="AG31" s="79"/>
    </row>
    <row r="32" spans="1:33" s="5" customFormat="1" ht="21.75" customHeight="1">
      <c r="A32" s="12">
        <f t="shared" si="0"/>
        <v>20</v>
      </c>
      <c r="B32" s="14">
        <v>39137.36</v>
      </c>
      <c r="C32" s="39">
        <v>39200</v>
      </c>
      <c r="D32" s="15" t="s">
        <v>32</v>
      </c>
      <c r="E32" s="16">
        <f>C32-B32</f>
        <v>62.63999999999942</v>
      </c>
      <c r="F32" s="17">
        <f>ROUND(AVERAGE(12.285,10),2)</f>
        <v>11.14</v>
      </c>
      <c r="G32" s="18">
        <f>ROUND((21630.9102-((17.554+18)/2)-((48.586+48)/2)-($F32/2))/21630.9102,4)</f>
        <v>0.9967</v>
      </c>
      <c r="H32" s="18">
        <f>ROUND((21630.9102-((17.554+18)/2)-((48.586+48)/2)-($F32))/21630.9102,4)</f>
        <v>0.9964</v>
      </c>
      <c r="I32" s="16">
        <f>IF(G32=0,ROUND($E32*$F32,2),ROUND($E32*$F32*$G32,2))</f>
        <v>695.51</v>
      </c>
      <c r="J32" s="16"/>
      <c r="K32" s="16"/>
      <c r="L32" s="16"/>
      <c r="M32" s="16"/>
      <c r="N32" s="16"/>
      <c r="O32" s="16">
        <f>IF($H32=0,ROUND($E32*(O$72/12),2),ROUND($E32*(O$72/12)*$H32,2))</f>
        <v>93.62</v>
      </c>
      <c r="P32" s="16"/>
      <c r="Q32" s="16"/>
      <c r="R32" s="16"/>
      <c r="S32" s="63">
        <f t="shared" si="2"/>
        <v>0.044</v>
      </c>
      <c r="T32" s="16"/>
      <c r="U32" s="16">
        <f t="shared" si="3"/>
        <v>2.27</v>
      </c>
      <c r="V32" s="16">
        <f>ROUND((($I32+$J32+$O32+$P32+$Q32)/9),2)</f>
        <v>87.68</v>
      </c>
      <c r="W32" s="16">
        <f>ROUND((($I32+$J32+$O32+$P32+$Q32)/9),2)</f>
        <v>87.68</v>
      </c>
      <c r="X32" s="16"/>
      <c r="Y32" s="16"/>
      <c r="Z32" s="16"/>
      <c r="AA32" s="16"/>
      <c r="AB32" s="16"/>
      <c r="AC32" s="16"/>
      <c r="AD32" s="16"/>
      <c r="AE32" s="16"/>
      <c r="AF32" s="78"/>
      <c r="AG32" s="79"/>
    </row>
    <row r="33" spans="1:33" s="5" customFormat="1" ht="21.75" customHeight="1">
      <c r="A33" s="12">
        <f t="shared" si="0"/>
        <v>21</v>
      </c>
      <c r="B33" s="14">
        <f>C32</f>
        <v>39200</v>
      </c>
      <c r="C33" s="39">
        <v>39385</v>
      </c>
      <c r="D33" s="15" t="s">
        <v>32</v>
      </c>
      <c r="E33" s="16">
        <f>C33-B33</f>
        <v>185</v>
      </c>
      <c r="F33" s="17">
        <v>10</v>
      </c>
      <c r="G33" s="18">
        <f>ROUND((21630.9102-((16.15+18)/2)-48-($F33/2))/21630.9102,4)</f>
        <v>0.9968</v>
      </c>
      <c r="H33" s="18">
        <f>ROUND((21630.9102-((16.15+18)/2)-48-($F33))/21630.9102,4)</f>
        <v>0.9965</v>
      </c>
      <c r="I33" s="16">
        <f>IF(G33=0,ROUND($E33*$F33,2),ROUND($E33*$F33*$G33,2))</f>
        <v>1844.08</v>
      </c>
      <c r="J33" s="16"/>
      <c r="K33" s="16"/>
      <c r="L33" s="16"/>
      <c r="M33" s="16"/>
      <c r="N33" s="16"/>
      <c r="O33" s="16">
        <f>IF($H33=0,ROUND($E33*(O$72/12),2),ROUND($E33*(O$72/12)*$H33,2))</f>
        <v>276.53</v>
      </c>
      <c r="P33" s="16"/>
      <c r="Q33" s="16"/>
      <c r="R33" s="16"/>
      <c r="S33" s="63">
        <f t="shared" si="2"/>
        <v>0.118</v>
      </c>
      <c r="T33" s="16"/>
      <c r="U33" s="16">
        <f t="shared" si="3"/>
        <v>6.1</v>
      </c>
      <c r="V33" s="16">
        <f aca="true" t="shared" si="5" ref="V33:W56">ROUND((($I33+$J33+$O33+$P33+$Q33)/9),2)</f>
        <v>235.62</v>
      </c>
      <c r="W33" s="16">
        <f t="shared" si="5"/>
        <v>235.62</v>
      </c>
      <c r="X33" s="16"/>
      <c r="Y33" s="16"/>
      <c r="Z33" s="16"/>
      <c r="AA33" s="16"/>
      <c r="AB33" s="16"/>
      <c r="AC33" s="16"/>
      <c r="AD33" s="16"/>
      <c r="AE33" s="16"/>
      <c r="AF33" s="78"/>
      <c r="AG33" s="79"/>
    </row>
    <row r="34" spans="1:33" s="5" customFormat="1" ht="21.75" customHeight="1">
      <c r="A34" s="12">
        <f t="shared" si="0"/>
        <v>22</v>
      </c>
      <c r="B34" s="14">
        <f>C33</f>
        <v>39385</v>
      </c>
      <c r="C34" s="39">
        <v>39454.3</v>
      </c>
      <c r="D34" s="15" t="s">
        <v>32</v>
      </c>
      <c r="E34" s="16">
        <f>C34-B34</f>
        <v>69.30000000000291</v>
      </c>
      <c r="F34" s="17">
        <v>10</v>
      </c>
      <c r="G34" s="18">
        <f>ROUND((21630.9102-((16.15+15.457)/2)-48-($F34/2))/21630.9102,4)</f>
        <v>0.9968</v>
      </c>
      <c r="H34" s="18">
        <f>ROUND((21630.9102-((16.15+15.457)/2)-48-($F34))/21630.9102,4)</f>
        <v>0.9966</v>
      </c>
      <c r="I34" s="16">
        <f>IF(G34=0,ROUND($E34*$F34,2),ROUND($E34*$F34*$G34,2))</f>
        <v>690.78</v>
      </c>
      <c r="J34" s="16"/>
      <c r="K34" s="16"/>
      <c r="L34" s="16"/>
      <c r="M34" s="16"/>
      <c r="N34" s="16"/>
      <c r="O34" s="16"/>
      <c r="P34" s="16">
        <f>IF($H34=0,ROUND($E34*(P$72/12),2),ROUND($E34*(P$72/12)*$H34,2))</f>
        <v>115.11</v>
      </c>
      <c r="Q34" s="16">
        <f>IF($H34=0,ROUND($E34*(Q$72/12),2),ROUND($E34*(Q$72/12)*$H34,2))</f>
        <v>126.62</v>
      </c>
      <c r="R34" s="16"/>
      <c r="S34" s="63">
        <f t="shared" si="2"/>
        <v>0.052</v>
      </c>
      <c r="T34" s="16"/>
      <c r="U34" s="16">
        <f t="shared" si="3"/>
        <v>2.68</v>
      </c>
      <c r="V34" s="16">
        <f t="shared" si="5"/>
        <v>103.61</v>
      </c>
      <c r="W34" s="16">
        <f t="shared" si="5"/>
        <v>103.61</v>
      </c>
      <c r="X34" s="16"/>
      <c r="Y34" s="16"/>
      <c r="Z34" s="16"/>
      <c r="AA34" s="16"/>
      <c r="AB34" s="16"/>
      <c r="AC34" s="16"/>
      <c r="AD34" s="16"/>
      <c r="AE34" s="16"/>
      <c r="AF34" s="78"/>
      <c r="AG34" s="79"/>
    </row>
    <row r="35" spans="1:33" s="5" customFormat="1" ht="21.75" customHeight="1">
      <c r="A35" s="12">
        <f t="shared" si="0"/>
        <v>23</v>
      </c>
      <c r="B35" s="13">
        <f>C34</f>
        <v>39454.3</v>
      </c>
      <c r="C35" s="14">
        <v>39472.51</v>
      </c>
      <c r="D35" s="15" t="s">
        <v>32</v>
      </c>
      <c r="E35" s="16">
        <f aca="true" t="shared" si="6" ref="E35:E50">C35-B35</f>
        <v>18.209999999999127</v>
      </c>
      <c r="F35" s="17">
        <v>10</v>
      </c>
      <c r="G35" s="18">
        <f>ROUND((21630.9102-((15.275+15.457)/2)-48-($F35/2))/21630.9102,4)</f>
        <v>0.9968</v>
      </c>
      <c r="H35" s="18">
        <f>ROUND((21630.9102-((15.275+15.457)/2)-48-($F35))/21630.9102,4)</f>
        <v>0.9966</v>
      </c>
      <c r="I35" s="16">
        <f>IF(G35=0,ROUND($E35*$F35,2),ROUND($E35*$F35*$G35,2))</f>
        <v>181.52</v>
      </c>
      <c r="J35" s="16"/>
      <c r="K35" s="16"/>
      <c r="L35" s="16"/>
      <c r="M35" s="16"/>
      <c r="N35" s="16"/>
      <c r="O35" s="16">
        <f aca="true" t="shared" si="7" ref="O35:O40">IF($H35=0,ROUND($E35*(O$72/12),2),ROUND($E35*(O$72/12)*$H35,2))</f>
        <v>27.22</v>
      </c>
      <c r="P35" s="16"/>
      <c r="Q35" s="16"/>
      <c r="R35" s="16"/>
      <c r="S35" s="63">
        <f t="shared" si="2"/>
        <v>0.012</v>
      </c>
      <c r="T35" s="16"/>
      <c r="U35" s="16">
        <f t="shared" si="3"/>
        <v>0.6</v>
      </c>
      <c r="V35" s="16">
        <f t="shared" si="5"/>
        <v>23.19</v>
      </c>
      <c r="W35" s="16">
        <f t="shared" si="5"/>
        <v>23.19</v>
      </c>
      <c r="X35" s="16"/>
      <c r="Y35" s="16"/>
      <c r="Z35" s="16"/>
      <c r="AA35" s="16"/>
      <c r="AB35" s="16"/>
      <c r="AC35" s="16"/>
      <c r="AD35" s="16"/>
      <c r="AE35" s="16"/>
      <c r="AF35" s="78"/>
      <c r="AG35" s="79"/>
    </row>
    <row r="36" spans="1:33" s="5" customFormat="1" ht="21.75" customHeight="1">
      <c r="A36" s="12">
        <f t="shared" si="0"/>
        <v>24</v>
      </c>
      <c r="B36" s="13">
        <f>C35</f>
        <v>39472.51</v>
      </c>
      <c r="C36" s="14">
        <v>39800</v>
      </c>
      <c r="D36" s="15" t="s">
        <v>32</v>
      </c>
      <c r="E36" s="16">
        <f t="shared" si="6"/>
        <v>327.48999999999796</v>
      </c>
      <c r="F36" s="17">
        <v>10</v>
      </c>
      <c r="G36" s="18">
        <f>ROUND((21630.9102-((15.275+12)/2)-48-($F36/2))/21630.9102,4)</f>
        <v>0.9969</v>
      </c>
      <c r="H36" s="18">
        <f>ROUND((21630.9102-((15.275+12)/2)-48-($F36))/21630.9102,4)</f>
        <v>0.9967</v>
      </c>
      <c r="I36" s="16">
        <f>IF(G36=0,ROUND($E36*$F36,2),ROUND($E36*$F36*$G36,2))</f>
        <v>3264.75</v>
      </c>
      <c r="J36" s="16"/>
      <c r="K36" s="16"/>
      <c r="L36" s="16"/>
      <c r="M36" s="16"/>
      <c r="N36" s="16"/>
      <c r="O36" s="16">
        <f t="shared" si="7"/>
        <v>489.61</v>
      </c>
      <c r="P36" s="16"/>
      <c r="Q36" s="16"/>
      <c r="R36" s="16"/>
      <c r="S36" s="63">
        <f t="shared" si="2"/>
        <v>0.209</v>
      </c>
      <c r="T36" s="16"/>
      <c r="U36" s="16">
        <f t="shared" si="3"/>
        <v>10.79</v>
      </c>
      <c r="V36" s="16">
        <f t="shared" si="5"/>
        <v>417.15</v>
      </c>
      <c r="W36" s="16">
        <f t="shared" si="5"/>
        <v>417.15</v>
      </c>
      <c r="X36" s="16"/>
      <c r="Y36" s="16"/>
      <c r="Z36" s="16"/>
      <c r="AA36" s="16"/>
      <c r="AB36" s="16"/>
      <c r="AC36" s="16"/>
      <c r="AD36" s="16"/>
      <c r="AE36" s="16"/>
      <c r="AF36" s="78"/>
      <c r="AG36" s="79"/>
    </row>
    <row r="37" spans="1:33" s="5" customFormat="1" ht="21.75" customHeight="1">
      <c r="A37" s="12">
        <f t="shared" si="0"/>
        <v>25</v>
      </c>
      <c r="B37" s="13">
        <f aca="true" t="shared" si="8" ref="B37:B47">C36</f>
        <v>39800</v>
      </c>
      <c r="C37" s="14">
        <v>40459.11</v>
      </c>
      <c r="D37" s="15" t="s">
        <v>32</v>
      </c>
      <c r="E37" s="16">
        <f t="shared" si="6"/>
        <v>659.1100000000006</v>
      </c>
      <c r="F37" s="23">
        <v>10</v>
      </c>
      <c r="G37" s="18">
        <f>ROUND((21630.9102-12-48-($F37/2))/21630.9102,4)</f>
        <v>0.997</v>
      </c>
      <c r="H37" s="18">
        <f>ROUND((21630.9102-12-48-($F37))/21630.9102,4)</f>
        <v>0.9968</v>
      </c>
      <c r="I37" s="16">
        <f aca="true" t="shared" si="9" ref="I37:I53">IF(G37=0,ROUND($E37*$F37,2),ROUND($E37*$F37*$G37,2))</f>
        <v>6571.33</v>
      </c>
      <c r="J37" s="16"/>
      <c r="K37" s="16"/>
      <c r="L37" s="16"/>
      <c r="M37" s="16"/>
      <c r="N37" s="16"/>
      <c r="O37" s="16">
        <f t="shared" si="7"/>
        <v>985.5</v>
      </c>
      <c r="P37" s="16"/>
      <c r="Q37" s="16"/>
      <c r="R37" s="16"/>
      <c r="S37" s="63">
        <f t="shared" si="2"/>
        <v>0.42</v>
      </c>
      <c r="T37" s="16"/>
      <c r="U37" s="16">
        <f t="shared" si="3"/>
        <v>21.73</v>
      </c>
      <c r="V37" s="16">
        <f t="shared" si="5"/>
        <v>839.65</v>
      </c>
      <c r="W37" s="16">
        <f t="shared" si="5"/>
        <v>839.65</v>
      </c>
      <c r="X37" s="16"/>
      <c r="Y37" s="16"/>
      <c r="Z37" s="16"/>
      <c r="AA37" s="16"/>
      <c r="AB37" s="16"/>
      <c r="AC37" s="16"/>
      <c r="AD37" s="16"/>
      <c r="AE37" s="16"/>
      <c r="AF37" s="78"/>
      <c r="AG37" s="79"/>
    </row>
    <row r="38" spans="1:33" s="5" customFormat="1" ht="21.75" customHeight="1">
      <c r="A38" s="12">
        <f t="shared" si="0"/>
        <v>26</v>
      </c>
      <c r="B38" s="13">
        <f t="shared" si="8"/>
        <v>40459.11</v>
      </c>
      <c r="C38" s="14">
        <v>42355</v>
      </c>
      <c r="D38" s="15" t="s">
        <v>32</v>
      </c>
      <c r="E38" s="16">
        <f t="shared" si="6"/>
        <v>1895.8899999999994</v>
      </c>
      <c r="F38" s="23">
        <v>10</v>
      </c>
      <c r="G38" s="18"/>
      <c r="H38" s="16"/>
      <c r="I38" s="16">
        <f t="shared" si="9"/>
        <v>18958.9</v>
      </c>
      <c r="J38" s="16"/>
      <c r="K38" s="16"/>
      <c r="L38" s="16"/>
      <c r="M38" s="16"/>
      <c r="N38" s="16"/>
      <c r="O38" s="16">
        <f t="shared" si="7"/>
        <v>2843.84</v>
      </c>
      <c r="P38" s="16"/>
      <c r="Q38" s="16"/>
      <c r="R38" s="16"/>
      <c r="S38" s="63">
        <f t="shared" si="2"/>
        <v>1.211</v>
      </c>
      <c r="T38" s="16"/>
      <c r="U38" s="16">
        <f t="shared" si="3"/>
        <v>62.68</v>
      </c>
      <c r="V38" s="16">
        <f t="shared" si="5"/>
        <v>2422.53</v>
      </c>
      <c r="W38" s="16">
        <f t="shared" si="5"/>
        <v>2422.53</v>
      </c>
      <c r="X38" s="16"/>
      <c r="Y38" s="16"/>
      <c r="Z38" s="16"/>
      <c r="AA38" s="16"/>
      <c r="AB38" s="16"/>
      <c r="AC38" s="16"/>
      <c r="AD38" s="16"/>
      <c r="AE38" s="16"/>
      <c r="AF38" s="78"/>
      <c r="AG38" s="79"/>
    </row>
    <row r="39" spans="1:33" s="5" customFormat="1" ht="21.75" customHeight="1">
      <c r="A39" s="12">
        <f t="shared" si="0"/>
        <v>27</v>
      </c>
      <c r="B39" s="13">
        <f t="shared" si="8"/>
        <v>42355</v>
      </c>
      <c r="C39" s="14">
        <v>42528.59</v>
      </c>
      <c r="D39" s="15" t="s">
        <v>32</v>
      </c>
      <c r="E39" s="16">
        <f t="shared" si="6"/>
        <v>173.5899999999965</v>
      </c>
      <c r="F39" s="104" t="s">
        <v>23</v>
      </c>
      <c r="G39" s="105"/>
      <c r="H39" s="105"/>
      <c r="I39" s="106"/>
      <c r="J39" s="16">
        <f>ROUND(2294.8374,2)</f>
        <v>2294.84</v>
      </c>
      <c r="K39" s="16"/>
      <c r="L39" s="16"/>
      <c r="M39" s="16"/>
      <c r="N39" s="16"/>
      <c r="O39" s="16">
        <f t="shared" si="7"/>
        <v>260.38</v>
      </c>
      <c r="P39" s="16"/>
      <c r="Q39" s="16"/>
      <c r="R39" s="16"/>
      <c r="S39" s="63">
        <f t="shared" si="2"/>
        <v>0.142</v>
      </c>
      <c r="T39" s="16"/>
      <c r="U39" s="16">
        <f t="shared" si="3"/>
        <v>7.35</v>
      </c>
      <c r="V39" s="16">
        <f t="shared" si="5"/>
        <v>283.91</v>
      </c>
      <c r="W39" s="16">
        <f t="shared" si="5"/>
        <v>283.91</v>
      </c>
      <c r="X39" s="16"/>
      <c r="Y39" s="16"/>
      <c r="Z39" s="16"/>
      <c r="AA39" s="16"/>
      <c r="AB39" s="16"/>
      <c r="AC39" s="16"/>
      <c r="AD39" s="16"/>
      <c r="AE39" s="16"/>
      <c r="AF39" s="78"/>
      <c r="AG39" s="79"/>
    </row>
    <row r="40" spans="1:33" s="5" customFormat="1" ht="21.75" customHeight="1">
      <c r="A40" s="12">
        <f t="shared" si="0"/>
        <v>28</v>
      </c>
      <c r="B40" s="13">
        <f t="shared" si="8"/>
        <v>42528.59</v>
      </c>
      <c r="C40" s="14">
        <v>42553.84</v>
      </c>
      <c r="D40" s="15" t="s">
        <v>32</v>
      </c>
      <c r="E40" s="16">
        <f t="shared" si="6"/>
        <v>25.25</v>
      </c>
      <c r="F40" s="104" t="s">
        <v>23</v>
      </c>
      <c r="G40" s="105"/>
      <c r="H40" s="105"/>
      <c r="I40" s="106"/>
      <c r="J40" s="16">
        <f>ROUND(435.8595,2)</f>
        <v>435.86</v>
      </c>
      <c r="K40" s="16"/>
      <c r="L40" s="16"/>
      <c r="M40" s="16"/>
      <c r="N40" s="16"/>
      <c r="O40" s="16">
        <f t="shared" si="7"/>
        <v>37.88</v>
      </c>
      <c r="P40" s="16"/>
      <c r="Q40" s="16"/>
      <c r="R40" s="16"/>
      <c r="S40" s="63">
        <f t="shared" si="2"/>
        <v>0.026</v>
      </c>
      <c r="T40" s="16"/>
      <c r="U40" s="16">
        <f t="shared" si="3"/>
        <v>1.36</v>
      </c>
      <c r="V40" s="16">
        <f t="shared" si="5"/>
        <v>52.64</v>
      </c>
      <c r="W40" s="16">
        <f t="shared" si="5"/>
        <v>52.64</v>
      </c>
      <c r="X40" s="16"/>
      <c r="Y40" s="16"/>
      <c r="Z40" s="16"/>
      <c r="AA40" s="16"/>
      <c r="AB40" s="16"/>
      <c r="AC40" s="16"/>
      <c r="AD40" s="16"/>
      <c r="AE40" s="16"/>
      <c r="AF40" s="78"/>
      <c r="AG40" s="79"/>
    </row>
    <row r="41" spans="1:33" s="5" customFormat="1" ht="21.75" customHeight="1">
      <c r="A41" s="12">
        <f t="shared" si="0"/>
        <v>29</v>
      </c>
      <c r="B41" s="14"/>
      <c r="C41" s="14"/>
      <c r="D41" s="15"/>
      <c r="E41" s="16"/>
      <c r="F41" s="17"/>
      <c r="G41" s="18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63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78"/>
      <c r="AG41" s="79"/>
    </row>
    <row r="42" spans="1:33" s="5" customFormat="1" ht="21.75" customHeight="1">
      <c r="A42" s="12">
        <f t="shared" si="0"/>
        <v>30</v>
      </c>
      <c r="B42" s="13">
        <v>42709.41</v>
      </c>
      <c r="C42" s="14">
        <v>42734.41</v>
      </c>
      <c r="D42" s="15" t="s">
        <v>32</v>
      </c>
      <c r="E42" s="16">
        <f t="shared" si="6"/>
        <v>25</v>
      </c>
      <c r="F42" s="104" t="s">
        <v>23</v>
      </c>
      <c r="G42" s="105"/>
      <c r="H42" s="105"/>
      <c r="I42" s="106"/>
      <c r="J42" s="16">
        <f>ROUND(444.4926,2)</f>
        <v>444.49</v>
      </c>
      <c r="K42" s="16"/>
      <c r="L42" s="16"/>
      <c r="M42" s="16"/>
      <c r="N42" s="16"/>
      <c r="O42" s="16">
        <f aca="true" t="shared" si="10" ref="O42:O55">IF($H42=0,ROUND($E42*(O$72/12),2),ROUND($E42*(O$72/12)*$H42,2))</f>
        <v>37.5</v>
      </c>
      <c r="P42" s="16"/>
      <c r="Q42" s="16"/>
      <c r="R42" s="16"/>
      <c r="S42" s="63">
        <f t="shared" si="2"/>
        <v>0.027</v>
      </c>
      <c r="T42" s="16"/>
      <c r="U42" s="16">
        <f t="shared" si="3"/>
        <v>1.39</v>
      </c>
      <c r="V42" s="16">
        <f t="shared" si="5"/>
        <v>53.55</v>
      </c>
      <c r="W42" s="16">
        <f t="shared" si="5"/>
        <v>53.55</v>
      </c>
      <c r="X42" s="16"/>
      <c r="Y42" s="16"/>
      <c r="Z42" s="16"/>
      <c r="AA42" s="16"/>
      <c r="AB42" s="16"/>
      <c r="AC42" s="16"/>
      <c r="AD42" s="16"/>
      <c r="AE42" s="16"/>
      <c r="AF42" s="78"/>
      <c r="AG42" s="79"/>
    </row>
    <row r="43" spans="1:33" s="5" customFormat="1" ht="21.75" customHeight="1">
      <c r="A43" s="12">
        <f t="shared" si="0"/>
        <v>31</v>
      </c>
      <c r="B43" s="13">
        <f t="shared" si="8"/>
        <v>42734.41</v>
      </c>
      <c r="C43" s="14">
        <v>42752.06</v>
      </c>
      <c r="D43" s="15" t="s">
        <v>32</v>
      </c>
      <c r="E43" s="16">
        <f t="shared" si="6"/>
        <v>17.64999999999418</v>
      </c>
      <c r="F43" s="104" t="s">
        <v>23</v>
      </c>
      <c r="G43" s="105"/>
      <c r="H43" s="105"/>
      <c r="I43" s="106"/>
      <c r="J43" s="16">
        <f>ROUND(361.866,2)</f>
        <v>361.87</v>
      </c>
      <c r="K43" s="16"/>
      <c r="L43" s="16"/>
      <c r="M43" s="16"/>
      <c r="N43" s="16"/>
      <c r="O43" s="16">
        <f>IF($H43=0,ROUND($E43*(O$72/12),2),ROUND($E43*(O$72/12)*$H43,2))</f>
        <v>26.47</v>
      </c>
      <c r="P43" s="16"/>
      <c r="Q43" s="16"/>
      <c r="R43" s="16"/>
      <c r="S43" s="63">
        <f t="shared" si="2"/>
        <v>0.022</v>
      </c>
      <c r="T43" s="16"/>
      <c r="U43" s="16">
        <f t="shared" si="3"/>
        <v>1.12</v>
      </c>
      <c r="V43" s="16">
        <f t="shared" si="5"/>
        <v>43.15</v>
      </c>
      <c r="W43" s="16">
        <f t="shared" si="5"/>
        <v>43.15</v>
      </c>
      <c r="X43" s="16"/>
      <c r="Y43" s="16"/>
      <c r="Z43" s="16"/>
      <c r="AA43" s="16"/>
      <c r="AB43" s="16"/>
      <c r="AC43" s="16"/>
      <c r="AD43" s="16"/>
      <c r="AE43" s="16"/>
      <c r="AF43" s="78"/>
      <c r="AG43" s="79"/>
    </row>
    <row r="44" spans="1:33" s="5" customFormat="1" ht="21.75" customHeight="1">
      <c r="A44" s="12">
        <f t="shared" si="0"/>
        <v>32</v>
      </c>
      <c r="B44" s="13">
        <f t="shared" si="8"/>
        <v>42752.06</v>
      </c>
      <c r="C44" s="14">
        <v>42760</v>
      </c>
      <c r="D44" s="15" t="s">
        <v>32</v>
      </c>
      <c r="E44" s="16">
        <f t="shared" si="6"/>
        <v>7.940000000002328</v>
      </c>
      <c r="F44" s="23">
        <v>17.78</v>
      </c>
      <c r="G44" s="18"/>
      <c r="H44" s="16"/>
      <c r="I44" s="16">
        <f t="shared" si="9"/>
        <v>141.17</v>
      </c>
      <c r="J44" s="16"/>
      <c r="K44" s="16"/>
      <c r="L44" s="16"/>
      <c r="M44" s="16"/>
      <c r="N44" s="16"/>
      <c r="O44" s="16">
        <f>IF($H44=0,ROUND($E44*(O$72/12),2),ROUND($E44*(O$72/12)*$H44,2))</f>
        <v>11.91</v>
      </c>
      <c r="P44" s="16"/>
      <c r="Q44" s="16"/>
      <c r="R44" s="16"/>
      <c r="S44" s="63">
        <f t="shared" si="2"/>
        <v>0.009</v>
      </c>
      <c r="T44" s="16"/>
      <c r="U44" s="16">
        <f t="shared" si="3"/>
        <v>0.44</v>
      </c>
      <c r="V44" s="16">
        <f t="shared" si="5"/>
        <v>17.01</v>
      </c>
      <c r="W44" s="16">
        <f t="shared" si="5"/>
        <v>17.01</v>
      </c>
      <c r="X44" s="16"/>
      <c r="Y44" s="16"/>
      <c r="Z44" s="16"/>
      <c r="AA44" s="16"/>
      <c r="AB44" s="16"/>
      <c r="AC44" s="16"/>
      <c r="AD44" s="16"/>
      <c r="AE44" s="16"/>
      <c r="AF44" s="78"/>
      <c r="AG44" s="79"/>
    </row>
    <row r="45" spans="1:33" s="5" customFormat="1" ht="21.75" customHeight="1">
      <c r="A45" s="12">
        <f t="shared" si="0"/>
        <v>33</v>
      </c>
      <c r="B45" s="13">
        <f t="shared" si="8"/>
        <v>42760</v>
      </c>
      <c r="C45" s="14">
        <v>42767</v>
      </c>
      <c r="D45" s="15" t="s">
        <v>32</v>
      </c>
      <c r="E45" s="16">
        <f t="shared" si="6"/>
        <v>7</v>
      </c>
      <c r="F45" s="17">
        <f>ROUND(AVERAGE(17.5,17.78),2)</f>
        <v>17.64</v>
      </c>
      <c r="G45" s="18"/>
      <c r="H45" s="16"/>
      <c r="I45" s="16">
        <f t="shared" si="9"/>
        <v>123.48</v>
      </c>
      <c r="J45" s="16"/>
      <c r="K45" s="16"/>
      <c r="L45" s="16"/>
      <c r="M45" s="16"/>
      <c r="N45" s="16"/>
      <c r="O45" s="16">
        <f t="shared" si="10"/>
        <v>10.5</v>
      </c>
      <c r="P45" s="16"/>
      <c r="Q45" s="16"/>
      <c r="R45" s="16"/>
      <c r="S45" s="63">
        <f t="shared" si="2"/>
        <v>0.007</v>
      </c>
      <c r="T45" s="16"/>
      <c r="U45" s="16">
        <f t="shared" si="3"/>
        <v>0.39</v>
      </c>
      <c r="V45" s="16">
        <f t="shared" si="5"/>
        <v>14.89</v>
      </c>
      <c r="W45" s="16">
        <f t="shared" si="5"/>
        <v>14.89</v>
      </c>
      <c r="X45" s="16"/>
      <c r="Y45" s="16"/>
      <c r="Z45" s="16"/>
      <c r="AA45" s="16"/>
      <c r="AB45" s="16"/>
      <c r="AC45" s="16"/>
      <c r="AD45" s="16"/>
      <c r="AE45" s="16"/>
      <c r="AF45" s="78"/>
      <c r="AG45" s="79"/>
    </row>
    <row r="46" spans="1:33" s="5" customFormat="1" ht="21.75" customHeight="1">
      <c r="A46" s="12">
        <f t="shared" si="0"/>
        <v>34</v>
      </c>
      <c r="B46" s="13">
        <f t="shared" si="8"/>
        <v>42767</v>
      </c>
      <c r="C46" s="14">
        <v>42841.24</v>
      </c>
      <c r="D46" s="15" t="s">
        <v>32</v>
      </c>
      <c r="E46" s="16">
        <f t="shared" si="6"/>
        <v>74.23999999999796</v>
      </c>
      <c r="F46" s="17">
        <v>17.5</v>
      </c>
      <c r="G46" s="18"/>
      <c r="H46" s="16"/>
      <c r="I46" s="16">
        <f t="shared" si="9"/>
        <v>1299.2</v>
      </c>
      <c r="J46" s="16"/>
      <c r="K46" s="16"/>
      <c r="L46" s="16"/>
      <c r="M46" s="16"/>
      <c r="N46" s="16"/>
      <c r="O46" s="16">
        <f t="shared" si="10"/>
        <v>111.36</v>
      </c>
      <c r="P46" s="16"/>
      <c r="Q46" s="16"/>
      <c r="R46" s="16"/>
      <c r="S46" s="63">
        <f t="shared" si="2"/>
        <v>0.078</v>
      </c>
      <c r="T46" s="16"/>
      <c r="U46" s="16">
        <f t="shared" si="3"/>
        <v>4.06</v>
      </c>
      <c r="V46" s="16">
        <f t="shared" si="5"/>
        <v>156.73</v>
      </c>
      <c r="W46" s="16">
        <f t="shared" si="5"/>
        <v>156.73</v>
      </c>
      <c r="X46" s="16"/>
      <c r="Y46" s="16"/>
      <c r="Z46" s="16"/>
      <c r="AA46" s="16"/>
      <c r="AB46" s="16"/>
      <c r="AC46" s="16"/>
      <c r="AD46" s="16"/>
      <c r="AE46" s="16"/>
      <c r="AF46" s="78"/>
      <c r="AG46" s="79"/>
    </row>
    <row r="47" spans="1:33" s="5" customFormat="1" ht="21.75" customHeight="1">
      <c r="A47" s="12">
        <f t="shared" si="0"/>
        <v>35</v>
      </c>
      <c r="B47" s="13">
        <f t="shared" si="8"/>
        <v>42841.24</v>
      </c>
      <c r="C47" s="57">
        <v>42918.4</v>
      </c>
      <c r="D47" s="15" t="s">
        <v>32</v>
      </c>
      <c r="E47" s="16">
        <f t="shared" si="6"/>
        <v>77.16000000000349</v>
      </c>
      <c r="F47" s="104" t="s">
        <v>23</v>
      </c>
      <c r="G47" s="105"/>
      <c r="H47" s="105"/>
      <c r="I47" s="106"/>
      <c r="J47" s="16">
        <f>ROUND(1310.3381,2)</f>
        <v>1310.34</v>
      </c>
      <c r="K47" s="16"/>
      <c r="L47" s="16"/>
      <c r="M47" s="16"/>
      <c r="N47" s="16"/>
      <c r="O47" s="16">
        <f t="shared" si="10"/>
        <v>115.74</v>
      </c>
      <c r="P47" s="16"/>
      <c r="Q47" s="16"/>
      <c r="R47" s="16"/>
      <c r="S47" s="63">
        <f t="shared" si="2"/>
        <v>0.079</v>
      </c>
      <c r="T47" s="16"/>
      <c r="U47" s="16">
        <f t="shared" si="3"/>
        <v>4.1</v>
      </c>
      <c r="V47" s="16">
        <f t="shared" si="5"/>
        <v>158.45</v>
      </c>
      <c r="W47" s="16">
        <f t="shared" si="5"/>
        <v>158.45</v>
      </c>
      <c r="X47" s="16"/>
      <c r="Y47" s="16"/>
      <c r="Z47" s="16"/>
      <c r="AA47" s="16"/>
      <c r="AB47" s="16"/>
      <c r="AC47" s="16"/>
      <c r="AD47" s="16"/>
      <c r="AE47" s="16"/>
      <c r="AF47" s="78"/>
      <c r="AG47" s="79"/>
    </row>
    <row r="48" spans="1:33" s="5" customFormat="1" ht="21.75" customHeight="1">
      <c r="A48" s="12">
        <f t="shared" si="0"/>
        <v>36</v>
      </c>
      <c r="B48" s="14"/>
      <c r="C48" s="41"/>
      <c r="D48" s="15"/>
      <c r="E48" s="16"/>
      <c r="F48" s="17"/>
      <c r="G48" s="55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63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78"/>
      <c r="AG48" s="79"/>
    </row>
    <row r="49" spans="1:33" s="5" customFormat="1" ht="21.75" customHeight="1">
      <c r="A49" s="12">
        <f t="shared" si="0"/>
        <v>37</v>
      </c>
      <c r="B49" s="14">
        <v>43134.35</v>
      </c>
      <c r="C49" s="39">
        <v>43180</v>
      </c>
      <c r="D49" s="15" t="s">
        <v>32</v>
      </c>
      <c r="E49" s="16">
        <f t="shared" si="6"/>
        <v>45.650000000001455</v>
      </c>
      <c r="F49" s="104" t="s">
        <v>23</v>
      </c>
      <c r="G49" s="105"/>
      <c r="H49" s="105"/>
      <c r="I49" s="106"/>
      <c r="J49" s="16">
        <f>ROUND(824.5296,2)</f>
        <v>824.53</v>
      </c>
      <c r="K49" s="16"/>
      <c r="L49" s="16"/>
      <c r="M49" s="16"/>
      <c r="N49" s="16"/>
      <c r="O49" s="16">
        <f t="shared" si="10"/>
        <v>68.48</v>
      </c>
      <c r="P49" s="16"/>
      <c r="Q49" s="16"/>
      <c r="R49" s="16"/>
      <c r="S49" s="63">
        <f t="shared" si="2"/>
        <v>0.05</v>
      </c>
      <c r="T49" s="16"/>
      <c r="U49" s="16">
        <f t="shared" si="3"/>
        <v>2.57</v>
      </c>
      <c r="V49" s="16">
        <f t="shared" si="5"/>
        <v>99.22</v>
      </c>
      <c r="W49" s="16">
        <f t="shared" si="5"/>
        <v>99.22</v>
      </c>
      <c r="X49" s="16"/>
      <c r="Y49" s="16"/>
      <c r="Z49" s="16"/>
      <c r="AA49" s="16"/>
      <c r="AB49" s="16"/>
      <c r="AC49" s="16"/>
      <c r="AD49" s="16"/>
      <c r="AE49" s="16"/>
      <c r="AF49" s="78"/>
      <c r="AG49" s="79"/>
    </row>
    <row r="50" spans="1:33" s="5" customFormat="1" ht="21.75" customHeight="1" thickBot="1">
      <c r="A50" s="12">
        <f t="shared" si="0"/>
        <v>38</v>
      </c>
      <c r="B50" s="14">
        <f aca="true" t="shared" si="11" ref="B50:B56">C49</f>
        <v>43180</v>
      </c>
      <c r="C50" s="14">
        <v>43213</v>
      </c>
      <c r="D50" s="15" t="s">
        <v>32</v>
      </c>
      <c r="E50" s="16">
        <f t="shared" si="6"/>
        <v>33</v>
      </c>
      <c r="F50" s="17">
        <f>ROUND(AVERAGE(10,17.071),2)</f>
        <v>13.54</v>
      </c>
      <c r="G50" s="18">
        <f>ROUND((14228.562-12-((48.429+48.9)/2)-($F50/2))/14228.562,4)</f>
        <v>0.9953</v>
      </c>
      <c r="H50" s="18">
        <f>ROUND((14228.562-12-((48.429+48.9)/2)-($F50))/14228.562,4)</f>
        <v>0.9948</v>
      </c>
      <c r="I50" s="16">
        <f t="shared" si="9"/>
        <v>444.72</v>
      </c>
      <c r="J50" s="16"/>
      <c r="K50" s="16"/>
      <c r="L50" s="16"/>
      <c r="M50" s="16"/>
      <c r="N50" s="16"/>
      <c r="O50" s="16">
        <f t="shared" si="10"/>
        <v>49.24</v>
      </c>
      <c r="P50" s="16"/>
      <c r="Q50" s="16"/>
      <c r="R50" s="16"/>
      <c r="S50" s="63">
        <f t="shared" si="2"/>
        <v>0.027</v>
      </c>
      <c r="T50" s="16"/>
      <c r="U50" s="16">
        <f t="shared" si="3"/>
        <v>1.42</v>
      </c>
      <c r="V50" s="16">
        <f t="shared" si="5"/>
        <v>54.88</v>
      </c>
      <c r="W50" s="16">
        <f t="shared" si="5"/>
        <v>54.88</v>
      </c>
      <c r="X50" s="16"/>
      <c r="Y50" s="16"/>
      <c r="Z50" s="16"/>
      <c r="AA50" s="16"/>
      <c r="AB50" s="16"/>
      <c r="AC50" s="16"/>
      <c r="AD50" s="16"/>
      <c r="AE50" s="16"/>
      <c r="AF50" s="103"/>
      <c r="AG50" s="82"/>
    </row>
    <row r="51" spans="1:33" s="5" customFormat="1" ht="21.75" customHeight="1">
      <c r="A51" s="12">
        <f t="shared" si="0"/>
        <v>39</v>
      </c>
      <c r="B51" s="14">
        <f t="shared" si="11"/>
        <v>43213</v>
      </c>
      <c r="C51" s="14">
        <v>43990</v>
      </c>
      <c r="D51" s="15" t="s">
        <v>32</v>
      </c>
      <c r="E51" s="16">
        <f aca="true" t="shared" si="12" ref="E51:E56">C51-B51</f>
        <v>777</v>
      </c>
      <c r="F51" s="17">
        <v>10</v>
      </c>
      <c r="G51" s="18">
        <f>ROUND((14228.562-12-((60+48.9)/2)-($F51/2))/14228.562,4)</f>
        <v>0.995</v>
      </c>
      <c r="H51" s="18">
        <f>ROUND((14228.562-12-((60+48.9)/2)-($F51))/14228.562,4)</f>
        <v>0.9946</v>
      </c>
      <c r="I51" s="16">
        <f t="shared" si="9"/>
        <v>7731.15</v>
      </c>
      <c r="J51" s="16"/>
      <c r="K51" s="16"/>
      <c r="L51" s="16"/>
      <c r="M51" s="16"/>
      <c r="N51" s="16"/>
      <c r="O51" s="16">
        <f t="shared" si="10"/>
        <v>1159.21</v>
      </c>
      <c r="P51" s="16"/>
      <c r="Q51" s="16"/>
      <c r="R51" s="16"/>
      <c r="S51" s="63">
        <f t="shared" si="2"/>
        <v>0.494</v>
      </c>
      <c r="T51" s="16"/>
      <c r="U51" s="16">
        <f t="shared" si="3"/>
        <v>25.56</v>
      </c>
      <c r="V51" s="16">
        <f t="shared" si="5"/>
        <v>987.82</v>
      </c>
      <c r="W51" s="16">
        <f t="shared" si="5"/>
        <v>987.82</v>
      </c>
      <c r="X51" s="16"/>
      <c r="Y51" s="16"/>
      <c r="Z51" s="16"/>
      <c r="AA51" s="16"/>
      <c r="AB51" s="16"/>
      <c r="AC51" s="16"/>
      <c r="AD51" s="16"/>
      <c r="AE51" s="16"/>
      <c r="AF51" s="76" t="s">
        <v>91</v>
      </c>
      <c r="AG51" s="77"/>
    </row>
    <row r="52" spans="1:33" s="5" customFormat="1" ht="21.75" customHeight="1">
      <c r="A52" s="12">
        <f t="shared" si="0"/>
        <v>40</v>
      </c>
      <c r="B52" s="14">
        <f t="shared" si="11"/>
        <v>43990</v>
      </c>
      <c r="C52" s="14">
        <v>44823.91</v>
      </c>
      <c r="D52" s="15" t="s">
        <v>32</v>
      </c>
      <c r="E52" s="16">
        <f t="shared" si="12"/>
        <v>833.9100000000035</v>
      </c>
      <c r="F52" s="17">
        <v>10</v>
      </c>
      <c r="G52" s="18">
        <f>ROUND((14228.562-12-60-($F52/2))/14228.562,4)</f>
        <v>0.9946</v>
      </c>
      <c r="H52" s="18">
        <f>ROUND((14228.562-12-60-($F52))/14228.562,4)</f>
        <v>0.9942</v>
      </c>
      <c r="I52" s="16">
        <f t="shared" si="9"/>
        <v>8294.07</v>
      </c>
      <c r="J52" s="16"/>
      <c r="K52" s="16"/>
      <c r="L52" s="16"/>
      <c r="M52" s="16"/>
      <c r="N52" s="16"/>
      <c r="O52" s="16">
        <f t="shared" si="10"/>
        <v>1243.61</v>
      </c>
      <c r="P52" s="16"/>
      <c r="Q52" s="16"/>
      <c r="R52" s="16"/>
      <c r="S52" s="63">
        <f t="shared" si="2"/>
        <v>0.53</v>
      </c>
      <c r="T52" s="16"/>
      <c r="U52" s="16">
        <f t="shared" si="3"/>
        <v>27.42</v>
      </c>
      <c r="V52" s="16">
        <f t="shared" si="5"/>
        <v>1059.74</v>
      </c>
      <c r="W52" s="16">
        <f t="shared" si="5"/>
        <v>1059.74</v>
      </c>
      <c r="X52" s="16"/>
      <c r="Y52" s="16"/>
      <c r="Z52" s="16"/>
      <c r="AA52" s="16"/>
      <c r="AB52" s="16"/>
      <c r="AC52" s="16"/>
      <c r="AD52" s="16"/>
      <c r="AE52" s="16"/>
      <c r="AF52" s="78"/>
      <c r="AG52" s="79"/>
    </row>
    <row r="53" spans="1:33" s="5" customFormat="1" ht="21.75" customHeight="1">
      <c r="A53" s="12">
        <f t="shared" si="0"/>
        <v>41</v>
      </c>
      <c r="B53" s="13">
        <f t="shared" si="11"/>
        <v>44823.91</v>
      </c>
      <c r="C53" s="14">
        <v>46867.5</v>
      </c>
      <c r="D53" s="15" t="s">
        <v>32</v>
      </c>
      <c r="E53" s="16">
        <f t="shared" si="12"/>
        <v>2043.5899999999965</v>
      </c>
      <c r="F53" s="17">
        <v>10</v>
      </c>
      <c r="G53" s="55"/>
      <c r="H53" s="16"/>
      <c r="I53" s="16">
        <f t="shared" si="9"/>
        <v>20435.9</v>
      </c>
      <c r="J53" s="16"/>
      <c r="K53" s="16"/>
      <c r="L53" s="16"/>
      <c r="M53" s="16"/>
      <c r="N53" s="16"/>
      <c r="O53" s="16">
        <f t="shared" si="10"/>
        <v>3065.38</v>
      </c>
      <c r="P53" s="16"/>
      <c r="Q53" s="16"/>
      <c r="R53" s="16"/>
      <c r="S53" s="63">
        <f t="shared" si="2"/>
        <v>1.306</v>
      </c>
      <c r="T53" s="16"/>
      <c r="U53" s="16">
        <f t="shared" si="3"/>
        <v>67.57</v>
      </c>
      <c r="V53" s="16">
        <f t="shared" si="5"/>
        <v>2611.25</v>
      </c>
      <c r="W53" s="16">
        <f t="shared" si="5"/>
        <v>2611.25</v>
      </c>
      <c r="X53" s="16"/>
      <c r="Y53" s="16"/>
      <c r="Z53" s="16"/>
      <c r="AA53" s="16"/>
      <c r="AB53" s="16"/>
      <c r="AC53" s="16"/>
      <c r="AD53" s="16"/>
      <c r="AE53" s="16"/>
      <c r="AF53" s="78"/>
      <c r="AG53" s="79"/>
    </row>
    <row r="54" spans="1:33" s="5" customFormat="1" ht="21.75" customHeight="1">
      <c r="A54" s="12">
        <f t="shared" si="0"/>
        <v>42</v>
      </c>
      <c r="B54" s="13">
        <f t="shared" si="11"/>
        <v>46867.5</v>
      </c>
      <c r="C54" s="14">
        <v>46890</v>
      </c>
      <c r="D54" s="15" t="s">
        <v>32</v>
      </c>
      <c r="E54" s="16">
        <f t="shared" si="12"/>
        <v>22.5</v>
      </c>
      <c r="F54" s="17">
        <f>ROUND(AVERAGE(10,5.5),2)</f>
        <v>7.75</v>
      </c>
      <c r="G54" s="18"/>
      <c r="H54" s="16"/>
      <c r="I54" s="16">
        <f>IF(G54=0,ROUND($E54*$F54,2),ROUND($E54*$F54*$G54,2))</f>
        <v>174.38</v>
      </c>
      <c r="J54" s="16"/>
      <c r="K54" s="16"/>
      <c r="L54" s="16"/>
      <c r="M54" s="16"/>
      <c r="N54" s="16"/>
      <c r="O54" s="16">
        <f t="shared" si="10"/>
        <v>33.75</v>
      </c>
      <c r="P54" s="16"/>
      <c r="Q54" s="16"/>
      <c r="R54" s="16"/>
      <c r="S54" s="63">
        <f t="shared" si="2"/>
        <v>0.012</v>
      </c>
      <c r="T54" s="16"/>
      <c r="U54" s="16">
        <f t="shared" si="3"/>
        <v>0.6</v>
      </c>
      <c r="V54" s="16">
        <f t="shared" si="5"/>
        <v>23.13</v>
      </c>
      <c r="W54" s="16">
        <f t="shared" si="5"/>
        <v>23.13</v>
      </c>
      <c r="X54" s="16"/>
      <c r="Y54" s="16"/>
      <c r="Z54" s="16"/>
      <c r="AA54" s="16"/>
      <c r="AB54" s="16"/>
      <c r="AC54" s="16"/>
      <c r="AD54" s="16"/>
      <c r="AE54" s="16"/>
      <c r="AF54" s="78"/>
      <c r="AG54" s="79"/>
    </row>
    <row r="55" spans="1:33" s="5" customFormat="1" ht="21.75" customHeight="1">
      <c r="A55" s="12">
        <f t="shared" si="0"/>
        <v>43</v>
      </c>
      <c r="B55" s="13">
        <f t="shared" si="11"/>
        <v>46890</v>
      </c>
      <c r="C55" s="14">
        <v>46915</v>
      </c>
      <c r="D55" s="15" t="s">
        <v>32</v>
      </c>
      <c r="E55" s="16">
        <f t="shared" si="12"/>
        <v>25</v>
      </c>
      <c r="F55" s="23">
        <v>5.5</v>
      </c>
      <c r="G55" s="18"/>
      <c r="H55" s="16"/>
      <c r="I55" s="16">
        <f>IF(G55=0,ROUND($E55*$F55,2),ROUND($E55*$F55*$G55,2))</f>
        <v>137.5</v>
      </c>
      <c r="J55" s="16"/>
      <c r="K55" s="16"/>
      <c r="L55" s="16"/>
      <c r="M55" s="16"/>
      <c r="N55" s="16"/>
      <c r="O55" s="16">
        <f t="shared" si="10"/>
        <v>37.5</v>
      </c>
      <c r="P55" s="16"/>
      <c r="Q55" s="16"/>
      <c r="R55" s="16"/>
      <c r="S55" s="63">
        <f t="shared" si="2"/>
        <v>0.01</v>
      </c>
      <c r="T55" s="16"/>
      <c r="U55" s="16">
        <f t="shared" si="3"/>
        <v>0.5</v>
      </c>
      <c r="V55" s="16">
        <f t="shared" si="5"/>
        <v>19.44</v>
      </c>
      <c r="W55" s="16">
        <f t="shared" si="5"/>
        <v>19.44</v>
      </c>
      <c r="X55" s="16"/>
      <c r="Y55" s="16"/>
      <c r="Z55" s="16"/>
      <c r="AA55" s="16"/>
      <c r="AB55" s="16"/>
      <c r="AC55" s="16"/>
      <c r="AD55" s="16"/>
      <c r="AE55" s="16"/>
      <c r="AF55" s="78"/>
      <c r="AG55" s="79"/>
    </row>
    <row r="56" spans="1:33" s="5" customFormat="1" ht="21.75" customHeight="1">
      <c r="A56" s="12">
        <f t="shared" si="0"/>
        <v>44</v>
      </c>
      <c r="B56" s="13">
        <f t="shared" si="11"/>
        <v>46915</v>
      </c>
      <c r="C56" s="14">
        <v>46946.33</v>
      </c>
      <c r="D56" s="15" t="s">
        <v>32</v>
      </c>
      <c r="E56" s="16">
        <f t="shared" si="12"/>
        <v>31.330000000001746</v>
      </c>
      <c r="F56" s="23">
        <v>5.5</v>
      </c>
      <c r="G56" s="18"/>
      <c r="H56" s="16"/>
      <c r="I56" s="16">
        <f>IF(G56=0,ROUND($E56*$F56,2),ROUND($E56*$F56*$G56,2))</f>
        <v>172.32</v>
      </c>
      <c r="J56" s="16"/>
      <c r="K56" s="16"/>
      <c r="L56" s="16"/>
      <c r="M56" s="16"/>
      <c r="N56" s="16"/>
      <c r="O56" s="16"/>
      <c r="P56" s="16">
        <f>IF($H56=0,ROUND($E56*(P$72/12),2),ROUND($E56*(P$72/12)*$H56,2))</f>
        <v>52.22</v>
      </c>
      <c r="Q56" s="16">
        <f>IF($H56=0,ROUND($E56*(Q$72/12),2),ROUND($E56*(Q$72/12)*$H56,2))</f>
        <v>57.44</v>
      </c>
      <c r="R56" s="16"/>
      <c r="S56" s="63">
        <f t="shared" si="2"/>
        <v>0.016</v>
      </c>
      <c r="T56" s="16"/>
      <c r="U56" s="16">
        <f t="shared" si="3"/>
        <v>0.81</v>
      </c>
      <c r="V56" s="16">
        <f t="shared" si="5"/>
        <v>31.33</v>
      </c>
      <c r="W56" s="16">
        <f t="shared" si="5"/>
        <v>31.33</v>
      </c>
      <c r="X56" s="16"/>
      <c r="Y56" s="16"/>
      <c r="Z56" s="16"/>
      <c r="AA56" s="16"/>
      <c r="AB56" s="16"/>
      <c r="AC56" s="16"/>
      <c r="AD56" s="16"/>
      <c r="AE56" s="16"/>
      <c r="AF56" s="78"/>
      <c r="AG56" s="79"/>
    </row>
    <row r="57" spans="1:33" s="5" customFormat="1" ht="21.75" customHeight="1">
      <c r="A57" s="12">
        <f t="shared" si="0"/>
        <v>45</v>
      </c>
      <c r="B57" s="13"/>
      <c r="C57" s="14"/>
      <c r="D57" s="15"/>
      <c r="E57" s="16"/>
      <c r="F57" s="17"/>
      <c r="G57" s="18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78"/>
      <c r="AG57" s="79"/>
    </row>
    <row r="58" spans="1:33" s="5" customFormat="1" ht="21.75" customHeight="1">
      <c r="A58" s="12">
        <f t="shared" si="0"/>
        <v>46</v>
      </c>
      <c r="B58" s="13"/>
      <c r="C58" s="14"/>
      <c r="D58" s="15"/>
      <c r="E58" s="16"/>
      <c r="F58" s="17"/>
      <c r="G58" s="18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78"/>
      <c r="AG58" s="79"/>
    </row>
    <row r="59" spans="1:33" s="5" customFormat="1" ht="21.75" customHeight="1">
      <c r="A59" s="12">
        <f t="shared" si="0"/>
        <v>47</v>
      </c>
      <c r="B59" s="13"/>
      <c r="C59" s="14"/>
      <c r="D59" s="15"/>
      <c r="E59" s="16"/>
      <c r="F59" s="17"/>
      <c r="G59" s="18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78"/>
      <c r="AG59" s="79"/>
    </row>
    <row r="60" spans="1:33" s="25" customFormat="1" ht="21.75" customHeight="1">
      <c r="A60" s="12">
        <f t="shared" si="0"/>
        <v>48</v>
      </c>
      <c r="B60" s="13"/>
      <c r="C60" s="14"/>
      <c r="D60" s="15"/>
      <c r="E60" s="16"/>
      <c r="F60" s="17"/>
      <c r="G60" s="18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78"/>
      <c r="AG60" s="79"/>
    </row>
    <row r="61" spans="1:33" s="25" customFormat="1" ht="21.75" customHeight="1">
      <c r="A61" s="12">
        <f t="shared" si="0"/>
        <v>49</v>
      </c>
      <c r="B61" s="13"/>
      <c r="C61" s="14"/>
      <c r="D61" s="15"/>
      <c r="E61" s="16"/>
      <c r="F61" s="17"/>
      <c r="G61" s="18"/>
      <c r="H61" s="16"/>
      <c r="I61" s="17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78"/>
      <c r="AG61" s="79"/>
    </row>
    <row r="62" spans="1:33" s="25" customFormat="1" ht="21.75" customHeight="1">
      <c r="A62" s="12">
        <f t="shared" si="0"/>
        <v>50</v>
      </c>
      <c r="B62" s="13"/>
      <c r="C62" s="14"/>
      <c r="D62" s="15"/>
      <c r="E62" s="16"/>
      <c r="F62" s="17"/>
      <c r="G62" s="18"/>
      <c r="H62" s="16"/>
      <c r="I62" s="53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78"/>
      <c r="AG62" s="79"/>
    </row>
    <row r="63" spans="1:33" s="25" customFormat="1" ht="21.75" customHeight="1">
      <c r="A63" s="12">
        <f t="shared" si="0"/>
        <v>51</v>
      </c>
      <c r="B63" s="13"/>
      <c r="C63" s="14"/>
      <c r="D63" s="15"/>
      <c r="E63" s="16"/>
      <c r="F63" s="17"/>
      <c r="G63" s="18"/>
      <c r="H63" s="16"/>
      <c r="I63" s="53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78"/>
      <c r="AG63" s="79"/>
    </row>
    <row r="64" spans="1:33" s="25" customFormat="1" ht="21.75" customHeight="1">
      <c r="A64" s="12">
        <f t="shared" si="0"/>
        <v>52</v>
      </c>
      <c r="B64" s="13"/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80"/>
      <c r="AG64" s="79"/>
    </row>
    <row r="65" spans="1:33" s="25" customFormat="1" ht="21.75" customHeight="1">
      <c r="A65" s="12">
        <f t="shared" si="0"/>
        <v>53</v>
      </c>
      <c r="B65" s="13"/>
      <c r="C65" s="14"/>
      <c r="D65" s="15"/>
      <c r="E65" s="16"/>
      <c r="F65" s="17"/>
      <c r="G65" s="1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80"/>
      <c r="AG65" s="79"/>
    </row>
    <row r="66" spans="1:33" s="25" customFormat="1" ht="21.75" customHeight="1" thickBot="1">
      <c r="A66" s="12">
        <f t="shared" si="0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81"/>
      <c r="AG66" s="82"/>
    </row>
    <row r="67" spans="2:33" s="26" customFormat="1" ht="46.5" customHeight="1">
      <c r="B67" s="95" t="s">
        <v>8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7"/>
      <c r="R67" s="85" t="str">
        <f aca="true" t="shared" si="13" ref="R67:AE67">IF(SUM(R13:R66)=0," ",ROUNDUP(SUM(R13:R66),0))</f>
        <v> </v>
      </c>
      <c r="S67" s="85">
        <f t="shared" si="13"/>
        <v>27</v>
      </c>
      <c r="T67" s="85" t="str">
        <f t="shared" si="13"/>
        <v> </v>
      </c>
      <c r="U67" s="85">
        <f t="shared" si="13"/>
        <v>1396</v>
      </c>
      <c r="V67" s="85">
        <f t="shared" si="13"/>
        <v>53927</v>
      </c>
      <c r="W67" s="85">
        <f t="shared" si="13"/>
        <v>53927</v>
      </c>
      <c r="X67" s="85" t="str">
        <f t="shared" si="13"/>
        <v> </v>
      </c>
      <c r="Y67" s="85" t="str">
        <f t="shared" si="13"/>
        <v> </v>
      </c>
      <c r="Z67" s="85" t="str">
        <f t="shared" si="13"/>
        <v> </v>
      </c>
      <c r="AA67" s="85" t="str">
        <f t="shared" si="13"/>
        <v> </v>
      </c>
      <c r="AB67" s="85" t="str">
        <f t="shared" si="13"/>
        <v> </v>
      </c>
      <c r="AC67" s="85" t="str">
        <f t="shared" si="13"/>
        <v> </v>
      </c>
      <c r="AD67" s="85" t="str">
        <f t="shared" si="13"/>
        <v> </v>
      </c>
      <c r="AE67" s="85" t="str">
        <f t="shared" si="13"/>
        <v> </v>
      </c>
      <c r="AF67" s="87">
        <v>4</v>
      </c>
      <c r="AG67" s="88"/>
    </row>
    <row r="68" spans="2:33" s="26" customFormat="1" ht="46.5" customHeight="1" thickBot="1"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100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3">
        <v>16</v>
      </c>
      <c r="AG68" s="84"/>
    </row>
    <row r="69" spans="1:34" ht="36" customHeight="1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T69" s="28"/>
      <c r="U69" s="28"/>
      <c r="V69" s="1"/>
      <c r="W69" s="28"/>
      <c r="X69" s="28"/>
      <c r="Y69" s="28"/>
      <c r="Z69" s="28"/>
      <c r="AA69" s="28"/>
      <c r="AB69" s="28"/>
      <c r="AF69" s="28"/>
      <c r="AG69" s="28"/>
      <c r="AH69" s="29"/>
    </row>
    <row r="70" spans="2:33" ht="12.7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T70" s="28"/>
      <c r="U70" s="28"/>
      <c r="V70" s="1"/>
      <c r="W70" s="28"/>
      <c r="X70" s="28"/>
      <c r="Y70" s="28"/>
      <c r="Z70" s="28"/>
      <c r="AA70" s="28"/>
      <c r="AB70" s="28"/>
      <c r="AF70" s="28"/>
      <c r="AG70" s="28"/>
    </row>
    <row r="71" spans="2:33" ht="12.7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T71" s="28"/>
      <c r="U71" s="28"/>
      <c r="V71" s="1"/>
      <c r="W71" s="28"/>
      <c r="X71" s="28"/>
      <c r="Y71" s="28"/>
      <c r="Z71" s="28"/>
      <c r="AA71" s="28"/>
      <c r="AB71" s="28"/>
      <c r="AF71" s="28"/>
      <c r="AG71" s="28"/>
    </row>
    <row r="72" spans="2:33" ht="15.75">
      <c r="B72" s="64" t="s">
        <v>26</v>
      </c>
      <c r="C72" s="65"/>
      <c r="D72" s="65"/>
      <c r="E72" s="65"/>
      <c r="F72" s="65"/>
      <c r="G72" s="66"/>
      <c r="H72" s="43"/>
      <c r="I72" s="43"/>
      <c r="J72" s="43"/>
      <c r="K72" s="43">
        <v>4</v>
      </c>
      <c r="L72" s="43">
        <v>6</v>
      </c>
      <c r="M72" s="43">
        <v>10</v>
      </c>
      <c r="N72" s="43">
        <v>16</v>
      </c>
      <c r="O72" s="43">
        <v>18</v>
      </c>
      <c r="P72" s="43">
        <v>20</v>
      </c>
      <c r="Q72" s="43">
        <v>22</v>
      </c>
      <c r="R72" s="45"/>
      <c r="S72" s="62">
        <v>2000</v>
      </c>
      <c r="T72" s="44"/>
      <c r="U72" s="44">
        <v>0.75</v>
      </c>
      <c r="V72" s="62"/>
      <c r="W72" s="62">
        <v>12</v>
      </c>
      <c r="X72" s="45"/>
      <c r="Y72" s="44"/>
      <c r="Z72" s="44"/>
      <c r="AA72" s="44"/>
      <c r="AB72" s="44"/>
      <c r="AC72" s="44"/>
      <c r="AD72" s="44"/>
      <c r="AF72" s="28"/>
      <c r="AG72" s="28"/>
    </row>
    <row r="73" spans="2:33" ht="15">
      <c r="B73" s="28"/>
      <c r="C73" s="28"/>
      <c r="D73" s="28"/>
      <c r="E73" s="28"/>
      <c r="F73" s="28"/>
      <c r="G73" s="28"/>
      <c r="H73" s="24"/>
      <c r="I73" s="28"/>
      <c r="J73" s="28"/>
      <c r="K73" s="28"/>
      <c r="L73" s="28"/>
      <c r="M73" s="28"/>
      <c r="N73" s="28"/>
      <c r="O73" s="28"/>
      <c r="P73" s="28"/>
      <c r="Q73" s="28"/>
      <c r="R73" s="24"/>
      <c r="T73" s="43"/>
      <c r="U73" s="43">
        <v>115</v>
      </c>
      <c r="V73" s="62"/>
      <c r="W73" s="46"/>
      <c r="X73" s="28"/>
      <c r="Y73" s="28"/>
      <c r="Z73" s="28"/>
      <c r="AA73" s="28"/>
      <c r="AB73" s="28"/>
      <c r="AF73" s="28"/>
      <c r="AG73" s="28"/>
    </row>
    <row r="74" spans="2:33" ht="15">
      <c r="B74" s="28"/>
      <c r="C74" s="30"/>
      <c r="D74" s="28"/>
      <c r="E74" s="28"/>
      <c r="F74" s="28"/>
      <c r="G74" s="28"/>
      <c r="H74" s="31"/>
      <c r="I74" s="28"/>
      <c r="J74" s="28"/>
      <c r="K74" s="120"/>
      <c r="L74" s="121"/>
      <c r="M74" s="121"/>
      <c r="N74" s="121"/>
      <c r="O74" s="121"/>
      <c r="P74" s="121"/>
      <c r="Q74" s="121"/>
      <c r="R74" s="31"/>
      <c r="S74" s="31"/>
      <c r="T74" s="31"/>
      <c r="U74" s="31">
        <v>0.05</v>
      </c>
      <c r="V74" s="44"/>
      <c r="W74" s="31"/>
      <c r="X74" s="31"/>
      <c r="Y74" s="31"/>
      <c r="Z74" s="31"/>
      <c r="AA74" s="31"/>
      <c r="AB74" s="31"/>
      <c r="AC74" s="31"/>
      <c r="AD74" s="31"/>
      <c r="AE74" s="31"/>
      <c r="AF74" s="28"/>
      <c r="AG74" s="28"/>
    </row>
  </sheetData>
  <sheetProtection/>
  <mergeCells count="58">
    <mergeCell ref="AF67:AG67"/>
    <mergeCell ref="K74:Q74"/>
    <mergeCell ref="AA67:AA68"/>
    <mergeCell ref="AB67:AB68"/>
    <mergeCell ref="AC67:AC68"/>
    <mergeCell ref="F42:I42"/>
    <mergeCell ref="F43:I43"/>
    <mergeCell ref="W67:W68"/>
    <mergeCell ref="AF51:AG66"/>
    <mergeCell ref="AE67:AE68"/>
    <mergeCell ref="Y67:Y68"/>
    <mergeCell ref="Z67:Z68"/>
    <mergeCell ref="B67:Q68"/>
    <mergeCell ref="B14:I14"/>
    <mergeCell ref="X67:X68"/>
    <mergeCell ref="R67:R68"/>
    <mergeCell ref="S67:S68"/>
    <mergeCell ref="T67:T68"/>
    <mergeCell ref="F39:I39"/>
    <mergeCell ref="F40:I40"/>
    <mergeCell ref="AF68:AG68"/>
    <mergeCell ref="U67:U68"/>
    <mergeCell ref="AD67:AD68"/>
    <mergeCell ref="V67:V68"/>
    <mergeCell ref="AE4:AE11"/>
    <mergeCell ref="AF6:AG50"/>
    <mergeCell ref="V4:V11"/>
    <mergeCell ref="AD4:AD11"/>
    <mergeCell ref="AF3:AF5"/>
    <mergeCell ref="Y4:Y11"/>
    <mergeCell ref="AG3:AG5"/>
    <mergeCell ref="M3:M11"/>
    <mergeCell ref="N3:N11"/>
    <mergeCell ref="P3:P11"/>
    <mergeCell ref="Q3:Q11"/>
    <mergeCell ref="AC4:AC11"/>
    <mergeCell ref="Z4:Z11"/>
    <mergeCell ref="X4:X11"/>
    <mergeCell ref="S4:S11"/>
    <mergeCell ref="T4:T11"/>
    <mergeCell ref="AA4:AA11"/>
    <mergeCell ref="AB4:AB11"/>
    <mergeCell ref="O3:O11"/>
    <mergeCell ref="H3:H11"/>
    <mergeCell ref="F47:I47"/>
    <mergeCell ref="I3:I11"/>
    <mergeCell ref="J3:J11"/>
    <mergeCell ref="K3:K11"/>
    <mergeCell ref="R4:R11"/>
    <mergeCell ref="U4:U11"/>
    <mergeCell ref="W4:W11"/>
    <mergeCell ref="F49:I49"/>
    <mergeCell ref="B3:C11"/>
    <mergeCell ref="D3:D11"/>
    <mergeCell ref="E3:E11"/>
    <mergeCell ref="F3:F11"/>
    <mergeCell ref="G3:G11"/>
    <mergeCell ref="L3:L11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9"/>
  <sheetViews>
    <sheetView view="pageBreakPreview" zoomScale="50" zoomScaleNormal="25" zoomScaleSheetLayoutView="50" workbookViewId="0" topLeftCell="A1">
      <selection activeCell="O51" sqref="O51"/>
    </sheetView>
  </sheetViews>
  <sheetFormatPr defaultColWidth="9.140625" defaultRowHeight="12.75"/>
  <cols>
    <col min="1" max="3" width="24.7109375" style="1" customWidth="1"/>
    <col min="4" max="21" width="15.7109375" style="1" customWidth="1"/>
    <col min="22" max="22" width="15.7109375" style="47" customWidth="1"/>
    <col min="23" max="31" width="15.7109375" style="1" customWidth="1"/>
    <col min="32" max="34" width="6.7109375" style="1" customWidth="1"/>
    <col min="35" max="16384" width="9.140625" style="1" customWidth="1"/>
  </cols>
  <sheetData>
    <row r="1" spans="18:27" ht="12.75">
      <c r="R1" s="49"/>
      <c r="S1" s="49"/>
      <c r="T1" s="49"/>
      <c r="U1" s="49"/>
      <c r="V1" s="50"/>
      <c r="W1" s="49"/>
      <c r="X1" s="49"/>
      <c r="Z1" s="49"/>
      <c r="AA1" s="49"/>
    </row>
    <row r="2" spans="1:34" s="4" customFormat="1" ht="36" customHeight="1" thickBot="1">
      <c r="A2" s="2"/>
      <c r="B2" s="32" t="s">
        <v>14</v>
      </c>
      <c r="C2" s="33"/>
      <c r="D2" s="34"/>
      <c r="E2" s="34"/>
      <c r="F2" s="34"/>
      <c r="G2" s="34"/>
      <c r="H2" s="51"/>
      <c r="I2" s="35"/>
      <c r="J2" s="34"/>
      <c r="K2" s="34"/>
      <c r="L2" s="34"/>
      <c r="M2" s="34"/>
      <c r="N2" s="34"/>
      <c r="O2" s="34"/>
      <c r="P2" s="34"/>
      <c r="Q2" s="35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2"/>
      <c r="AD2" s="48"/>
      <c r="AH2" s="3"/>
    </row>
    <row r="3" spans="2:34" s="5" customFormat="1" ht="21.75" customHeight="1">
      <c r="B3" s="95" t="s">
        <v>0</v>
      </c>
      <c r="C3" s="97"/>
      <c r="D3" s="117" t="s">
        <v>3</v>
      </c>
      <c r="E3" s="117" t="s">
        <v>4</v>
      </c>
      <c r="F3" s="117" t="s">
        <v>5</v>
      </c>
      <c r="G3" s="107" t="s">
        <v>12</v>
      </c>
      <c r="H3" s="107" t="s">
        <v>93</v>
      </c>
      <c r="I3" s="117" t="s">
        <v>6</v>
      </c>
      <c r="J3" s="107" t="s">
        <v>10</v>
      </c>
      <c r="K3" s="107"/>
      <c r="L3" s="107"/>
      <c r="M3" s="107"/>
      <c r="N3" s="107"/>
      <c r="O3" s="107" t="s">
        <v>15</v>
      </c>
      <c r="P3" s="107" t="s">
        <v>16</v>
      </c>
      <c r="Q3" s="107" t="s">
        <v>17</v>
      </c>
      <c r="R3" s="36">
        <v>204</v>
      </c>
      <c r="S3" s="37">
        <v>204</v>
      </c>
      <c r="T3" s="36"/>
      <c r="U3" s="37">
        <v>206</v>
      </c>
      <c r="V3" s="37">
        <v>206</v>
      </c>
      <c r="W3" s="36">
        <v>206</v>
      </c>
      <c r="X3" s="37"/>
      <c r="Y3" s="36"/>
      <c r="Z3" s="37"/>
      <c r="AA3" s="36"/>
      <c r="AB3" s="37"/>
      <c r="AC3" s="36"/>
      <c r="AD3" s="37"/>
      <c r="AE3" s="37"/>
      <c r="AF3" s="101" t="s">
        <v>11</v>
      </c>
      <c r="AG3" s="101" t="s">
        <v>13</v>
      </c>
      <c r="AH3" s="6"/>
    </row>
    <row r="4" spans="2:34" s="5" customFormat="1" ht="27.75" customHeight="1">
      <c r="B4" s="113"/>
      <c r="C4" s="114"/>
      <c r="D4" s="118"/>
      <c r="E4" s="118"/>
      <c r="F4" s="118"/>
      <c r="G4" s="90"/>
      <c r="H4" s="90"/>
      <c r="I4" s="118"/>
      <c r="J4" s="122"/>
      <c r="K4" s="122"/>
      <c r="L4" s="90"/>
      <c r="M4" s="90"/>
      <c r="N4" s="90"/>
      <c r="O4" s="90"/>
      <c r="P4" s="90"/>
      <c r="Q4" s="90"/>
      <c r="R4" s="92" t="s">
        <v>82</v>
      </c>
      <c r="S4" s="89" t="s">
        <v>83</v>
      </c>
      <c r="T4" s="92"/>
      <c r="U4" s="92" t="s">
        <v>92</v>
      </c>
      <c r="V4" s="89" t="s">
        <v>80</v>
      </c>
      <c r="W4" s="89" t="s">
        <v>81</v>
      </c>
      <c r="X4" s="89"/>
      <c r="Y4" s="92"/>
      <c r="Z4" s="89"/>
      <c r="AA4" s="92"/>
      <c r="AB4" s="89"/>
      <c r="AC4" s="92"/>
      <c r="AD4" s="89"/>
      <c r="AE4" s="89"/>
      <c r="AF4" s="108"/>
      <c r="AG4" s="102"/>
      <c r="AH4" s="7"/>
    </row>
    <row r="5" spans="2:33" s="5" customFormat="1" ht="27.75" customHeight="1" thickBot="1">
      <c r="B5" s="113"/>
      <c r="C5" s="114"/>
      <c r="D5" s="118"/>
      <c r="E5" s="118"/>
      <c r="F5" s="118"/>
      <c r="G5" s="90"/>
      <c r="H5" s="90"/>
      <c r="I5" s="118"/>
      <c r="J5" s="122"/>
      <c r="K5" s="122"/>
      <c r="L5" s="90"/>
      <c r="M5" s="90"/>
      <c r="N5" s="90"/>
      <c r="O5" s="90"/>
      <c r="P5" s="90"/>
      <c r="Q5" s="90"/>
      <c r="R5" s="93"/>
      <c r="S5" s="90"/>
      <c r="T5" s="93"/>
      <c r="U5" s="93"/>
      <c r="V5" s="90"/>
      <c r="W5" s="90"/>
      <c r="X5" s="90"/>
      <c r="Y5" s="93"/>
      <c r="Z5" s="90"/>
      <c r="AA5" s="93"/>
      <c r="AB5" s="90"/>
      <c r="AC5" s="93"/>
      <c r="AD5" s="90"/>
      <c r="AE5" s="90"/>
      <c r="AF5" s="109"/>
      <c r="AG5" s="102"/>
    </row>
    <row r="6" spans="2:33" s="5" customFormat="1" ht="27.75" customHeight="1">
      <c r="B6" s="113"/>
      <c r="C6" s="114"/>
      <c r="D6" s="118"/>
      <c r="E6" s="118"/>
      <c r="F6" s="118"/>
      <c r="G6" s="90"/>
      <c r="H6" s="90"/>
      <c r="I6" s="118"/>
      <c r="J6" s="122"/>
      <c r="K6" s="122"/>
      <c r="L6" s="90"/>
      <c r="M6" s="90"/>
      <c r="N6" s="90"/>
      <c r="O6" s="90"/>
      <c r="P6" s="90"/>
      <c r="Q6" s="90"/>
      <c r="R6" s="93"/>
      <c r="S6" s="90"/>
      <c r="T6" s="93"/>
      <c r="U6" s="93"/>
      <c r="V6" s="90"/>
      <c r="W6" s="90"/>
      <c r="X6" s="90"/>
      <c r="Y6" s="93"/>
      <c r="Z6" s="90"/>
      <c r="AA6" s="93"/>
      <c r="AB6" s="90"/>
      <c r="AC6" s="93"/>
      <c r="AD6" s="90"/>
      <c r="AE6" s="90"/>
      <c r="AF6" s="76" t="s">
        <v>79</v>
      </c>
      <c r="AG6" s="77"/>
    </row>
    <row r="7" spans="2:33" s="5" customFormat="1" ht="27.75" customHeight="1">
      <c r="B7" s="113"/>
      <c r="C7" s="114"/>
      <c r="D7" s="118"/>
      <c r="E7" s="118"/>
      <c r="F7" s="118"/>
      <c r="G7" s="90"/>
      <c r="H7" s="90"/>
      <c r="I7" s="118"/>
      <c r="J7" s="122"/>
      <c r="K7" s="122"/>
      <c r="L7" s="90"/>
      <c r="M7" s="90"/>
      <c r="N7" s="90"/>
      <c r="O7" s="90"/>
      <c r="P7" s="90"/>
      <c r="Q7" s="90"/>
      <c r="R7" s="93"/>
      <c r="S7" s="90"/>
      <c r="T7" s="93"/>
      <c r="U7" s="93"/>
      <c r="V7" s="90"/>
      <c r="W7" s="90"/>
      <c r="X7" s="90"/>
      <c r="Y7" s="93"/>
      <c r="Z7" s="90"/>
      <c r="AA7" s="93"/>
      <c r="AB7" s="90"/>
      <c r="AC7" s="93"/>
      <c r="AD7" s="90"/>
      <c r="AE7" s="90"/>
      <c r="AF7" s="78"/>
      <c r="AG7" s="79"/>
    </row>
    <row r="8" spans="2:33" s="5" customFormat="1" ht="27.75" customHeight="1">
      <c r="B8" s="113"/>
      <c r="C8" s="114"/>
      <c r="D8" s="118"/>
      <c r="E8" s="118"/>
      <c r="F8" s="118"/>
      <c r="G8" s="90"/>
      <c r="H8" s="90"/>
      <c r="I8" s="118"/>
      <c r="J8" s="122"/>
      <c r="K8" s="122"/>
      <c r="L8" s="90"/>
      <c r="M8" s="90"/>
      <c r="N8" s="90"/>
      <c r="O8" s="90"/>
      <c r="P8" s="90"/>
      <c r="Q8" s="90"/>
      <c r="R8" s="93"/>
      <c r="S8" s="90"/>
      <c r="T8" s="93"/>
      <c r="U8" s="93"/>
      <c r="V8" s="90"/>
      <c r="W8" s="90"/>
      <c r="X8" s="90"/>
      <c r="Y8" s="93"/>
      <c r="Z8" s="90"/>
      <c r="AA8" s="93"/>
      <c r="AB8" s="90"/>
      <c r="AC8" s="93"/>
      <c r="AD8" s="90"/>
      <c r="AE8" s="90"/>
      <c r="AF8" s="78"/>
      <c r="AG8" s="79"/>
    </row>
    <row r="9" spans="2:33" s="5" customFormat="1" ht="27.75" customHeight="1">
      <c r="B9" s="113"/>
      <c r="C9" s="114"/>
      <c r="D9" s="118"/>
      <c r="E9" s="118"/>
      <c r="F9" s="118"/>
      <c r="G9" s="90"/>
      <c r="H9" s="90"/>
      <c r="I9" s="118"/>
      <c r="J9" s="122"/>
      <c r="K9" s="122"/>
      <c r="L9" s="90"/>
      <c r="M9" s="90"/>
      <c r="N9" s="90"/>
      <c r="O9" s="90"/>
      <c r="P9" s="90"/>
      <c r="Q9" s="90"/>
      <c r="R9" s="93"/>
      <c r="S9" s="90"/>
      <c r="T9" s="93"/>
      <c r="U9" s="93"/>
      <c r="V9" s="90"/>
      <c r="W9" s="90"/>
      <c r="X9" s="90"/>
      <c r="Y9" s="93"/>
      <c r="Z9" s="90"/>
      <c r="AA9" s="93"/>
      <c r="AB9" s="90"/>
      <c r="AC9" s="93"/>
      <c r="AD9" s="90"/>
      <c r="AE9" s="90"/>
      <c r="AF9" s="78"/>
      <c r="AG9" s="79"/>
    </row>
    <row r="10" spans="2:33" s="5" customFormat="1" ht="27.75" customHeight="1">
      <c r="B10" s="113"/>
      <c r="C10" s="114"/>
      <c r="D10" s="118"/>
      <c r="E10" s="118"/>
      <c r="F10" s="118"/>
      <c r="G10" s="90"/>
      <c r="H10" s="90"/>
      <c r="I10" s="118"/>
      <c r="J10" s="122"/>
      <c r="K10" s="122"/>
      <c r="L10" s="90"/>
      <c r="M10" s="90"/>
      <c r="N10" s="90"/>
      <c r="O10" s="90"/>
      <c r="P10" s="90"/>
      <c r="Q10" s="90"/>
      <c r="R10" s="93"/>
      <c r="S10" s="90"/>
      <c r="T10" s="93"/>
      <c r="U10" s="93"/>
      <c r="V10" s="90"/>
      <c r="W10" s="90"/>
      <c r="X10" s="90"/>
      <c r="Y10" s="93"/>
      <c r="Z10" s="90"/>
      <c r="AA10" s="93"/>
      <c r="AB10" s="90"/>
      <c r="AC10" s="93"/>
      <c r="AD10" s="90"/>
      <c r="AE10" s="90"/>
      <c r="AF10" s="78"/>
      <c r="AG10" s="79"/>
    </row>
    <row r="11" spans="2:33" s="8" customFormat="1" ht="27.75" customHeight="1">
      <c r="B11" s="115"/>
      <c r="C11" s="116"/>
      <c r="D11" s="119"/>
      <c r="E11" s="119"/>
      <c r="F11" s="119"/>
      <c r="G11" s="91"/>
      <c r="H11" s="91"/>
      <c r="I11" s="119"/>
      <c r="J11" s="123"/>
      <c r="K11" s="123"/>
      <c r="L11" s="91"/>
      <c r="M11" s="91"/>
      <c r="N11" s="91"/>
      <c r="O11" s="91"/>
      <c r="P11" s="91"/>
      <c r="Q11" s="91"/>
      <c r="R11" s="94"/>
      <c r="S11" s="91"/>
      <c r="T11" s="94"/>
      <c r="U11" s="94"/>
      <c r="V11" s="91"/>
      <c r="W11" s="91"/>
      <c r="X11" s="91"/>
      <c r="Y11" s="94"/>
      <c r="Z11" s="91"/>
      <c r="AA11" s="94"/>
      <c r="AB11" s="91"/>
      <c r="AC11" s="94"/>
      <c r="AD11" s="91"/>
      <c r="AE11" s="91"/>
      <c r="AF11" s="78"/>
      <c r="AG11" s="79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38"/>
      <c r="I12" s="11" t="s">
        <v>9</v>
      </c>
      <c r="J12" s="11" t="s">
        <v>9</v>
      </c>
      <c r="K12" s="11"/>
      <c r="L12" s="11"/>
      <c r="M12" s="11"/>
      <c r="N12" s="11"/>
      <c r="O12" s="11" t="s">
        <v>9</v>
      </c>
      <c r="P12" s="11" t="s">
        <v>9</v>
      </c>
      <c r="Q12" s="11" t="s">
        <v>9</v>
      </c>
      <c r="R12" s="38" t="s">
        <v>85</v>
      </c>
      <c r="S12" s="11" t="s">
        <v>84</v>
      </c>
      <c r="T12" s="38"/>
      <c r="U12" s="11" t="s">
        <v>86</v>
      </c>
      <c r="V12" s="11" t="s">
        <v>85</v>
      </c>
      <c r="W12" s="38" t="s">
        <v>85</v>
      </c>
      <c r="X12" s="11"/>
      <c r="Y12" s="38"/>
      <c r="Z12" s="11"/>
      <c r="AA12" s="38"/>
      <c r="AB12" s="11"/>
      <c r="AC12" s="38"/>
      <c r="AD12" s="11"/>
      <c r="AE12" s="11"/>
      <c r="AF12" s="78"/>
      <c r="AG12" s="79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78"/>
      <c r="AG13" s="79"/>
    </row>
    <row r="14" spans="1:33" s="5" customFormat="1" ht="21.75" customHeight="1">
      <c r="A14" s="12">
        <f>A13+1</f>
        <v>2</v>
      </c>
      <c r="B14" s="110" t="s">
        <v>71</v>
      </c>
      <c r="C14" s="111"/>
      <c r="D14" s="111"/>
      <c r="E14" s="111"/>
      <c r="F14" s="111"/>
      <c r="G14" s="111"/>
      <c r="H14" s="111"/>
      <c r="I14" s="1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78"/>
      <c r="AG14" s="79"/>
    </row>
    <row r="15" spans="1:33" s="5" customFormat="1" ht="21.75" customHeight="1">
      <c r="A15" s="12">
        <f>A14+1</f>
        <v>3</v>
      </c>
      <c r="B15" s="19" t="s">
        <v>28</v>
      </c>
      <c r="C15" s="20"/>
      <c r="D15" s="15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78"/>
      <c r="AG15" s="79"/>
    </row>
    <row r="16" spans="1:33" s="5" customFormat="1" ht="21.75" customHeight="1">
      <c r="A16" s="12">
        <f>A15+1</f>
        <v>4</v>
      </c>
      <c r="B16" s="13">
        <v>37592.24</v>
      </c>
      <c r="C16" s="14">
        <v>37620.24</v>
      </c>
      <c r="D16" s="15" t="s">
        <v>33</v>
      </c>
      <c r="E16" s="16">
        <f aca="true" t="shared" si="0" ref="E16:E26">C16-B16</f>
        <v>28</v>
      </c>
      <c r="F16" s="17">
        <v>13.72</v>
      </c>
      <c r="G16" s="18"/>
      <c r="H16" s="16"/>
      <c r="I16" s="16">
        <f>IF($G16=0,ROUND($E16*$F16,2),ROUND($E16*$F16*$G16,2))</f>
        <v>384.16</v>
      </c>
      <c r="J16" s="16"/>
      <c r="K16" s="16"/>
      <c r="L16" s="16"/>
      <c r="M16" s="16"/>
      <c r="N16" s="16"/>
      <c r="O16" s="16"/>
      <c r="P16" s="16"/>
      <c r="Q16" s="16"/>
      <c r="R16" s="16"/>
      <c r="S16" s="63">
        <f>ROUND(($V16/S$72),3)</f>
        <v>0.021</v>
      </c>
      <c r="T16" s="16"/>
      <c r="U16" s="16">
        <f>ROUND((($U$72*$W$72*$U$73*$U$74*$W16)/2000),2)</f>
        <v>1.1</v>
      </c>
      <c r="V16" s="16">
        <f>ROUND((($I16+$J16)/9),2)</f>
        <v>42.68</v>
      </c>
      <c r="W16" s="16">
        <f>ROUND((($I16+$J16)/9),2)</f>
        <v>42.68</v>
      </c>
      <c r="X16" s="16"/>
      <c r="Y16" s="16"/>
      <c r="Z16" s="16"/>
      <c r="AA16" s="16"/>
      <c r="AB16" s="16"/>
      <c r="AC16" s="16"/>
      <c r="AD16" s="16"/>
      <c r="AE16" s="16"/>
      <c r="AF16" s="78"/>
      <c r="AG16" s="79"/>
    </row>
    <row r="17" spans="1:33" s="5" customFormat="1" ht="21.75" customHeight="1">
      <c r="A17" s="12">
        <f aca="true" t="shared" si="1" ref="A17:A66">A16+1</f>
        <v>5</v>
      </c>
      <c r="B17" s="13"/>
      <c r="C17" s="14"/>
      <c r="D17" s="15"/>
      <c r="E17" s="16"/>
      <c r="F17" s="17"/>
      <c r="G17" s="1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63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78"/>
      <c r="AG17" s="79"/>
    </row>
    <row r="18" spans="1:33" s="5" customFormat="1" ht="21.75" customHeight="1">
      <c r="A18" s="12">
        <f t="shared" si="1"/>
        <v>6</v>
      </c>
      <c r="B18" s="14">
        <v>39137.36</v>
      </c>
      <c r="C18" s="21">
        <v>39200</v>
      </c>
      <c r="D18" s="15" t="s">
        <v>33</v>
      </c>
      <c r="E18" s="16">
        <f t="shared" si="0"/>
        <v>62.63999999999942</v>
      </c>
      <c r="F18" s="17">
        <f>ROUND(AVERAGE(18,17.554),2)</f>
        <v>17.78</v>
      </c>
      <c r="G18" s="18">
        <f>ROUND((21630.9102-($F18/2))/21630.9102,4)</f>
        <v>0.9996</v>
      </c>
      <c r="H18" s="18">
        <f>ROUND((21630.9102-($F18))/21630.9102,4)</f>
        <v>0.9992</v>
      </c>
      <c r="I18" s="16">
        <f>IF($G18=0,ROUND($E18*$F18,2),ROUND($E18*$F18*$G18,2))</f>
        <v>1113.29</v>
      </c>
      <c r="J18" s="16"/>
      <c r="K18" s="16"/>
      <c r="L18" s="16"/>
      <c r="M18" s="16"/>
      <c r="N18" s="16"/>
      <c r="O18" s="16"/>
      <c r="P18" s="16"/>
      <c r="Q18" s="16"/>
      <c r="R18" s="16"/>
      <c r="S18" s="63">
        <f>ROUND(($V18/S$72),3)</f>
        <v>0.062</v>
      </c>
      <c r="T18" s="16"/>
      <c r="U18" s="16">
        <f>ROUND((($U$72*$W$72*$U$73*$U$74*$W18)/2000),2)</f>
        <v>3.2</v>
      </c>
      <c r="V18" s="16">
        <f>ROUND((($I18+$J18)/9),2)</f>
        <v>123.7</v>
      </c>
      <c r="W18" s="16">
        <f>ROUND((($I18+$J18)/9),2)</f>
        <v>123.7</v>
      </c>
      <c r="X18" s="16"/>
      <c r="Y18" s="16"/>
      <c r="Z18" s="16"/>
      <c r="AA18" s="16"/>
      <c r="AB18" s="16"/>
      <c r="AC18" s="16"/>
      <c r="AD18" s="16"/>
      <c r="AE18" s="16"/>
      <c r="AF18" s="78"/>
      <c r="AG18" s="79"/>
    </row>
    <row r="19" spans="1:33" s="5" customFormat="1" ht="21.75" customHeight="1">
      <c r="A19" s="12">
        <f t="shared" si="1"/>
        <v>7</v>
      </c>
      <c r="B19" s="13">
        <f aca="true" t="shared" si="2" ref="B19:B26">C18</f>
        <v>39200</v>
      </c>
      <c r="C19" s="14">
        <v>39800</v>
      </c>
      <c r="D19" s="15" t="s">
        <v>33</v>
      </c>
      <c r="E19" s="16">
        <f t="shared" si="0"/>
        <v>600</v>
      </c>
      <c r="F19" s="17">
        <f>ROUND(AVERAGE(18,12),2)</f>
        <v>15</v>
      </c>
      <c r="G19" s="18">
        <f>ROUND((21630.9102-($F19/2))/21630.9102,4)</f>
        <v>0.9997</v>
      </c>
      <c r="H19" s="18">
        <f>ROUND((21630.9102-($F19))/21630.9102,4)</f>
        <v>0.9993</v>
      </c>
      <c r="I19" s="16">
        <f>IF($G19=0,ROUND($E19*$F19,2),ROUND($E19*$F19*$G19,2))</f>
        <v>8997.3</v>
      </c>
      <c r="J19" s="16"/>
      <c r="K19" s="16"/>
      <c r="L19" s="15"/>
      <c r="M19" s="15"/>
      <c r="N19" s="15"/>
      <c r="O19" s="15"/>
      <c r="P19" s="16"/>
      <c r="Q19" s="16"/>
      <c r="R19" s="16"/>
      <c r="S19" s="63">
        <f>ROUND(($V19/S$72),3)</f>
        <v>0.5</v>
      </c>
      <c r="T19" s="16"/>
      <c r="U19" s="16">
        <f>ROUND((($U$72*$W$72*$U$73*$U$74*$W19)/2000),2)</f>
        <v>25.87</v>
      </c>
      <c r="V19" s="16">
        <f aca="true" t="shared" si="3" ref="V19:W51">ROUND((($I19+$J19)/9),2)</f>
        <v>999.7</v>
      </c>
      <c r="W19" s="16">
        <f t="shared" si="3"/>
        <v>999.7</v>
      </c>
      <c r="X19" s="16"/>
      <c r="Y19" s="16"/>
      <c r="Z19" s="16"/>
      <c r="AA19" s="16"/>
      <c r="AB19" s="16"/>
      <c r="AC19" s="16"/>
      <c r="AD19" s="16"/>
      <c r="AE19" s="16"/>
      <c r="AF19" s="78"/>
      <c r="AG19" s="79"/>
    </row>
    <row r="20" spans="1:33" s="5" customFormat="1" ht="21.75" customHeight="1">
      <c r="A20" s="12">
        <f t="shared" si="1"/>
        <v>8</v>
      </c>
      <c r="B20" s="13">
        <f t="shared" si="2"/>
        <v>39800</v>
      </c>
      <c r="C20" s="14">
        <v>40459.11</v>
      </c>
      <c r="D20" s="15" t="s">
        <v>33</v>
      </c>
      <c r="E20" s="16">
        <f t="shared" si="0"/>
        <v>659.1100000000006</v>
      </c>
      <c r="F20" s="23">
        <v>12</v>
      </c>
      <c r="G20" s="18">
        <f>ROUND((21630.9102-($F20/2))/21630.9102,4)</f>
        <v>0.9997</v>
      </c>
      <c r="H20" s="18">
        <f>ROUND((21630.9102-($F20))/21630.9102,4)</f>
        <v>0.9994</v>
      </c>
      <c r="I20" s="16">
        <f>IF($G20=0,ROUND($E20*$F20,2),ROUND($E20*$F20*$G20,2))</f>
        <v>7906.95</v>
      </c>
      <c r="J20" s="16"/>
      <c r="K20" s="16"/>
      <c r="L20" s="16"/>
      <c r="M20" s="16"/>
      <c r="N20" s="16"/>
      <c r="O20" s="16"/>
      <c r="P20" s="16"/>
      <c r="Q20" s="16"/>
      <c r="R20" s="16"/>
      <c r="S20" s="63">
        <f>ROUND(($V20/S$72),3)</f>
        <v>0.439</v>
      </c>
      <c r="T20" s="16"/>
      <c r="U20" s="16">
        <f>ROUND((($U$72*$W$72*$U$73*$U$74*$W20)/2000),2)</f>
        <v>22.73</v>
      </c>
      <c r="V20" s="16">
        <f t="shared" si="3"/>
        <v>878.55</v>
      </c>
      <c r="W20" s="16">
        <f t="shared" si="3"/>
        <v>878.55</v>
      </c>
      <c r="X20" s="16"/>
      <c r="Y20" s="16"/>
      <c r="Z20" s="16"/>
      <c r="AA20" s="16"/>
      <c r="AB20" s="16"/>
      <c r="AC20" s="16"/>
      <c r="AD20" s="16"/>
      <c r="AE20" s="16"/>
      <c r="AF20" s="78"/>
      <c r="AG20" s="79"/>
    </row>
    <row r="21" spans="1:33" s="5" customFormat="1" ht="21.75" customHeight="1">
      <c r="A21" s="12">
        <f t="shared" si="1"/>
        <v>9</v>
      </c>
      <c r="B21" s="13">
        <f t="shared" si="2"/>
        <v>40459.11</v>
      </c>
      <c r="C21" s="14">
        <v>42506.99</v>
      </c>
      <c r="D21" s="15" t="s">
        <v>33</v>
      </c>
      <c r="E21" s="16">
        <f t="shared" si="0"/>
        <v>2047.8799999999974</v>
      </c>
      <c r="F21" s="23">
        <v>12</v>
      </c>
      <c r="G21" s="18"/>
      <c r="H21" s="16"/>
      <c r="I21" s="16">
        <f>IF($G21=0,ROUND($E21*$F21,2),ROUND($E21*$F21*$G21,2))</f>
        <v>24574.56</v>
      </c>
      <c r="J21" s="16"/>
      <c r="K21" s="16"/>
      <c r="L21" s="16"/>
      <c r="M21" s="16"/>
      <c r="N21" s="16"/>
      <c r="O21" s="16"/>
      <c r="P21" s="16"/>
      <c r="Q21" s="16"/>
      <c r="R21" s="16"/>
      <c r="S21" s="63">
        <f>ROUND(($V21/S$72),3)</f>
        <v>1.365</v>
      </c>
      <c r="T21" s="16"/>
      <c r="U21" s="16">
        <f>ROUND((($U$72*$W$72*$U$73*$U$74*$W21)/2000),2)</f>
        <v>70.65</v>
      </c>
      <c r="V21" s="16">
        <f t="shared" si="3"/>
        <v>2730.51</v>
      </c>
      <c r="W21" s="16">
        <f t="shared" si="3"/>
        <v>2730.51</v>
      </c>
      <c r="X21" s="16"/>
      <c r="Y21" s="16"/>
      <c r="Z21" s="16"/>
      <c r="AA21" s="16"/>
      <c r="AB21" s="16"/>
      <c r="AC21" s="16"/>
      <c r="AD21" s="16"/>
      <c r="AE21" s="16"/>
      <c r="AF21" s="78"/>
      <c r="AG21" s="79"/>
    </row>
    <row r="22" spans="1:33" s="5" customFormat="1" ht="21.75" customHeight="1">
      <c r="A22" s="12">
        <f t="shared" si="1"/>
        <v>10</v>
      </c>
      <c r="B22" s="13">
        <f t="shared" si="2"/>
        <v>42506.99</v>
      </c>
      <c r="C22" s="14">
        <v>42531.99</v>
      </c>
      <c r="D22" s="15" t="s">
        <v>33</v>
      </c>
      <c r="E22" s="16">
        <f t="shared" si="0"/>
        <v>25</v>
      </c>
      <c r="F22" s="23">
        <v>12</v>
      </c>
      <c r="G22" s="18"/>
      <c r="H22" s="16"/>
      <c r="I22" s="16">
        <f>IF($G22=0,ROUND($E22*$F22,2),ROUND($E22*$F22*$G22,2))</f>
        <v>300</v>
      </c>
      <c r="J22" s="16"/>
      <c r="K22" s="16"/>
      <c r="L22" s="16"/>
      <c r="M22" s="16"/>
      <c r="N22" s="16"/>
      <c r="O22" s="16"/>
      <c r="P22" s="16"/>
      <c r="Q22" s="16"/>
      <c r="R22" s="16"/>
      <c r="S22" s="63">
        <f>ROUND(($V22/S$72),3)</f>
        <v>0.017</v>
      </c>
      <c r="T22" s="16"/>
      <c r="U22" s="16">
        <f>ROUND((($U$72*$W$72*$U$73*$U$74*$W22)/2000),2)</f>
        <v>0.86</v>
      </c>
      <c r="V22" s="16">
        <f t="shared" si="3"/>
        <v>33.33</v>
      </c>
      <c r="W22" s="16">
        <f t="shared" si="3"/>
        <v>33.33</v>
      </c>
      <c r="X22" s="16"/>
      <c r="Y22" s="16"/>
      <c r="Z22" s="16"/>
      <c r="AA22" s="16"/>
      <c r="AB22" s="16"/>
      <c r="AC22" s="16"/>
      <c r="AD22" s="16"/>
      <c r="AE22" s="16"/>
      <c r="AF22" s="78"/>
      <c r="AG22" s="79"/>
    </row>
    <row r="23" spans="1:33" s="5" customFormat="1" ht="21.75" customHeight="1">
      <c r="A23" s="12">
        <f t="shared" si="1"/>
        <v>11</v>
      </c>
      <c r="B23" s="13"/>
      <c r="C23" s="14"/>
      <c r="D23" s="15"/>
      <c r="E23" s="16"/>
      <c r="F23" s="23"/>
      <c r="G23" s="18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63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78"/>
      <c r="AG23" s="79"/>
    </row>
    <row r="24" spans="1:33" s="5" customFormat="1" ht="21.75" customHeight="1">
      <c r="A24" s="12">
        <f t="shared" si="1"/>
        <v>12</v>
      </c>
      <c r="B24" s="13">
        <v>42687.55</v>
      </c>
      <c r="C24" s="14">
        <v>42712.55</v>
      </c>
      <c r="D24" s="15" t="s">
        <v>33</v>
      </c>
      <c r="E24" s="16">
        <f t="shared" si="0"/>
        <v>25</v>
      </c>
      <c r="F24" s="23">
        <v>12</v>
      </c>
      <c r="G24" s="18"/>
      <c r="H24" s="16"/>
      <c r="I24" s="16">
        <f>IF(G24=0,ROUND($E24*$F24,2),ROUND($E24*$F24*$G24,2))</f>
        <v>300</v>
      </c>
      <c r="J24" s="16"/>
      <c r="K24" s="16"/>
      <c r="L24" s="16"/>
      <c r="M24" s="16"/>
      <c r="N24" s="16"/>
      <c r="O24" s="16"/>
      <c r="P24" s="16"/>
      <c r="Q24" s="16"/>
      <c r="R24" s="16"/>
      <c r="S24" s="63">
        <f>ROUND(($V24/S$72),3)</f>
        <v>0.017</v>
      </c>
      <c r="T24" s="16"/>
      <c r="U24" s="16">
        <f>ROUND((($U$72*$W$72*$U$73*$U$74*$W24)/2000),2)</f>
        <v>0.86</v>
      </c>
      <c r="V24" s="16">
        <f t="shared" si="3"/>
        <v>33.33</v>
      </c>
      <c r="W24" s="16">
        <f t="shared" si="3"/>
        <v>33.33</v>
      </c>
      <c r="X24" s="16"/>
      <c r="Y24" s="16"/>
      <c r="Z24" s="16"/>
      <c r="AA24" s="16"/>
      <c r="AB24" s="16"/>
      <c r="AC24" s="16"/>
      <c r="AD24" s="16"/>
      <c r="AE24" s="16"/>
      <c r="AF24" s="78"/>
      <c r="AG24" s="79"/>
    </row>
    <row r="25" spans="1:33" s="5" customFormat="1" ht="21.75" customHeight="1">
      <c r="A25" s="12">
        <f t="shared" si="1"/>
        <v>13</v>
      </c>
      <c r="B25" s="13">
        <f t="shared" si="2"/>
        <v>42712.55</v>
      </c>
      <c r="C25" s="14">
        <v>42841.24</v>
      </c>
      <c r="D25" s="15" t="s">
        <v>33</v>
      </c>
      <c r="E25" s="16">
        <f t="shared" si="0"/>
        <v>128.68999999999505</v>
      </c>
      <c r="F25" s="23">
        <v>12</v>
      </c>
      <c r="G25" s="18"/>
      <c r="H25" s="16"/>
      <c r="I25" s="16">
        <f>IF(G25=0,ROUND($E25*$F25,2),ROUND($E25*$F25*$G25,2))</f>
        <v>1544.28</v>
      </c>
      <c r="J25" s="16"/>
      <c r="K25" s="16"/>
      <c r="L25" s="16"/>
      <c r="M25" s="16"/>
      <c r="N25" s="16"/>
      <c r="O25" s="16"/>
      <c r="P25" s="16"/>
      <c r="Q25" s="16"/>
      <c r="R25" s="16"/>
      <c r="S25" s="63">
        <f>ROUND(($V25/S$72),3)</f>
        <v>0.086</v>
      </c>
      <c r="T25" s="16"/>
      <c r="U25" s="16">
        <f>ROUND((($U$72*$W$72*$U$73*$U$74*$W25)/2000),2)</f>
        <v>4.44</v>
      </c>
      <c r="V25" s="16">
        <f t="shared" si="3"/>
        <v>171.59</v>
      </c>
      <c r="W25" s="16">
        <f t="shared" si="3"/>
        <v>171.59</v>
      </c>
      <c r="X25" s="16"/>
      <c r="Y25" s="16"/>
      <c r="Z25" s="16"/>
      <c r="AA25" s="16"/>
      <c r="AB25" s="16"/>
      <c r="AC25" s="16"/>
      <c r="AD25" s="16"/>
      <c r="AE25" s="16"/>
      <c r="AF25" s="78"/>
      <c r="AG25" s="79"/>
    </row>
    <row r="26" spans="1:33" s="5" customFormat="1" ht="21.75" customHeight="1">
      <c r="A26" s="12">
        <f>A25+1</f>
        <v>14</v>
      </c>
      <c r="B26" s="13">
        <f t="shared" si="2"/>
        <v>42841.24</v>
      </c>
      <c r="C26" s="14">
        <v>42902.74</v>
      </c>
      <c r="D26" s="15" t="s">
        <v>33</v>
      </c>
      <c r="E26" s="16">
        <f t="shared" si="0"/>
        <v>61.5</v>
      </c>
      <c r="F26" s="23">
        <v>12</v>
      </c>
      <c r="G26" s="18">
        <f>ROUND((14228.562-($F26/2))/14228.562,4)</f>
        <v>0.9996</v>
      </c>
      <c r="H26" s="18">
        <f>ROUND((14228.562-($F26))/14228.562,4)</f>
        <v>0.9992</v>
      </c>
      <c r="I26" s="16">
        <f>IF(G26=0,ROUND($E26*$F26,2),ROUND($E26*$F26*$G26,2))</f>
        <v>737.7</v>
      </c>
      <c r="J26" s="16"/>
      <c r="K26" s="16"/>
      <c r="L26" s="16"/>
      <c r="M26" s="16"/>
      <c r="N26" s="16"/>
      <c r="O26" s="16"/>
      <c r="P26" s="16"/>
      <c r="Q26" s="16"/>
      <c r="R26" s="16"/>
      <c r="S26" s="63">
        <f>ROUND(($V26/S$72),3)</f>
        <v>0.041</v>
      </c>
      <c r="T26" s="16"/>
      <c r="U26" s="16">
        <f>ROUND((($U$72*$W$72*$U$73*$U$74*$W26)/2000),2)</f>
        <v>2.12</v>
      </c>
      <c r="V26" s="16">
        <f t="shared" si="3"/>
        <v>81.97</v>
      </c>
      <c r="W26" s="16">
        <f t="shared" si="3"/>
        <v>81.97</v>
      </c>
      <c r="X26" s="16"/>
      <c r="Y26" s="16"/>
      <c r="Z26" s="16"/>
      <c r="AA26" s="16"/>
      <c r="AB26" s="16"/>
      <c r="AC26" s="16"/>
      <c r="AD26" s="16"/>
      <c r="AE26" s="16"/>
      <c r="AF26" s="78"/>
      <c r="AG26" s="79"/>
    </row>
    <row r="27" spans="1:33" s="5" customFormat="1" ht="21.75" customHeight="1">
      <c r="A27" s="12">
        <f t="shared" si="1"/>
        <v>15</v>
      </c>
      <c r="B27" s="13"/>
      <c r="C27" s="14"/>
      <c r="D27" s="15"/>
      <c r="E27" s="16"/>
      <c r="F27" s="17"/>
      <c r="G27" s="18"/>
      <c r="H27" s="1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63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78"/>
      <c r="AG27" s="79"/>
    </row>
    <row r="28" spans="1:33" s="5" customFormat="1" ht="21.75" customHeight="1">
      <c r="A28" s="12">
        <f t="shared" si="1"/>
        <v>16</v>
      </c>
      <c r="B28" s="22">
        <v>43117.55</v>
      </c>
      <c r="C28" s="14">
        <v>44823.91</v>
      </c>
      <c r="D28" s="15" t="s">
        <v>33</v>
      </c>
      <c r="E28" s="16">
        <f>C28-B28</f>
        <v>1706.3600000000006</v>
      </c>
      <c r="F28" s="17">
        <v>12</v>
      </c>
      <c r="G28" s="18">
        <f>ROUND((14228.562-($F28/2))/14228.562,4)</f>
        <v>0.9996</v>
      </c>
      <c r="H28" s="18">
        <f>ROUND((14228.562-($F28))/14228.562,4)</f>
        <v>0.9992</v>
      </c>
      <c r="I28" s="16">
        <f>IF(G28=0,ROUND($E28*$F28,2),ROUND($E28*$F28*$G28,2))</f>
        <v>20468.13</v>
      </c>
      <c r="J28" s="16"/>
      <c r="K28" s="16"/>
      <c r="L28" s="16"/>
      <c r="M28" s="16"/>
      <c r="N28" s="16"/>
      <c r="O28" s="16"/>
      <c r="P28" s="16"/>
      <c r="Q28" s="16"/>
      <c r="R28" s="16"/>
      <c r="S28" s="63">
        <f>ROUND(($V28/S$72),3)</f>
        <v>1.137</v>
      </c>
      <c r="T28" s="16"/>
      <c r="U28" s="16">
        <f>ROUND((($U$72*$W$72*$U$73*$U$74*$W28)/2000),2)</f>
        <v>58.85</v>
      </c>
      <c r="V28" s="16">
        <f t="shared" si="3"/>
        <v>2274.24</v>
      </c>
      <c r="W28" s="16">
        <f t="shared" si="3"/>
        <v>2274.24</v>
      </c>
      <c r="X28" s="16"/>
      <c r="Y28" s="16"/>
      <c r="Z28" s="16"/>
      <c r="AA28" s="16"/>
      <c r="AB28" s="16"/>
      <c r="AC28" s="16"/>
      <c r="AD28" s="16"/>
      <c r="AE28" s="16"/>
      <c r="AF28" s="78"/>
      <c r="AG28" s="79"/>
    </row>
    <row r="29" spans="1:33" s="5" customFormat="1" ht="21.75" customHeight="1">
      <c r="A29" s="12">
        <f t="shared" si="1"/>
        <v>17</v>
      </c>
      <c r="B29" s="13">
        <f>C28</f>
        <v>44823.91</v>
      </c>
      <c r="C29" s="14">
        <v>46936.71</v>
      </c>
      <c r="D29" s="15" t="s">
        <v>33</v>
      </c>
      <c r="E29" s="16">
        <f>C29-B29</f>
        <v>2112.7999999999956</v>
      </c>
      <c r="F29" s="17">
        <v>12</v>
      </c>
      <c r="G29" s="18"/>
      <c r="H29" s="16"/>
      <c r="I29" s="16">
        <f>IF(G29=0,ROUND($E29*$F29,2),ROUND($E29*$F29*$G29,2))</f>
        <v>25353.6</v>
      </c>
      <c r="J29" s="16"/>
      <c r="K29" s="16"/>
      <c r="L29" s="16"/>
      <c r="M29" s="16"/>
      <c r="N29" s="16"/>
      <c r="O29" s="16"/>
      <c r="P29" s="16"/>
      <c r="Q29" s="16"/>
      <c r="R29" s="16"/>
      <c r="S29" s="63">
        <f>ROUND(($V29/S$72),3)</f>
        <v>1.409</v>
      </c>
      <c r="T29" s="16"/>
      <c r="U29" s="16">
        <f>ROUND((($U$72*$W$72*$U$73*$U$74*$W29)/2000),2)</f>
        <v>72.89</v>
      </c>
      <c r="V29" s="16">
        <f t="shared" si="3"/>
        <v>2817.07</v>
      </c>
      <c r="W29" s="16">
        <f t="shared" si="3"/>
        <v>2817.07</v>
      </c>
      <c r="X29" s="16"/>
      <c r="Y29" s="16"/>
      <c r="Z29" s="16"/>
      <c r="AA29" s="16"/>
      <c r="AB29" s="16"/>
      <c r="AC29" s="16"/>
      <c r="AD29" s="16"/>
      <c r="AE29" s="16"/>
      <c r="AF29" s="78"/>
      <c r="AG29" s="79"/>
    </row>
    <row r="30" spans="1:33" s="5" customFormat="1" ht="21.75" customHeight="1">
      <c r="A30" s="12">
        <f t="shared" si="1"/>
        <v>18</v>
      </c>
      <c r="B30" s="13">
        <f>C29</f>
        <v>46936.71</v>
      </c>
      <c r="C30" s="14">
        <v>46946.33</v>
      </c>
      <c r="D30" s="15" t="s">
        <v>33</v>
      </c>
      <c r="E30" s="16">
        <f>C30-B30</f>
        <v>9.62000000000262</v>
      </c>
      <c r="F30" s="17">
        <f>ROUND(AVERAGE(8.911,9.069),2)</f>
        <v>8.99</v>
      </c>
      <c r="G30" s="18"/>
      <c r="H30" s="16"/>
      <c r="I30" s="16">
        <f>IF(G30=0,ROUND($E30*$F30,2),ROUND($E30*$F30*$G30,2))</f>
        <v>86.48</v>
      </c>
      <c r="J30" s="16"/>
      <c r="K30" s="16"/>
      <c r="L30" s="16"/>
      <c r="M30" s="16"/>
      <c r="N30" s="16"/>
      <c r="O30" s="16"/>
      <c r="P30" s="16"/>
      <c r="Q30" s="16"/>
      <c r="R30" s="16"/>
      <c r="S30" s="63">
        <f>ROUND(($V30/S$72),3)</f>
        <v>0.005</v>
      </c>
      <c r="T30" s="16"/>
      <c r="U30" s="16">
        <f>ROUND((($U$72*$W$72*$U$73*$U$74*$W30)/2000),2)</f>
        <v>0.25</v>
      </c>
      <c r="V30" s="16">
        <f t="shared" si="3"/>
        <v>9.61</v>
      </c>
      <c r="W30" s="16">
        <f t="shared" si="3"/>
        <v>9.61</v>
      </c>
      <c r="X30" s="16"/>
      <c r="Y30" s="16"/>
      <c r="Z30" s="16"/>
      <c r="AA30" s="16"/>
      <c r="AB30" s="16"/>
      <c r="AC30" s="16"/>
      <c r="AD30" s="16"/>
      <c r="AE30" s="16"/>
      <c r="AF30" s="78"/>
      <c r="AG30" s="79"/>
    </row>
    <row r="31" spans="1:33" s="5" customFormat="1" ht="21.75" customHeight="1">
      <c r="A31" s="12">
        <f t="shared" si="1"/>
        <v>19</v>
      </c>
      <c r="B31" s="13"/>
      <c r="C31" s="14"/>
      <c r="D31" s="15"/>
      <c r="E31" s="16"/>
      <c r="F31" s="17"/>
      <c r="G31" s="1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63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78"/>
      <c r="AG31" s="79"/>
    </row>
    <row r="32" spans="1:33" s="5" customFormat="1" ht="21.75" customHeight="1">
      <c r="A32" s="12">
        <f t="shared" si="1"/>
        <v>20</v>
      </c>
      <c r="B32" s="14"/>
      <c r="C32" s="39"/>
      <c r="D32" s="15"/>
      <c r="E32" s="16"/>
      <c r="F32" s="17"/>
      <c r="G32" s="1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63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78"/>
      <c r="AG32" s="79"/>
    </row>
    <row r="33" spans="1:33" s="5" customFormat="1" ht="21.75" customHeight="1">
      <c r="A33" s="12">
        <f t="shared" si="1"/>
        <v>21</v>
      </c>
      <c r="B33" s="14"/>
      <c r="C33" s="21"/>
      <c r="D33" s="15"/>
      <c r="E33" s="16"/>
      <c r="F33" s="17"/>
      <c r="G33" s="18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63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78"/>
      <c r="AG33" s="79"/>
    </row>
    <row r="34" spans="1:33" s="5" customFormat="1" ht="21.75" customHeight="1">
      <c r="A34" s="12">
        <f t="shared" si="1"/>
        <v>22</v>
      </c>
      <c r="B34" s="14"/>
      <c r="C34" s="14"/>
      <c r="D34" s="15"/>
      <c r="E34" s="16"/>
      <c r="F34" s="17"/>
      <c r="G34" s="18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63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78"/>
      <c r="AG34" s="79"/>
    </row>
    <row r="35" spans="1:33" s="5" customFormat="1" ht="21.75" customHeight="1">
      <c r="A35" s="12">
        <f t="shared" si="1"/>
        <v>23</v>
      </c>
      <c r="B35" s="14"/>
      <c r="C35" s="14"/>
      <c r="D35" s="15"/>
      <c r="E35" s="16"/>
      <c r="F35" s="17"/>
      <c r="G35" s="18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63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78"/>
      <c r="AG35" s="79"/>
    </row>
    <row r="36" spans="1:33" s="5" customFormat="1" ht="21.75" customHeight="1">
      <c r="A36" s="12">
        <f t="shared" si="1"/>
        <v>24</v>
      </c>
      <c r="B36" s="14"/>
      <c r="C36" s="14"/>
      <c r="D36" s="15"/>
      <c r="E36" s="16"/>
      <c r="F36" s="17"/>
      <c r="G36" s="18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63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78"/>
      <c r="AG36" s="79"/>
    </row>
    <row r="37" spans="1:33" s="5" customFormat="1" ht="21.75" customHeight="1">
      <c r="A37" s="12">
        <f t="shared" si="1"/>
        <v>25</v>
      </c>
      <c r="B37" s="110" t="s">
        <v>24</v>
      </c>
      <c r="C37" s="111"/>
      <c r="D37" s="111"/>
      <c r="E37" s="111"/>
      <c r="F37" s="111"/>
      <c r="G37" s="111"/>
      <c r="H37" s="111"/>
      <c r="I37" s="112"/>
      <c r="J37" s="16"/>
      <c r="K37" s="16"/>
      <c r="L37" s="16"/>
      <c r="M37" s="16"/>
      <c r="N37" s="16"/>
      <c r="O37" s="16"/>
      <c r="P37" s="16"/>
      <c r="Q37" s="16"/>
      <c r="R37" s="16"/>
      <c r="S37" s="63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78"/>
      <c r="AG37" s="79"/>
    </row>
    <row r="38" spans="1:33" s="5" customFormat="1" ht="21.75" customHeight="1">
      <c r="A38" s="12">
        <f t="shared" si="1"/>
        <v>26</v>
      </c>
      <c r="B38" s="19" t="s">
        <v>19</v>
      </c>
      <c r="C38" s="14"/>
      <c r="D38" s="15"/>
      <c r="E38" s="16"/>
      <c r="F38" s="23"/>
      <c r="G38" s="1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63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78"/>
      <c r="AG38" s="79"/>
    </row>
    <row r="39" spans="1:33" s="5" customFormat="1" ht="21.75" customHeight="1">
      <c r="A39" s="12">
        <f t="shared" si="1"/>
        <v>27</v>
      </c>
      <c r="B39" s="13">
        <v>46946.96</v>
      </c>
      <c r="C39" s="14">
        <v>47226.99</v>
      </c>
      <c r="D39" s="15" t="s">
        <v>25</v>
      </c>
      <c r="E39" s="16">
        <f>C39-B39</f>
        <v>280.02999999999884</v>
      </c>
      <c r="F39" s="17">
        <v>12</v>
      </c>
      <c r="G39" s="18"/>
      <c r="H39" s="16"/>
      <c r="I39" s="16">
        <f>IF(G39=0,ROUND($E39*$F39,2),ROUND($E39*$F39*$G39,2))</f>
        <v>3360.36</v>
      </c>
      <c r="J39" s="16"/>
      <c r="K39" s="16"/>
      <c r="L39" s="16"/>
      <c r="M39" s="16"/>
      <c r="N39" s="16"/>
      <c r="O39" s="16"/>
      <c r="P39" s="16"/>
      <c r="Q39" s="16"/>
      <c r="R39" s="16"/>
      <c r="S39" s="63">
        <f>ROUND(($V39/S$72),3)</f>
        <v>0.187</v>
      </c>
      <c r="T39" s="16"/>
      <c r="U39" s="16">
        <f>ROUND((($U$72*$W$72*$U$73*$U$74*$W39)/2000),2)</f>
        <v>9.66</v>
      </c>
      <c r="V39" s="16">
        <f t="shared" si="3"/>
        <v>373.37</v>
      </c>
      <c r="W39" s="16">
        <f t="shared" si="3"/>
        <v>373.37</v>
      </c>
      <c r="X39" s="16"/>
      <c r="Y39" s="16"/>
      <c r="Z39" s="16"/>
      <c r="AA39" s="16"/>
      <c r="AB39" s="16"/>
      <c r="AC39" s="16"/>
      <c r="AD39" s="16"/>
      <c r="AE39" s="16"/>
      <c r="AF39" s="78"/>
      <c r="AG39" s="79"/>
    </row>
    <row r="40" spans="1:33" s="5" customFormat="1" ht="21.75" customHeight="1">
      <c r="A40" s="12">
        <f t="shared" si="1"/>
        <v>28</v>
      </c>
      <c r="B40" s="13">
        <f>C39</f>
        <v>47226.99</v>
      </c>
      <c r="C40" s="14">
        <v>47493.14</v>
      </c>
      <c r="D40" s="15" t="s">
        <v>25</v>
      </c>
      <c r="E40" s="16">
        <f>C40-B40</f>
        <v>266.15000000000146</v>
      </c>
      <c r="F40" s="17">
        <v>12</v>
      </c>
      <c r="G40" s="18"/>
      <c r="H40" s="16"/>
      <c r="I40" s="16">
        <f>IF(G40=0,ROUND($E40*$F40,2),ROUND($E40*$F40*$G40,2))</f>
        <v>3193.8</v>
      </c>
      <c r="J40" s="16"/>
      <c r="K40" s="16"/>
      <c r="L40" s="16"/>
      <c r="M40" s="16"/>
      <c r="N40" s="16"/>
      <c r="O40" s="16"/>
      <c r="P40" s="16"/>
      <c r="Q40" s="16"/>
      <c r="R40" s="16"/>
      <c r="S40" s="63">
        <f>ROUND(($V40/S$72),3)</f>
        <v>0.177</v>
      </c>
      <c r="T40" s="16"/>
      <c r="U40" s="16">
        <f>ROUND((($U$72*$W$72*$U$73*$U$74*$W40)/2000),2)</f>
        <v>9.18</v>
      </c>
      <c r="V40" s="16">
        <f t="shared" si="3"/>
        <v>354.87</v>
      </c>
      <c r="W40" s="16">
        <f t="shared" si="3"/>
        <v>354.87</v>
      </c>
      <c r="X40" s="16"/>
      <c r="Y40" s="16"/>
      <c r="Z40" s="16"/>
      <c r="AA40" s="16"/>
      <c r="AB40" s="16"/>
      <c r="AC40" s="16"/>
      <c r="AD40" s="16"/>
      <c r="AE40" s="16"/>
      <c r="AF40" s="78"/>
      <c r="AG40" s="79"/>
    </row>
    <row r="41" spans="1:33" s="5" customFormat="1" ht="21.75" customHeight="1">
      <c r="A41" s="12">
        <f t="shared" si="1"/>
        <v>29</v>
      </c>
      <c r="B41" s="13">
        <f>C40</f>
        <v>47493.14</v>
      </c>
      <c r="C41" s="14">
        <v>48564.96</v>
      </c>
      <c r="D41" s="15" t="s">
        <v>25</v>
      </c>
      <c r="E41" s="16">
        <f>C41-B41</f>
        <v>1071.8199999999997</v>
      </c>
      <c r="F41" s="17">
        <v>12</v>
      </c>
      <c r="G41" s="18">
        <f>ROUND((3904.072-($F41/2))/3904.072,4)</f>
        <v>0.9985</v>
      </c>
      <c r="H41" s="16"/>
      <c r="I41" s="16">
        <f>IF(G41=0,ROUND($E41*$F41,2),ROUND($E41*$F41*$G41,2))</f>
        <v>12842.55</v>
      </c>
      <c r="J41" s="16"/>
      <c r="K41" s="16"/>
      <c r="L41" s="16"/>
      <c r="M41" s="16"/>
      <c r="N41" s="16"/>
      <c r="O41" s="16"/>
      <c r="P41" s="16"/>
      <c r="Q41" s="16"/>
      <c r="R41" s="16"/>
      <c r="S41" s="63">
        <f>ROUND(($V41/S$72),3)</f>
        <v>0.713</v>
      </c>
      <c r="T41" s="16"/>
      <c r="U41" s="16">
        <f>ROUND((($U$72*$W$72*$U$73*$U$74*$W41)/2000),2)</f>
        <v>36.92</v>
      </c>
      <c r="V41" s="16">
        <f t="shared" si="3"/>
        <v>1426.95</v>
      </c>
      <c r="W41" s="16">
        <f t="shared" si="3"/>
        <v>1426.95</v>
      </c>
      <c r="X41" s="16"/>
      <c r="Y41" s="16"/>
      <c r="Z41" s="16"/>
      <c r="AA41" s="16"/>
      <c r="AB41" s="16"/>
      <c r="AC41" s="16"/>
      <c r="AD41" s="16"/>
      <c r="AE41" s="16"/>
      <c r="AF41" s="78"/>
      <c r="AG41" s="79"/>
    </row>
    <row r="42" spans="1:33" s="5" customFormat="1" ht="21.75" customHeight="1">
      <c r="A42" s="12">
        <f t="shared" si="1"/>
        <v>30</v>
      </c>
      <c r="B42" s="13"/>
      <c r="C42" s="14"/>
      <c r="D42" s="15"/>
      <c r="E42" s="16"/>
      <c r="F42" s="17"/>
      <c r="G42" s="18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63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78"/>
      <c r="AG42" s="79"/>
    </row>
    <row r="43" spans="1:33" s="5" customFormat="1" ht="21.75" customHeight="1">
      <c r="A43" s="12">
        <f t="shared" si="1"/>
        <v>31</v>
      </c>
      <c r="B43" s="13">
        <v>46946.96</v>
      </c>
      <c r="C43" s="14">
        <v>47226.99</v>
      </c>
      <c r="D43" s="15" t="s">
        <v>20</v>
      </c>
      <c r="E43" s="16">
        <f aca="true" t="shared" si="4" ref="E43:E51">C43-B43</f>
        <v>280.02999999999884</v>
      </c>
      <c r="F43" s="17">
        <v>48</v>
      </c>
      <c r="G43" s="18"/>
      <c r="H43" s="16"/>
      <c r="I43" s="16">
        <f>IF(G43=0,ROUND($E43*$F43,2),ROUND($E43*$F43*$G43,2))</f>
        <v>13441.44</v>
      </c>
      <c r="J43" s="16"/>
      <c r="K43" s="16"/>
      <c r="L43" s="16"/>
      <c r="M43" s="16"/>
      <c r="N43" s="16"/>
      <c r="O43" s="16"/>
      <c r="P43" s="16"/>
      <c r="Q43" s="16"/>
      <c r="R43" s="16"/>
      <c r="S43" s="63">
        <f aca="true" t="shared" si="5" ref="S43:S51">ROUND(($V43/S$72),3)</f>
        <v>0.747</v>
      </c>
      <c r="T43" s="16"/>
      <c r="U43" s="16">
        <f aca="true" t="shared" si="6" ref="U43:U51">ROUND((($U$72*$W$72*$U$73*$U$74*$W43)/2000),2)</f>
        <v>38.64</v>
      </c>
      <c r="V43" s="16">
        <f t="shared" si="3"/>
        <v>1493.49</v>
      </c>
      <c r="W43" s="16">
        <f t="shared" si="3"/>
        <v>1493.49</v>
      </c>
      <c r="X43" s="16"/>
      <c r="Y43" s="16"/>
      <c r="Z43" s="16"/>
      <c r="AA43" s="16"/>
      <c r="AB43" s="16"/>
      <c r="AC43" s="16"/>
      <c r="AD43" s="16"/>
      <c r="AE43" s="16"/>
      <c r="AF43" s="78"/>
      <c r="AG43" s="79"/>
    </row>
    <row r="44" spans="1:33" s="5" customFormat="1" ht="21.75" customHeight="1">
      <c r="A44" s="12">
        <f t="shared" si="1"/>
        <v>32</v>
      </c>
      <c r="B44" s="13">
        <f>C43</f>
        <v>47226.99</v>
      </c>
      <c r="C44" s="14">
        <v>47493.14</v>
      </c>
      <c r="D44" s="15" t="s">
        <v>20</v>
      </c>
      <c r="E44" s="16">
        <f t="shared" si="4"/>
        <v>266.15000000000146</v>
      </c>
      <c r="F44" s="17">
        <v>48</v>
      </c>
      <c r="G44" s="18"/>
      <c r="H44" s="16"/>
      <c r="I44" s="16">
        <f aca="true" t="shared" si="7" ref="I44:I51">IF(G44=0,ROUND($E44*$F44,2),ROUND($E44*$F44*$G44,2))</f>
        <v>12775.2</v>
      </c>
      <c r="J44" s="16"/>
      <c r="K44" s="16"/>
      <c r="L44" s="16"/>
      <c r="M44" s="16"/>
      <c r="N44" s="16"/>
      <c r="O44" s="16"/>
      <c r="P44" s="16"/>
      <c r="Q44" s="16"/>
      <c r="R44" s="16"/>
      <c r="S44" s="63">
        <f t="shared" si="5"/>
        <v>0.71</v>
      </c>
      <c r="T44" s="16"/>
      <c r="U44" s="16">
        <f t="shared" si="6"/>
        <v>36.73</v>
      </c>
      <c r="V44" s="16">
        <f t="shared" si="3"/>
        <v>1419.47</v>
      </c>
      <c r="W44" s="16">
        <f t="shared" si="3"/>
        <v>1419.47</v>
      </c>
      <c r="X44" s="16"/>
      <c r="Y44" s="16"/>
      <c r="Z44" s="16"/>
      <c r="AA44" s="16"/>
      <c r="AB44" s="16"/>
      <c r="AC44" s="16"/>
      <c r="AD44" s="16"/>
      <c r="AE44" s="16"/>
      <c r="AF44" s="78"/>
      <c r="AG44" s="79"/>
    </row>
    <row r="45" spans="1:33" s="5" customFormat="1" ht="21.75" customHeight="1">
      <c r="A45" s="12">
        <f t="shared" si="1"/>
        <v>33</v>
      </c>
      <c r="B45" s="13">
        <f aca="true" t="shared" si="8" ref="B45:B51">C44</f>
        <v>47493.14</v>
      </c>
      <c r="C45" s="14">
        <v>47600</v>
      </c>
      <c r="D45" s="15" t="s">
        <v>20</v>
      </c>
      <c r="E45" s="16">
        <f t="shared" si="4"/>
        <v>106.86000000000058</v>
      </c>
      <c r="F45" s="17">
        <v>48</v>
      </c>
      <c r="G45" s="18">
        <f>ROUND((3904.072+($F45/2))/3904.072,4)</f>
        <v>1.0061</v>
      </c>
      <c r="H45" s="16"/>
      <c r="I45" s="16">
        <f t="shared" si="7"/>
        <v>5160.57</v>
      </c>
      <c r="J45" s="16"/>
      <c r="K45" s="16"/>
      <c r="L45" s="16"/>
      <c r="M45" s="16"/>
      <c r="N45" s="16"/>
      <c r="O45" s="16"/>
      <c r="P45" s="16"/>
      <c r="Q45" s="16"/>
      <c r="R45" s="16"/>
      <c r="S45" s="63">
        <f t="shared" si="5"/>
        <v>0.287</v>
      </c>
      <c r="T45" s="16"/>
      <c r="U45" s="16">
        <f t="shared" si="6"/>
        <v>14.84</v>
      </c>
      <c r="V45" s="16">
        <f t="shared" si="3"/>
        <v>573.4</v>
      </c>
      <c r="W45" s="16">
        <f t="shared" si="3"/>
        <v>573.4</v>
      </c>
      <c r="X45" s="16"/>
      <c r="Y45" s="16"/>
      <c r="Z45" s="16"/>
      <c r="AA45" s="16"/>
      <c r="AB45" s="16"/>
      <c r="AC45" s="16"/>
      <c r="AD45" s="16"/>
      <c r="AE45" s="16"/>
      <c r="AF45" s="78"/>
      <c r="AG45" s="79"/>
    </row>
    <row r="46" spans="1:33" s="5" customFormat="1" ht="21.75" customHeight="1">
      <c r="A46" s="12">
        <f t="shared" si="1"/>
        <v>34</v>
      </c>
      <c r="B46" s="13">
        <f t="shared" si="8"/>
        <v>47600</v>
      </c>
      <c r="C46" s="14">
        <v>49575.59</v>
      </c>
      <c r="D46" s="15" t="s">
        <v>20</v>
      </c>
      <c r="E46" s="16">
        <f t="shared" si="4"/>
        <v>1975.5899999999965</v>
      </c>
      <c r="F46" s="17">
        <v>36</v>
      </c>
      <c r="G46" s="18">
        <f>ROUND((3904.072+($F46/2))/3904.072,4)</f>
        <v>1.0046</v>
      </c>
      <c r="H46" s="16"/>
      <c r="I46" s="16">
        <f t="shared" si="7"/>
        <v>71448.4</v>
      </c>
      <c r="J46" s="16"/>
      <c r="K46" s="16"/>
      <c r="L46" s="16"/>
      <c r="M46" s="16"/>
      <c r="N46" s="16"/>
      <c r="O46" s="16"/>
      <c r="P46" s="16"/>
      <c r="Q46" s="16"/>
      <c r="R46" s="16"/>
      <c r="S46" s="63">
        <f t="shared" si="5"/>
        <v>3.969</v>
      </c>
      <c r="T46" s="16"/>
      <c r="U46" s="16">
        <f t="shared" si="6"/>
        <v>205.41</v>
      </c>
      <c r="V46" s="16">
        <f t="shared" si="3"/>
        <v>7938.71</v>
      </c>
      <c r="W46" s="16">
        <f t="shared" si="3"/>
        <v>7938.71</v>
      </c>
      <c r="X46" s="16"/>
      <c r="Y46" s="16"/>
      <c r="Z46" s="16"/>
      <c r="AA46" s="16"/>
      <c r="AB46" s="16"/>
      <c r="AC46" s="16"/>
      <c r="AD46" s="16"/>
      <c r="AE46" s="16"/>
      <c r="AF46" s="78"/>
      <c r="AG46" s="79"/>
    </row>
    <row r="47" spans="1:33" s="5" customFormat="1" ht="21.75" customHeight="1">
      <c r="A47" s="12">
        <f t="shared" si="1"/>
        <v>35</v>
      </c>
      <c r="B47" s="13">
        <f t="shared" si="8"/>
        <v>49575.59</v>
      </c>
      <c r="C47" s="14">
        <v>50211.45</v>
      </c>
      <c r="D47" s="15" t="s">
        <v>20</v>
      </c>
      <c r="E47" s="16">
        <f t="shared" si="4"/>
        <v>635.8600000000006</v>
      </c>
      <c r="F47" s="17">
        <v>36</v>
      </c>
      <c r="G47" s="18"/>
      <c r="H47" s="16"/>
      <c r="I47" s="16">
        <f t="shared" si="7"/>
        <v>22890.96</v>
      </c>
      <c r="J47" s="16"/>
      <c r="K47" s="16"/>
      <c r="L47" s="16"/>
      <c r="M47" s="16"/>
      <c r="N47" s="16"/>
      <c r="O47" s="16"/>
      <c r="P47" s="16"/>
      <c r="Q47" s="42"/>
      <c r="R47" s="16"/>
      <c r="S47" s="63">
        <f t="shared" si="5"/>
        <v>1.272</v>
      </c>
      <c r="T47" s="16"/>
      <c r="U47" s="16">
        <f t="shared" si="6"/>
        <v>65.81</v>
      </c>
      <c r="V47" s="16">
        <f t="shared" si="3"/>
        <v>2543.44</v>
      </c>
      <c r="W47" s="16">
        <f t="shared" si="3"/>
        <v>2543.44</v>
      </c>
      <c r="X47" s="16"/>
      <c r="Y47" s="16"/>
      <c r="Z47" s="16"/>
      <c r="AA47" s="16"/>
      <c r="AB47" s="16"/>
      <c r="AC47" s="16"/>
      <c r="AD47" s="16"/>
      <c r="AE47" s="16"/>
      <c r="AF47" s="78"/>
      <c r="AG47" s="79"/>
    </row>
    <row r="48" spans="1:33" s="5" customFormat="1" ht="21.75" customHeight="1">
      <c r="A48" s="12">
        <f t="shared" si="1"/>
        <v>36</v>
      </c>
      <c r="B48" s="13">
        <f t="shared" si="8"/>
        <v>50211.45</v>
      </c>
      <c r="C48" s="14">
        <v>50665.75</v>
      </c>
      <c r="D48" s="15" t="s">
        <v>20</v>
      </c>
      <c r="E48" s="16">
        <f t="shared" si="4"/>
        <v>454.3000000000029</v>
      </c>
      <c r="F48" s="17">
        <f>ROUND(AVERAGE(48,38.914),2)</f>
        <v>43.46</v>
      </c>
      <c r="G48" s="18"/>
      <c r="H48" s="16"/>
      <c r="I48" s="16">
        <f t="shared" si="7"/>
        <v>19743.88</v>
      </c>
      <c r="J48" s="16"/>
      <c r="K48" s="16"/>
      <c r="L48" s="16"/>
      <c r="M48" s="16"/>
      <c r="N48" s="16"/>
      <c r="O48" s="16"/>
      <c r="P48" s="16"/>
      <c r="Q48" s="16"/>
      <c r="R48" s="16"/>
      <c r="S48" s="63">
        <f t="shared" si="5"/>
        <v>1.097</v>
      </c>
      <c r="T48" s="16"/>
      <c r="U48" s="16">
        <f t="shared" si="6"/>
        <v>56.76</v>
      </c>
      <c r="V48" s="16">
        <f t="shared" si="3"/>
        <v>2193.76</v>
      </c>
      <c r="W48" s="16">
        <f t="shared" si="3"/>
        <v>2193.76</v>
      </c>
      <c r="X48" s="16"/>
      <c r="Y48" s="16"/>
      <c r="Z48" s="16"/>
      <c r="AA48" s="16"/>
      <c r="AB48" s="16"/>
      <c r="AC48" s="16"/>
      <c r="AD48" s="16"/>
      <c r="AE48" s="16"/>
      <c r="AF48" s="78"/>
      <c r="AG48" s="79"/>
    </row>
    <row r="49" spans="1:33" s="5" customFormat="1" ht="21.75" customHeight="1">
      <c r="A49" s="12">
        <f t="shared" si="1"/>
        <v>37</v>
      </c>
      <c r="B49" s="13">
        <f t="shared" si="8"/>
        <v>50665.75</v>
      </c>
      <c r="C49" s="14">
        <v>50811.45</v>
      </c>
      <c r="D49" s="15" t="s">
        <v>20</v>
      </c>
      <c r="E49" s="16">
        <f t="shared" si="4"/>
        <v>145.6999999999971</v>
      </c>
      <c r="F49" s="17">
        <f>ROUND(AVERAGE(36,38.914),2)</f>
        <v>37.46</v>
      </c>
      <c r="G49" s="18">
        <f>ROUND((((2291.83-($F49/2))/2291.83)+1)/2,4)</f>
        <v>0.9959</v>
      </c>
      <c r="H49" s="16"/>
      <c r="I49" s="16">
        <f t="shared" si="7"/>
        <v>5435.54</v>
      </c>
      <c r="J49" s="16"/>
      <c r="K49" s="16"/>
      <c r="L49" s="16"/>
      <c r="M49" s="16"/>
      <c r="N49" s="16"/>
      <c r="O49" s="16"/>
      <c r="P49" s="16"/>
      <c r="Q49" s="16"/>
      <c r="R49" s="16"/>
      <c r="S49" s="63">
        <f t="shared" si="5"/>
        <v>0.302</v>
      </c>
      <c r="T49" s="16"/>
      <c r="U49" s="16">
        <f t="shared" si="6"/>
        <v>15.63</v>
      </c>
      <c r="V49" s="16">
        <f t="shared" si="3"/>
        <v>603.95</v>
      </c>
      <c r="W49" s="16">
        <f t="shared" si="3"/>
        <v>603.95</v>
      </c>
      <c r="X49" s="16"/>
      <c r="Y49" s="16"/>
      <c r="Z49" s="16"/>
      <c r="AA49" s="16"/>
      <c r="AB49" s="16"/>
      <c r="AC49" s="16"/>
      <c r="AD49" s="16"/>
      <c r="AE49" s="16"/>
      <c r="AF49" s="78"/>
      <c r="AG49" s="79"/>
    </row>
    <row r="50" spans="1:33" s="5" customFormat="1" ht="21.75" customHeight="1" thickBot="1">
      <c r="A50" s="12">
        <f t="shared" si="1"/>
        <v>38</v>
      </c>
      <c r="B50" s="13">
        <f t="shared" si="8"/>
        <v>50811.45</v>
      </c>
      <c r="C50" s="14">
        <v>51065.75</v>
      </c>
      <c r="D50" s="15" t="s">
        <v>20</v>
      </c>
      <c r="E50" s="16">
        <f t="shared" si="4"/>
        <v>254.3000000000029</v>
      </c>
      <c r="F50" s="17">
        <v>36</v>
      </c>
      <c r="G50" s="18">
        <f>ROUND((((2291.83-($F50/2))/2291.83)+1)/2,4)</f>
        <v>0.9961</v>
      </c>
      <c r="H50" s="16"/>
      <c r="I50" s="16">
        <f t="shared" si="7"/>
        <v>9119.1</v>
      </c>
      <c r="J50" s="16"/>
      <c r="K50" s="16"/>
      <c r="L50" s="16"/>
      <c r="M50" s="16"/>
      <c r="N50" s="16"/>
      <c r="O50" s="16"/>
      <c r="P50" s="16"/>
      <c r="Q50" s="16"/>
      <c r="R50" s="16"/>
      <c r="S50" s="63">
        <f t="shared" si="5"/>
        <v>0.507</v>
      </c>
      <c r="T50" s="16"/>
      <c r="U50" s="16">
        <f t="shared" si="6"/>
        <v>26.22</v>
      </c>
      <c r="V50" s="16">
        <f t="shared" si="3"/>
        <v>1013.23</v>
      </c>
      <c r="W50" s="16">
        <f t="shared" si="3"/>
        <v>1013.23</v>
      </c>
      <c r="X50" s="16"/>
      <c r="Y50" s="16"/>
      <c r="Z50" s="16"/>
      <c r="AA50" s="16"/>
      <c r="AB50" s="16"/>
      <c r="AC50" s="16"/>
      <c r="AD50" s="16"/>
      <c r="AE50" s="16"/>
      <c r="AF50" s="103"/>
      <c r="AG50" s="82"/>
    </row>
    <row r="51" spans="1:33" s="5" customFormat="1" ht="21.75" customHeight="1">
      <c r="A51" s="12">
        <f t="shared" si="1"/>
        <v>39</v>
      </c>
      <c r="B51" s="13">
        <f t="shared" si="8"/>
        <v>51065.75</v>
      </c>
      <c r="C51" s="14">
        <v>51485</v>
      </c>
      <c r="D51" s="15" t="s">
        <v>20</v>
      </c>
      <c r="E51" s="16">
        <f t="shared" si="4"/>
        <v>419.25</v>
      </c>
      <c r="F51" s="17">
        <v>36</v>
      </c>
      <c r="G51" s="18">
        <f>ROUND((2291.83-($F51/2))/2291.83,4)</f>
        <v>0.9921</v>
      </c>
      <c r="H51" s="16"/>
      <c r="I51" s="16">
        <f t="shared" si="7"/>
        <v>14973.77</v>
      </c>
      <c r="J51" s="16"/>
      <c r="K51" s="16"/>
      <c r="L51" s="16"/>
      <c r="M51" s="16"/>
      <c r="N51" s="16"/>
      <c r="O51" s="16"/>
      <c r="P51" s="16"/>
      <c r="Q51" s="16"/>
      <c r="R51" s="16"/>
      <c r="S51" s="63">
        <f t="shared" si="5"/>
        <v>0.832</v>
      </c>
      <c r="T51" s="16"/>
      <c r="U51" s="16">
        <f t="shared" si="6"/>
        <v>43.05</v>
      </c>
      <c r="V51" s="16">
        <f t="shared" si="3"/>
        <v>1663.75</v>
      </c>
      <c r="W51" s="16">
        <f t="shared" si="3"/>
        <v>1663.75</v>
      </c>
      <c r="X51" s="16"/>
      <c r="Y51" s="16"/>
      <c r="Z51" s="16"/>
      <c r="AA51" s="16"/>
      <c r="AB51" s="16"/>
      <c r="AC51" s="16"/>
      <c r="AD51" s="16"/>
      <c r="AE51" s="16"/>
      <c r="AF51" s="76" t="s">
        <v>91</v>
      </c>
      <c r="AG51" s="77"/>
    </row>
    <row r="52" spans="1:33" s="5" customFormat="1" ht="21.75" customHeight="1">
      <c r="A52" s="12">
        <f t="shared" si="1"/>
        <v>40</v>
      </c>
      <c r="B52" s="13"/>
      <c r="C52" s="14"/>
      <c r="D52" s="15"/>
      <c r="E52" s="16"/>
      <c r="F52" s="23"/>
      <c r="G52" s="1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63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78"/>
      <c r="AG52" s="79"/>
    </row>
    <row r="53" spans="1:33" s="5" customFormat="1" ht="21.75" customHeight="1">
      <c r="A53" s="12">
        <f t="shared" si="1"/>
        <v>41</v>
      </c>
      <c r="B53" s="19" t="s">
        <v>27</v>
      </c>
      <c r="C53" s="14"/>
      <c r="D53" s="15"/>
      <c r="E53" s="16"/>
      <c r="F53" s="23"/>
      <c r="G53" s="18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63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78"/>
      <c r="AG53" s="79"/>
    </row>
    <row r="54" spans="1:33" s="5" customFormat="1" ht="21.75" customHeight="1">
      <c r="A54" s="12">
        <f t="shared" si="1"/>
        <v>42</v>
      </c>
      <c r="B54" s="13">
        <v>46946.96</v>
      </c>
      <c r="C54" s="14">
        <v>46977.12</v>
      </c>
      <c r="D54" s="15" t="s">
        <v>25</v>
      </c>
      <c r="E54" s="16">
        <f aca="true" t="shared" si="9" ref="E54:E59">C54-B54</f>
        <v>30.160000000003492</v>
      </c>
      <c r="F54" s="17">
        <f>ROUND(AVERAGE(10,9.058),2)</f>
        <v>9.53</v>
      </c>
      <c r="G54" s="18"/>
      <c r="H54" s="16"/>
      <c r="I54" s="16">
        <f>IF($G54=0,ROUND($E54*$F54,2),ROUND($E54*$F54*$G54,2))</f>
        <v>287.42</v>
      </c>
      <c r="J54" s="16"/>
      <c r="K54" s="16"/>
      <c r="L54" s="16"/>
      <c r="M54" s="16"/>
      <c r="N54" s="16"/>
      <c r="O54" s="16"/>
      <c r="P54" s="16"/>
      <c r="Q54" s="16"/>
      <c r="R54" s="16"/>
      <c r="S54" s="63">
        <f>ROUND(($V54/S$72),3)</f>
        <v>0.016</v>
      </c>
      <c r="T54" s="16"/>
      <c r="U54" s="16">
        <f aca="true" t="shared" si="10" ref="U54:U60">ROUND((($U$72*$W$72*$U$73*$U$74*$W54)/2000),2)</f>
        <v>0.83</v>
      </c>
      <c r="V54" s="16">
        <f aca="true" t="shared" si="11" ref="V54:W60">ROUND((($H54+$I54+$N54+$O54+$P54)/9),2)</f>
        <v>31.94</v>
      </c>
      <c r="W54" s="16">
        <f t="shared" si="11"/>
        <v>31.94</v>
      </c>
      <c r="X54" s="16"/>
      <c r="Y54" s="16"/>
      <c r="Z54" s="16"/>
      <c r="AA54" s="16"/>
      <c r="AB54" s="16"/>
      <c r="AC54" s="16"/>
      <c r="AD54" s="16"/>
      <c r="AE54" s="16"/>
      <c r="AF54" s="78"/>
      <c r="AG54" s="79"/>
    </row>
    <row r="55" spans="1:33" s="5" customFormat="1" ht="21.75" customHeight="1">
      <c r="A55" s="12">
        <f t="shared" si="1"/>
        <v>43</v>
      </c>
      <c r="B55" s="13">
        <f aca="true" t="shared" si="12" ref="B55:B60">C54</f>
        <v>46977.12</v>
      </c>
      <c r="C55" s="14">
        <v>47226.99</v>
      </c>
      <c r="D55" s="15" t="s">
        <v>25</v>
      </c>
      <c r="E55" s="16">
        <f t="shared" si="9"/>
        <v>249.86999999999534</v>
      </c>
      <c r="F55" s="17">
        <v>10</v>
      </c>
      <c r="G55" s="18"/>
      <c r="H55" s="16"/>
      <c r="I55" s="16">
        <f>IF($G55=0,ROUND($E55*$F55,2),ROUND($E55*$F55*$G55,2))</f>
        <v>2498.7</v>
      </c>
      <c r="J55" s="16"/>
      <c r="K55" s="16"/>
      <c r="L55" s="16"/>
      <c r="M55" s="16"/>
      <c r="N55" s="16"/>
      <c r="O55" s="16"/>
      <c r="P55" s="16"/>
      <c r="Q55" s="16"/>
      <c r="R55" s="16"/>
      <c r="S55" s="63">
        <f aca="true" t="shared" si="13" ref="S55:S60">ROUND(($V55/S$72),3)</f>
        <v>0.139</v>
      </c>
      <c r="T55" s="16"/>
      <c r="U55" s="16">
        <f t="shared" si="10"/>
        <v>7.18</v>
      </c>
      <c r="V55" s="16">
        <f t="shared" si="11"/>
        <v>277.63</v>
      </c>
      <c r="W55" s="16">
        <f t="shared" si="11"/>
        <v>277.63</v>
      </c>
      <c r="X55" s="16"/>
      <c r="Y55" s="16"/>
      <c r="Z55" s="16"/>
      <c r="AA55" s="16"/>
      <c r="AB55" s="16"/>
      <c r="AC55" s="16"/>
      <c r="AD55" s="16"/>
      <c r="AE55" s="16"/>
      <c r="AF55" s="78"/>
      <c r="AG55" s="79"/>
    </row>
    <row r="56" spans="1:33" s="5" customFormat="1" ht="21.75" customHeight="1">
      <c r="A56" s="12">
        <f t="shared" si="1"/>
        <v>44</v>
      </c>
      <c r="B56" s="13">
        <f t="shared" si="12"/>
        <v>47226.99</v>
      </c>
      <c r="C56" s="14">
        <v>47493.14</v>
      </c>
      <c r="D56" s="15" t="s">
        <v>25</v>
      </c>
      <c r="E56" s="16">
        <f t="shared" si="9"/>
        <v>266.15000000000146</v>
      </c>
      <c r="F56" s="23">
        <v>10</v>
      </c>
      <c r="G56" s="18"/>
      <c r="H56" s="16"/>
      <c r="I56" s="16">
        <f>IF(H56=0,ROUND($E56*$F56,2),ROUND($E56*$F56*$G56,2))</f>
        <v>2661.5</v>
      </c>
      <c r="J56" s="16"/>
      <c r="K56" s="16"/>
      <c r="L56" s="16"/>
      <c r="M56" s="16"/>
      <c r="N56" s="16"/>
      <c r="O56" s="16"/>
      <c r="P56" s="16"/>
      <c r="Q56" s="16"/>
      <c r="R56" s="16"/>
      <c r="S56" s="63">
        <f t="shared" si="13"/>
        <v>0.148</v>
      </c>
      <c r="T56" s="16"/>
      <c r="U56" s="16">
        <f t="shared" si="10"/>
        <v>7.65</v>
      </c>
      <c r="V56" s="16">
        <f t="shared" si="11"/>
        <v>295.72</v>
      </c>
      <c r="W56" s="16">
        <f t="shared" si="11"/>
        <v>295.72</v>
      </c>
      <c r="X56" s="16"/>
      <c r="Y56" s="16"/>
      <c r="Z56" s="16"/>
      <c r="AA56" s="16"/>
      <c r="AB56" s="16"/>
      <c r="AC56" s="16"/>
      <c r="AD56" s="16"/>
      <c r="AE56" s="16"/>
      <c r="AF56" s="78"/>
      <c r="AG56" s="79"/>
    </row>
    <row r="57" spans="1:33" s="5" customFormat="1" ht="21.75" customHeight="1">
      <c r="A57" s="12">
        <f>A56+1</f>
        <v>45</v>
      </c>
      <c r="B57" s="13">
        <f t="shared" si="12"/>
        <v>47493.14</v>
      </c>
      <c r="C57" s="14">
        <v>47550</v>
      </c>
      <c r="D57" s="15" t="s">
        <v>25</v>
      </c>
      <c r="E57" s="16">
        <f t="shared" si="9"/>
        <v>56.86000000000058</v>
      </c>
      <c r="F57" s="23">
        <v>10</v>
      </c>
      <c r="G57" s="18">
        <f>ROUND((3904.072-12-($F57/2))/3904.072,4)</f>
        <v>0.9956</v>
      </c>
      <c r="H57" s="18">
        <f>ROUND((3904.072-12-($F57))/3904.072,4)</f>
        <v>0.9944</v>
      </c>
      <c r="I57" s="16">
        <f>IF(H57=0,ROUND($E57*$F57,2),ROUND($E57*$F57*$G57,2))</f>
        <v>566.1</v>
      </c>
      <c r="J57" s="16"/>
      <c r="K57" s="16"/>
      <c r="L57" s="16"/>
      <c r="M57" s="16"/>
      <c r="N57" s="16"/>
      <c r="O57" s="16"/>
      <c r="P57" s="16"/>
      <c r="Q57" s="16"/>
      <c r="R57" s="16"/>
      <c r="S57" s="63">
        <f t="shared" si="13"/>
        <v>0.032</v>
      </c>
      <c r="T57" s="16"/>
      <c r="U57" s="16">
        <f t="shared" si="10"/>
        <v>1.63</v>
      </c>
      <c r="V57" s="16">
        <f t="shared" si="11"/>
        <v>63.01</v>
      </c>
      <c r="W57" s="16">
        <f t="shared" si="11"/>
        <v>63.01</v>
      </c>
      <c r="X57" s="16"/>
      <c r="Y57" s="16"/>
      <c r="Z57" s="16"/>
      <c r="AA57" s="16"/>
      <c r="AB57" s="16"/>
      <c r="AC57" s="16"/>
      <c r="AD57" s="16"/>
      <c r="AE57" s="16"/>
      <c r="AF57" s="78"/>
      <c r="AG57" s="79"/>
    </row>
    <row r="58" spans="1:33" s="25" customFormat="1" ht="21.75" customHeight="1">
      <c r="A58" s="12">
        <f t="shared" si="1"/>
        <v>46</v>
      </c>
      <c r="B58" s="13">
        <f t="shared" si="12"/>
        <v>47550</v>
      </c>
      <c r="C58" s="14">
        <v>47564</v>
      </c>
      <c r="D58" s="15" t="s">
        <v>25</v>
      </c>
      <c r="E58" s="16">
        <f t="shared" si="9"/>
        <v>14</v>
      </c>
      <c r="F58" s="23">
        <v>10</v>
      </c>
      <c r="G58" s="18">
        <f>ROUND((3904.072-12-($F58/2))/3904.072,4)</f>
        <v>0.9956</v>
      </c>
      <c r="H58" s="18">
        <f>ROUND((3904.072-12-($F58))/3904.072,4)</f>
        <v>0.9944</v>
      </c>
      <c r="I58" s="16">
        <f>IF(H58=0,ROUND($E58*$F58,2),ROUND($E58*$F58*$G58,2))</f>
        <v>139.38</v>
      </c>
      <c r="J58" s="16"/>
      <c r="K58" s="16"/>
      <c r="L58" s="16"/>
      <c r="M58" s="16"/>
      <c r="N58" s="16"/>
      <c r="O58" s="16"/>
      <c r="P58" s="16">
        <f>IF($H58=0,ROUND($E58*(P$72/12),2),ROUND($E58*(P$72/12)*$H58,2))</f>
        <v>23.2</v>
      </c>
      <c r="Q58" s="16">
        <f>IF($H58=0,ROUND($E58*(Q$72/12),2),ROUND($E58*(Q$72/12)*$H58,2))</f>
        <v>25.52</v>
      </c>
      <c r="R58" s="16"/>
      <c r="S58" s="63">
        <f t="shared" si="13"/>
        <v>0.009</v>
      </c>
      <c r="T58" s="16"/>
      <c r="U58" s="16">
        <f t="shared" si="10"/>
        <v>0.47</v>
      </c>
      <c r="V58" s="16">
        <f t="shared" si="11"/>
        <v>18.17</v>
      </c>
      <c r="W58" s="16">
        <f t="shared" si="11"/>
        <v>18.17</v>
      </c>
      <c r="X58" s="16"/>
      <c r="Y58" s="16"/>
      <c r="Z58" s="16"/>
      <c r="AA58" s="16"/>
      <c r="AB58" s="16"/>
      <c r="AC58" s="16"/>
      <c r="AD58" s="16"/>
      <c r="AE58" s="16"/>
      <c r="AF58" s="78"/>
      <c r="AG58" s="79"/>
    </row>
    <row r="59" spans="1:33" s="25" customFormat="1" ht="21.75" customHeight="1">
      <c r="A59" s="12">
        <f t="shared" si="1"/>
        <v>47</v>
      </c>
      <c r="B59" s="13">
        <f t="shared" si="12"/>
        <v>47564</v>
      </c>
      <c r="C59" s="14">
        <v>47605</v>
      </c>
      <c r="D59" s="15" t="s">
        <v>25</v>
      </c>
      <c r="E59" s="16">
        <f t="shared" si="9"/>
        <v>41</v>
      </c>
      <c r="F59" s="23">
        <v>10</v>
      </c>
      <c r="G59" s="18">
        <f>ROUND((3904.072-12-($F59/2))/3904.072,4)</f>
        <v>0.9956</v>
      </c>
      <c r="H59" s="18">
        <f>ROUND((3904.072-12-($F59))/3904.072,4)</f>
        <v>0.9944</v>
      </c>
      <c r="I59" s="16">
        <f>IF(H59=0,ROUND($E59*$F59,2),ROUND($E59*$F59*$G59,2))</f>
        <v>408.2</v>
      </c>
      <c r="J59" s="16"/>
      <c r="K59" s="16"/>
      <c r="L59" s="16"/>
      <c r="M59" s="16"/>
      <c r="N59" s="16"/>
      <c r="O59" s="16">
        <f>IF($H59=0,ROUND($E59*(O$72/12),2),ROUND($E59*(O$72/12)*$H59,2))</f>
        <v>61.16</v>
      </c>
      <c r="P59" s="16"/>
      <c r="Q59" s="16"/>
      <c r="R59" s="16"/>
      <c r="S59" s="63">
        <f t="shared" si="13"/>
        <v>0.026</v>
      </c>
      <c r="T59" s="16"/>
      <c r="U59" s="16">
        <f t="shared" si="10"/>
        <v>1.35</v>
      </c>
      <c r="V59" s="16">
        <f t="shared" si="11"/>
        <v>52.26</v>
      </c>
      <c r="W59" s="16">
        <f t="shared" si="11"/>
        <v>52.26</v>
      </c>
      <c r="X59" s="16"/>
      <c r="Y59" s="16"/>
      <c r="Z59" s="16"/>
      <c r="AA59" s="16"/>
      <c r="AB59" s="16"/>
      <c r="AC59" s="16"/>
      <c r="AD59" s="16"/>
      <c r="AE59" s="16"/>
      <c r="AF59" s="78"/>
      <c r="AG59" s="79"/>
    </row>
    <row r="60" spans="1:33" s="25" customFormat="1" ht="21.75" customHeight="1">
      <c r="A60" s="12">
        <f t="shared" si="1"/>
        <v>48</v>
      </c>
      <c r="B60" s="13">
        <f t="shared" si="12"/>
        <v>47605</v>
      </c>
      <c r="C60" s="14">
        <v>48564.96</v>
      </c>
      <c r="D60" s="15" t="s">
        <v>25</v>
      </c>
      <c r="E60" s="16">
        <f>C60-B60</f>
        <v>959.9599999999991</v>
      </c>
      <c r="F60" s="23">
        <v>10</v>
      </c>
      <c r="G60" s="18">
        <f>ROUND((3904.072-12-($F60/2))/3904.072,4)</f>
        <v>0.9956</v>
      </c>
      <c r="H60" s="18">
        <f>ROUND((3904.072-12-($F60))/3904.072,4)</f>
        <v>0.9944</v>
      </c>
      <c r="I60" s="16">
        <f>IF(H60=0,ROUND($E60*$F60,2),ROUND($E60*$F60*$G60,2))</f>
        <v>9557.36</v>
      </c>
      <c r="J60" s="16"/>
      <c r="K60" s="16"/>
      <c r="L60" s="16"/>
      <c r="M60" s="16"/>
      <c r="N60" s="16"/>
      <c r="O60" s="16">
        <f>IF($H60=0,ROUND($E60*(O$72/12),2),ROUND($E60*(O$72/12)*$H60,2))</f>
        <v>1431.88</v>
      </c>
      <c r="P60" s="16"/>
      <c r="Q60" s="16"/>
      <c r="R60" s="16"/>
      <c r="S60" s="63">
        <f t="shared" si="13"/>
        <v>0.611</v>
      </c>
      <c r="T60" s="16"/>
      <c r="U60" s="16">
        <f t="shared" si="10"/>
        <v>31.6</v>
      </c>
      <c r="V60" s="16">
        <f t="shared" si="11"/>
        <v>1221.14</v>
      </c>
      <c r="W60" s="16">
        <f t="shared" si="11"/>
        <v>1221.14</v>
      </c>
      <c r="X60" s="16"/>
      <c r="Y60" s="16"/>
      <c r="Z60" s="16"/>
      <c r="AA60" s="16"/>
      <c r="AB60" s="16"/>
      <c r="AC60" s="16"/>
      <c r="AD60" s="16"/>
      <c r="AE60" s="16"/>
      <c r="AF60" s="78"/>
      <c r="AG60" s="79"/>
    </row>
    <row r="61" spans="1:33" s="25" customFormat="1" ht="21.75" customHeight="1">
      <c r="A61" s="12">
        <f t="shared" si="1"/>
        <v>49</v>
      </c>
      <c r="B61" s="14"/>
      <c r="C61" s="14"/>
      <c r="D61" s="15"/>
      <c r="E61" s="16"/>
      <c r="F61" s="17"/>
      <c r="G61" s="18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63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78"/>
      <c r="AG61" s="79"/>
    </row>
    <row r="62" spans="1:33" s="25" customFormat="1" ht="21.75" customHeight="1">
      <c r="A62" s="12">
        <f t="shared" si="1"/>
        <v>50</v>
      </c>
      <c r="B62" s="13"/>
      <c r="C62" s="14"/>
      <c r="D62" s="15"/>
      <c r="E62" s="16"/>
      <c r="F62" s="17"/>
      <c r="G62" s="18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63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78"/>
      <c r="AG62" s="79"/>
    </row>
    <row r="63" spans="1:33" s="25" customFormat="1" ht="21.75" customHeight="1">
      <c r="A63" s="12">
        <f t="shared" si="1"/>
        <v>51</v>
      </c>
      <c r="B63" s="14"/>
      <c r="C63" s="14"/>
      <c r="D63" s="15"/>
      <c r="E63" s="16"/>
      <c r="F63" s="17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78"/>
      <c r="AG63" s="79"/>
    </row>
    <row r="64" spans="1:33" s="25" customFormat="1" ht="21.75" customHeight="1">
      <c r="A64" s="12">
        <f t="shared" si="1"/>
        <v>52</v>
      </c>
      <c r="B64" s="14"/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80"/>
      <c r="AG64" s="79"/>
    </row>
    <row r="65" spans="1:33" s="25" customFormat="1" ht="21.75" customHeight="1">
      <c r="A65" s="12">
        <f t="shared" si="1"/>
        <v>53</v>
      </c>
      <c r="B65" s="13"/>
      <c r="C65" s="14"/>
      <c r="D65" s="15"/>
      <c r="E65" s="16"/>
      <c r="F65" s="17"/>
      <c r="G65" s="1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80"/>
      <c r="AG65" s="79"/>
    </row>
    <row r="66" spans="1:33" s="25" customFormat="1" ht="21.75" customHeight="1" thickBot="1">
      <c r="A66" s="12">
        <f t="shared" si="1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81"/>
      <c r="AG66" s="82"/>
    </row>
    <row r="67" spans="2:33" s="26" customFormat="1" ht="46.5" customHeight="1">
      <c r="B67" s="95" t="s">
        <v>8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7"/>
      <c r="R67" s="85" t="str">
        <f aca="true" t="shared" si="14" ref="R67:AE67">IF(SUM(R13:R66)=0," ",ROUNDUP(SUM(R13:R66),0))</f>
        <v> </v>
      </c>
      <c r="S67" s="85">
        <f t="shared" si="14"/>
        <v>17</v>
      </c>
      <c r="T67" s="85" t="str">
        <f t="shared" si="14"/>
        <v> </v>
      </c>
      <c r="U67" s="85">
        <f t="shared" si="14"/>
        <v>874</v>
      </c>
      <c r="V67" s="85">
        <f t="shared" si="14"/>
        <v>33755</v>
      </c>
      <c r="W67" s="85">
        <f t="shared" si="14"/>
        <v>33755</v>
      </c>
      <c r="X67" s="85" t="str">
        <f t="shared" si="14"/>
        <v> </v>
      </c>
      <c r="Y67" s="85" t="str">
        <f t="shared" si="14"/>
        <v> </v>
      </c>
      <c r="Z67" s="85" t="str">
        <f t="shared" si="14"/>
        <v> </v>
      </c>
      <c r="AA67" s="85" t="str">
        <f t="shared" si="14"/>
        <v> </v>
      </c>
      <c r="AB67" s="85" t="str">
        <f t="shared" si="14"/>
        <v> </v>
      </c>
      <c r="AC67" s="85" t="str">
        <f t="shared" si="14"/>
        <v> </v>
      </c>
      <c r="AD67" s="85" t="str">
        <f t="shared" si="14"/>
        <v> </v>
      </c>
      <c r="AE67" s="85" t="str">
        <f t="shared" si="14"/>
        <v> </v>
      </c>
      <c r="AF67" s="87">
        <v>5</v>
      </c>
      <c r="AG67" s="88"/>
    </row>
    <row r="68" spans="2:33" s="26" customFormat="1" ht="46.5" customHeight="1" thickBot="1"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100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3">
        <v>16</v>
      </c>
      <c r="AG68" s="84"/>
    </row>
    <row r="69" spans="1:34" ht="36" customHeight="1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T69" s="28"/>
      <c r="U69" s="28"/>
      <c r="V69" s="1"/>
      <c r="W69" s="28"/>
      <c r="X69" s="28"/>
      <c r="Y69" s="28"/>
      <c r="Z69" s="28"/>
      <c r="AA69" s="28"/>
      <c r="AB69" s="28"/>
      <c r="AF69" s="28"/>
      <c r="AG69" s="28"/>
      <c r="AH69" s="29"/>
    </row>
    <row r="70" spans="2:33" ht="12.7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T70" s="28"/>
      <c r="U70" s="28"/>
      <c r="V70" s="1"/>
      <c r="W70" s="28"/>
      <c r="X70" s="28"/>
      <c r="Y70" s="28"/>
      <c r="Z70" s="28"/>
      <c r="AA70" s="28"/>
      <c r="AB70" s="28"/>
      <c r="AF70" s="28"/>
      <c r="AG70" s="28"/>
    </row>
    <row r="71" spans="2:33" ht="12.7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T71" s="28"/>
      <c r="U71" s="28"/>
      <c r="V71" s="1"/>
      <c r="W71" s="28"/>
      <c r="X71" s="28"/>
      <c r="Y71" s="28"/>
      <c r="Z71" s="28"/>
      <c r="AA71" s="28"/>
      <c r="AB71" s="28"/>
      <c r="AF71" s="28"/>
      <c r="AG71" s="28"/>
    </row>
    <row r="72" spans="2:33" ht="15.75">
      <c r="B72" s="64" t="s">
        <v>26</v>
      </c>
      <c r="C72" s="65"/>
      <c r="D72" s="65"/>
      <c r="E72" s="65"/>
      <c r="F72" s="65"/>
      <c r="G72" s="66"/>
      <c r="H72" s="43"/>
      <c r="I72" s="43"/>
      <c r="J72" s="43"/>
      <c r="K72" s="43">
        <v>4</v>
      </c>
      <c r="L72" s="43">
        <v>6</v>
      </c>
      <c r="M72" s="43">
        <v>10</v>
      </c>
      <c r="N72" s="43">
        <v>16</v>
      </c>
      <c r="O72" s="43">
        <v>18</v>
      </c>
      <c r="P72" s="43">
        <v>20</v>
      </c>
      <c r="Q72" s="43">
        <v>22</v>
      </c>
      <c r="R72" s="45"/>
      <c r="S72" s="62">
        <v>2000</v>
      </c>
      <c r="T72" s="44"/>
      <c r="U72" s="44">
        <v>0.75</v>
      </c>
      <c r="V72" s="62"/>
      <c r="W72" s="62">
        <v>12</v>
      </c>
      <c r="X72" s="45"/>
      <c r="Y72" s="44"/>
      <c r="Z72" s="44"/>
      <c r="AA72" s="44"/>
      <c r="AB72" s="44"/>
      <c r="AC72" s="44"/>
      <c r="AD72" s="44"/>
      <c r="AF72" s="28"/>
      <c r="AG72" s="28"/>
    </row>
    <row r="73" spans="2:33" ht="15">
      <c r="B73" s="28"/>
      <c r="C73" s="28"/>
      <c r="D73" s="28"/>
      <c r="E73" s="28"/>
      <c r="F73" s="28"/>
      <c r="G73" s="28"/>
      <c r="H73" s="24"/>
      <c r="I73" s="28"/>
      <c r="J73" s="28"/>
      <c r="K73" s="28"/>
      <c r="L73" s="28"/>
      <c r="M73" s="28"/>
      <c r="N73" s="28"/>
      <c r="O73" s="28"/>
      <c r="P73" s="28"/>
      <c r="Q73" s="28"/>
      <c r="R73" s="24"/>
      <c r="T73" s="43"/>
      <c r="U73" s="43">
        <v>115</v>
      </c>
      <c r="V73" s="62"/>
      <c r="W73" s="46"/>
      <c r="X73" s="28"/>
      <c r="Y73" s="28"/>
      <c r="Z73" s="28"/>
      <c r="AA73" s="28"/>
      <c r="AB73" s="28"/>
      <c r="AF73" s="28"/>
      <c r="AG73" s="28"/>
    </row>
    <row r="74" spans="2:33" ht="15">
      <c r="B74" s="28"/>
      <c r="C74" s="30"/>
      <c r="D74" s="28"/>
      <c r="E74" s="28"/>
      <c r="F74" s="28"/>
      <c r="G74" s="28"/>
      <c r="H74" s="31"/>
      <c r="I74" s="28"/>
      <c r="J74" s="28"/>
      <c r="K74" s="120"/>
      <c r="L74" s="121"/>
      <c r="M74" s="121"/>
      <c r="N74" s="121"/>
      <c r="O74" s="121"/>
      <c r="P74" s="121"/>
      <c r="Q74" s="121"/>
      <c r="R74" s="31"/>
      <c r="S74" s="31"/>
      <c r="T74" s="31"/>
      <c r="U74" s="31">
        <v>0.05</v>
      </c>
      <c r="V74" s="44"/>
      <c r="W74" s="31"/>
      <c r="X74" s="31"/>
      <c r="Y74" s="31"/>
      <c r="Z74" s="31"/>
      <c r="AA74" s="31"/>
      <c r="AB74" s="31"/>
      <c r="AC74" s="31"/>
      <c r="AD74" s="31"/>
      <c r="AE74" s="31"/>
      <c r="AF74" s="28"/>
      <c r="AG74" s="28"/>
    </row>
    <row r="76" spans="2:23" ht="15">
      <c r="B76" s="69"/>
      <c r="C76" s="69"/>
      <c r="D76" s="70"/>
      <c r="E76" s="71"/>
      <c r="F76" s="71"/>
      <c r="G76" s="72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3"/>
      <c r="T76" s="71"/>
      <c r="U76" s="71"/>
      <c r="V76" s="71"/>
      <c r="W76" s="71"/>
    </row>
    <row r="77" spans="2:23" ht="15">
      <c r="B77" s="69"/>
      <c r="C77" s="69"/>
      <c r="D77" s="70"/>
      <c r="E77" s="71"/>
      <c r="F77" s="71"/>
      <c r="G77" s="72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3"/>
      <c r="T77" s="71"/>
      <c r="U77" s="71"/>
      <c r="V77" s="71"/>
      <c r="W77" s="71"/>
    </row>
    <row r="78" spans="2:23" ht="15">
      <c r="B78" s="69"/>
      <c r="C78" s="69"/>
      <c r="D78" s="70"/>
      <c r="E78" s="71"/>
      <c r="F78" s="71"/>
      <c r="G78" s="72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3"/>
      <c r="T78" s="71"/>
      <c r="U78" s="71"/>
      <c r="V78" s="71"/>
      <c r="W78" s="71"/>
    </row>
    <row r="79" spans="2:23" ht="15">
      <c r="B79" s="69"/>
      <c r="C79" s="69"/>
      <c r="D79" s="70"/>
      <c r="E79" s="71"/>
      <c r="F79" s="71"/>
      <c r="G79" s="72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3"/>
      <c r="T79" s="71"/>
      <c r="U79" s="71"/>
      <c r="V79" s="71"/>
      <c r="W79" s="71"/>
    </row>
    <row r="80" spans="2:23" ht="15">
      <c r="B80" s="69"/>
      <c r="C80" s="69"/>
      <c r="D80" s="70"/>
      <c r="E80" s="71"/>
      <c r="F80" s="71"/>
      <c r="G80" s="72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3"/>
      <c r="T80" s="71"/>
      <c r="U80" s="71"/>
      <c r="V80" s="71"/>
      <c r="W80" s="71"/>
    </row>
    <row r="81" spans="2:23" ht="15">
      <c r="B81" s="69"/>
      <c r="C81" s="69"/>
      <c r="D81" s="70"/>
      <c r="E81" s="71"/>
      <c r="F81" s="71"/>
      <c r="G81" s="72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3"/>
      <c r="T81" s="71"/>
      <c r="U81" s="71"/>
      <c r="V81" s="71"/>
      <c r="W81" s="71"/>
    </row>
    <row r="82" spans="2:23" ht="15">
      <c r="B82" s="69"/>
      <c r="C82" s="69"/>
      <c r="D82" s="70"/>
      <c r="E82" s="71"/>
      <c r="F82" s="71"/>
      <c r="G82" s="72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3"/>
      <c r="T82" s="71"/>
      <c r="U82" s="71"/>
      <c r="V82" s="71"/>
      <c r="W82" s="71"/>
    </row>
    <row r="83" spans="2:23" ht="15">
      <c r="B83" s="69"/>
      <c r="C83" s="69"/>
      <c r="D83" s="70"/>
      <c r="E83" s="71"/>
      <c r="F83" s="71"/>
      <c r="G83" s="72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3"/>
      <c r="T83" s="71"/>
      <c r="U83" s="71"/>
      <c r="V83" s="71"/>
      <c r="W83" s="71"/>
    </row>
    <row r="84" spans="2:23" ht="15">
      <c r="B84" s="69"/>
      <c r="C84" s="69"/>
      <c r="D84" s="70"/>
      <c r="E84" s="71"/>
      <c r="F84" s="71"/>
      <c r="G84" s="72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3"/>
      <c r="T84" s="71"/>
      <c r="U84" s="71"/>
      <c r="V84" s="71"/>
      <c r="W84" s="71"/>
    </row>
    <row r="85" spans="2:23" ht="15">
      <c r="B85" s="69"/>
      <c r="C85" s="69"/>
      <c r="D85" s="70"/>
      <c r="E85" s="71"/>
      <c r="F85" s="71"/>
      <c r="G85" s="72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3"/>
      <c r="T85" s="71"/>
      <c r="U85" s="71"/>
      <c r="V85" s="71"/>
      <c r="W85" s="71"/>
    </row>
    <row r="86" spans="2:23" ht="15">
      <c r="B86" s="69"/>
      <c r="C86" s="69"/>
      <c r="D86" s="70"/>
      <c r="E86" s="71"/>
      <c r="F86" s="71"/>
      <c r="G86" s="72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3"/>
      <c r="T86" s="71"/>
      <c r="U86" s="71"/>
      <c r="V86" s="71"/>
      <c r="W86" s="71"/>
    </row>
    <row r="87" spans="2:23" ht="15">
      <c r="B87" s="69"/>
      <c r="C87" s="69"/>
      <c r="D87" s="70"/>
      <c r="E87" s="71"/>
      <c r="F87" s="71"/>
      <c r="G87" s="72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3"/>
      <c r="T87" s="71"/>
      <c r="U87" s="71"/>
      <c r="V87" s="71"/>
      <c r="W87" s="71"/>
    </row>
    <row r="88" spans="2:23" ht="15">
      <c r="B88" s="69"/>
      <c r="C88" s="69"/>
      <c r="D88" s="70"/>
      <c r="E88" s="71"/>
      <c r="F88" s="71"/>
      <c r="G88" s="72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3"/>
      <c r="T88" s="71"/>
      <c r="U88" s="71"/>
      <c r="V88" s="71"/>
      <c r="W88" s="71"/>
    </row>
    <row r="89" spans="2:23" ht="15">
      <c r="B89" s="69"/>
      <c r="C89" s="69"/>
      <c r="D89" s="70"/>
      <c r="E89" s="71"/>
      <c r="F89" s="71"/>
      <c r="G89" s="72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3"/>
      <c r="T89" s="71"/>
      <c r="U89" s="71"/>
      <c r="V89" s="71"/>
      <c r="W89" s="71"/>
    </row>
  </sheetData>
  <sheetProtection/>
  <mergeCells count="53">
    <mergeCell ref="B37:I37"/>
    <mergeCell ref="B14:I14"/>
    <mergeCell ref="B3:C11"/>
    <mergeCell ref="D3:D11"/>
    <mergeCell ref="E3:E11"/>
    <mergeCell ref="F3:F11"/>
    <mergeCell ref="G3:G11"/>
    <mergeCell ref="I3:I11"/>
    <mergeCell ref="H3:H11"/>
    <mergeCell ref="AG3:AG5"/>
    <mergeCell ref="R4:R11"/>
    <mergeCell ref="S4:S11"/>
    <mergeCell ref="T4:T11"/>
    <mergeCell ref="P3:P11"/>
    <mergeCell ref="Q3:Q11"/>
    <mergeCell ref="AF3:AF5"/>
    <mergeCell ref="V4:V11"/>
    <mergeCell ref="W4:W11"/>
    <mergeCell ref="AB4:AB11"/>
    <mergeCell ref="J3:J11"/>
    <mergeCell ref="K3:K11"/>
    <mergeCell ref="L3:L11"/>
    <mergeCell ref="M3:M11"/>
    <mergeCell ref="N3:N11"/>
    <mergeCell ref="O3:O11"/>
    <mergeCell ref="AD67:AD68"/>
    <mergeCell ref="AE67:AE68"/>
    <mergeCell ref="AB67:AB68"/>
    <mergeCell ref="X4:X11"/>
    <mergeCell ref="Y4:Y11"/>
    <mergeCell ref="Z4:Z11"/>
    <mergeCell ref="AA4:AA11"/>
    <mergeCell ref="AC4:AC11"/>
    <mergeCell ref="K74:Q74"/>
    <mergeCell ref="Y67:Y68"/>
    <mergeCell ref="Z67:Z68"/>
    <mergeCell ref="AA67:AA68"/>
    <mergeCell ref="W67:W68"/>
    <mergeCell ref="X67:X68"/>
    <mergeCell ref="V67:V68"/>
    <mergeCell ref="B67:Q68"/>
    <mergeCell ref="R67:R68"/>
    <mergeCell ref="S67:S68"/>
    <mergeCell ref="AF51:AG66"/>
    <mergeCell ref="T67:T68"/>
    <mergeCell ref="U67:U68"/>
    <mergeCell ref="AF68:AG68"/>
    <mergeCell ref="AF67:AG67"/>
    <mergeCell ref="AF6:AG50"/>
    <mergeCell ref="U4:U11"/>
    <mergeCell ref="AD4:AD11"/>
    <mergeCell ref="AE4:AE11"/>
    <mergeCell ref="AC67:AC68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2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4"/>
  <sheetViews>
    <sheetView view="pageBreakPreview" zoomScale="50" zoomScaleNormal="25" zoomScaleSheetLayoutView="50" workbookViewId="0" topLeftCell="A1">
      <selection activeCell="L24" sqref="L24"/>
    </sheetView>
  </sheetViews>
  <sheetFormatPr defaultColWidth="9.140625" defaultRowHeight="12.75"/>
  <cols>
    <col min="1" max="3" width="24.7109375" style="1" customWidth="1"/>
    <col min="4" max="21" width="15.7109375" style="1" customWidth="1"/>
    <col min="22" max="22" width="15.7109375" style="47" customWidth="1"/>
    <col min="23" max="31" width="15.7109375" style="1" customWidth="1"/>
    <col min="32" max="34" width="6.7109375" style="1" customWidth="1"/>
    <col min="35" max="16384" width="9.140625" style="1" customWidth="1"/>
  </cols>
  <sheetData>
    <row r="1" spans="18:27" ht="12.75">
      <c r="R1" s="49"/>
      <c r="S1" s="49"/>
      <c r="T1" s="49"/>
      <c r="U1" s="49"/>
      <c r="V1" s="50"/>
      <c r="W1" s="49"/>
      <c r="X1" s="49"/>
      <c r="Z1" s="49"/>
      <c r="AA1" s="49"/>
    </row>
    <row r="2" spans="1:34" s="4" customFormat="1" ht="36" customHeight="1" thickBot="1">
      <c r="A2" s="2"/>
      <c r="B2" s="32" t="s">
        <v>14</v>
      </c>
      <c r="C2" s="33"/>
      <c r="D2" s="34"/>
      <c r="E2" s="34"/>
      <c r="F2" s="34"/>
      <c r="G2" s="34"/>
      <c r="H2" s="51"/>
      <c r="I2" s="35"/>
      <c r="J2" s="34"/>
      <c r="K2" s="34"/>
      <c r="L2" s="34"/>
      <c r="M2" s="34"/>
      <c r="N2" s="34"/>
      <c r="O2" s="34"/>
      <c r="P2" s="34"/>
      <c r="Q2" s="35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2"/>
      <c r="AD2" s="48"/>
      <c r="AH2" s="3"/>
    </row>
    <row r="3" spans="2:34" s="5" customFormat="1" ht="21.75" customHeight="1">
      <c r="B3" s="95" t="s">
        <v>0</v>
      </c>
      <c r="C3" s="97"/>
      <c r="D3" s="117" t="s">
        <v>3</v>
      </c>
      <c r="E3" s="117" t="s">
        <v>4</v>
      </c>
      <c r="F3" s="117" t="s">
        <v>5</v>
      </c>
      <c r="G3" s="107" t="s">
        <v>12</v>
      </c>
      <c r="H3" s="107" t="s">
        <v>93</v>
      </c>
      <c r="I3" s="117" t="s">
        <v>6</v>
      </c>
      <c r="J3" s="107" t="s">
        <v>10</v>
      </c>
      <c r="K3" s="107"/>
      <c r="L3" s="107"/>
      <c r="M3" s="107"/>
      <c r="N3" s="107" t="s">
        <v>94</v>
      </c>
      <c r="O3" s="107" t="s">
        <v>15</v>
      </c>
      <c r="P3" s="107" t="s">
        <v>16</v>
      </c>
      <c r="Q3" s="107" t="s">
        <v>17</v>
      </c>
      <c r="R3" s="36">
        <v>204</v>
      </c>
      <c r="S3" s="37">
        <v>204</v>
      </c>
      <c r="T3" s="36"/>
      <c r="U3" s="37">
        <v>206</v>
      </c>
      <c r="V3" s="37">
        <v>206</v>
      </c>
      <c r="W3" s="36">
        <v>206</v>
      </c>
      <c r="X3" s="37"/>
      <c r="Y3" s="36"/>
      <c r="Z3" s="37"/>
      <c r="AA3" s="36"/>
      <c r="AB3" s="37"/>
      <c r="AC3" s="36"/>
      <c r="AD3" s="37"/>
      <c r="AE3" s="37"/>
      <c r="AF3" s="101" t="s">
        <v>11</v>
      </c>
      <c r="AG3" s="101" t="s">
        <v>13</v>
      </c>
      <c r="AH3" s="6"/>
    </row>
    <row r="4" spans="2:34" s="5" customFormat="1" ht="27.75" customHeight="1">
      <c r="B4" s="113"/>
      <c r="C4" s="114"/>
      <c r="D4" s="118"/>
      <c r="E4" s="118"/>
      <c r="F4" s="118"/>
      <c r="G4" s="90"/>
      <c r="H4" s="90"/>
      <c r="I4" s="118"/>
      <c r="J4" s="90"/>
      <c r="K4" s="90"/>
      <c r="L4" s="90"/>
      <c r="M4" s="90"/>
      <c r="N4" s="90"/>
      <c r="O4" s="90"/>
      <c r="P4" s="90"/>
      <c r="Q4" s="90"/>
      <c r="R4" s="92" t="s">
        <v>82</v>
      </c>
      <c r="S4" s="89" t="s">
        <v>83</v>
      </c>
      <c r="T4" s="92"/>
      <c r="U4" s="92" t="s">
        <v>92</v>
      </c>
      <c r="V4" s="89" t="s">
        <v>80</v>
      </c>
      <c r="W4" s="89" t="s">
        <v>81</v>
      </c>
      <c r="X4" s="89"/>
      <c r="Y4" s="92"/>
      <c r="Z4" s="89"/>
      <c r="AA4" s="92"/>
      <c r="AB4" s="89"/>
      <c r="AC4" s="92"/>
      <c r="AD4" s="89"/>
      <c r="AE4" s="89"/>
      <c r="AF4" s="108"/>
      <c r="AG4" s="102"/>
      <c r="AH4" s="7"/>
    </row>
    <row r="5" spans="2:33" s="5" customFormat="1" ht="27.75" customHeight="1" thickBot="1">
      <c r="B5" s="113"/>
      <c r="C5" s="114"/>
      <c r="D5" s="118"/>
      <c r="E5" s="118"/>
      <c r="F5" s="118"/>
      <c r="G5" s="90"/>
      <c r="H5" s="90"/>
      <c r="I5" s="118"/>
      <c r="J5" s="90"/>
      <c r="K5" s="90"/>
      <c r="L5" s="90"/>
      <c r="M5" s="90"/>
      <c r="N5" s="90"/>
      <c r="O5" s="90"/>
      <c r="P5" s="90"/>
      <c r="Q5" s="90"/>
      <c r="R5" s="93"/>
      <c r="S5" s="90"/>
      <c r="T5" s="93"/>
      <c r="U5" s="93"/>
      <c r="V5" s="90"/>
      <c r="W5" s="90"/>
      <c r="X5" s="90"/>
      <c r="Y5" s="93"/>
      <c r="Z5" s="90"/>
      <c r="AA5" s="93"/>
      <c r="AB5" s="90"/>
      <c r="AC5" s="93"/>
      <c r="AD5" s="90"/>
      <c r="AE5" s="90"/>
      <c r="AF5" s="109"/>
      <c r="AG5" s="102"/>
    </row>
    <row r="6" spans="2:33" s="5" customFormat="1" ht="27.75" customHeight="1">
      <c r="B6" s="113"/>
      <c r="C6" s="114"/>
      <c r="D6" s="118"/>
      <c r="E6" s="118"/>
      <c r="F6" s="118"/>
      <c r="G6" s="90"/>
      <c r="H6" s="90"/>
      <c r="I6" s="118"/>
      <c r="J6" s="90"/>
      <c r="K6" s="90"/>
      <c r="L6" s="90"/>
      <c r="M6" s="90"/>
      <c r="N6" s="90"/>
      <c r="O6" s="90"/>
      <c r="P6" s="90"/>
      <c r="Q6" s="90"/>
      <c r="R6" s="93"/>
      <c r="S6" s="90"/>
      <c r="T6" s="93"/>
      <c r="U6" s="93"/>
      <c r="V6" s="90"/>
      <c r="W6" s="90"/>
      <c r="X6" s="90"/>
      <c r="Y6" s="93"/>
      <c r="Z6" s="90"/>
      <c r="AA6" s="93"/>
      <c r="AB6" s="90"/>
      <c r="AC6" s="93"/>
      <c r="AD6" s="90"/>
      <c r="AE6" s="90"/>
      <c r="AF6" s="76" t="s">
        <v>79</v>
      </c>
      <c r="AG6" s="77"/>
    </row>
    <row r="7" spans="2:33" s="5" customFormat="1" ht="27.75" customHeight="1">
      <c r="B7" s="113"/>
      <c r="C7" s="114"/>
      <c r="D7" s="118"/>
      <c r="E7" s="118"/>
      <c r="F7" s="118"/>
      <c r="G7" s="90"/>
      <c r="H7" s="90"/>
      <c r="I7" s="118"/>
      <c r="J7" s="90"/>
      <c r="K7" s="90"/>
      <c r="L7" s="90"/>
      <c r="M7" s="90"/>
      <c r="N7" s="90"/>
      <c r="O7" s="90"/>
      <c r="P7" s="90"/>
      <c r="Q7" s="90"/>
      <c r="R7" s="93"/>
      <c r="S7" s="90"/>
      <c r="T7" s="93"/>
      <c r="U7" s="93"/>
      <c r="V7" s="90"/>
      <c r="W7" s="90"/>
      <c r="X7" s="90"/>
      <c r="Y7" s="93"/>
      <c r="Z7" s="90"/>
      <c r="AA7" s="93"/>
      <c r="AB7" s="90"/>
      <c r="AC7" s="93"/>
      <c r="AD7" s="90"/>
      <c r="AE7" s="90"/>
      <c r="AF7" s="78"/>
      <c r="AG7" s="79"/>
    </row>
    <row r="8" spans="2:33" s="5" customFormat="1" ht="27.75" customHeight="1">
      <c r="B8" s="113"/>
      <c r="C8" s="114"/>
      <c r="D8" s="118"/>
      <c r="E8" s="118"/>
      <c r="F8" s="118"/>
      <c r="G8" s="90"/>
      <c r="H8" s="90"/>
      <c r="I8" s="118"/>
      <c r="J8" s="90"/>
      <c r="K8" s="90"/>
      <c r="L8" s="90"/>
      <c r="M8" s="90"/>
      <c r="N8" s="90"/>
      <c r="O8" s="90"/>
      <c r="P8" s="90"/>
      <c r="Q8" s="90"/>
      <c r="R8" s="93"/>
      <c r="S8" s="90"/>
      <c r="T8" s="93"/>
      <c r="U8" s="93"/>
      <c r="V8" s="90"/>
      <c r="W8" s="90"/>
      <c r="X8" s="90"/>
      <c r="Y8" s="93"/>
      <c r="Z8" s="90"/>
      <c r="AA8" s="93"/>
      <c r="AB8" s="90"/>
      <c r="AC8" s="93"/>
      <c r="AD8" s="90"/>
      <c r="AE8" s="90"/>
      <c r="AF8" s="78"/>
      <c r="AG8" s="79"/>
    </row>
    <row r="9" spans="2:33" s="5" customFormat="1" ht="27.75" customHeight="1">
      <c r="B9" s="113"/>
      <c r="C9" s="114"/>
      <c r="D9" s="118"/>
      <c r="E9" s="118"/>
      <c r="F9" s="118"/>
      <c r="G9" s="90"/>
      <c r="H9" s="90"/>
      <c r="I9" s="118"/>
      <c r="J9" s="90"/>
      <c r="K9" s="90"/>
      <c r="L9" s="90"/>
      <c r="M9" s="90"/>
      <c r="N9" s="90"/>
      <c r="O9" s="90"/>
      <c r="P9" s="90"/>
      <c r="Q9" s="90"/>
      <c r="R9" s="93"/>
      <c r="S9" s="90"/>
      <c r="T9" s="93"/>
      <c r="U9" s="93"/>
      <c r="V9" s="90"/>
      <c r="W9" s="90"/>
      <c r="X9" s="90"/>
      <c r="Y9" s="93"/>
      <c r="Z9" s="90"/>
      <c r="AA9" s="93"/>
      <c r="AB9" s="90"/>
      <c r="AC9" s="93"/>
      <c r="AD9" s="90"/>
      <c r="AE9" s="90"/>
      <c r="AF9" s="78"/>
      <c r="AG9" s="79"/>
    </row>
    <row r="10" spans="2:33" s="5" customFormat="1" ht="27.75" customHeight="1">
      <c r="B10" s="113"/>
      <c r="C10" s="114"/>
      <c r="D10" s="118"/>
      <c r="E10" s="118"/>
      <c r="F10" s="118"/>
      <c r="G10" s="90"/>
      <c r="H10" s="90"/>
      <c r="I10" s="118"/>
      <c r="J10" s="90"/>
      <c r="K10" s="90"/>
      <c r="L10" s="90"/>
      <c r="M10" s="90"/>
      <c r="N10" s="90"/>
      <c r="O10" s="90"/>
      <c r="P10" s="90"/>
      <c r="Q10" s="90"/>
      <c r="R10" s="93"/>
      <c r="S10" s="90"/>
      <c r="T10" s="93"/>
      <c r="U10" s="93"/>
      <c r="V10" s="90"/>
      <c r="W10" s="90"/>
      <c r="X10" s="90"/>
      <c r="Y10" s="93"/>
      <c r="Z10" s="90"/>
      <c r="AA10" s="93"/>
      <c r="AB10" s="90"/>
      <c r="AC10" s="93"/>
      <c r="AD10" s="90"/>
      <c r="AE10" s="90"/>
      <c r="AF10" s="78"/>
      <c r="AG10" s="79"/>
    </row>
    <row r="11" spans="2:33" s="8" customFormat="1" ht="27.75" customHeight="1">
      <c r="B11" s="115"/>
      <c r="C11" s="116"/>
      <c r="D11" s="119"/>
      <c r="E11" s="119"/>
      <c r="F11" s="119"/>
      <c r="G11" s="91"/>
      <c r="H11" s="91"/>
      <c r="I11" s="119"/>
      <c r="J11" s="91"/>
      <c r="K11" s="91"/>
      <c r="L11" s="91"/>
      <c r="M11" s="91"/>
      <c r="N11" s="91"/>
      <c r="O11" s="91"/>
      <c r="P11" s="91"/>
      <c r="Q11" s="91"/>
      <c r="R11" s="94"/>
      <c r="S11" s="91"/>
      <c r="T11" s="94"/>
      <c r="U11" s="94"/>
      <c r="V11" s="91"/>
      <c r="W11" s="91"/>
      <c r="X11" s="91"/>
      <c r="Y11" s="94"/>
      <c r="Z11" s="91"/>
      <c r="AA11" s="94"/>
      <c r="AB11" s="91"/>
      <c r="AC11" s="94"/>
      <c r="AD11" s="91"/>
      <c r="AE11" s="91"/>
      <c r="AF11" s="78"/>
      <c r="AG11" s="79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38"/>
      <c r="I12" s="11" t="s">
        <v>9</v>
      </c>
      <c r="J12" s="11" t="s">
        <v>9</v>
      </c>
      <c r="K12" s="11"/>
      <c r="L12" s="11"/>
      <c r="M12" s="11"/>
      <c r="N12" s="11" t="s">
        <v>9</v>
      </c>
      <c r="O12" s="11" t="s">
        <v>9</v>
      </c>
      <c r="P12" s="11" t="s">
        <v>9</v>
      </c>
      <c r="Q12" s="11" t="s">
        <v>9</v>
      </c>
      <c r="R12" s="38" t="s">
        <v>85</v>
      </c>
      <c r="S12" s="11" t="s">
        <v>84</v>
      </c>
      <c r="T12" s="38"/>
      <c r="U12" s="11" t="s">
        <v>86</v>
      </c>
      <c r="V12" s="11" t="s">
        <v>85</v>
      </c>
      <c r="W12" s="38" t="s">
        <v>85</v>
      </c>
      <c r="X12" s="11"/>
      <c r="Y12" s="38"/>
      <c r="Z12" s="11"/>
      <c r="AA12" s="38"/>
      <c r="AB12" s="11"/>
      <c r="AC12" s="38"/>
      <c r="AD12" s="11"/>
      <c r="AE12" s="11"/>
      <c r="AF12" s="78"/>
      <c r="AG12" s="79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78"/>
      <c r="AG13" s="79"/>
    </row>
    <row r="14" spans="1:33" s="5" customFormat="1" ht="21.75" customHeight="1">
      <c r="A14" s="12">
        <f>A13+1</f>
        <v>2</v>
      </c>
      <c r="B14" s="110" t="s">
        <v>72</v>
      </c>
      <c r="C14" s="111"/>
      <c r="D14" s="111"/>
      <c r="E14" s="111"/>
      <c r="F14" s="111"/>
      <c r="G14" s="111"/>
      <c r="H14" s="111"/>
      <c r="I14" s="1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78"/>
      <c r="AG14" s="79"/>
    </row>
    <row r="15" spans="1:33" s="5" customFormat="1" ht="21.75" customHeight="1">
      <c r="A15" s="12">
        <f>A14+1</f>
        <v>3</v>
      </c>
      <c r="B15" s="19" t="s">
        <v>28</v>
      </c>
      <c r="C15" s="20"/>
      <c r="D15" s="15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78"/>
      <c r="AG15" s="79"/>
    </row>
    <row r="16" spans="1:33" s="5" customFormat="1" ht="21.75" customHeight="1">
      <c r="A16" s="12">
        <f>A15+1</f>
        <v>4</v>
      </c>
      <c r="B16" s="13">
        <v>49484.83</v>
      </c>
      <c r="C16" s="14">
        <v>49575.59</v>
      </c>
      <c r="D16" s="15" t="s">
        <v>25</v>
      </c>
      <c r="E16" s="16">
        <f aca="true" t="shared" si="0" ref="E16:E21">C16-B16</f>
        <v>90.75999999999476</v>
      </c>
      <c r="F16" s="23">
        <v>10</v>
      </c>
      <c r="G16" s="18">
        <f>ROUND((3904.072-($F16/2))/3904.072,4)</f>
        <v>0.9987</v>
      </c>
      <c r="H16" s="18">
        <f>ROUND((3904.072-($F16))/3904.072,4)</f>
        <v>0.9974</v>
      </c>
      <c r="I16" s="16">
        <f>IF($G16=0,ROUND($E16*$F16,2),ROUND($E16*$F16*$G16,2))</f>
        <v>906.42</v>
      </c>
      <c r="J16" s="16"/>
      <c r="K16" s="16"/>
      <c r="L16" s="16"/>
      <c r="M16" s="16"/>
      <c r="N16" s="16"/>
      <c r="O16" s="16"/>
      <c r="P16" s="16">
        <f>IF($H16=0,ROUND($E16*(P$72/12),2),ROUND($E16*(P$72/12)*$H16,2))</f>
        <v>150.87</v>
      </c>
      <c r="Q16" s="16">
        <f>IF($H16=0,ROUND($E16*(Q$72/12),2),ROUND($E16*(Q$72/12)*$H16,2))</f>
        <v>165.96</v>
      </c>
      <c r="R16" s="16"/>
      <c r="S16" s="63">
        <f aca="true" t="shared" si="1" ref="S16:S21">ROUND(($V16/S$72),3)</f>
        <v>0.068</v>
      </c>
      <c r="T16" s="16"/>
      <c r="U16" s="16">
        <f aca="true" t="shared" si="2" ref="U16:U21">ROUND((($U$72*$W$72*$U$73*$U$74*$W16)/2000),2)</f>
        <v>3.52</v>
      </c>
      <c r="V16" s="16">
        <f aca="true" t="shared" si="3" ref="V16:W21">ROUND((($I16+$J16+$O16+$P16+$Q16)/9),2)</f>
        <v>135.92</v>
      </c>
      <c r="W16" s="16">
        <f t="shared" si="3"/>
        <v>135.92</v>
      </c>
      <c r="X16" s="16"/>
      <c r="Y16" s="16"/>
      <c r="Z16" s="16"/>
      <c r="AA16" s="16"/>
      <c r="AB16" s="16"/>
      <c r="AC16" s="16"/>
      <c r="AD16" s="16"/>
      <c r="AE16" s="16"/>
      <c r="AF16" s="78"/>
      <c r="AG16" s="79"/>
    </row>
    <row r="17" spans="1:33" s="5" customFormat="1" ht="21.75" customHeight="1">
      <c r="A17" s="12">
        <f aca="true" t="shared" si="4" ref="A17:A66">A16+1</f>
        <v>5</v>
      </c>
      <c r="B17" s="13">
        <f>C16</f>
        <v>49575.59</v>
      </c>
      <c r="C17" s="14">
        <v>49600</v>
      </c>
      <c r="D17" s="15" t="s">
        <v>25</v>
      </c>
      <c r="E17" s="16">
        <f t="shared" si="0"/>
        <v>24.410000000003492</v>
      </c>
      <c r="F17" s="23">
        <v>10</v>
      </c>
      <c r="G17" s="18"/>
      <c r="H17" s="18"/>
      <c r="I17" s="16">
        <f aca="true" t="shared" si="5" ref="I17:I30">IF($G17=0,ROUND($E17*$F17,2),ROUND($E17*$F17*$G17,2))</f>
        <v>244.1</v>
      </c>
      <c r="J17" s="16"/>
      <c r="K17" s="16"/>
      <c r="L17" s="16"/>
      <c r="M17" s="16"/>
      <c r="N17" s="16"/>
      <c r="O17" s="16"/>
      <c r="P17" s="16">
        <f>IF($H17=0,ROUND($E17*(P$72/12),2),ROUND($E17*(P$72/12)*$H17,2))</f>
        <v>40.68</v>
      </c>
      <c r="Q17" s="16">
        <f>IF($H17=0,ROUND($E17*(Q$72/12),2),ROUND($E17*(Q$72/12)*$H17,2))</f>
        <v>44.75</v>
      </c>
      <c r="R17" s="16"/>
      <c r="S17" s="63">
        <f t="shared" si="1"/>
        <v>0.018</v>
      </c>
      <c r="T17" s="16"/>
      <c r="U17" s="16">
        <f t="shared" si="2"/>
        <v>0.95</v>
      </c>
      <c r="V17" s="16">
        <f t="shared" si="3"/>
        <v>36.61</v>
      </c>
      <c r="W17" s="16">
        <f t="shared" si="3"/>
        <v>36.61</v>
      </c>
      <c r="X17" s="16"/>
      <c r="Y17" s="16"/>
      <c r="Z17" s="16"/>
      <c r="AA17" s="16"/>
      <c r="AB17" s="16"/>
      <c r="AC17" s="16"/>
      <c r="AD17" s="16"/>
      <c r="AE17" s="16"/>
      <c r="AF17" s="78"/>
      <c r="AG17" s="79"/>
    </row>
    <row r="18" spans="1:33" s="5" customFormat="1" ht="21.75" customHeight="1">
      <c r="A18" s="12">
        <f t="shared" si="4"/>
        <v>6</v>
      </c>
      <c r="B18" s="13">
        <f>C17</f>
        <v>49600</v>
      </c>
      <c r="C18" s="14">
        <v>50665.75</v>
      </c>
      <c r="D18" s="15" t="s">
        <v>25</v>
      </c>
      <c r="E18" s="16">
        <f t="shared" si="0"/>
        <v>1065.75</v>
      </c>
      <c r="F18" s="23">
        <v>10</v>
      </c>
      <c r="G18" s="18"/>
      <c r="H18" s="18"/>
      <c r="I18" s="16">
        <f t="shared" si="5"/>
        <v>10657.5</v>
      </c>
      <c r="J18" s="16"/>
      <c r="K18" s="16"/>
      <c r="L18" s="16"/>
      <c r="M18" s="16"/>
      <c r="N18" s="16"/>
      <c r="O18" s="16">
        <f>IF($H18=0,ROUND($E18*(O$72/12),2),ROUND($E18*(O$72/12)*$H18,2))</f>
        <v>1598.63</v>
      </c>
      <c r="P18" s="16"/>
      <c r="Q18" s="16"/>
      <c r="R18" s="16"/>
      <c r="S18" s="63">
        <f t="shared" si="1"/>
        <v>0.681</v>
      </c>
      <c r="T18" s="16"/>
      <c r="U18" s="16">
        <f t="shared" si="2"/>
        <v>35.24</v>
      </c>
      <c r="V18" s="16">
        <f t="shared" si="3"/>
        <v>1361.79</v>
      </c>
      <c r="W18" s="16">
        <f t="shared" si="3"/>
        <v>1361.79</v>
      </c>
      <c r="X18" s="16"/>
      <c r="Y18" s="16"/>
      <c r="Z18" s="16"/>
      <c r="AA18" s="16"/>
      <c r="AB18" s="16"/>
      <c r="AC18" s="16"/>
      <c r="AD18" s="16"/>
      <c r="AE18" s="16"/>
      <c r="AF18" s="78"/>
      <c r="AG18" s="79"/>
    </row>
    <row r="19" spans="1:33" s="5" customFormat="1" ht="21.75" customHeight="1">
      <c r="A19" s="12">
        <f t="shared" si="4"/>
        <v>7</v>
      </c>
      <c r="B19" s="13">
        <f>C18</f>
        <v>50665.75</v>
      </c>
      <c r="C19" s="14">
        <v>51065.75</v>
      </c>
      <c r="D19" s="15" t="s">
        <v>25</v>
      </c>
      <c r="E19" s="16">
        <f t="shared" si="0"/>
        <v>400</v>
      </c>
      <c r="F19" s="23">
        <v>10</v>
      </c>
      <c r="G19" s="18">
        <f>ROUND((((2291.83+($F19/2))/2291.83)+1)/2,4)</f>
        <v>1.0011</v>
      </c>
      <c r="H19" s="18">
        <f>ROUND((((2291.83+($F19))/2291.83)+1)/2,4)</f>
        <v>1.0022</v>
      </c>
      <c r="I19" s="16">
        <f t="shared" si="5"/>
        <v>4004.4</v>
      </c>
      <c r="J19" s="16"/>
      <c r="K19" s="16"/>
      <c r="L19" s="16"/>
      <c r="M19" s="16"/>
      <c r="N19" s="16"/>
      <c r="O19" s="16">
        <f>IF($H19=0,ROUND($E19*(O$72/12),2),ROUND($E19*(O$72/12)*$H19,2))</f>
        <v>601.32</v>
      </c>
      <c r="P19" s="16"/>
      <c r="Q19" s="16"/>
      <c r="R19" s="16"/>
      <c r="S19" s="63">
        <f t="shared" si="1"/>
        <v>0.256</v>
      </c>
      <c r="T19" s="16"/>
      <c r="U19" s="16">
        <f t="shared" si="2"/>
        <v>13.24</v>
      </c>
      <c r="V19" s="16">
        <f t="shared" si="3"/>
        <v>511.75</v>
      </c>
      <c r="W19" s="16">
        <f t="shared" si="3"/>
        <v>511.75</v>
      </c>
      <c r="X19" s="16"/>
      <c r="Y19" s="16"/>
      <c r="Z19" s="16"/>
      <c r="AA19" s="16"/>
      <c r="AB19" s="16"/>
      <c r="AC19" s="16"/>
      <c r="AD19" s="16"/>
      <c r="AE19" s="16"/>
      <c r="AF19" s="78"/>
      <c r="AG19" s="79"/>
    </row>
    <row r="20" spans="1:33" s="5" customFormat="1" ht="21.75" customHeight="1">
      <c r="A20" s="12">
        <f t="shared" si="4"/>
        <v>8</v>
      </c>
      <c r="B20" s="13">
        <f>C19</f>
        <v>51065.75</v>
      </c>
      <c r="C20" s="14">
        <v>51412.5</v>
      </c>
      <c r="D20" s="15" t="s">
        <v>25</v>
      </c>
      <c r="E20" s="16">
        <f t="shared" si="0"/>
        <v>346.75</v>
      </c>
      <c r="F20" s="23">
        <v>10</v>
      </c>
      <c r="G20" s="18">
        <f>ROUND((2291.83+($F20/2))/2291.83,4)</f>
        <v>1.0022</v>
      </c>
      <c r="H20" s="18">
        <f>ROUND((2291.83+($F20))/2291.83,4)</f>
        <v>1.0044</v>
      </c>
      <c r="I20" s="16">
        <f t="shared" si="5"/>
        <v>3475.13</v>
      </c>
      <c r="J20" s="16"/>
      <c r="K20" s="16"/>
      <c r="L20" s="16"/>
      <c r="M20" s="16"/>
      <c r="N20" s="16"/>
      <c r="O20" s="16">
        <f>IF($H20=0,ROUND($E20*(O$72/12),2),ROUND($E20*(O$72/12)*$H20,2))</f>
        <v>522.41</v>
      </c>
      <c r="P20" s="16"/>
      <c r="Q20" s="16"/>
      <c r="R20" s="16"/>
      <c r="S20" s="63">
        <f t="shared" si="1"/>
        <v>0.222</v>
      </c>
      <c r="T20" s="16"/>
      <c r="U20" s="16">
        <f t="shared" si="2"/>
        <v>11.49</v>
      </c>
      <c r="V20" s="16">
        <f t="shared" si="3"/>
        <v>444.17</v>
      </c>
      <c r="W20" s="16">
        <f t="shared" si="3"/>
        <v>444.17</v>
      </c>
      <c r="X20" s="16"/>
      <c r="Y20" s="16"/>
      <c r="Z20" s="16"/>
      <c r="AA20" s="16"/>
      <c r="AB20" s="16"/>
      <c r="AC20" s="16"/>
      <c r="AD20" s="16"/>
      <c r="AE20" s="16"/>
      <c r="AF20" s="78"/>
      <c r="AG20" s="79"/>
    </row>
    <row r="21" spans="1:33" s="5" customFormat="1" ht="21.75" customHeight="1">
      <c r="A21" s="12">
        <f t="shared" si="4"/>
        <v>9</v>
      </c>
      <c r="B21" s="13">
        <f>C20</f>
        <v>51412.5</v>
      </c>
      <c r="C21" s="14">
        <v>51485</v>
      </c>
      <c r="D21" s="15" t="s">
        <v>25</v>
      </c>
      <c r="E21" s="16">
        <f t="shared" si="0"/>
        <v>72.5</v>
      </c>
      <c r="F21" s="17">
        <f>ROUND(AVERAGE(10,7.1),2)</f>
        <v>8.55</v>
      </c>
      <c r="G21" s="18">
        <f>ROUND((2291.83+($F21/2))/2291.83,4)</f>
        <v>1.0019</v>
      </c>
      <c r="H21" s="18">
        <f>ROUND((2291.83+($F21))/2291.83,4)</f>
        <v>1.0037</v>
      </c>
      <c r="I21" s="16">
        <f t="shared" si="5"/>
        <v>621.05</v>
      </c>
      <c r="J21" s="16"/>
      <c r="K21" s="16"/>
      <c r="L21" s="16"/>
      <c r="M21" s="16"/>
      <c r="N21" s="16"/>
      <c r="O21" s="16">
        <f>IF($H21=0,ROUND($E21*(O$72/12),2),ROUND($E21*(O$72/12)*$H21,2))</f>
        <v>109.15</v>
      </c>
      <c r="P21" s="16"/>
      <c r="Q21" s="16"/>
      <c r="R21" s="16"/>
      <c r="S21" s="63">
        <f t="shared" si="1"/>
        <v>0.041</v>
      </c>
      <c r="T21" s="16"/>
      <c r="U21" s="16">
        <f t="shared" si="2"/>
        <v>2.1</v>
      </c>
      <c r="V21" s="16">
        <f t="shared" si="3"/>
        <v>81.13</v>
      </c>
      <c r="W21" s="16">
        <f t="shared" si="3"/>
        <v>81.13</v>
      </c>
      <c r="X21" s="16"/>
      <c r="Y21" s="16"/>
      <c r="Z21" s="16"/>
      <c r="AA21" s="16"/>
      <c r="AB21" s="16"/>
      <c r="AC21" s="16"/>
      <c r="AD21" s="16"/>
      <c r="AE21" s="16"/>
      <c r="AF21" s="78"/>
      <c r="AG21" s="79"/>
    </row>
    <row r="22" spans="1:33" s="5" customFormat="1" ht="21.75" customHeight="1">
      <c r="A22" s="12">
        <f t="shared" si="4"/>
        <v>10</v>
      </c>
      <c r="B22" s="13"/>
      <c r="C22" s="14"/>
      <c r="D22" s="15"/>
      <c r="E22" s="16"/>
      <c r="F22" s="23"/>
      <c r="G22" s="18"/>
      <c r="H22" s="16"/>
      <c r="I22" s="16"/>
      <c r="J22" s="16"/>
      <c r="K22" s="16"/>
      <c r="L22" s="16"/>
      <c r="M22" s="16"/>
      <c r="N22" s="16"/>
      <c r="O22" s="16"/>
      <c r="P22" s="15"/>
      <c r="Q22" s="16"/>
      <c r="R22" s="16"/>
      <c r="S22" s="63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78"/>
      <c r="AG22" s="79"/>
    </row>
    <row r="23" spans="1:33" s="5" customFormat="1" ht="21.75" customHeight="1">
      <c r="A23" s="12">
        <f t="shared" si="4"/>
        <v>11</v>
      </c>
      <c r="B23" s="13">
        <v>46946.96</v>
      </c>
      <c r="C23" s="14">
        <v>47226.99</v>
      </c>
      <c r="D23" s="15" t="s">
        <v>20</v>
      </c>
      <c r="E23" s="16">
        <f>C23-B23</f>
        <v>280.02999999999884</v>
      </c>
      <c r="F23" s="23">
        <v>10</v>
      </c>
      <c r="G23" s="18"/>
      <c r="H23" s="16"/>
      <c r="I23" s="16">
        <f t="shared" si="5"/>
        <v>2800.3</v>
      </c>
      <c r="J23" s="16"/>
      <c r="K23" s="16"/>
      <c r="L23" s="16"/>
      <c r="M23" s="16"/>
      <c r="N23" s="16"/>
      <c r="O23" s="16">
        <f aca="true" t="shared" si="6" ref="O23:O28">IF($H23=0,ROUND($E23*(O$72/12),2),ROUND($E23*(O$72/12)*$H23,2))</f>
        <v>420.04</v>
      </c>
      <c r="P23" s="16"/>
      <c r="Q23" s="16"/>
      <c r="R23" s="16"/>
      <c r="S23" s="63">
        <f>ROUND(($V23/S$72),3)</f>
        <v>0.179</v>
      </c>
      <c r="T23" s="16"/>
      <c r="U23" s="16">
        <f>ROUND((($U$72*$W$72*$U$73*$U$74*$W23)/2000),2)</f>
        <v>9.26</v>
      </c>
      <c r="V23" s="16">
        <f aca="true" t="shared" si="7" ref="V23:W25">ROUND((($I23+$J23+$O23+$P23+$Q23)/9),2)</f>
        <v>357.82</v>
      </c>
      <c r="W23" s="16">
        <f t="shared" si="7"/>
        <v>357.82</v>
      </c>
      <c r="X23" s="16"/>
      <c r="Y23" s="16"/>
      <c r="Z23" s="16"/>
      <c r="AA23" s="16"/>
      <c r="AB23" s="16"/>
      <c r="AC23" s="16"/>
      <c r="AD23" s="16"/>
      <c r="AE23" s="16"/>
      <c r="AF23" s="78"/>
      <c r="AG23" s="79"/>
    </row>
    <row r="24" spans="1:33" s="5" customFormat="1" ht="21.75" customHeight="1">
      <c r="A24" s="12">
        <f t="shared" si="4"/>
        <v>12</v>
      </c>
      <c r="B24" s="14">
        <f>C23</f>
        <v>47226.99</v>
      </c>
      <c r="C24" s="39">
        <v>47493.14</v>
      </c>
      <c r="D24" s="15" t="s">
        <v>20</v>
      </c>
      <c r="E24" s="16">
        <f>C24-B24</f>
        <v>266.15000000000146</v>
      </c>
      <c r="F24" s="23">
        <v>10</v>
      </c>
      <c r="G24" s="18"/>
      <c r="H24" s="16"/>
      <c r="I24" s="16">
        <f t="shared" si="5"/>
        <v>2661.5</v>
      </c>
      <c r="J24" s="16"/>
      <c r="K24" s="16"/>
      <c r="L24" s="16"/>
      <c r="M24" s="16"/>
      <c r="N24" s="16"/>
      <c r="O24" s="16">
        <f t="shared" si="6"/>
        <v>399.23</v>
      </c>
      <c r="P24" s="16"/>
      <c r="Q24" s="16"/>
      <c r="R24" s="16"/>
      <c r="S24" s="63">
        <f>ROUND(($V24/S$72),3)</f>
        <v>0.17</v>
      </c>
      <c r="T24" s="16"/>
      <c r="U24" s="16">
        <f>ROUND((($U$72*$W$72*$U$73*$U$74*$W24)/2000),2)</f>
        <v>8.8</v>
      </c>
      <c r="V24" s="16">
        <f t="shared" si="7"/>
        <v>340.08</v>
      </c>
      <c r="W24" s="16">
        <f t="shared" si="7"/>
        <v>340.08</v>
      </c>
      <c r="X24" s="16"/>
      <c r="Y24" s="16"/>
      <c r="Z24" s="16"/>
      <c r="AA24" s="16"/>
      <c r="AB24" s="16"/>
      <c r="AC24" s="16"/>
      <c r="AD24" s="16"/>
      <c r="AE24" s="16"/>
      <c r="AF24" s="78"/>
      <c r="AG24" s="79"/>
    </row>
    <row r="25" spans="1:33" s="5" customFormat="1" ht="21.75" customHeight="1">
      <c r="A25" s="12">
        <f t="shared" si="4"/>
        <v>13</v>
      </c>
      <c r="B25" s="14">
        <f>C24</f>
        <v>47493.14</v>
      </c>
      <c r="C25" s="14">
        <v>47600</v>
      </c>
      <c r="D25" s="15" t="s">
        <v>20</v>
      </c>
      <c r="E25" s="16">
        <f>C25-B25</f>
        <v>106.86000000000058</v>
      </c>
      <c r="F25" s="17">
        <v>10</v>
      </c>
      <c r="G25" s="18">
        <f>ROUND((3904.072+48+($F25/2))/3904.072,4)</f>
        <v>1.0136</v>
      </c>
      <c r="H25" s="18">
        <f>ROUND((3904.072+48+($F25))/3904.072,4)</f>
        <v>1.0149</v>
      </c>
      <c r="I25" s="16">
        <f t="shared" si="5"/>
        <v>1083.13</v>
      </c>
      <c r="J25" s="16"/>
      <c r="K25" s="16"/>
      <c r="L25" s="16"/>
      <c r="M25" s="16"/>
      <c r="N25" s="16"/>
      <c r="O25" s="16">
        <f t="shared" si="6"/>
        <v>162.68</v>
      </c>
      <c r="P25" s="16"/>
      <c r="Q25" s="16"/>
      <c r="R25" s="16"/>
      <c r="S25" s="63">
        <f>ROUND(($V25/S$72),3)</f>
        <v>0.069</v>
      </c>
      <c r="T25" s="16"/>
      <c r="U25" s="16">
        <f>ROUND((($U$72*$W$72*$U$73*$U$74*$W25)/2000),2)</f>
        <v>3.58</v>
      </c>
      <c r="V25" s="16">
        <f t="shared" si="7"/>
        <v>138.42</v>
      </c>
      <c r="W25" s="16">
        <f t="shared" si="7"/>
        <v>138.42</v>
      </c>
      <c r="X25" s="16"/>
      <c r="Y25" s="16"/>
      <c r="Z25" s="16"/>
      <c r="AA25" s="16"/>
      <c r="AB25" s="16"/>
      <c r="AC25" s="16"/>
      <c r="AD25" s="16"/>
      <c r="AE25" s="16"/>
      <c r="AF25" s="78"/>
      <c r="AG25" s="79"/>
    </row>
    <row r="26" spans="1:33" s="5" customFormat="1" ht="21.75" customHeight="1">
      <c r="A26" s="12">
        <f>A25+1</f>
        <v>14</v>
      </c>
      <c r="B26" s="14"/>
      <c r="C26" s="14"/>
      <c r="D26" s="15"/>
      <c r="E26" s="16"/>
      <c r="F26" s="17"/>
      <c r="G26" s="18"/>
      <c r="H26" s="18"/>
      <c r="I26" s="16"/>
      <c r="J26" s="16"/>
      <c r="K26" s="16"/>
      <c r="L26" s="16"/>
      <c r="M26" s="16"/>
      <c r="N26" s="16"/>
      <c r="O26" s="16">
        <f t="shared" si="6"/>
        <v>0</v>
      </c>
      <c r="P26" s="16"/>
      <c r="Q26" s="16"/>
      <c r="R26" s="16"/>
      <c r="S26" s="63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78"/>
      <c r="AG26" s="79"/>
    </row>
    <row r="27" spans="1:33" s="5" customFormat="1" ht="21.75" customHeight="1">
      <c r="A27" s="12">
        <f t="shared" si="4"/>
        <v>15</v>
      </c>
      <c r="B27" s="14">
        <v>48117.43</v>
      </c>
      <c r="C27" s="14">
        <v>49082.07</v>
      </c>
      <c r="D27" s="15" t="s">
        <v>20</v>
      </c>
      <c r="E27" s="16">
        <f>C27-B27</f>
        <v>964.6399999999994</v>
      </c>
      <c r="F27" s="17">
        <v>10</v>
      </c>
      <c r="G27" s="18">
        <f>ROUND((3904.072+36+($F27/2))/3904.072,4)</f>
        <v>1.0105</v>
      </c>
      <c r="H27" s="18">
        <f>ROUND((3904.072+36+($F27))/3904.072,4)</f>
        <v>1.0118</v>
      </c>
      <c r="I27" s="16">
        <f t="shared" si="5"/>
        <v>9747.69</v>
      </c>
      <c r="J27" s="16"/>
      <c r="K27" s="16"/>
      <c r="L27" s="16"/>
      <c r="M27" s="16"/>
      <c r="N27" s="16"/>
      <c r="O27" s="16">
        <f t="shared" si="6"/>
        <v>1464.03</v>
      </c>
      <c r="P27" s="16"/>
      <c r="Q27" s="16"/>
      <c r="R27" s="16"/>
      <c r="S27" s="63">
        <f>ROUND(($V27/S$72),3)</f>
        <v>0.623</v>
      </c>
      <c r="T27" s="16"/>
      <c r="U27" s="16">
        <f>ROUND((($U$72*$W$72*$U$73*$U$74*$W27)/2000),2)</f>
        <v>32.23</v>
      </c>
      <c r="V27" s="16">
        <f aca="true" t="shared" si="8" ref="V27:W30">ROUND((($I27+$J27+$O27+$P27+$Q27)/9),2)</f>
        <v>1245.75</v>
      </c>
      <c r="W27" s="16">
        <f t="shared" si="8"/>
        <v>1245.75</v>
      </c>
      <c r="X27" s="16"/>
      <c r="Y27" s="16"/>
      <c r="Z27" s="16"/>
      <c r="AA27" s="16"/>
      <c r="AB27" s="16"/>
      <c r="AC27" s="16"/>
      <c r="AD27" s="16"/>
      <c r="AE27" s="16"/>
      <c r="AF27" s="78"/>
      <c r="AG27" s="79"/>
    </row>
    <row r="28" spans="1:33" s="5" customFormat="1" ht="21.75" customHeight="1">
      <c r="A28" s="12">
        <f t="shared" si="4"/>
        <v>16</v>
      </c>
      <c r="B28" s="14">
        <f>C27</f>
        <v>49082.07</v>
      </c>
      <c r="C28" s="14">
        <v>49100</v>
      </c>
      <c r="D28" s="15" t="s">
        <v>20</v>
      </c>
      <c r="E28" s="16">
        <f>C28-B28</f>
        <v>17.93000000000029</v>
      </c>
      <c r="F28" s="17">
        <v>10</v>
      </c>
      <c r="G28" s="18">
        <f>ROUND((3904.072+36+($F28/2))/3904.072,4)</f>
        <v>1.0105</v>
      </c>
      <c r="H28" s="18">
        <f>ROUND((3904.072+36+($F28))/3904.072,4)</f>
        <v>1.0118</v>
      </c>
      <c r="I28" s="16">
        <f t="shared" si="5"/>
        <v>181.18</v>
      </c>
      <c r="J28" s="16"/>
      <c r="K28" s="16"/>
      <c r="L28" s="16"/>
      <c r="M28" s="16"/>
      <c r="N28" s="16"/>
      <c r="O28" s="16">
        <f t="shared" si="6"/>
        <v>27.21</v>
      </c>
      <c r="P28" s="16"/>
      <c r="Q28" s="16"/>
      <c r="R28" s="16"/>
      <c r="S28" s="63">
        <f>ROUND(($V28/S$72),3)</f>
        <v>0.012</v>
      </c>
      <c r="T28" s="16"/>
      <c r="U28" s="16">
        <f>ROUND((($U$72*$W$72*$U$73*$U$74*$W28)/2000),2)</f>
        <v>0.6</v>
      </c>
      <c r="V28" s="16">
        <f t="shared" si="8"/>
        <v>23.15</v>
      </c>
      <c r="W28" s="16">
        <f t="shared" si="8"/>
        <v>23.15</v>
      </c>
      <c r="X28" s="16"/>
      <c r="Y28" s="16"/>
      <c r="Z28" s="16"/>
      <c r="AA28" s="16"/>
      <c r="AB28" s="16"/>
      <c r="AC28" s="16"/>
      <c r="AD28" s="16"/>
      <c r="AE28" s="16"/>
      <c r="AF28" s="78"/>
      <c r="AG28" s="79"/>
    </row>
    <row r="29" spans="1:33" s="5" customFormat="1" ht="21.75" customHeight="1">
      <c r="A29" s="12">
        <f t="shared" si="4"/>
        <v>17</v>
      </c>
      <c r="B29" s="14">
        <f>C28</f>
        <v>49100</v>
      </c>
      <c r="C29" s="14">
        <v>49159.27</v>
      </c>
      <c r="D29" s="15" t="s">
        <v>20</v>
      </c>
      <c r="E29" s="16">
        <f>C29-B29</f>
        <v>59.2699999999968</v>
      </c>
      <c r="F29" s="17">
        <v>10</v>
      </c>
      <c r="G29" s="18">
        <f>ROUND((3904.072+36+($F29/2))/3904.072,4)</f>
        <v>1.0105</v>
      </c>
      <c r="H29" s="18">
        <f>ROUND((3904.072+36+($F29))/3904.072,4)</f>
        <v>1.0118</v>
      </c>
      <c r="I29" s="16">
        <f t="shared" si="5"/>
        <v>598.92</v>
      </c>
      <c r="J29" s="16"/>
      <c r="K29" s="16"/>
      <c r="L29" s="16"/>
      <c r="M29" s="16"/>
      <c r="N29" s="16">
        <f>IF($H29=0,ROUND($E29*(N$72/12),2),ROUND($E29*(N$72/12)*$H29,2))</f>
        <v>114.32</v>
      </c>
      <c r="O29" s="16"/>
      <c r="P29" s="16"/>
      <c r="Q29" s="16">
        <f>IF($H29=0,ROUND($E29*(Q$72/12),2),ROUND($E29*(Q$72/12)*$H29,2))</f>
        <v>109.94</v>
      </c>
      <c r="R29" s="16"/>
      <c r="S29" s="63">
        <f>ROUND(($V29/S$72),3)</f>
        <v>0.046</v>
      </c>
      <c r="T29" s="16"/>
      <c r="U29" s="16">
        <f>ROUND((($U$72*$W$72*$U$73*$U$74*$W29)/2000),2)</f>
        <v>2.37</v>
      </c>
      <c r="V29" s="16">
        <f>ROUND((($I29+$J29+$N29+$P29+$Q29)/9),2)</f>
        <v>91.46</v>
      </c>
      <c r="W29" s="16">
        <f>ROUND((($I29+$J29+$N29+$P29+$Q29)/9),2)</f>
        <v>91.46</v>
      </c>
      <c r="X29" s="16"/>
      <c r="Y29" s="16"/>
      <c r="Z29" s="16"/>
      <c r="AA29" s="16"/>
      <c r="AB29" s="16"/>
      <c r="AC29" s="16"/>
      <c r="AD29" s="16"/>
      <c r="AE29" s="16"/>
      <c r="AF29" s="78"/>
      <c r="AG29" s="79"/>
    </row>
    <row r="30" spans="1:33" s="5" customFormat="1" ht="21.75" customHeight="1">
      <c r="A30" s="12">
        <f t="shared" si="4"/>
        <v>18</v>
      </c>
      <c r="B30" s="14">
        <f>C29</f>
        <v>49159.27</v>
      </c>
      <c r="C30" s="14">
        <v>49370.87</v>
      </c>
      <c r="D30" s="15" t="s">
        <v>20</v>
      </c>
      <c r="E30" s="16">
        <f>C30-B30</f>
        <v>211.60000000000582</v>
      </c>
      <c r="F30" s="17">
        <v>10</v>
      </c>
      <c r="G30" s="18">
        <f>ROUND((3904.072+36+($F30/2))/3904.072,4)</f>
        <v>1.0105</v>
      </c>
      <c r="H30" s="18">
        <f>ROUND((3904.072+36+($F30))/3904.072,4)</f>
        <v>1.0118</v>
      </c>
      <c r="I30" s="16">
        <f t="shared" si="5"/>
        <v>2138.22</v>
      </c>
      <c r="J30" s="16"/>
      <c r="K30" s="16"/>
      <c r="L30" s="16"/>
      <c r="M30" s="16"/>
      <c r="N30" s="16"/>
      <c r="O30" s="16">
        <f>IF($H30=0,ROUND($E30*(O$72/12),2),ROUND($E30*(O$72/12)*$H30,2))</f>
        <v>321.15</v>
      </c>
      <c r="P30" s="16"/>
      <c r="Q30" s="16"/>
      <c r="R30" s="16"/>
      <c r="S30" s="63">
        <f>ROUND(($V30/S$72),3)</f>
        <v>0.137</v>
      </c>
      <c r="T30" s="16"/>
      <c r="U30" s="16">
        <f>ROUND((($U$72*$W$72*$U$73*$U$74*$W30)/2000),2)</f>
        <v>7.07</v>
      </c>
      <c r="V30" s="16">
        <f t="shared" si="8"/>
        <v>273.26</v>
      </c>
      <c r="W30" s="16">
        <f t="shared" si="8"/>
        <v>273.26</v>
      </c>
      <c r="X30" s="16"/>
      <c r="Y30" s="16"/>
      <c r="Z30" s="16"/>
      <c r="AA30" s="16"/>
      <c r="AB30" s="16"/>
      <c r="AC30" s="16"/>
      <c r="AD30" s="16"/>
      <c r="AE30" s="16"/>
      <c r="AF30" s="78"/>
      <c r="AG30" s="79"/>
    </row>
    <row r="31" spans="1:33" s="5" customFormat="1" ht="21.75" customHeight="1">
      <c r="A31" s="12">
        <f t="shared" si="4"/>
        <v>19</v>
      </c>
      <c r="B31" s="14"/>
      <c r="C31" s="21"/>
      <c r="D31" s="15"/>
      <c r="E31" s="16"/>
      <c r="F31" s="17"/>
      <c r="G31" s="18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63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78"/>
      <c r="AG31" s="79"/>
    </row>
    <row r="32" spans="1:33" s="5" customFormat="1" ht="21.75" customHeight="1">
      <c r="A32" s="12">
        <f t="shared" si="4"/>
        <v>20</v>
      </c>
      <c r="B32" s="14">
        <v>50211.45</v>
      </c>
      <c r="C32" s="21">
        <v>50665.75</v>
      </c>
      <c r="D32" s="15" t="s">
        <v>20</v>
      </c>
      <c r="E32" s="16">
        <f>C32-B32</f>
        <v>454.3000000000029</v>
      </c>
      <c r="F32" s="17">
        <v>8</v>
      </c>
      <c r="G32" s="18"/>
      <c r="H32" s="18"/>
      <c r="I32" s="16">
        <f>IF($G32=0,ROUND($E32*$F32,2),ROUND($E32*$F32*$G32,2))</f>
        <v>3634.4</v>
      </c>
      <c r="J32" s="16"/>
      <c r="K32" s="16"/>
      <c r="L32" s="16"/>
      <c r="M32" s="16"/>
      <c r="N32" s="16"/>
      <c r="O32" s="16">
        <f>IF($H32=0,ROUND($E32*(O$72/12),2),ROUND($E32*(O$72/12)*$H32,2))</f>
        <v>681.45</v>
      </c>
      <c r="P32" s="15"/>
      <c r="Q32" s="16"/>
      <c r="R32" s="16"/>
      <c r="S32" s="63">
        <f>ROUND(($V32/S$72),3)</f>
        <v>0.24</v>
      </c>
      <c r="T32" s="16"/>
      <c r="U32" s="16">
        <f>ROUND((($U$72*$W$72*$U$73*$U$74*$W32)/2000),2)</f>
        <v>12.41</v>
      </c>
      <c r="V32" s="16">
        <f aca="true" t="shared" si="9" ref="V32:W34">ROUND((($I32+$J32+$O32+$P32+$Q32)/9),2)</f>
        <v>479.54</v>
      </c>
      <c r="W32" s="16">
        <f t="shared" si="9"/>
        <v>479.54</v>
      </c>
      <c r="X32" s="16"/>
      <c r="Y32" s="16"/>
      <c r="Z32" s="16"/>
      <c r="AA32" s="16"/>
      <c r="AB32" s="16"/>
      <c r="AC32" s="16"/>
      <c r="AD32" s="16"/>
      <c r="AE32" s="16"/>
      <c r="AF32" s="78"/>
      <c r="AG32" s="79"/>
    </row>
    <row r="33" spans="1:33" s="5" customFormat="1" ht="21.75" customHeight="1">
      <c r="A33" s="12">
        <f t="shared" si="4"/>
        <v>21</v>
      </c>
      <c r="B33" s="13">
        <f>C32</f>
        <v>50665.75</v>
      </c>
      <c r="C33" s="14">
        <v>50711.53</v>
      </c>
      <c r="D33" s="15" t="s">
        <v>20</v>
      </c>
      <c r="E33" s="16">
        <f>C33-B33</f>
        <v>45.779999999998836</v>
      </c>
      <c r="F33" s="17">
        <v>8</v>
      </c>
      <c r="G33" s="18">
        <f>ROUND((((2291.83-((37.998+38.914)/2)-($F33/2))/2291.83)+1)/2,4)</f>
        <v>0.9907</v>
      </c>
      <c r="H33" s="18">
        <f>ROUND((((2291.83-((37.998+38.914)/2)-($F33))/2291.83)+1)/2,4)</f>
        <v>0.9899</v>
      </c>
      <c r="I33" s="16">
        <f>IF($G33=0,ROUND($E33*$F33,2),ROUND($E33*$F33*$G33,2))</f>
        <v>362.83</v>
      </c>
      <c r="J33" s="16"/>
      <c r="K33" s="16"/>
      <c r="L33" s="15"/>
      <c r="M33" s="15"/>
      <c r="N33" s="15"/>
      <c r="O33" s="16">
        <f>IF($H33=0,ROUND($E33*(O$72/12),2),ROUND($E33*(O$72/12)*$H33,2))</f>
        <v>67.98</v>
      </c>
      <c r="P33" s="15"/>
      <c r="Q33" s="16"/>
      <c r="R33" s="16"/>
      <c r="S33" s="63">
        <f>ROUND(($V33/S$72),3)</f>
        <v>0.024</v>
      </c>
      <c r="T33" s="16"/>
      <c r="U33" s="16">
        <f>ROUND((($U$72*$W$72*$U$73*$U$74*$W33)/2000),2)</f>
        <v>1.24</v>
      </c>
      <c r="V33" s="16">
        <f t="shared" si="9"/>
        <v>47.87</v>
      </c>
      <c r="W33" s="16">
        <f t="shared" si="9"/>
        <v>47.87</v>
      </c>
      <c r="X33" s="16"/>
      <c r="Y33" s="16"/>
      <c r="Z33" s="16"/>
      <c r="AA33" s="16"/>
      <c r="AB33" s="16"/>
      <c r="AC33" s="16"/>
      <c r="AD33" s="16"/>
      <c r="AE33" s="16"/>
      <c r="AF33" s="78"/>
      <c r="AG33" s="79"/>
    </row>
    <row r="34" spans="1:33" s="5" customFormat="1" ht="21.75" customHeight="1">
      <c r="A34" s="12">
        <f t="shared" si="4"/>
        <v>22</v>
      </c>
      <c r="B34" s="13">
        <f>C33</f>
        <v>50711.53</v>
      </c>
      <c r="C34" s="14">
        <v>50742.24</v>
      </c>
      <c r="D34" s="15" t="s">
        <v>20</v>
      </c>
      <c r="E34" s="16">
        <f>C34-B34</f>
        <v>30.709999999999127</v>
      </c>
      <c r="F34" s="17">
        <f>ROUND(AVERAGE(8,8.614),2)</f>
        <v>8.31</v>
      </c>
      <c r="G34" s="18">
        <f>ROUND((((2291.83-((37.998+37.388)/2)-($F34/2))/2291.83)+1)/2,4)</f>
        <v>0.9909</v>
      </c>
      <c r="H34" s="18">
        <f>ROUND((((2291.83-((37.998+37.388)/2)-($F34))/2291.83)+1)/2,4)</f>
        <v>0.99</v>
      </c>
      <c r="I34" s="16">
        <f>IF($G34=0,ROUND($E34*$F34,2),ROUND($E34*$F34*$G34,2))</f>
        <v>252.88</v>
      </c>
      <c r="J34" s="16"/>
      <c r="K34" s="16"/>
      <c r="L34" s="16"/>
      <c r="M34" s="16"/>
      <c r="N34" s="16"/>
      <c r="O34" s="16">
        <f>IF($H34=0,ROUND($E34*(O$72/12),2),ROUND($E34*(O$72/12)*$H34,2))</f>
        <v>45.6</v>
      </c>
      <c r="P34" s="15"/>
      <c r="Q34" s="16"/>
      <c r="R34" s="16"/>
      <c r="S34" s="63">
        <f>ROUND(($V34/S$72),3)</f>
        <v>0.017</v>
      </c>
      <c r="T34" s="16"/>
      <c r="U34" s="16">
        <f>ROUND((($U$72*$W$72*$U$73*$U$74*$W34)/2000),2)</f>
        <v>0.86</v>
      </c>
      <c r="V34" s="16">
        <f t="shared" si="9"/>
        <v>33.16</v>
      </c>
      <c r="W34" s="16">
        <f t="shared" si="9"/>
        <v>33.16</v>
      </c>
      <c r="X34" s="16"/>
      <c r="Y34" s="16"/>
      <c r="Z34" s="16"/>
      <c r="AA34" s="16"/>
      <c r="AB34" s="16"/>
      <c r="AC34" s="16"/>
      <c r="AD34" s="16"/>
      <c r="AE34" s="16"/>
      <c r="AF34" s="78"/>
      <c r="AG34" s="79"/>
    </row>
    <row r="35" spans="1:33" s="5" customFormat="1" ht="21.75" customHeight="1">
      <c r="A35" s="12">
        <f t="shared" si="4"/>
        <v>23</v>
      </c>
      <c r="B35" s="14"/>
      <c r="C35" s="14"/>
      <c r="D35" s="15"/>
      <c r="E35" s="16"/>
      <c r="F35" s="17"/>
      <c r="G35" s="18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63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78"/>
      <c r="AG35" s="79"/>
    </row>
    <row r="36" spans="1:33" s="5" customFormat="1" ht="21.75" customHeight="1">
      <c r="A36" s="12">
        <f t="shared" si="4"/>
        <v>24</v>
      </c>
      <c r="B36" s="14"/>
      <c r="C36" s="14"/>
      <c r="D36" s="15"/>
      <c r="E36" s="16"/>
      <c r="F36" s="17"/>
      <c r="G36" s="18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63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78"/>
      <c r="AG36" s="79"/>
    </row>
    <row r="37" spans="1:33" s="5" customFormat="1" ht="21.75" customHeight="1">
      <c r="A37" s="12">
        <f t="shared" si="4"/>
        <v>25</v>
      </c>
      <c r="B37" s="110" t="s">
        <v>29</v>
      </c>
      <c r="C37" s="111"/>
      <c r="D37" s="111"/>
      <c r="E37" s="111"/>
      <c r="F37" s="111"/>
      <c r="G37" s="111"/>
      <c r="H37" s="111"/>
      <c r="I37" s="112"/>
      <c r="J37" s="16"/>
      <c r="K37" s="16"/>
      <c r="L37" s="16"/>
      <c r="M37" s="16"/>
      <c r="N37" s="16"/>
      <c r="O37" s="16"/>
      <c r="P37" s="16"/>
      <c r="Q37" s="16"/>
      <c r="R37" s="16"/>
      <c r="S37" s="63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78"/>
      <c r="AG37" s="79"/>
    </row>
    <row r="38" spans="1:33" s="5" customFormat="1" ht="21.75" customHeight="1">
      <c r="A38" s="12">
        <f t="shared" si="4"/>
        <v>26</v>
      </c>
      <c r="B38" s="19" t="s">
        <v>19</v>
      </c>
      <c r="C38" s="14"/>
      <c r="D38" s="15"/>
      <c r="E38" s="16"/>
      <c r="F38" s="23"/>
      <c r="G38" s="1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63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78"/>
      <c r="AG38" s="79"/>
    </row>
    <row r="39" spans="1:33" s="5" customFormat="1" ht="21.75" customHeight="1">
      <c r="A39" s="12">
        <f t="shared" si="4"/>
        <v>27</v>
      </c>
      <c r="B39" s="13">
        <v>46942.49</v>
      </c>
      <c r="C39" s="14">
        <v>47254.68</v>
      </c>
      <c r="D39" s="15" t="s">
        <v>25</v>
      </c>
      <c r="E39" s="16">
        <f>C39-B39</f>
        <v>312.1900000000023</v>
      </c>
      <c r="F39" s="17">
        <v>60</v>
      </c>
      <c r="G39" s="18"/>
      <c r="H39" s="16"/>
      <c r="I39" s="16">
        <f aca="true" t="shared" si="10" ref="I39:I46">IF(G39=0,ROUND($E39*$F39,2),ROUND($E39*$F39*$G39,2))</f>
        <v>18731.4</v>
      </c>
      <c r="J39" s="16"/>
      <c r="K39" s="16"/>
      <c r="L39" s="16"/>
      <c r="M39" s="16"/>
      <c r="N39" s="16"/>
      <c r="O39" s="16"/>
      <c r="P39" s="16"/>
      <c r="Q39" s="16"/>
      <c r="R39" s="16"/>
      <c r="S39" s="63">
        <f aca="true" t="shared" si="11" ref="S39:S46">ROUND(($V39/S$72),3)</f>
        <v>1.041</v>
      </c>
      <c r="T39" s="16"/>
      <c r="U39" s="16">
        <f aca="true" t="shared" si="12" ref="U39:U46">ROUND((($U$72*$W$72*$U$73*$U$74*$W39)/2000),2)</f>
        <v>53.85</v>
      </c>
      <c r="V39" s="16">
        <f aca="true" t="shared" si="13" ref="V39:W46">ROUND((($I39+$J39)/9),2)</f>
        <v>2081.27</v>
      </c>
      <c r="W39" s="16">
        <f t="shared" si="13"/>
        <v>2081.27</v>
      </c>
      <c r="X39" s="16"/>
      <c r="Y39" s="16"/>
      <c r="Z39" s="16"/>
      <c r="AA39" s="16"/>
      <c r="AB39" s="16"/>
      <c r="AC39" s="16"/>
      <c r="AD39" s="16"/>
      <c r="AE39" s="16"/>
      <c r="AF39" s="78"/>
      <c r="AG39" s="79"/>
    </row>
    <row r="40" spans="1:33" s="5" customFormat="1" ht="21.75" customHeight="1">
      <c r="A40" s="12">
        <f t="shared" si="4"/>
        <v>28</v>
      </c>
      <c r="B40" s="13">
        <f aca="true" t="shared" si="14" ref="B40:B45">C39</f>
        <v>47254.68</v>
      </c>
      <c r="C40" s="14">
        <v>48663.69</v>
      </c>
      <c r="D40" s="15" t="s">
        <v>25</v>
      </c>
      <c r="E40" s="16">
        <f>C40-B40</f>
        <v>1409.010000000002</v>
      </c>
      <c r="F40" s="17">
        <v>60</v>
      </c>
      <c r="G40" s="18">
        <f>ROUND((3904.072-($F40/2))/3904.072,4)</f>
        <v>0.9923</v>
      </c>
      <c r="H40" s="16"/>
      <c r="I40" s="16">
        <f t="shared" si="10"/>
        <v>83889.64</v>
      </c>
      <c r="J40" s="16"/>
      <c r="K40" s="16"/>
      <c r="L40" s="16"/>
      <c r="M40" s="16"/>
      <c r="N40" s="16"/>
      <c r="O40" s="16"/>
      <c r="P40" s="16"/>
      <c r="Q40" s="16"/>
      <c r="R40" s="16"/>
      <c r="S40" s="63">
        <f t="shared" si="11"/>
        <v>4.661</v>
      </c>
      <c r="T40" s="16"/>
      <c r="U40" s="16">
        <f t="shared" si="12"/>
        <v>241.18</v>
      </c>
      <c r="V40" s="16">
        <f t="shared" si="13"/>
        <v>9321.07</v>
      </c>
      <c r="W40" s="16">
        <f t="shared" si="13"/>
        <v>9321.07</v>
      </c>
      <c r="X40" s="16"/>
      <c r="Y40" s="16"/>
      <c r="Z40" s="16"/>
      <c r="AA40" s="16"/>
      <c r="AB40" s="16"/>
      <c r="AC40" s="16"/>
      <c r="AD40" s="16"/>
      <c r="AE40" s="16"/>
      <c r="AF40" s="78"/>
      <c r="AG40" s="79"/>
    </row>
    <row r="41" spans="1:33" s="5" customFormat="1" ht="21.75" customHeight="1">
      <c r="A41" s="12">
        <f t="shared" si="4"/>
        <v>29</v>
      </c>
      <c r="B41" s="13">
        <f t="shared" si="14"/>
        <v>48663.69</v>
      </c>
      <c r="C41" s="14">
        <v>49281.37</v>
      </c>
      <c r="D41" s="15" t="s">
        <v>25</v>
      </c>
      <c r="E41" s="16">
        <f>C41-B41</f>
        <v>617.6800000000003</v>
      </c>
      <c r="F41" s="17">
        <v>36</v>
      </c>
      <c r="G41" s="18">
        <f>ROUND((3904.072-($F41/2))/3904.072,4)</f>
        <v>0.9954</v>
      </c>
      <c r="H41" s="16"/>
      <c r="I41" s="16">
        <f t="shared" si="10"/>
        <v>22134.19</v>
      </c>
      <c r="J41" s="16"/>
      <c r="K41" s="16"/>
      <c r="L41" s="16"/>
      <c r="M41" s="16"/>
      <c r="N41" s="16"/>
      <c r="O41" s="16"/>
      <c r="P41" s="16"/>
      <c r="Q41" s="16"/>
      <c r="R41" s="16"/>
      <c r="S41" s="63">
        <f t="shared" si="11"/>
        <v>1.23</v>
      </c>
      <c r="T41" s="16"/>
      <c r="U41" s="16">
        <f t="shared" si="12"/>
        <v>63.64</v>
      </c>
      <c r="V41" s="16">
        <f t="shared" si="13"/>
        <v>2459.35</v>
      </c>
      <c r="W41" s="16">
        <f t="shared" si="13"/>
        <v>2459.35</v>
      </c>
      <c r="X41" s="16"/>
      <c r="Y41" s="16"/>
      <c r="Z41" s="16"/>
      <c r="AA41" s="16"/>
      <c r="AB41" s="16"/>
      <c r="AC41" s="16"/>
      <c r="AD41" s="16"/>
      <c r="AE41" s="16"/>
      <c r="AF41" s="78"/>
      <c r="AG41" s="79"/>
    </row>
    <row r="42" spans="1:33" s="5" customFormat="1" ht="21.75" customHeight="1">
      <c r="A42" s="12">
        <f t="shared" si="4"/>
        <v>30</v>
      </c>
      <c r="B42" s="13">
        <f t="shared" si="14"/>
        <v>49281.37</v>
      </c>
      <c r="C42" s="14">
        <v>49444.48</v>
      </c>
      <c r="D42" s="15" t="s">
        <v>25</v>
      </c>
      <c r="E42" s="16">
        <f>C42-B42</f>
        <v>163.11000000000058</v>
      </c>
      <c r="F42" s="17">
        <v>36</v>
      </c>
      <c r="G42" s="18"/>
      <c r="H42" s="16"/>
      <c r="I42" s="16">
        <f t="shared" si="10"/>
        <v>5871.96</v>
      </c>
      <c r="J42" s="16"/>
      <c r="K42" s="16"/>
      <c r="L42" s="16"/>
      <c r="M42" s="16"/>
      <c r="N42" s="16"/>
      <c r="O42" s="16"/>
      <c r="P42" s="16"/>
      <c r="Q42" s="16"/>
      <c r="R42" s="16"/>
      <c r="S42" s="63">
        <f t="shared" si="11"/>
        <v>0.326</v>
      </c>
      <c r="T42" s="16"/>
      <c r="U42" s="16">
        <f t="shared" si="12"/>
        <v>16.88</v>
      </c>
      <c r="V42" s="16">
        <f t="shared" si="13"/>
        <v>652.44</v>
      </c>
      <c r="W42" s="16">
        <f t="shared" si="13"/>
        <v>652.44</v>
      </c>
      <c r="X42" s="16"/>
      <c r="Y42" s="16"/>
      <c r="Z42" s="16"/>
      <c r="AA42" s="16"/>
      <c r="AB42" s="16"/>
      <c r="AC42" s="16"/>
      <c r="AD42" s="16"/>
      <c r="AE42" s="16"/>
      <c r="AF42" s="78"/>
      <c r="AG42" s="79"/>
    </row>
    <row r="43" spans="1:33" s="5" customFormat="1" ht="21.75" customHeight="1">
      <c r="A43" s="12">
        <f t="shared" si="4"/>
        <v>31</v>
      </c>
      <c r="B43" s="13">
        <f t="shared" si="14"/>
        <v>49444.48</v>
      </c>
      <c r="C43" s="14">
        <v>50203.04</v>
      </c>
      <c r="D43" s="15" t="s">
        <v>25</v>
      </c>
      <c r="E43" s="16">
        <f aca="true" t="shared" si="15" ref="E43:E50">C43-B43</f>
        <v>758.5599999999977</v>
      </c>
      <c r="F43" s="17">
        <f>ROUND(AVERAGE(51.171,36),2)</f>
        <v>43.59</v>
      </c>
      <c r="G43" s="18"/>
      <c r="H43" s="16"/>
      <c r="I43" s="16">
        <f t="shared" si="10"/>
        <v>33065.63</v>
      </c>
      <c r="J43" s="16"/>
      <c r="K43" s="16"/>
      <c r="L43" s="16"/>
      <c r="M43" s="16"/>
      <c r="N43" s="16"/>
      <c r="O43" s="16"/>
      <c r="P43" s="16"/>
      <c r="Q43" s="16"/>
      <c r="R43" s="16"/>
      <c r="S43" s="63">
        <f t="shared" si="11"/>
        <v>1.837</v>
      </c>
      <c r="T43" s="16"/>
      <c r="U43" s="16">
        <f t="shared" si="12"/>
        <v>95.06</v>
      </c>
      <c r="V43" s="16">
        <f t="shared" si="13"/>
        <v>3673.96</v>
      </c>
      <c r="W43" s="16">
        <f t="shared" si="13"/>
        <v>3673.96</v>
      </c>
      <c r="X43" s="16"/>
      <c r="Y43" s="16"/>
      <c r="Z43" s="16"/>
      <c r="AA43" s="16"/>
      <c r="AB43" s="16"/>
      <c r="AC43" s="16"/>
      <c r="AD43" s="16"/>
      <c r="AE43" s="16"/>
      <c r="AF43" s="78"/>
      <c r="AG43" s="79"/>
    </row>
    <row r="44" spans="1:33" s="5" customFormat="1" ht="21.75" customHeight="1">
      <c r="A44" s="12">
        <f t="shared" si="4"/>
        <v>32</v>
      </c>
      <c r="B44" s="13">
        <f t="shared" si="14"/>
        <v>50203.04</v>
      </c>
      <c r="C44" s="14">
        <v>50243.78</v>
      </c>
      <c r="D44" s="15" t="s">
        <v>25</v>
      </c>
      <c r="E44" s="16">
        <f t="shared" si="15"/>
        <v>40.73999999999796</v>
      </c>
      <c r="F44" s="17">
        <f>ROUND(AVERAGE(51.171,52),2)</f>
        <v>51.59</v>
      </c>
      <c r="G44" s="18">
        <f>ROUND((((2864.79+($F44/2))/2864.79)+1)/2,4)</f>
        <v>1.0045</v>
      </c>
      <c r="H44" s="16"/>
      <c r="I44" s="16">
        <f t="shared" si="10"/>
        <v>2111.23</v>
      </c>
      <c r="J44" s="16"/>
      <c r="K44" s="16"/>
      <c r="L44" s="16"/>
      <c r="M44" s="16"/>
      <c r="N44" s="16"/>
      <c r="O44" s="16"/>
      <c r="P44" s="16"/>
      <c r="Q44" s="16"/>
      <c r="R44" s="16"/>
      <c r="S44" s="63">
        <f t="shared" si="11"/>
        <v>0.117</v>
      </c>
      <c r="T44" s="16"/>
      <c r="U44" s="16">
        <f t="shared" si="12"/>
        <v>6.07</v>
      </c>
      <c r="V44" s="16">
        <f t="shared" si="13"/>
        <v>234.58</v>
      </c>
      <c r="W44" s="16">
        <f t="shared" si="13"/>
        <v>234.58</v>
      </c>
      <c r="X44" s="16"/>
      <c r="Y44" s="16"/>
      <c r="Z44" s="16"/>
      <c r="AA44" s="16"/>
      <c r="AB44" s="16"/>
      <c r="AC44" s="16"/>
      <c r="AD44" s="16"/>
      <c r="AE44" s="16"/>
      <c r="AF44" s="78"/>
      <c r="AG44" s="79"/>
    </row>
    <row r="45" spans="1:33" s="5" customFormat="1" ht="21.75" customHeight="1">
      <c r="A45" s="12">
        <f t="shared" si="4"/>
        <v>33</v>
      </c>
      <c r="B45" s="13">
        <f t="shared" si="14"/>
        <v>50243.78</v>
      </c>
      <c r="C45" s="14">
        <v>50603.04</v>
      </c>
      <c r="D45" s="15" t="s">
        <v>25</v>
      </c>
      <c r="E45" s="16">
        <f t="shared" si="15"/>
        <v>359.26000000000204</v>
      </c>
      <c r="F45" s="17">
        <v>36</v>
      </c>
      <c r="G45" s="18">
        <f>ROUND((((2864.79+($F45/2))/2864.79)+1)/2,4)</f>
        <v>1.0031</v>
      </c>
      <c r="H45" s="16"/>
      <c r="I45" s="16">
        <f t="shared" si="10"/>
        <v>12973.45</v>
      </c>
      <c r="J45" s="16"/>
      <c r="K45" s="16"/>
      <c r="L45" s="16"/>
      <c r="M45" s="16"/>
      <c r="N45" s="16"/>
      <c r="O45" s="16"/>
      <c r="P45" s="16"/>
      <c r="Q45" s="16"/>
      <c r="R45" s="16"/>
      <c r="S45" s="63">
        <f t="shared" si="11"/>
        <v>0.721</v>
      </c>
      <c r="T45" s="16"/>
      <c r="U45" s="16">
        <f t="shared" si="12"/>
        <v>37.3</v>
      </c>
      <c r="V45" s="16">
        <f t="shared" si="13"/>
        <v>1441.49</v>
      </c>
      <c r="W45" s="16">
        <f t="shared" si="13"/>
        <v>1441.49</v>
      </c>
      <c r="X45" s="16"/>
      <c r="Y45" s="16"/>
      <c r="Z45" s="16"/>
      <c r="AA45" s="16"/>
      <c r="AB45" s="16"/>
      <c r="AC45" s="16"/>
      <c r="AD45" s="16"/>
      <c r="AE45" s="16"/>
      <c r="AF45" s="78"/>
      <c r="AG45" s="79"/>
    </row>
    <row r="46" spans="1:33" s="5" customFormat="1" ht="21.75" customHeight="1">
      <c r="A46" s="12">
        <f t="shared" si="4"/>
        <v>34</v>
      </c>
      <c r="B46" s="13">
        <f>C45</f>
        <v>50603.04</v>
      </c>
      <c r="C46" s="14">
        <v>51495</v>
      </c>
      <c r="D46" s="15" t="s">
        <v>25</v>
      </c>
      <c r="E46" s="16">
        <f t="shared" si="15"/>
        <v>891.9599999999991</v>
      </c>
      <c r="F46" s="17">
        <v>36</v>
      </c>
      <c r="G46" s="18">
        <f>ROUND((2864.79+($F46/2))/2864.79,4)</f>
        <v>1.0063</v>
      </c>
      <c r="H46" s="16"/>
      <c r="I46" s="16">
        <f t="shared" si="10"/>
        <v>32312.86</v>
      </c>
      <c r="J46" s="16"/>
      <c r="K46" s="16"/>
      <c r="L46" s="16"/>
      <c r="M46" s="16"/>
      <c r="N46" s="16"/>
      <c r="O46" s="16"/>
      <c r="P46" s="16"/>
      <c r="Q46" s="16"/>
      <c r="R46" s="16"/>
      <c r="S46" s="63">
        <f t="shared" si="11"/>
        <v>1.795</v>
      </c>
      <c r="T46" s="16"/>
      <c r="U46" s="16">
        <f t="shared" si="12"/>
        <v>92.9</v>
      </c>
      <c r="V46" s="16">
        <f t="shared" si="13"/>
        <v>3590.32</v>
      </c>
      <c r="W46" s="16">
        <f t="shared" si="13"/>
        <v>3590.32</v>
      </c>
      <c r="X46" s="16"/>
      <c r="Y46" s="16"/>
      <c r="Z46" s="16"/>
      <c r="AA46" s="16"/>
      <c r="AB46" s="16"/>
      <c r="AC46" s="16"/>
      <c r="AD46" s="16"/>
      <c r="AE46" s="16"/>
      <c r="AF46" s="78"/>
      <c r="AG46" s="79"/>
    </row>
    <row r="47" spans="1:33" s="5" customFormat="1" ht="21.75" customHeight="1">
      <c r="A47" s="12">
        <f t="shared" si="4"/>
        <v>35</v>
      </c>
      <c r="B47" s="13"/>
      <c r="C47" s="14"/>
      <c r="D47" s="15"/>
      <c r="E47" s="16"/>
      <c r="F47" s="17"/>
      <c r="G47" s="18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63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78"/>
      <c r="AG47" s="79"/>
    </row>
    <row r="48" spans="1:33" s="5" customFormat="1" ht="21.75" customHeight="1">
      <c r="A48" s="12">
        <f t="shared" si="4"/>
        <v>36</v>
      </c>
      <c r="B48" s="13">
        <v>50148.92</v>
      </c>
      <c r="C48" s="14">
        <v>50203.04</v>
      </c>
      <c r="D48" s="15" t="s">
        <v>20</v>
      </c>
      <c r="E48" s="16">
        <f t="shared" si="15"/>
        <v>54.12000000000262</v>
      </c>
      <c r="F48" s="17">
        <v>12</v>
      </c>
      <c r="G48" s="18"/>
      <c r="H48" s="16"/>
      <c r="I48" s="16">
        <f>IF(G48=0,ROUND($E48*$F48,2),ROUND($E48*$F48*$G48,2))</f>
        <v>649.44</v>
      </c>
      <c r="J48" s="16"/>
      <c r="K48" s="16"/>
      <c r="L48" s="16"/>
      <c r="M48" s="16"/>
      <c r="N48" s="16"/>
      <c r="O48" s="16"/>
      <c r="P48" s="16"/>
      <c r="Q48" s="42"/>
      <c r="R48" s="16"/>
      <c r="S48" s="63">
        <f>ROUND(($V48/S$72),3)</f>
        <v>0.036</v>
      </c>
      <c r="T48" s="16"/>
      <c r="U48" s="16">
        <f>ROUND((($U$72*$W$72*$U$73*$U$74*$W48)/2000),2)</f>
        <v>1.87</v>
      </c>
      <c r="V48" s="16">
        <f aca="true" t="shared" si="16" ref="V48:W50">ROUND((($I48+$J48)/9),2)</f>
        <v>72.16</v>
      </c>
      <c r="W48" s="16">
        <f t="shared" si="16"/>
        <v>72.16</v>
      </c>
      <c r="X48" s="16"/>
      <c r="Y48" s="16"/>
      <c r="Z48" s="16"/>
      <c r="AA48" s="16"/>
      <c r="AB48" s="16"/>
      <c r="AC48" s="16"/>
      <c r="AD48" s="16"/>
      <c r="AE48" s="16"/>
      <c r="AF48" s="78"/>
      <c r="AG48" s="79"/>
    </row>
    <row r="49" spans="1:33" s="5" customFormat="1" ht="21.75" customHeight="1">
      <c r="A49" s="12">
        <f t="shared" si="4"/>
        <v>37</v>
      </c>
      <c r="B49" s="13">
        <f>C48</f>
        <v>50203.04</v>
      </c>
      <c r="C49" s="14">
        <v>50395.44</v>
      </c>
      <c r="D49" s="15" t="s">
        <v>20</v>
      </c>
      <c r="E49" s="16">
        <f t="shared" si="15"/>
        <v>192.40000000000146</v>
      </c>
      <c r="F49" s="17">
        <v>12</v>
      </c>
      <c r="G49" s="18">
        <f>ROUND((((2864.79-($F49/2))/2864.79)+1)/2,4)</f>
        <v>0.999</v>
      </c>
      <c r="H49" s="16"/>
      <c r="I49" s="16">
        <f>IF(G49=0,ROUND($E49*$F49,2),ROUND($E49*$F49*$G49,2))</f>
        <v>2306.49</v>
      </c>
      <c r="J49" s="16"/>
      <c r="K49" s="16"/>
      <c r="L49" s="16"/>
      <c r="M49" s="16"/>
      <c r="N49" s="16"/>
      <c r="O49" s="16"/>
      <c r="P49" s="16"/>
      <c r="Q49" s="16"/>
      <c r="R49" s="16"/>
      <c r="S49" s="63">
        <f>ROUND(($V49/S$72),3)</f>
        <v>0.128</v>
      </c>
      <c r="T49" s="16"/>
      <c r="U49" s="16">
        <f>ROUND((($U$72*$W$72*$U$73*$U$74*$W49)/2000),2)</f>
        <v>6.63</v>
      </c>
      <c r="V49" s="16">
        <f t="shared" si="16"/>
        <v>256.28</v>
      </c>
      <c r="W49" s="16">
        <f t="shared" si="16"/>
        <v>256.28</v>
      </c>
      <c r="X49" s="16"/>
      <c r="Y49" s="16"/>
      <c r="Z49" s="16"/>
      <c r="AA49" s="16"/>
      <c r="AB49" s="16"/>
      <c r="AC49" s="16"/>
      <c r="AD49" s="16"/>
      <c r="AE49" s="16"/>
      <c r="AF49" s="78"/>
      <c r="AG49" s="79"/>
    </row>
    <row r="50" spans="1:33" s="5" customFormat="1" ht="21.75" customHeight="1" thickBot="1">
      <c r="A50" s="12">
        <f t="shared" si="4"/>
        <v>38</v>
      </c>
      <c r="B50" s="13">
        <f>C49</f>
        <v>50395.44</v>
      </c>
      <c r="C50" s="14">
        <v>50495.44</v>
      </c>
      <c r="D50" s="15" t="s">
        <v>20</v>
      </c>
      <c r="E50" s="16">
        <f t="shared" si="15"/>
        <v>100</v>
      </c>
      <c r="F50" s="17">
        <f>ROUND(AVERAGE(12,0),2)</f>
        <v>6</v>
      </c>
      <c r="G50" s="18">
        <f>ROUND((((2864.79-($F50/2))/2864.79)+1)/2,4)</f>
        <v>0.9995</v>
      </c>
      <c r="H50" s="16"/>
      <c r="I50" s="16">
        <f>IF(G50=0,ROUND($E50*$F50,2),ROUND($E50*$F50*$G50,2))</f>
        <v>599.7</v>
      </c>
      <c r="J50" s="16"/>
      <c r="K50" s="16"/>
      <c r="L50" s="16"/>
      <c r="M50" s="16"/>
      <c r="N50" s="16"/>
      <c r="O50" s="16"/>
      <c r="P50" s="16"/>
      <c r="Q50" s="16"/>
      <c r="R50" s="16"/>
      <c r="S50" s="63">
        <f>ROUND(($V50/S$72),3)</f>
        <v>0.033</v>
      </c>
      <c r="T50" s="16"/>
      <c r="U50" s="16">
        <f>ROUND((($U$72*$W$72*$U$73*$U$74*$W50)/2000),2)</f>
        <v>1.72</v>
      </c>
      <c r="V50" s="16">
        <f t="shared" si="16"/>
        <v>66.63</v>
      </c>
      <c r="W50" s="16">
        <f t="shared" si="16"/>
        <v>66.63</v>
      </c>
      <c r="X50" s="16"/>
      <c r="Y50" s="16"/>
      <c r="Z50" s="16"/>
      <c r="AA50" s="16"/>
      <c r="AB50" s="16"/>
      <c r="AC50" s="16"/>
      <c r="AD50" s="16"/>
      <c r="AE50" s="16"/>
      <c r="AF50" s="103"/>
      <c r="AG50" s="82"/>
    </row>
    <row r="51" spans="1:33" s="5" customFormat="1" ht="21.75" customHeight="1">
      <c r="A51" s="12">
        <f t="shared" si="4"/>
        <v>39</v>
      </c>
      <c r="B51" s="13"/>
      <c r="C51" s="14"/>
      <c r="D51" s="15"/>
      <c r="E51" s="16"/>
      <c r="F51" s="17"/>
      <c r="G51" s="18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63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76" t="s">
        <v>91</v>
      </c>
      <c r="AG51" s="77"/>
    </row>
    <row r="52" spans="1:33" s="5" customFormat="1" ht="21.75" customHeight="1">
      <c r="A52" s="12">
        <f t="shared" si="4"/>
        <v>40</v>
      </c>
      <c r="B52" s="19" t="s">
        <v>27</v>
      </c>
      <c r="C52" s="14"/>
      <c r="D52" s="15"/>
      <c r="E52" s="16"/>
      <c r="F52" s="17"/>
      <c r="G52" s="1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63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78"/>
      <c r="AG52" s="79"/>
    </row>
    <row r="53" spans="1:33" s="5" customFormat="1" ht="21.75" customHeight="1">
      <c r="A53" s="12">
        <f t="shared" si="4"/>
        <v>41</v>
      </c>
      <c r="B53" s="13">
        <v>46942.49</v>
      </c>
      <c r="C53" s="14">
        <v>46962.5</v>
      </c>
      <c r="D53" s="15" t="s">
        <v>25</v>
      </c>
      <c r="E53" s="16">
        <f aca="true" t="shared" si="17" ref="E53:E65">C53-B53</f>
        <v>20.010000000002037</v>
      </c>
      <c r="F53" s="23">
        <v>5.5</v>
      </c>
      <c r="G53" s="18"/>
      <c r="H53" s="16"/>
      <c r="I53" s="16">
        <f aca="true" t="shared" si="18" ref="I53:I58">IF(G53=0,ROUND($E53*$F53,2),ROUND($E53*$F53*$G53,2))</f>
        <v>110.06</v>
      </c>
      <c r="J53" s="16"/>
      <c r="K53" s="16"/>
      <c r="L53" s="16"/>
      <c r="M53" s="16"/>
      <c r="N53" s="16"/>
      <c r="O53" s="16"/>
      <c r="P53" s="16">
        <f>IF($H53=0,ROUND($E53*(P$72/12),2),ROUND($E53*(P$72/12)*$H53,2))</f>
        <v>33.35</v>
      </c>
      <c r="Q53" s="16">
        <f>IF($H53=0,ROUND($E53*(Q$72/12),2),ROUND($E53*(Q$72/12)*$H53,2))</f>
        <v>36.69</v>
      </c>
      <c r="R53" s="16"/>
      <c r="S53" s="63">
        <f aca="true" t="shared" si="19" ref="S53:S58">ROUND(($V53/S$72),3)</f>
        <v>0.01</v>
      </c>
      <c r="T53" s="16"/>
      <c r="U53" s="16">
        <f aca="true" t="shared" si="20" ref="U53:U58">ROUND((($U$72*$W$72*$U$73*$U$74*$W53)/2000),2)</f>
        <v>0.52</v>
      </c>
      <c r="V53" s="16">
        <f>ROUND((($I53+$J53+$O53+$P53+$Q53)/9),2)</f>
        <v>20.01</v>
      </c>
      <c r="W53" s="16">
        <f>ROUND((($I53+$J53+$O53+$P53+$Q53)/9),2)</f>
        <v>20.01</v>
      </c>
      <c r="X53" s="16"/>
      <c r="Y53" s="16"/>
      <c r="Z53" s="16"/>
      <c r="AA53" s="16"/>
      <c r="AB53" s="16"/>
      <c r="AC53" s="16"/>
      <c r="AD53" s="16"/>
      <c r="AE53" s="16"/>
      <c r="AF53" s="78"/>
      <c r="AG53" s="79"/>
    </row>
    <row r="54" spans="1:33" s="5" customFormat="1" ht="21.75" customHeight="1">
      <c r="A54" s="12">
        <f t="shared" si="4"/>
        <v>42</v>
      </c>
      <c r="B54" s="14">
        <f>C53</f>
        <v>46962.5</v>
      </c>
      <c r="C54" s="14">
        <v>46980.65</v>
      </c>
      <c r="D54" s="15" t="s">
        <v>25</v>
      </c>
      <c r="E54" s="16">
        <f t="shared" si="17"/>
        <v>18.150000000001455</v>
      </c>
      <c r="F54" s="23">
        <v>5.5</v>
      </c>
      <c r="G54" s="18"/>
      <c r="H54" s="16"/>
      <c r="I54" s="16">
        <f t="shared" si="18"/>
        <v>99.83</v>
      </c>
      <c r="J54" s="16"/>
      <c r="K54" s="16"/>
      <c r="L54" s="16"/>
      <c r="M54" s="16"/>
      <c r="N54" s="16"/>
      <c r="O54" s="16">
        <f>IF($H54=0,ROUND($E54*(O$72/12),2),ROUND($E54*(O$72/12)*$H54,2))</f>
        <v>27.23</v>
      </c>
      <c r="P54" s="16"/>
      <c r="Q54" s="16"/>
      <c r="R54" s="16"/>
      <c r="S54" s="63">
        <f t="shared" si="19"/>
        <v>0.007</v>
      </c>
      <c r="T54" s="16"/>
      <c r="U54" s="16">
        <f t="shared" si="20"/>
        <v>0.37</v>
      </c>
      <c r="V54" s="16">
        <f aca="true" t="shared" si="21" ref="V54:W65">ROUND((($I54+$J54+$O54+$P54+$Q54)/9),2)</f>
        <v>14.12</v>
      </c>
      <c r="W54" s="16">
        <f t="shared" si="21"/>
        <v>14.12</v>
      </c>
      <c r="X54" s="16"/>
      <c r="Y54" s="16"/>
      <c r="Z54" s="16"/>
      <c r="AA54" s="16"/>
      <c r="AB54" s="16"/>
      <c r="AC54" s="16"/>
      <c r="AD54" s="16"/>
      <c r="AE54" s="16"/>
      <c r="AF54" s="78"/>
      <c r="AG54" s="79"/>
    </row>
    <row r="55" spans="1:33" s="5" customFormat="1" ht="21.75" customHeight="1">
      <c r="A55" s="12">
        <f t="shared" si="4"/>
        <v>43</v>
      </c>
      <c r="B55" s="14">
        <f>C54</f>
        <v>46980.65</v>
      </c>
      <c r="C55" s="14">
        <v>47012.5</v>
      </c>
      <c r="D55" s="15" t="s">
        <v>25</v>
      </c>
      <c r="E55" s="16">
        <f t="shared" si="17"/>
        <v>31.849999999998545</v>
      </c>
      <c r="F55" s="23">
        <v>5.5</v>
      </c>
      <c r="G55" s="18"/>
      <c r="H55" s="16"/>
      <c r="I55" s="16">
        <f t="shared" si="18"/>
        <v>175.17</v>
      </c>
      <c r="J55" s="16"/>
      <c r="K55" s="16"/>
      <c r="L55" s="16"/>
      <c r="M55" s="16"/>
      <c r="N55" s="16"/>
      <c r="O55" s="16">
        <f>IF($H55=0,ROUND($E55*(O$72/12),2),ROUND($E55*(O$72/12)*$H55,2))</f>
        <v>47.77</v>
      </c>
      <c r="P55" s="16"/>
      <c r="Q55" s="16"/>
      <c r="R55" s="16"/>
      <c r="S55" s="63">
        <f t="shared" si="19"/>
        <v>0.012</v>
      </c>
      <c r="T55" s="16"/>
      <c r="U55" s="16">
        <f t="shared" si="20"/>
        <v>0.64</v>
      </c>
      <c r="V55" s="16">
        <f t="shared" si="21"/>
        <v>24.77</v>
      </c>
      <c r="W55" s="16">
        <f t="shared" si="21"/>
        <v>24.77</v>
      </c>
      <c r="X55" s="16"/>
      <c r="Y55" s="16"/>
      <c r="Z55" s="16"/>
      <c r="AA55" s="16"/>
      <c r="AB55" s="16"/>
      <c r="AC55" s="16"/>
      <c r="AD55" s="16"/>
      <c r="AE55" s="16"/>
      <c r="AF55" s="78"/>
      <c r="AG55" s="79"/>
    </row>
    <row r="56" spans="1:33" s="5" customFormat="1" ht="21.75" customHeight="1">
      <c r="A56" s="12">
        <f t="shared" si="4"/>
        <v>44</v>
      </c>
      <c r="B56" s="14">
        <f>C55</f>
        <v>47012.5</v>
      </c>
      <c r="C56" s="39">
        <v>47125</v>
      </c>
      <c r="D56" s="15" t="s">
        <v>25</v>
      </c>
      <c r="E56" s="16">
        <f t="shared" si="17"/>
        <v>112.5</v>
      </c>
      <c r="F56" s="17">
        <f>ROUND(AVERAGE(5.5,10),2)</f>
        <v>7.75</v>
      </c>
      <c r="G56" s="18"/>
      <c r="H56" s="16"/>
      <c r="I56" s="16">
        <f t="shared" si="18"/>
        <v>871.88</v>
      </c>
      <c r="J56" s="16"/>
      <c r="K56" s="16"/>
      <c r="L56" s="16"/>
      <c r="M56" s="16"/>
      <c r="N56" s="16"/>
      <c r="O56" s="16">
        <f>IF($H56=0,ROUND($E56*(O$72/12),2),ROUND($E56*(O$72/12)*$H56,2))</f>
        <v>168.75</v>
      </c>
      <c r="P56" s="16"/>
      <c r="Q56" s="16"/>
      <c r="R56" s="16"/>
      <c r="S56" s="63">
        <f t="shared" si="19"/>
        <v>0.058</v>
      </c>
      <c r="T56" s="16"/>
      <c r="U56" s="16">
        <f t="shared" si="20"/>
        <v>2.99</v>
      </c>
      <c r="V56" s="16">
        <f t="shared" si="21"/>
        <v>115.63</v>
      </c>
      <c r="W56" s="16">
        <f t="shared" si="21"/>
        <v>115.63</v>
      </c>
      <c r="X56" s="16"/>
      <c r="Y56" s="16"/>
      <c r="Z56" s="16"/>
      <c r="AA56" s="16"/>
      <c r="AB56" s="16"/>
      <c r="AC56" s="16"/>
      <c r="AD56" s="16"/>
      <c r="AE56" s="16"/>
      <c r="AF56" s="78"/>
      <c r="AG56" s="79"/>
    </row>
    <row r="57" spans="1:33" s="5" customFormat="1" ht="21.75" customHeight="1">
      <c r="A57" s="12">
        <f>A56+1</f>
        <v>45</v>
      </c>
      <c r="B57" s="14">
        <f aca="true" t="shared" si="22" ref="B57:B65">C56</f>
        <v>47125</v>
      </c>
      <c r="C57" s="14">
        <v>47254.68</v>
      </c>
      <c r="D57" s="15" t="s">
        <v>25</v>
      </c>
      <c r="E57" s="16">
        <f t="shared" si="17"/>
        <v>129.6800000000003</v>
      </c>
      <c r="F57" s="17">
        <v>10</v>
      </c>
      <c r="G57" s="18"/>
      <c r="H57" s="16"/>
      <c r="I57" s="16">
        <f t="shared" si="18"/>
        <v>1296.8</v>
      </c>
      <c r="J57" s="16"/>
      <c r="K57" s="16"/>
      <c r="L57" s="16"/>
      <c r="M57" s="16"/>
      <c r="N57" s="16"/>
      <c r="O57" s="16">
        <f>IF($H57=0,ROUND($E57*(O$72/12),2),ROUND($E57*(O$72/12)*$H57,2))</f>
        <v>194.52</v>
      </c>
      <c r="P57" s="16"/>
      <c r="Q57" s="16"/>
      <c r="R57" s="16"/>
      <c r="S57" s="63">
        <f t="shared" si="19"/>
        <v>0.083</v>
      </c>
      <c r="T57" s="16"/>
      <c r="U57" s="16">
        <f t="shared" si="20"/>
        <v>4.29</v>
      </c>
      <c r="V57" s="16">
        <f t="shared" si="21"/>
        <v>165.7</v>
      </c>
      <c r="W57" s="16">
        <f t="shared" si="21"/>
        <v>165.7</v>
      </c>
      <c r="X57" s="16"/>
      <c r="Y57" s="16"/>
      <c r="Z57" s="16"/>
      <c r="AA57" s="16"/>
      <c r="AB57" s="16"/>
      <c r="AC57" s="16"/>
      <c r="AD57" s="16"/>
      <c r="AE57" s="16"/>
      <c r="AF57" s="78"/>
      <c r="AG57" s="79"/>
    </row>
    <row r="58" spans="1:33" s="25" customFormat="1" ht="21.75" customHeight="1">
      <c r="A58" s="12">
        <f t="shared" si="4"/>
        <v>46</v>
      </c>
      <c r="B58" s="14">
        <f t="shared" si="22"/>
        <v>47254.68</v>
      </c>
      <c r="C58" s="14">
        <v>48663.69</v>
      </c>
      <c r="D58" s="15" t="s">
        <v>25</v>
      </c>
      <c r="E58" s="16">
        <f t="shared" si="17"/>
        <v>1409.010000000002</v>
      </c>
      <c r="F58" s="17">
        <v>10</v>
      </c>
      <c r="G58" s="18">
        <f>ROUND((3904.072-60-($F58/2))/3904.072,4)</f>
        <v>0.9834</v>
      </c>
      <c r="H58" s="18">
        <f>ROUND((3904.072-60-($F58))/3904.072,4)</f>
        <v>0.9821</v>
      </c>
      <c r="I58" s="16">
        <f t="shared" si="18"/>
        <v>13856.2</v>
      </c>
      <c r="J58" s="16"/>
      <c r="K58" s="16"/>
      <c r="L58" s="16"/>
      <c r="M58" s="16"/>
      <c r="N58" s="16"/>
      <c r="O58" s="16">
        <f>IF($H58=0,ROUND($E58*(O$72/12),2),ROUND($E58*(O$72/12)*$H58,2))</f>
        <v>2075.68</v>
      </c>
      <c r="P58" s="16"/>
      <c r="Q58" s="16"/>
      <c r="R58" s="16"/>
      <c r="S58" s="63">
        <f t="shared" si="19"/>
        <v>0.885</v>
      </c>
      <c r="T58" s="16"/>
      <c r="U58" s="16">
        <f t="shared" si="20"/>
        <v>45.8</v>
      </c>
      <c r="V58" s="16">
        <f t="shared" si="21"/>
        <v>1770.21</v>
      </c>
      <c r="W58" s="16">
        <f t="shared" si="21"/>
        <v>1770.21</v>
      </c>
      <c r="X58" s="16"/>
      <c r="Y58" s="16"/>
      <c r="Z58" s="16"/>
      <c r="AA58" s="16"/>
      <c r="AB58" s="16"/>
      <c r="AC58" s="16"/>
      <c r="AD58" s="16"/>
      <c r="AE58" s="16"/>
      <c r="AF58" s="78"/>
      <c r="AG58" s="79"/>
    </row>
    <row r="59" spans="1:33" s="25" customFormat="1" ht="21.75" customHeight="1">
      <c r="A59" s="12">
        <f t="shared" si="4"/>
        <v>47</v>
      </c>
      <c r="B59" s="14"/>
      <c r="C59" s="14"/>
      <c r="D59" s="15"/>
      <c r="E59" s="16"/>
      <c r="F59" s="17"/>
      <c r="G59" s="18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63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78"/>
      <c r="AG59" s="79"/>
    </row>
    <row r="60" spans="1:33" s="25" customFormat="1" ht="21.75" customHeight="1">
      <c r="A60" s="12">
        <f t="shared" si="4"/>
        <v>48</v>
      </c>
      <c r="B60" s="14">
        <v>49444.48</v>
      </c>
      <c r="C60" s="14">
        <v>49544.48</v>
      </c>
      <c r="D60" s="15" t="s">
        <v>25</v>
      </c>
      <c r="E60" s="16">
        <f t="shared" si="17"/>
        <v>100</v>
      </c>
      <c r="F60" s="17">
        <f>ROUND(AVERAGE(8,10),2)</f>
        <v>9</v>
      </c>
      <c r="G60" s="18"/>
      <c r="H60" s="16"/>
      <c r="I60" s="16">
        <f aca="true" t="shared" si="23" ref="I60:I65">IF(G60=0,ROUND($E60*$F60,2),ROUND($E60*$F60*$G60,2))</f>
        <v>900</v>
      </c>
      <c r="J60" s="16"/>
      <c r="K60" s="16"/>
      <c r="L60" s="16"/>
      <c r="M60" s="16"/>
      <c r="N60" s="16"/>
      <c r="O60" s="16">
        <f>IF($H60=0,ROUND($E60*(O$72/12),2),ROUND($E60*(O$72/12)*$H60,2))</f>
        <v>150</v>
      </c>
      <c r="P60" s="16"/>
      <c r="Q60" s="16"/>
      <c r="R60" s="16"/>
      <c r="S60" s="63">
        <f aca="true" t="shared" si="24" ref="S60:S65">ROUND(($V60/S$72),3)</f>
        <v>0.058</v>
      </c>
      <c r="T60" s="16"/>
      <c r="U60" s="16">
        <f aca="true" t="shared" si="25" ref="U60:U65">ROUND((($U$72*$W$72*$U$73*$U$74*$W60)/2000),2)</f>
        <v>3.02</v>
      </c>
      <c r="V60" s="16">
        <f t="shared" si="21"/>
        <v>116.67</v>
      </c>
      <c r="W60" s="16">
        <f>ROUND((($I60+$J60+$O60+$P60+$Q60)/9),2)</f>
        <v>116.67</v>
      </c>
      <c r="X60" s="16"/>
      <c r="Y60" s="16"/>
      <c r="Z60" s="16"/>
      <c r="AA60" s="16"/>
      <c r="AB60" s="16"/>
      <c r="AC60" s="16"/>
      <c r="AD60" s="16"/>
      <c r="AE60" s="16"/>
      <c r="AF60" s="78"/>
      <c r="AG60" s="79"/>
    </row>
    <row r="61" spans="1:33" s="25" customFormat="1" ht="21.75" customHeight="1">
      <c r="A61" s="12">
        <f t="shared" si="4"/>
        <v>49</v>
      </c>
      <c r="B61" s="14">
        <f t="shared" si="22"/>
        <v>49544.48</v>
      </c>
      <c r="C61" s="14">
        <v>50045.03</v>
      </c>
      <c r="D61" s="15" t="s">
        <v>25</v>
      </c>
      <c r="E61" s="16">
        <f t="shared" si="17"/>
        <v>500.54999999999563</v>
      </c>
      <c r="F61" s="17">
        <v>8</v>
      </c>
      <c r="G61" s="18"/>
      <c r="H61" s="16"/>
      <c r="I61" s="16">
        <f t="shared" si="23"/>
        <v>4004.4</v>
      </c>
      <c r="J61" s="16"/>
      <c r="K61" s="16"/>
      <c r="L61" s="16"/>
      <c r="M61" s="16"/>
      <c r="N61" s="16"/>
      <c r="O61" s="16">
        <f>IF($H61=0,ROUND($E61*(O$72/12),2),ROUND($E61*(O$72/12)*$H61,2))</f>
        <v>750.82</v>
      </c>
      <c r="P61" s="16"/>
      <c r="Q61" s="16"/>
      <c r="R61" s="16"/>
      <c r="S61" s="63">
        <f t="shared" si="24"/>
        <v>0.264</v>
      </c>
      <c r="T61" s="16"/>
      <c r="U61" s="16">
        <f t="shared" si="25"/>
        <v>13.67</v>
      </c>
      <c r="V61" s="16">
        <f t="shared" si="21"/>
        <v>528.36</v>
      </c>
      <c r="W61" s="16">
        <f t="shared" si="21"/>
        <v>528.36</v>
      </c>
      <c r="X61" s="16"/>
      <c r="Y61" s="16"/>
      <c r="Z61" s="16"/>
      <c r="AA61" s="16"/>
      <c r="AB61" s="16"/>
      <c r="AC61" s="16"/>
      <c r="AD61" s="16"/>
      <c r="AE61" s="16"/>
      <c r="AF61" s="78"/>
      <c r="AG61" s="79"/>
    </row>
    <row r="62" spans="1:33" s="25" customFormat="1" ht="21.75" customHeight="1">
      <c r="A62" s="12">
        <f t="shared" si="4"/>
        <v>50</v>
      </c>
      <c r="B62" s="14">
        <f t="shared" si="22"/>
        <v>50045.03</v>
      </c>
      <c r="C62" s="14">
        <v>50200</v>
      </c>
      <c r="D62" s="15" t="s">
        <v>25</v>
      </c>
      <c r="E62" s="16">
        <f t="shared" si="17"/>
        <v>154.97000000000116</v>
      </c>
      <c r="F62" s="17">
        <v>8</v>
      </c>
      <c r="G62" s="18"/>
      <c r="H62" s="16"/>
      <c r="I62" s="16">
        <f t="shared" si="23"/>
        <v>1239.76</v>
      </c>
      <c r="J62" s="16"/>
      <c r="K62" s="16"/>
      <c r="L62" s="16"/>
      <c r="M62" s="16"/>
      <c r="N62" s="16"/>
      <c r="O62" s="16"/>
      <c r="P62" s="16">
        <f>IF($H62=0,ROUND($E62*(P$72/12),2),ROUND($E62*(P$72/12)*$H62,2))</f>
        <v>258.28</v>
      </c>
      <c r="Q62" s="16">
        <f>IF($H62=0,ROUND($E62*(Q$72/12),2),ROUND($E62*(Q$72/12)*$H62,2))</f>
        <v>284.11</v>
      </c>
      <c r="R62" s="16"/>
      <c r="S62" s="63">
        <f t="shared" si="24"/>
        <v>0.099</v>
      </c>
      <c r="T62" s="16"/>
      <c r="U62" s="16">
        <f t="shared" si="25"/>
        <v>5.12</v>
      </c>
      <c r="V62" s="16">
        <f t="shared" si="21"/>
        <v>198.02</v>
      </c>
      <c r="W62" s="16">
        <f t="shared" si="21"/>
        <v>198.02</v>
      </c>
      <c r="X62" s="16"/>
      <c r="Y62" s="16"/>
      <c r="Z62" s="16"/>
      <c r="AA62" s="16"/>
      <c r="AB62" s="16"/>
      <c r="AC62" s="16"/>
      <c r="AD62" s="16"/>
      <c r="AE62" s="16"/>
      <c r="AF62" s="78"/>
      <c r="AG62" s="79"/>
    </row>
    <row r="63" spans="1:33" s="25" customFormat="1" ht="21.75" customHeight="1">
      <c r="A63" s="12">
        <f t="shared" si="4"/>
        <v>51</v>
      </c>
      <c r="B63" s="14">
        <f t="shared" si="22"/>
        <v>50200</v>
      </c>
      <c r="C63" s="14">
        <v>50203.04</v>
      </c>
      <c r="D63" s="15" t="s">
        <v>25</v>
      </c>
      <c r="E63" s="16">
        <f t="shared" si="17"/>
        <v>3.040000000000873</v>
      </c>
      <c r="F63" s="17">
        <v>8</v>
      </c>
      <c r="G63" s="18"/>
      <c r="H63" s="16"/>
      <c r="I63" s="16">
        <f t="shared" si="23"/>
        <v>24.32</v>
      </c>
      <c r="J63" s="16"/>
      <c r="K63" s="16"/>
      <c r="L63" s="16"/>
      <c r="M63" s="16"/>
      <c r="N63" s="16"/>
      <c r="O63" s="16">
        <f>IF($H63=0,ROUND($E63*(O$72/12),2),ROUND($E63*(O$72/12)*$H63,2))</f>
        <v>4.56</v>
      </c>
      <c r="P63" s="16"/>
      <c r="Q63" s="16"/>
      <c r="R63" s="16"/>
      <c r="S63" s="63">
        <f t="shared" si="24"/>
        <v>0.002</v>
      </c>
      <c r="T63" s="16"/>
      <c r="U63" s="16">
        <f t="shared" si="25"/>
        <v>0.08</v>
      </c>
      <c r="V63" s="16">
        <f t="shared" si="21"/>
        <v>3.21</v>
      </c>
      <c r="W63" s="16">
        <f t="shared" si="21"/>
        <v>3.21</v>
      </c>
      <c r="X63" s="16"/>
      <c r="Y63" s="16"/>
      <c r="Z63" s="16"/>
      <c r="AA63" s="16"/>
      <c r="AB63" s="16"/>
      <c r="AC63" s="16"/>
      <c r="AD63" s="16"/>
      <c r="AE63" s="16"/>
      <c r="AF63" s="78"/>
      <c r="AG63" s="79"/>
    </row>
    <row r="64" spans="1:33" s="25" customFormat="1" ht="21.75" customHeight="1">
      <c r="A64" s="12">
        <f t="shared" si="4"/>
        <v>52</v>
      </c>
      <c r="B64" s="14">
        <f t="shared" si="22"/>
        <v>50203.04</v>
      </c>
      <c r="C64" s="14">
        <v>50218.14</v>
      </c>
      <c r="D64" s="15" t="s">
        <v>25</v>
      </c>
      <c r="E64" s="16">
        <f t="shared" si="17"/>
        <v>15.099999999998545</v>
      </c>
      <c r="F64" s="17">
        <v>8</v>
      </c>
      <c r="G64" s="18">
        <f>ROUND((((2864.79+((51.161+51.474)/2)+($F64/2))/2864.79)+1)/2,4)</f>
        <v>1.0097</v>
      </c>
      <c r="H64" s="18">
        <f>ROUND((((2864.79+((51.171+51.474)/2)+($F64))/2864.79)+1)/2,4)</f>
        <v>1.0104</v>
      </c>
      <c r="I64" s="16">
        <f t="shared" si="23"/>
        <v>121.97</v>
      </c>
      <c r="J64" s="16"/>
      <c r="K64" s="16"/>
      <c r="L64" s="16"/>
      <c r="M64" s="16"/>
      <c r="N64" s="16"/>
      <c r="O64" s="16">
        <f>IF($H64=0,ROUND($E64*(O$72/12),2),ROUND($E64*(O$72/12)*$H64,2))</f>
        <v>22.89</v>
      </c>
      <c r="P64" s="16"/>
      <c r="Q64" s="16"/>
      <c r="R64" s="16"/>
      <c r="S64" s="63">
        <f t="shared" si="24"/>
        <v>0.008</v>
      </c>
      <c r="T64" s="16"/>
      <c r="U64" s="16">
        <f t="shared" si="25"/>
        <v>0.42</v>
      </c>
      <c r="V64" s="16">
        <f t="shared" si="21"/>
        <v>16.1</v>
      </c>
      <c r="W64" s="16">
        <f t="shared" si="21"/>
        <v>16.1</v>
      </c>
      <c r="X64" s="16"/>
      <c r="Y64" s="16"/>
      <c r="Z64" s="16"/>
      <c r="AA64" s="16"/>
      <c r="AB64" s="16"/>
      <c r="AC64" s="16"/>
      <c r="AD64" s="16"/>
      <c r="AE64" s="16"/>
      <c r="AF64" s="80"/>
      <c r="AG64" s="79"/>
    </row>
    <row r="65" spans="1:33" s="25" customFormat="1" ht="21.75" customHeight="1">
      <c r="A65" s="12">
        <f t="shared" si="4"/>
        <v>53</v>
      </c>
      <c r="B65" s="14">
        <f t="shared" si="22"/>
        <v>50218.14</v>
      </c>
      <c r="C65" s="14">
        <v>50243.78</v>
      </c>
      <c r="D65" s="15" t="s">
        <v>25</v>
      </c>
      <c r="E65" s="16">
        <f t="shared" si="17"/>
        <v>25.639999999999418</v>
      </c>
      <c r="F65" s="17">
        <v>8</v>
      </c>
      <c r="G65" s="18">
        <f>ROUND((((2864.79+((52+51.474)/2)+($F65/2))/2864.79)+1)/2,4)</f>
        <v>1.0097</v>
      </c>
      <c r="H65" s="18">
        <f>ROUND((((2864.79+((52+51.474)/2)+($F65))/2864.79)+1)/2,4)</f>
        <v>1.0104</v>
      </c>
      <c r="I65" s="16">
        <f t="shared" si="23"/>
        <v>207.11</v>
      </c>
      <c r="J65" s="16"/>
      <c r="K65" s="16"/>
      <c r="L65" s="16"/>
      <c r="M65" s="16"/>
      <c r="N65" s="16"/>
      <c r="O65" s="16">
        <f>IF($H65=0,ROUND($E65*(O$72/12),2),ROUND($E65*(O$72/12)*$H65,2))</f>
        <v>38.86</v>
      </c>
      <c r="P65" s="16"/>
      <c r="Q65" s="16"/>
      <c r="R65" s="16"/>
      <c r="S65" s="63">
        <f t="shared" si="24"/>
        <v>0.014</v>
      </c>
      <c r="T65" s="16"/>
      <c r="U65" s="16">
        <f t="shared" si="25"/>
        <v>0.71</v>
      </c>
      <c r="V65" s="16">
        <f t="shared" si="21"/>
        <v>27.33</v>
      </c>
      <c r="W65" s="16">
        <f t="shared" si="21"/>
        <v>27.33</v>
      </c>
      <c r="X65" s="16"/>
      <c r="Y65" s="16"/>
      <c r="Z65" s="16"/>
      <c r="AA65" s="16"/>
      <c r="AB65" s="16"/>
      <c r="AC65" s="16"/>
      <c r="AD65" s="16"/>
      <c r="AE65" s="16"/>
      <c r="AF65" s="80"/>
      <c r="AG65" s="79"/>
    </row>
    <row r="66" spans="1:33" s="25" customFormat="1" ht="21.75" customHeight="1" thickBot="1">
      <c r="A66" s="12">
        <f t="shared" si="4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81"/>
      <c r="AG66" s="82"/>
    </row>
    <row r="67" spans="2:33" s="26" customFormat="1" ht="46.5" customHeight="1">
      <c r="B67" s="95" t="s">
        <v>8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7"/>
      <c r="R67" s="85" t="str">
        <f aca="true" t="shared" si="26" ref="R67:AE67">IF(SUM(R13:R66)=0," ",ROUNDUP(SUM(R13:R66),0))</f>
        <v> </v>
      </c>
      <c r="S67" s="85">
        <f t="shared" si="26"/>
        <v>17</v>
      </c>
      <c r="T67" s="85" t="str">
        <f t="shared" si="26"/>
        <v> </v>
      </c>
      <c r="U67" s="85">
        <f t="shared" si="26"/>
        <v>840</v>
      </c>
      <c r="V67" s="85">
        <f t="shared" si="26"/>
        <v>32452</v>
      </c>
      <c r="W67" s="85">
        <f t="shared" si="26"/>
        <v>32452</v>
      </c>
      <c r="X67" s="85" t="str">
        <f t="shared" si="26"/>
        <v> </v>
      </c>
      <c r="Y67" s="85" t="str">
        <f t="shared" si="26"/>
        <v> </v>
      </c>
      <c r="Z67" s="85" t="str">
        <f t="shared" si="26"/>
        <v> </v>
      </c>
      <c r="AA67" s="85" t="str">
        <f t="shared" si="26"/>
        <v> </v>
      </c>
      <c r="AB67" s="85" t="str">
        <f t="shared" si="26"/>
        <v> </v>
      </c>
      <c r="AC67" s="85" t="str">
        <f t="shared" si="26"/>
        <v> </v>
      </c>
      <c r="AD67" s="85" t="str">
        <f t="shared" si="26"/>
        <v> </v>
      </c>
      <c r="AE67" s="85" t="str">
        <f t="shared" si="26"/>
        <v> </v>
      </c>
      <c r="AF67" s="87">
        <v>6</v>
      </c>
      <c r="AG67" s="88"/>
    </row>
    <row r="68" spans="2:33" s="26" customFormat="1" ht="46.5" customHeight="1" thickBot="1"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100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3">
        <v>16</v>
      </c>
      <c r="AG68" s="84"/>
    </row>
    <row r="69" spans="1:34" ht="36" customHeight="1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T69" s="28"/>
      <c r="U69" s="28"/>
      <c r="V69" s="1"/>
      <c r="W69" s="28"/>
      <c r="X69" s="28"/>
      <c r="Y69" s="28"/>
      <c r="Z69" s="28"/>
      <c r="AA69" s="28"/>
      <c r="AB69" s="28"/>
      <c r="AF69" s="28"/>
      <c r="AG69" s="28"/>
      <c r="AH69" s="29"/>
    </row>
    <row r="70" spans="2:33" ht="12.7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T70" s="28"/>
      <c r="U70" s="28"/>
      <c r="V70" s="1"/>
      <c r="W70" s="28"/>
      <c r="X70" s="28"/>
      <c r="Y70" s="28"/>
      <c r="Z70" s="28"/>
      <c r="AA70" s="28"/>
      <c r="AB70" s="28"/>
      <c r="AF70" s="28"/>
      <c r="AG70" s="28"/>
    </row>
    <row r="71" spans="2:33" ht="12.7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T71" s="28"/>
      <c r="U71" s="28"/>
      <c r="V71" s="1"/>
      <c r="W71" s="28"/>
      <c r="X71" s="28"/>
      <c r="Y71" s="28"/>
      <c r="Z71" s="28"/>
      <c r="AA71" s="28"/>
      <c r="AB71" s="28"/>
      <c r="AF71" s="28"/>
      <c r="AG71" s="28"/>
    </row>
    <row r="72" spans="2:33" ht="15.75">
      <c r="B72" s="64" t="s">
        <v>26</v>
      </c>
      <c r="C72" s="64"/>
      <c r="D72" s="64"/>
      <c r="E72" s="64"/>
      <c r="F72" s="64"/>
      <c r="G72" s="64"/>
      <c r="H72" s="43"/>
      <c r="I72" s="43"/>
      <c r="J72" s="43"/>
      <c r="K72" s="43">
        <v>4</v>
      </c>
      <c r="L72" s="43">
        <v>6</v>
      </c>
      <c r="M72" s="43">
        <v>10</v>
      </c>
      <c r="N72" s="43">
        <v>22.875</v>
      </c>
      <c r="O72" s="43">
        <v>18</v>
      </c>
      <c r="P72" s="43">
        <v>20</v>
      </c>
      <c r="Q72" s="43">
        <v>22</v>
      </c>
      <c r="R72" s="45"/>
      <c r="S72" s="62">
        <v>2000</v>
      </c>
      <c r="T72" s="44"/>
      <c r="U72" s="44">
        <v>0.75</v>
      </c>
      <c r="V72" s="62"/>
      <c r="W72" s="62">
        <v>12</v>
      </c>
      <c r="X72" s="45"/>
      <c r="Y72" s="44"/>
      <c r="Z72" s="44"/>
      <c r="AA72" s="44"/>
      <c r="AB72" s="44"/>
      <c r="AC72" s="44"/>
      <c r="AD72" s="44"/>
      <c r="AF72" s="28"/>
      <c r="AG72" s="28"/>
    </row>
    <row r="73" spans="2:33" ht="15">
      <c r="B73" s="28"/>
      <c r="C73" s="28"/>
      <c r="D73" s="28"/>
      <c r="E73" s="28"/>
      <c r="F73" s="28"/>
      <c r="G73" s="28"/>
      <c r="H73" s="24"/>
      <c r="I73" s="28"/>
      <c r="J73" s="28"/>
      <c r="K73" s="28"/>
      <c r="L73" s="28"/>
      <c r="M73" s="28"/>
      <c r="N73" s="28"/>
      <c r="O73" s="28"/>
      <c r="P73" s="28"/>
      <c r="Q73" s="28"/>
      <c r="R73" s="24"/>
      <c r="T73" s="43"/>
      <c r="U73" s="43">
        <v>115</v>
      </c>
      <c r="V73" s="62"/>
      <c r="W73" s="46"/>
      <c r="X73" s="28"/>
      <c r="Y73" s="28"/>
      <c r="Z73" s="28"/>
      <c r="AA73" s="28"/>
      <c r="AB73" s="28"/>
      <c r="AF73" s="28"/>
      <c r="AG73" s="28"/>
    </row>
    <row r="74" spans="2:33" ht="15">
      <c r="B74" s="28"/>
      <c r="C74" s="30"/>
      <c r="D74" s="28"/>
      <c r="E74" s="28"/>
      <c r="F74" s="28"/>
      <c r="G74" s="28"/>
      <c r="H74" s="31"/>
      <c r="I74" s="28"/>
      <c r="J74" s="28"/>
      <c r="K74" s="67"/>
      <c r="L74" s="68"/>
      <c r="M74" s="68"/>
      <c r="N74" s="68"/>
      <c r="O74" s="68"/>
      <c r="P74" s="68"/>
      <c r="Q74" s="68"/>
      <c r="R74" s="31"/>
      <c r="S74" s="31"/>
      <c r="T74" s="31"/>
      <c r="U74" s="31">
        <v>0.05</v>
      </c>
      <c r="V74" s="44"/>
      <c r="W74" s="31"/>
      <c r="X74" s="31"/>
      <c r="Y74" s="31"/>
      <c r="Z74" s="31"/>
      <c r="AA74" s="31"/>
      <c r="AB74" s="31"/>
      <c r="AC74" s="31"/>
      <c r="AD74" s="31"/>
      <c r="AE74" s="31"/>
      <c r="AF74" s="28"/>
      <c r="AG74" s="28"/>
    </row>
    <row r="77" spans="2:23" ht="15">
      <c r="B77" s="69"/>
      <c r="C77" s="69"/>
      <c r="D77" s="70"/>
      <c r="E77" s="71"/>
      <c r="F77" s="71"/>
      <c r="G77" s="72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3"/>
      <c r="T77" s="71"/>
      <c r="U77" s="71"/>
      <c r="V77" s="71"/>
      <c r="W77" s="71"/>
    </row>
    <row r="78" spans="2:23" ht="15">
      <c r="B78" s="69"/>
      <c r="C78" s="69"/>
      <c r="D78" s="70"/>
      <c r="E78" s="71"/>
      <c r="F78" s="71"/>
      <c r="G78" s="72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3"/>
      <c r="T78" s="71"/>
      <c r="U78" s="71"/>
      <c r="V78" s="71"/>
      <c r="W78" s="71"/>
    </row>
    <row r="79" spans="2:23" ht="15">
      <c r="B79" s="69"/>
      <c r="C79" s="69"/>
      <c r="D79" s="70"/>
      <c r="E79" s="71"/>
      <c r="F79" s="71"/>
      <c r="G79" s="72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3"/>
      <c r="T79" s="71"/>
      <c r="U79" s="71"/>
      <c r="V79" s="71"/>
      <c r="W79" s="71"/>
    </row>
    <row r="80" spans="2:23" ht="15">
      <c r="B80" s="69"/>
      <c r="C80" s="69"/>
      <c r="D80" s="70"/>
      <c r="E80" s="71"/>
      <c r="F80" s="71"/>
      <c r="G80" s="72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3"/>
      <c r="T80" s="71"/>
      <c r="U80" s="71"/>
      <c r="V80" s="71"/>
      <c r="W80" s="71"/>
    </row>
    <row r="81" spans="2:23" ht="15">
      <c r="B81" s="69"/>
      <c r="C81" s="69"/>
      <c r="D81" s="70"/>
      <c r="E81" s="71"/>
      <c r="F81" s="71"/>
      <c r="G81" s="72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3"/>
      <c r="T81" s="71"/>
      <c r="U81" s="71"/>
      <c r="V81" s="71"/>
      <c r="W81" s="71"/>
    </row>
    <row r="82" spans="2:23" ht="15">
      <c r="B82" s="69"/>
      <c r="C82" s="69"/>
      <c r="D82" s="70"/>
      <c r="E82" s="71"/>
      <c r="F82" s="71"/>
      <c r="G82" s="72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3"/>
      <c r="T82" s="71"/>
      <c r="U82" s="71"/>
      <c r="V82" s="71"/>
      <c r="W82" s="71"/>
    </row>
    <row r="83" spans="2:23" ht="15">
      <c r="B83" s="69"/>
      <c r="C83" s="69"/>
      <c r="D83" s="70"/>
      <c r="E83" s="71"/>
      <c r="F83" s="71"/>
      <c r="G83" s="72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3"/>
      <c r="T83" s="71"/>
      <c r="U83" s="71"/>
      <c r="V83" s="71"/>
      <c r="W83" s="71"/>
    </row>
    <row r="84" spans="2:23" ht="15">
      <c r="B84" s="69"/>
      <c r="C84" s="69"/>
      <c r="D84" s="70"/>
      <c r="E84" s="71"/>
      <c r="F84" s="71"/>
      <c r="G84" s="72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3"/>
      <c r="T84" s="71"/>
      <c r="U84" s="71"/>
      <c r="V84" s="71"/>
      <c r="W84" s="71"/>
    </row>
  </sheetData>
  <sheetProtection/>
  <mergeCells count="52">
    <mergeCell ref="B37:I37"/>
    <mergeCell ref="I3:I11"/>
    <mergeCell ref="B67:Q68"/>
    <mergeCell ref="H3:H11"/>
    <mergeCell ref="O3:O11"/>
    <mergeCell ref="P3:P11"/>
    <mergeCell ref="Q3:Q11"/>
    <mergeCell ref="N3:N11"/>
    <mergeCell ref="J3:J11"/>
    <mergeCell ref="K3:K11"/>
    <mergeCell ref="AF67:AG67"/>
    <mergeCell ref="AF68:AG68"/>
    <mergeCell ref="Y67:Y68"/>
    <mergeCell ref="Z67:Z68"/>
    <mergeCell ref="AA67:AA68"/>
    <mergeCell ref="AB67:AB68"/>
    <mergeCell ref="AC67:AC68"/>
    <mergeCell ref="X67:X68"/>
    <mergeCell ref="AF51:AG66"/>
    <mergeCell ref="R67:R68"/>
    <mergeCell ref="S67:S68"/>
    <mergeCell ref="T67:T68"/>
    <mergeCell ref="U67:U68"/>
    <mergeCell ref="V67:V68"/>
    <mergeCell ref="W67:W68"/>
    <mergeCell ref="AE67:AE68"/>
    <mergeCell ref="AD67:AD68"/>
    <mergeCell ref="AC4:AC11"/>
    <mergeCell ref="AD4:AD11"/>
    <mergeCell ref="AE4:AE11"/>
    <mergeCell ref="AF6:AG50"/>
    <mergeCell ref="AA4:AA11"/>
    <mergeCell ref="AF3:AF5"/>
    <mergeCell ref="AG3:AG5"/>
    <mergeCell ref="AB4:AB11"/>
    <mergeCell ref="V4:V11"/>
    <mergeCell ref="W4:W11"/>
    <mergeCell ref="X4:X11"/>
    <mergeCell ref="Y4:Y11"/>
    <mergeCell ref="Z4:Z11"/>
    <mergeCell ref="R4:R11"/>
    <mergeCell ref="S4:S11"/>
    <mergeCell ref="T4:T11"/>
    <mergeCell ref="U4:U11"/>
    <mergeCell ref="L3:L11"/>
    <mergeCell ref="M3:M11"/>
    <mergeCell ref="B14:I14"/>
    <mergeCell ref="B3:C11"/>
    <mergeCell ref="D3:D11"/>
    <mergeCell ref="E3:E11"/>
    <mergeCell ref="F3:F11"/>
    <mergeCell ref="G3:G11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L21" sqref="L21"/>
    </sheetView>
  </sheetViews>
  <sheetFormatPr defaultColWidth="9.140625" defaultRowHeight="12.75"/>
  <cols>
    <col min="1" max="3" width="24.7109375" style="1" customWidth="1"/>
    <col min="4" max="21" width="15.7109375" style="1" customWidth="1"/>
    <col min="22" max="22" width="15.7109375" style="47" customWidth="1"/>
    <col min="23" max="31" width="15.7109375" style="1" customWidth="1"/>
    <col min="32" max="34" width="6.7109375" style="1" customWidth="1"/>
    <col min="35" max="16384" width="9.140625" style="1" customWidth="1"/>
  </cols>
  <sheetData>
    <row r="1" spans="18:27" ht="12.75">
      <c r="R1" s="49"/>
      <c r="S1" s="49"/>
      <c r="T1" s="49"/>
      <c r="U1" s="49"/>
      <c r="V1" s="50"/>
      <c r="W1" s="49"/>
      <c r="X1" s="49"/>
      <c r="Z1" s="49"/>
      <c r="AA1" s="49"/>
    </row>
    <row r="2" spans="1:34" s="4" customFormat="1" ht="36" customHeight="1" thickBot="1">
      <c r="A2" s="2"/>
      <c r="B2" s="32" t="s">
        <v>14</v>
      </c>
      <c r="C2" s="33"/>
      <c r="D2" s="34"/>
      <c r="E2" s="34"/>
      <c r="F2" s="34"/>
      <c r="G2" s="34"/>
      <c r="H2" s="51"/>
      <c r="I2" s="35"/>
      <c r="J2" s="34"/>
      <c r="K2" s="34"/>
      <c r="L2" s="34"/>
      <c r="M2" s="34"/>
      <c r="N2" s="34"/>
      <c r="O2" s="34"/>
      <c r="P2" s="34"/>
      <c r="Q2" s="35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2"/>
      <c r="AD2" s="48"/>
      <c r="AH2" s="3"/>
    </row>
    <row r="3" spans="2:34" s="5" customFormat="1" ht="21.75" customHeight="1">
      <c r="B3" s="95" t="s">
        <v>0</v>
      </c>
      <c r="C3" s="97"/>
      <c r="D3" s="117" t="s">
        <v>3</v>
      </c>
      <c r="E3" s="117" t="s">
        <v>4</v>
      </c>
      <c r="F3" s="117" t="s">
        <v>5</v>
      </c>
      <c r="G3" s="107" t="s">
        <v>12</v>
      </c>
      <c r="H3" s="107" t="s">
        <v>93</v>
      </c>
      <c r="I3" s="117" t="s">
        <v>6</v>
      </c>
      <c r="J3" s="107" t="s">
        <v>10</v>
      </c>
      <c r="K3" s="107"/>
      <c r="L3" s="107"/>
      <c r="M3" s="107"/>
      <c r="N3" s="107" t="s">
        <v>94</v>
      </c>
      <c r="O3" s="107" t="s">
        <v>15</v>
      </c>
      <c r="P3" s="107" t="s">
        <v>16</v>
      </c>
      <c r="Q3" s="107" t="s">
        <v>17</v>
      </c>
      <c r="R3" s="36">
        <v>204</v>
      </c>
      <c r="S3" s="37">
        <v>204</v>
      </c>
      <c r="T3" s="36"/>
      <c r="U3" s="37">
        <v>206</v>
      </c>
      <c r="V3" s="37">
        <v>206</v>
      </c>
      <c r="W3" s="36">
        <v>206</v>
      </c>
      <c r="X3" s="37"/>
      <c r="Y3" s="36"/>
      <c r="Z3" s="37"/>
      <c r="AA3" s="36"/>
      <c r="AB3" s="37"/>
      <c r="AC3" s="36"/>
      <c r="AD3" s="37"/>
      <c r="AE3" s="37"/>
      <c r="AF3" s="101" t="s">
        <v>11</v>
      </c>
      <c r="AG3" s="101" t="s">
        <v>13</v>
      </c>
      <c r="AH3" s="6"/>
    </row>
    <row r="4" spans="2:34" s="5" customFormat="1" ht="27.75" customHeight="1">
      <c r="B4" s="113"/>
      <c r="C4" s="114"/>
      <c r="D4" s="118"/>
      <c r="E4" s="118"/>
      <c r="F4" s="118"/>
      <c r="G4" s="90"/>
      <c r="H4" s="90"/>
      <c r="I4" s="118"/>
      <c r="J4" s="90"/>
      <c r="K4" s="90"/>
      <c r="L4" s="90"/>
      <c r="M4" s="90"/>
      <c r="N4" s="90"/>
      <c r="O4" s="90"/>
      <c r="P4" s="90"/>
      <c r="Q4" s="90"/>
      <c r="R4" s="92" t="s">
        <v>82</v>
      </c>
      <c r="S4" s="89" t="s">
        <v>83</v>
      </c>
      <c r="T4" s="92"/>
      <c r="U4" s="92" t="s">
        <v>92</v>
      </c>
      <c r="V4" s="89" t="s">
        <v>80</v>
      </c>
      <c r="W4" s="89" t="s">
        <v>81</v>
      </c>
      <c r="X4" s="89"/>
      <c r="Y4" s="92"/>
      <c r="Z4" s="89"/>
      <c r="AA4" s="92"/>
      <c r="AB4" s="89"/>
      <c r="AC4" s="92"/>
      <c r="AD4" s="89"/>
      <c r="AE4" s="89"/>
      <c r="AF4" s="108"/>
      <c r="AG4" s="102"/>
      <c r="AH4" s="7"/>
    </row>
    <row r="5" spans="2:33" s="5" customFormat="1" ht="27.75" customHeight="1" thickBot="1">
      <c r="B5" s="113"/>
      <c r="C5" s="114"/>
      <c r="D5" s="118"/>
      <c r="E5" s="118"/>
      <c r="F5" s="118"/>
      <c r="G5" s="90"/>
      <c r="H5" s="90"/>
      <c r="I5" s="118"/>
      <c r="J5" s="90"/>
      <c r="K5" s="90"/>
      <c r="L5" s="90"/>
      <c r="M5" s="90"/>
      <c r="N5" s="90"/>
      <c r="O5" s="90"/>
      <c r="P5" s="90"/>
      <c r="Q5" s="90"/>
      <c r="R5" s="93"/>
      <c r="S5" s="90"/>
      <c r="T5" s="93"/>
      <c r="U5" s="93"/>
      <c r="V5" s="90"/>
      <c r="W5" s="90"/>
      <c r="X5" s="90"/>
      <c r="Y5" s="93"/>
      <c r="Z5" s="90"/>
      <c r="AA5" s="93"/>
      <c r="AB5" s="90"/>
      <c r="AC5" s="93"/>
      <c r="AD5" s="90"/>
      <c r="AE5" s="90"/>
      <c r="AF5" s="109"/>
      <c r="AG5" s="102"/>
    </row>
    <row r="6" spans="2:33" s="5" customFormat="1" ht="27.75" customHeight="1">
      <c r="B6" s="113"/>
      <c r="C6" s="114"/>
      <c r="D6" s="118"/>
      <c r="E6" s="118"/>
      <c r="F6" s="118"/>
      <c r="G6" s="90"/>
      <c r="H6" s="90"/>
      <c r="I6" s="118"/>
      <c r="J6" s="90"/>
      <c r="K6" s="90"/>
      <c r="L6" s="90"/>
      <c r="M6" s="90"/>
      <c r="N6" s="90"/>
      <c r="O6" s="90"/>
      <c r="P6" s="90"/>
      <c r="Q6" s="90"/>
      <c r="R6" s="93"/>
      <c r="S6" s="90"/>
      <c r="T6" s="93"/>
      <c r="U6" s="93"/>
      <c r="V6" s="90"/>
      <c r="W6" s="90"/>
      <c r="X6" s="90"/>
      <c r="Y6" s="93"/>
      <c r="Z6" s="90"/>
      <c r="AA6" s="93"/>
      <c r="AB6" s="90"/>
      <c r="AC6" s="93"/>
      <c r="AD6" s="90"/>
      <c r="AE6" s="90"/>
      <c r="AF6" s="76" t="s">
        <v>79</v>
      </c>
      <c r="AG6" s="77"/>
    </row>
    <row r="7" spans="2:33" s="5" customFormat="1" ht="27.75" customHeight="1">
      <c r="B7" s="113"/>
      <c r="C7" s="114"/>
      <c r="D7" s="118"/>
      <c r="E7" s="118"/>
      <c r="F7" s="118"/>
      <c r="G7" s="90"/>
      <c r="H7" s="90"/>
      <c r="I7" s="118"/>
      <c r="J7" s="90"/>
      <c r="K7" s="90"/>
      <c r="L7" s="90"/>
      <c r="M7" s="90"/>
      <c r="N7" s="90"/>
      <c r="O7" s="90"/>
      <c r="P7" s="90"/>
      <c r="Q7" s="90"/>
      <c r="R7" s="93"/>
      <c r="S7" s="90"/>
      <c r="T7" s="93"/>
      <c r="U7" s="93"/>
      <c r="V7" s="90"/>
      <c r="W7" s="90"/>
      <c r="X7" s="90"/>
      <c r="Y7" s="93"/>
      <c r="Z7" s="90"/>
      <c r="AA7" s="93"/>
      <c r="AB7" s="90"/>
      <c r="AC7" s="93"/>
      <c r="AD7" s="90"/>
      <c r="AE7" s="90"/>
      <c r="AF7" s="78"/>
      <c r="AG7" s="79"/>
    </row>
    <row r="8" spans="2:33" s="5" customFormat="1" ht="27.75" customHeight="1">
      <c r="B8" s="113"/>
      <c r="C8" s="114"/>
      <c r="D8" s="118"/>
      <c r="E8" s="118"/>
      <c r="F8" s="118"/>
      <c r="G8" s="90"/>
      <c r="H8" s="90"/>
      <c r="I8" s="118"/>
      <c r="J8" s="90"/>
      <c r="K8" s="90"/>
      <c r="L8" s="90"/>
      <c r="M8" s="90"/>
      <c r="N8" s="90"/>
      <c r="O8" s="90"/>
      <c r="P8" s="90"/>
      <c r="Q8" s="90"/>
      <c r="R8" s="93"/>
      <c r="S8" s="90"/>
      <c r="T8" s="93"/>
      <c r="U8" s="93"/>
      <c r="V8" s="90"/>
      <c r="W8" s="90"/>
      <c r="X8" s="90"/>
      <c r="Y8" s="93"/>
      <c r="Z8" s="90"/>
      <c r="AA8" s="93"/>
      <c r="AB8" s="90"/>
      <c r="AC8" s="93"/>
      <c r="AD8" s="90"/>
      <c r="AE8" s="90"/>
      <c r="AF8" s="78"/>
      <c r="AG8" s="79"/>
    </row>
    <row r="9" spans="2:33" s="5" customFormat="1" ht="27.75" customHeight="1">
      <c r="B9" s="113"/>
      <c r="C9" s="114"/>
      <c r="D9" s="118"/>
      <c r="E9" s="118"/>
      <c r="F9" s="118"/>
      <c r="G9" s="90"/>
      <c r="H9" s="90"/>
      <c r="I9" s="118"/>
      <c r="J9" s="90"/>
      <c r="K9" s="90"/>
      <c r="L9" s="90"/>
      <c r="M9" s="90"/>
      <c r="N9" s="90"/>
      <c r="O9" s="90"/>
      <c r="P9" s="90"/>
      <c r="Q9" s="90"/>
      <c r="R9" s="93"/>
      <c r="S9" s="90"/>
      <c r="T9" s="93"/>
      <c r="U9" s="93"/>
      <c r="V9" s="90"/>
      <c r="W9" s="90"/>
      <c r="X9" s="90"/>
      <c r="Y9" s="93"/>
      <c r="Z9" s="90"/>
      <c r="AA9" s="93"/>
      <c r="AB9" s="90"/>
      <c r="AC9" s="93"/>
      <c r="AD9" s="90"/>
      <c r="AE9" s="90"/>
      <c r="AF9" s="78"/>
      <c r="AG9" s="79"/>
    </row>
    <row r="10" spans="2:33" s="5" customFormat="1" ht="27.75" customHeight="1">
      <c r="B10" s="113"/>
      <c r="C10" s="114"/>
      <c r="D10" s="118"/>
      <c r="E10" s="118"/>
      <c r="F10" s="118"/>
      <c r="G10" s="90"/>
      <c r="H10" s="90"/>
      <c r="I10" s="118"/>
      <c r="J10" s="90"/>
      <c r="K10" s="90"/>
      <c r="L10" s="90"/>
      <c r="M10" s="90"/>
      <c r="N10" s="90"/>
      <c r="O10" s="90"/>
      <c r="P10" s="90"/>
      <c r="Q10" s="90"/>
      <c r="R10" s="93"/>
      <c r="S10" s="90"/>
      <c r="T10" s="93"/>
      <c r="U10" s="93"/>
      <c r="V10" s="90"/>
      <c r="W10" s="90"/>
      <c r="X10" s="90"/>
      <c r="Y10" s="93"/>
      <c r="Z10" s="90"/>
      <c r="AA10" s="93"/>
      <c r="AB10" s="90"/>
      <c r="AC10" s="93"/>
      <c r="AD10" s="90"/>
      <c r="AE10" s="90"/>
      <c r="AF10" s="78"/>
      <c r="AG10" s="79"/>
    </row>
    <row r="11" spans="2:33" s="8" customFormat="1" ht="27.75" customHeight="1">
      <c r="B11" s="115"/>
      <c r="C11" s="116"/>
      <c r="D11" s="119"/>
      <c r="E11" s="119"/>
      <c r="F11" s="119"/>
      <c r="G11" s="91"/>
      <c r="H11" s="91"/>
      <c r="I11" s="119"/>
      <c r="J11" s="91"/>
      <c r="K11" s="91"/>
      <c r="L11" s="91"/>
      <c r="M11" s="91"/>
      <c r="N11" s="91"/>
      <c r="O11" s="91"/>
      <c r="P11" s="91"/>
      <c r="Q11" s="91"/>
      <c r="R11" s="94"/>
      <c r="S11" s="91"/>
      <c r="T11" s="94"/>
      <c r="U11" s="94"/>
      <c r="V11" s="91"/>
      <c r="W11" s="91"/>
      <c r="X11" s="91"/>
      <c r="Y11" s="94"/>
      <c r="Z11" s="91"/>
      <c r="AA11" s="94"/>
      <c r="AB11" s="91"/>
      <c r="AC11" s="94"/>
      <c r="AD11" s="91"/>
      <c r="AE11" s="91"/>
      <c r="AF11" s="78"/>
      <c r="AG11" s="79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38"/>
      <c r="I12" s="11" t="s">
        <v>9</v>
      </c>
      <c r="J12" s="11" t="s">
        <v>9</v>
      </c>
      <c r="K12" s="11"/>
      <c r="L12" s="11"/>
      <c r="M12" s="11"/>
      <c r="N12" s="11" t="s">
        <v>9</v>
      </c>
      <c r="O12" s="11" t="s">
        <v>9</v>
      </c>
      <c r="P12" s="11" t="s">
        <v>9</v>
      </c>
      <c r="Q12" s="11" t="s">
        <v>9</v>
      </c>
      <c r="R12" s="38" t="s">
        <v>85</v>
      </c>
      <c r="S12" s="11" t="s">
        <v>84</v>
      </c>
      <c r="T12" s="38"/>
      <c r="U12" s="11" t="s">
        <v>86</v>
      </c>
      <c r="V12" s="11" t="s">
        <v>85</v>
      </c>
      <c r="W12" s="38" t="s">
        <v>85</v>
      </c>
      <c r="X12" s="11"/>
      <c r="Y12" s="38"/>
      <c r="Z12" s="11"/>
      <c r="AA12" s="38"/>
      <c r="AB12" s="11"/>
      <c r="AC12" s="38"/>
      <c r="AD12" s="11"/>
      <c r="AE12" s="11"/>
      <c r="AF12" s="78"/>
      <c r="AG12" s="79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78"/>
      <c r="AG13" s="79"/>
    </row>
    <row r="14" spans="1:33" s="5" customFormat="1" ht="21.75" customHeight="1">
      <c r="A14" s="12">
        <f>A13+1</f>
        <v>2</v>
      </c>
      <c r="B14" s="110" t="s">
        <v>73</v>
      </c>
      <c r="C14" s="111"/>
      <c r="D14" s="111"/>
      <c r="E14" s="111"/>
      <c r="F14" s="111"/>
      <c r="G14" s="111"/>
      <c r="H14" s="111"/>
      <c r="I14" s="1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78"/>
      <c r="AG14" s="79"/>
    </row>
    <row r="15" spans="1:33" s="5" customFormat="1" ht="21.75" customHeight="1">
      <c r="A15" s="12">
        <f>A14+1</f>
        <v>3</v>
      </c>
      <c r="B15" s="19" t="s">
        <v>28</v>
      </c>
      <c r="C15" s="20"/>
      <c r="D15" s="15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78"/>
      <c r="AG15" s="79"/>
    </row>
    <row r="16" spans="1:33" s="5" customFormat="1" ht="21.75" customHeight="1">
      <c r="A16" s="12">
        <f>A15+1</f>
        <v>4</v>
      </c>
      <c r="B16" s="14">
        <v>50628.88</v>
      </c>
      <c r="C16" s="21">
        <v>50863.78</v>
      </c>
      <c r="D16" s="15" t="s">
        <v>25</v>
      </c>
      <c r="E16" s="16">
        <f aca="true" t="shared" si="0" ref="E16:E26">C16-B16</f>
        <v>234.90000000000146</v>
      </c>
      <c r="F16" s="17">
        <v>10</v>
      </c>
      <c r="G16" s="18">
        <f>ROUND((2864.79+36+($F16/2))/2864.79,4)</f>
        <v>1.0143</v>
      </c>
      <c r="H16" s="18">
        <f>ROUND((2864.79+36+($F16))/2864.79,4)</f>
        <v>1.0161</v>
      </c>
      <c r="I16" s="16">
        <f>IF($G16=0,ROUND($E16*$F16,2),ROUND($E16*$F16*$G16,2))</f>
        <v>2382.59</v>
      </c>
      <c r="J16" s="16"/>
      <c r="K16" s="16"/>
      <c r="L16" s="16"/>
      <c r="M16" s="16"/>
      <c r="N16" s="16"/>
      <c r="O16" s="16">
        <f>IF($H16=0,ROUND($E16*(O$72/12),2),ROUND($E16*(O$72/12)*$H16,2))</f>
        <v>358.02</v>
      </c>
      <c r="P16" s="15"/>
      <c r="Q16" s="16"/>
      <c r="R16" s="16"/>
      <c r="S16" s="63">
        <f>ROUND(($V16/S$72),3)</f>
        <v>0.152</v>
      </c>
      <c r="T16" s="16"/>
      <c r="U16" s="16">
        <f>ROUND((($U$72*$W$72*$U$73*$U$74*$W16)/2000),2)</f>
        <v>7.88</v>
      </c>
      <c r="V16" s="16">
        <f>ROUND((($I16+$J16+$O16+$P16+$Q16)/9),2)</f>
        <v>304.51</v>
      </c>
      <c r="W16" s="16">
        <f>ROUND((($I16+$J16+$O16+$P16+$Q16)/9),2)</f>
        <v>304.51</v>
      </c>
      <c r="X16" s="16"/>
      <c r="Y16" s="16"/>
      <c r="Z16" s="16"/>
      <c r="AA16" s="16"/>
      <c r="AB16" s="16"/>
      <c r="AC16" s="16"/>
      <c r="AD16" s="16"/>
      <c r="AE16" s="16"/>
      <c r="AF16" s="78"/>
      <c r="AG16" s="79"/>
    </row>
    <row r="17" spans="1:33" s="5" customFormat="1" ht="21.75" customHeight="1">
      <c r="A17" s="12">
        <f aca="true" t="shared" si="1" ref="A17:A66">A16+1</f>
        <v>5</v>
      </c>
      <c r="B17" s="13">
        <f aca="true" t="shared" si="2" ref="B17:B28">C16</f>
        <v>50863.78</v>
      </c>
      <c r="C17" s="14">
        <v>50930.71</v>
      </c>
      <c r="D17" s="15" t="s">
        <v>25</v>
      </c>
      <c r="E17" s="16">
        <f t="shared" si="0"/>
        <v>66.93000000000029</v>
      </c>
      <c r="F17" s="17">
        <v>10</v>
      </c>
      <c r="G17" s="18">
        <f>ROUND((2864.79+36+($F17/2))/2864.79,4)</f>
        <v>1.0143</v>
      </c>
      <c r="H17" s="18">
        <f>ROUND((2864.79+36+($F17))/2864.79,4)</f>
        <v>1.0161</v>
      </c>
      <c r="I17" s="16">
        <f>IF($G17=0,ROUND($E17*$F17,2),ROUND($E17*$F17*$G17,2))</f>
        <v>678.87</v>
      </c>
      <c r="J17" s="16"/>
      <c r="K17" s="16"/>
      <c r="L17" s="15"/>
      <c r="M17" s="15"/>
      <c r="N17" s="15"/>
      <c r="O17" s="15"/>
      <c r="P17" s="16">
        <f>IF($H17=0,ROUND($E17*(P$72/12),2),ROUND($E17*(P$72/12)*$H17,2))</f>
        <v>113.35</v>
      </c>
      <c r="Q17" s="16">
        <f>IF($H17=0,ROUND($E17*(Q$72/12),2),ROUND($E17*(Q$72/12)*$H17,2))</f>
        <v>124.68</v>
      </c>
      <c r="R17" s="16"/>
      <c r="S17" s="63">
        <f>ROUND(($V17/S$72),3)</f>
        <v>0.051</v>
      </c>
      <c r="T17" s="16"/>
      <c r="U17" s="16">
        <f>ROUND((($U$72*$W$72*$U$73*$U$74*$W17)/2000),2)</f>
        <v>2.64</v>
      </c>
      <c r="V17" s="16">
        <f aca="true" t="shared" si="3" ref="V17:W42">ROUND((($I17+$J17+$O17+$P17+$Q17)/9),2)</f>
        <v>101.88</v>
      </c>
      <c r="W17" s="16">
        <f t="shared" si="3"/>
        <v>101.88</v>
      </c>
      <c r="X17" s="16"/>
      <c r="Y17" s="16"/>
      <c r="Z17" s="16"/>
      <c r="AA17" s="16"/>
      <c r="AB17" s="16"/>
      <c r="AC17" s="16"/>
      <c r="AD17" s="16"/>
      <c r="AE17" s="16"/>
      <c r="AF17" s="78"/>
      <c r="AG17" s="79"/>
    </row>
    <row r="18" spans="1:33" s="5" customFormat="1" ht="21.75" customHeight="1">
      <c r="A18" s="12">
        <f t="shared" si="1"/>
        <v>6</v>
      </c>
      <c r="B18" s="13">
        <f t="shared" si="2"/>
        <v>50930.71</v>
      </c>
      <c r="C18" s="14">
        <v>50948.56</v>
      </c>
      <c r="D18" s="15" t="s">
        <v>25</v>
      </c>
      <c r="E18" s="16">
        <f t="shared" si="0"/>
        <v>17.849999999998545</v>
      </c>
      <c r="F18" s="17">
        <v>10</v>
      </c>
      <c r="G18" s="18">
        <f>ROUND((2864.79+36+($F18/2))/2864.79,4)</f>
        <v>1.0143</v>
      </c>
      <c r="H18" s="18">
        <f>ROUND((2864.79+36+($F18))/2864.79,4)</f>
        <v>1.0161</v>
      </c>
      <c r="I18" s="16">
        <f>IF($G18=0,ROUND($E18*$F18,2),ROUND($E18*$F18*$G18,2))</f>
        <v>181.05</v>
      </c>
      <c r="J18" s="16"/>
      <c r="K18" s="16"/>
      <c r="L18" s="16"/>
      <c r="M18" s="16"/>
      <c r="N18" s="16"/>
      <c r="O18" s="16">
        <f>IF($H18=0,ROUND($E18*(O$72/12),2),ROUND($E18*(O$72/12)*$H18,2))</f>
        <v>27.21</v>
      </c>
      <c r="P18" s="16"/>
      <c r="Q18" s="16"/>
      <c r="R18" s="16"/>
      <c r="S18" s="63">
        <f>ROUND(($V18/S$72),3)</f>
        <v>0.012</v>
      </c>
      <c r="T18" s="16"/>
      <c r="U18" s="16">
        <f>ROUND((($U$72*$W$72*$U$73*$U$74*$W18)/2000),2)</f>
        <v>0.6</v>
      </c>
      <c r="V18" s="16">
        <f t="shared" si="3"/>
        <v>23.14</v>
      </c>
      <c r="W18" s="16">
        <f t="shared" si="3"/>
        <v>23.14</v>
      </c>
      <c r="X18" s="16"/>
      <c r="Y18" s="16"/>
      <c r="Z18" s="16"/>
      <c r="AA18" s="16"/>
      <c r="AB18" s="16"/>
      <c r="AC18" s="16"/>
      <c r="AD18" s="16"/>
      <c r="AE18" s="16"/>
      <c r="AF18" s="78"/>
      <c r="AG18" s="79"/>
    </row>
    <row r="19" spans="1:33" s="5" customFormat="1" ht="21.75" customHeight="1">
      <c r="A19" s="12">
        <f t="shared" si="1"/>
        <v>7</v>
      </c>
      <c r="B19" s="13">
        <f t="shared" si="2"/>
        <v>50948.56</v>
      </c>
      <c r="C19" s="14">
        <v>51495</v>
      </c>
      <c r="D19" s="15" t="s">
        <v>25</v>
      </c>
      <c r="E19" s="16">
        <f t="shared" si="0"/>
        <v>546.4400000000023</v>
      </c>
      <c r="F19" s="17">
        <v>10</v>
      </c>
      <c r="G19" s="18">
        <f>ROUND((2864.79+36+($F19/2))/2864.79,4)</f>
        <v>1.0143</v>
      </c>
      <c r="H19" s="18">
        <f>ROUND((2864.79+36+($F19))/2864.79,4)</f>
        <v>1.0161</v>
      </c>
      <c r="I19" s="16">
        <f>IF($G19=0,ROUND($E19*$F19,2),ROUND($E19*$F19*$G19,2))</f>
        <v>5542.54</v>
      </c>
      <c r="J19" s="16"/>
      <c r="K19" s="16"/>
      <c r="L19" s="16"/>
      <c r="M19" s="16"/>
      <c r="N19" s="16"/>
      <c r="O19" s="16">
        <f>IF($H19=0,ROUND($E19*(O$72/12),2),ROUND($E19*(O$72/12)*$H19,2))</f>
        <v>832.86</v>
      </c>
      <c r="P19" s="16"/>
      <c r="Q19" s="16"/>
      <c r="R19" s="16"/>
      <c r="S19" s="63">
        <f>ROUND(($V19/S$72),3)</f>
        <v>0.354</v>
      </c>
      <c r="T19" s="16"/>
      <c r="U19" s="16">
        <f>ROUND((($U$72*$W$72*$U$73*$U$74*$W19)/2000),2)</f>
        <v>18.33</v>
      </c>
      <c r="V19" s="16">
        <f t="shared" si="3"/>
        <v>708.38</v>
      </c>
      <c r="W19" s="16">
        <f t="shared" si="3"/>
        <v>708.38</v>
      </c>
      <c r="X19" s="16"/>
      <c r="Y19" s="16"/>
      <c r="Z19" s="16"/>
      <c r="AA19" s="16"/>
      <c r="AB19" s="16"/>
      <c r="AC19" s="16"/>
      <c r="AD19" s="16"/>
      <c r="AE19" s="16"/>
      <c r="AF19" s="78"/>
      <c r="AG19" s="79"/>
    </row>
    <row r="20" spans="1:33" s="5" customFormat="1" ht="21.75" customHeight="1">
      <c r="A20" s="12">
        <f t="shared" si="1"/>
        <v>8</v>
      </c>
      <c r="B20" s="13"/>
      <c r="C20" s="14"/>
      <c r="D20" s="15"/>
      <c r="E20" s="16"/>
      <c r="F20" s="17"/>
      <c r="G20" s="1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63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78"/>
      <c r="AG20" s="79"/>
    </row>
    <row r="21" spans="1:33" s="5" customFormat="1" ht="21.75" customHeight="1">
      <c r="A21" s="12">
        <f t="shared" si="1"/>
        <v>9</v>
      </c>
      <c r="B21" s="13">
        <v>46942.49</v>
      </c>
      <c r="C21" s="14">
        <v>46972.74</v>
      </c>
      <c r="D21" s="15" t="s">
        <v>20</v>
      </c>
      <c r="E21" s="16">
        <f t="shared" si="0"/>
        <v>30.25</v>
      </c>
      <c r="F21" s="17">
        <f>ROUND(AVERAGE(10,9.069),2)</f>
        <v>9.53</v>
      </c>
      <c r="G21" s="18"/>
      <c r="H21" s="16"/>
      <c r="I21" s="16">
        <f>IF($G21=0,ROUND($E21*$F21,2),ROUND($E21*$F21*$G21,2))</f>
        <v>288.28</v>
      </c>
      <c r="J21" s="16"/>
      <c r="K21" s="16"/>
      <c r="L21" s="16"/>
      <c r="M21" s="16"/>
      <c r="N21" s="16"/>
      <c r="O21" s="16"/>
      <c r="P21" s="16"/>
      <c r="Q21" s="16"/>
      <c r="R21" s="16"/>
      <c r="S21" s="63">
        <f aca="true" t="shared" si="4" ref="S21:S28">ROUND(($V21/S$72),3)</f>
        <v>0.016</v>
      </c>
      <c r="T21" s="16"/>
      <c r="U21" s="16">
        <f aca="true" t="shared" si="5" ref="U21:U28">ROUND((($U$72*$W$72*$U$73*$U$74*$W21)/2000),2)</f>
        <v>0.83</v>
      </c>
      <c r="V21" s="16">
        <f t="shared" si="3"/>
        <v>32.03</v>
      </c>
      <c r="W21" s="16">
        <f t="shared" si="3"/>
        <v>32.03</v>
      </c>
      <c r="X21" s="16"/>
      <c r="Y21" s="16"/>
      <c r="Z21" s="16"/>
      <c r="AA21" s="16"/>
      <c r="AB21" s="16"/>
      <c r="AC21" s="16"/>
      <c r="AD21" s="16"/>
      <c r="AE21" s="16"/>
      <c r="AF21" s="78"/>
      <c r="AG21" s="79"/>
    </row>
    <row r="22" spans="1:33" s="5" customFormat="1" ht="21.75" customHeight="1">
      <c r="A22" s="12">
        <f t="shared" si="1"/>
        <v>10</v>
      </c>
      <c r="B22" s="13">
        <f>C21</f>
        <v>46972.74</v>
      </c>
      <c r="C22" s="14">
        <v>47007.74</v>
      </c>
      <c r="D22" s="15" t="s">
        <v>20</v>
      </c>
      <c r="E22" s="16">
        <f>C22-B22</f>
        <v>35</v>
      </c>
      <c r="F22" s="23">
        <v>10</v>
      </c>
      <c r="G22" s="18"/>
      <c r="H22" s="16"/>
      <c r="I22" s="16">
        <f>IF(G22=0,ROUND($E22*$F22,2),ROUND($E22*$F22*$G22,2))</f>
        <v>350</v>
      </c>
      <c r="J22" s="16"/>
      <c r="K22" s="16"/>
      <c r="L22" s="16"/>
      <c r="M22" s="16"/>
      <c r="N22" s="16">
        <f>IF($H22=0,ROUND($E22*(N$72/12),2),ROUND($E22*(N$72/12)*$H22,2))</f>
        <v>66.72</v>
      </c>
      <c r="O22" s="16"/>
      <c r="P22" s="16"/>
      <c r="Q22" s="16">
        <f>IF($G22=0,ROUND($E22*(Q$72/12),2),ROUND($E22*(Q$72/12)*$G22,2))</f>
        <v>64.17</v>
      </c>
      <c r="R22" s="16"/>
      <c r="S22" s="63">
        <f t="shared" si="4"/>
        <v>0.027</v>
      </c>
      <c r="T22" s="16"/>
      <c r="U22" s="16">
        <f t="shared" si="5"/>
        <v>1.38</v>
      </c>
      <c r="V22" s="16">
        <f>ROUND((($I22+$J22+$N22+$P22+$Q22)/9),2)</f>
        <v>53.43</v>
      </c>
      <c r="W22" s="16">
        <f>ROUND((($I22+$J22+$N22+$P22+$Q22)/9),2)</f>
        <v>53.43</v>
      </c>
      <c r="X22" s="16"/>
      <c r="Y22" s="16"/>
      <c r="Z22" s="16"/>
      <c r="AA22" s="16"/>
      <c r="AB22" s="16"/>
      <c r="AC22" s="16"/>
      <c r="AD22" s="16"/>
      <c r="AE22" s="16"/>
      <c r="AF22" s="78"/>
      <c r="AG22" s="79"/>
    </row>
    <row r="23" spans="1:33" s="5" customFormat="1" ht="21.75" customHeight="1">
      <c r="A23" s="12">
        <f t="shared" si="1"/>
        <v>11</v>
      </c>
      <c r="B23" s="13">
        <f>C22</f>
        <v>47007.74</v>
      </c>
      <c r="C23" s="14">
        <v>47254.68</v>
      </c>
      <c r="D23" s="15" t="s">
        <v>20</v>
      </c>
      <c r="E23" s="16">
        <f t="shared" si="0"/>
        <v>246.94000000000233</v>
      </c>
      <c r="F23" s="23">
        <v>10</v>
      </c>
      <c r="G23" s="18"/>
      <c r="H23" s="16"/>
      <c r="I23" s="16">
        <f aca="true" t="shared" si="6" ref="I23:I28">IF(G23=0,ROUND($E23*$F23,2),ROUND($E23*$F23*$G23,2))</f>
        <v>2469.4</v>
      </c>
      <c r="J23" s="16"/>
      <c r="K23" s="16"/>
      <c r="L23" s="16"/>
      <c r="M23" s="16"/>
      <c r="N23" s="16"/>
      <c r="O23" s="16"/>
      <c r="P23" s="16">
        <f>IF($H23=0,ROUND($E23*(P$72/12),2),ROUND($E23*(P$72/12)*$H23,2))</f>
        <v>411.57</v>
      </c>
      <c r="Q23" s="16">
        <f>IF($H23=0,ROUND($E23*(Q$72/12),2),ROUND($E23*(Q$72/12)*$H23,2))</f>
        <v>452.72</v>
      </c>
      <c r="R23" s="16"/>
      <c r="S23" s="63">
        <f t="shared" si="4"/>
        <v>0.185</v>
      </c>
      <c r="T23" s="16"/>
      <c r="U23" s="16">
        <f t="shared" si="5"/>
        <v>9.58</v>
      </c>
      <c r="V23" s="16">
        <f t="shared" si="3"/>
        <v>370.41</v>
      </c>
      <c r="W23" s="16">
        <f t="shared" si="3"/>
        <v>370.41</v>
      </c>
      <c r="X23" s="16"/>
      <c r="Y23" s="16"/>
      <c r="Z23" s="16"/>
      <c r="AA23" s="16"/>
      <c r="AB23" s="16"/>
      <c r="AC23" s="16"/>
      <c r="AD23" s="16"/>
      <c r="AE23" s="16"/>
      <c r="AF23" s="78"/>
      <c r="AG23" s="79"/>
    </row>
    <row r="24" spans="1:33" s="5" customFormat="1" ht="21.75" customHeight="1">
      <c r="A24" s="12">
        <f t="shared" si="1"/>
        <v>12</v>
      </c>
      <c r="B24" s="13">
        <f t="shared" si="2"/>
        <v>47254.68</v>
      </c>
      <c r="C24" s="14">
        <v>47395.11</v>
      </c>
      <c r="D24" s="15" t="s">
        <v>20</v>
      </c>
      <c r="E24" s="16">
        <f t="shared" si="0"/>
        <v>140.4300000000003</v>
      </c>
      <c r="F24" s="23">
        <v>10</v>
      </c>
      <c r="G24" s="18">
        <f>ROUND((3904.072+($F24/2))/3904.072,4)</f>
        <v>1.0013</v>
      </c>
      <c r="H24" s="18">
        <f>ROUND((3904.072+($F24))/3904.072,4)</f>
        <v>1.0026</v>
      </c>
      <c r="I24" s="16">
        <f t="shared" si="6"/>
        <v>1406.13</v>
      </c>
      <c r="J24" s="16"/>
      <c r="K24" s="16"/>
      <c r="L24" s="16"/>
      <c r="M24" s="16"/>
      <c r="N24" s="16"/>
      <c r="O24" s="16"/>
      <c r="P24" s="16">
        <f>IF($H24=0,ROUND($E24*(P$72/12),2),ROUND($E24*(P$72/12)*$H24,2))</f>
        <v>234.66</v>
      </c>
      <c r="Q24" s="16">
        <f>IF($H24=0,ROUND($E24*(Q$72/12),2),ROUND($E24*(Q$72/12)*$H24,2))</f>
        <v>258.12</v>
      </c>
      <c r="R24" s="16"/>
      <c r="S24" s="63">
        <f t="shared" si="4"/>
        <v>0.105</v>
      </c>
      <c r="T24" s="16"/>
      <c r="U24" s="16">
        <f t="shared" si="5"/>
        <v>5.46</v>
      </c>
      <c r="V24" s="16">
        <f t="shared" si="3"/>
        <v>210.99</v>
      </c>
      <c r="W24" s="16">
        <f t="shared" si="3"/>
        <v>210.99</v>
      </c>
      <c r="X24" s="16"/>
      <c r="Y24" s="16"/>
      <c r="Z24" s="16"/>
      <c r="AA24" s="16"/>
      <c r="AB24" s="16"/>
      <c r="AC24" s="16"/>
      <c r="AD24" s="16"/>
      <c r="AE24" s="16"/>
      <c r="AF24" s="78"/>
      <c r="AG24" s="79"/>
    </row>
    <row r="25" spans="1:33" s="5" customFormat="1" ht="21.75" customHeight="1">
      <c r="A25" s="12">
        <f t="shared" si="1"/>
        <v>13</v>
      </c>
      <c r="B25" s="13">
        <f t="shared" si="2"/>
        <v>47395.11</v>
      </c>
      <c r="C25" s="14">
        <v>47413.21</v>
      </c>
      <c r="D25" s="15" t="s">
        <v>20</v>
      </c>
      <c r="E25" s="16">
        <f t="shared" si="0"/>
        <v>18.099999999998545</v>
      </c>
      <c r="F25" s="23">
        <v>10</v>
      </c>
      <c r="G25" s="18">
        <f>ROUND((3904.072+($F25/2))/3904.072,4)</f>
        <v>1.0013</v>
      </c>
      <c r="H25" s="18">
        <f>ROUND((3904.072+($F25))/3904.072,4)</f>
        <v>1.0026</v>
      </c>
      <c r="I25" s="16">
        <f t="shared" si="6"/>
        <v>181.24</v>
      </c>
      <c r="J25" s="16"/>
      <c r="K25" s="16"/>
      <c r="L25" s="16"/>
      <c r="M25" s="16"/>
      <c r="N25" s="16"/>
      <c r="O25" s="16">
        <f>IF($H25=0,ROUND($E25*(O$72/12),2),ROUND($E25*(O$72/12)*$H25,2))</f>
        <v>27.22</v>
      </c>
      <c r="P25" s="16"/>
      <c r="Q25" s="16"/>
      <c r="R25" s="16"/>
      <c r="S25" s="63">
        <f t="shared" si="4"/>
        <v>0.012</v>
      </c>
      <c r="T25" s="16"/>
      <c r="U25" s="16">
        <f t="shared" si="5"/>
        <v>0.6</v>
      </c>
      <c r="V25" s="16">
        <f t="shared" si="3"/>
        <v>23.16</v>
      </c>
      <c r="W25" s="16">
        <f t="shared" si="3"/>
        <v>23.16</v>
      </c>
      <c r="X25" s="16"/>
      <c r="Y25" s="16"/>
      <c r="Z25" s="16"/>
      <c r="AA25" s="16"/>
      <c r="AB25" s="16"/>
      <c r="AC25" s="16"/>
      <c r="AD25" s="16"/>
      <c r="AE25" s="16"/>
      <c r="AF25" s="78"/>
      <c r="AG25" s="79"/>
    </row>
    <row r="26" spans="1:33" s="5" customFormat="1" ht="21.75" customHeight="1">
      <c r="A26" s="12">
        <f t="shared" si="1"/>
        <v>14</v>
      </c>
      <c r="B26" s="13">
        <f t="shared" si="2"/>
        <v>47413.21</v>
      </c>
      <c r="C26" s="14">
        <v>49281.37</v>
      </c>
      <c r="D26" s="15" t="s">
        <v>20</v>
      </c>
      <c r="E26" s="16">
        <f t="shared" si="0"/>
        <v>1868.1600000000035</v>
      </c>
      <c r="F26" s="23">
        <v>10</v>
      </c>
      <c r="G26" s="18">
        <f>ROUND((3904.072+($F26/2))/3904.072,4)</f>
        <v>1.0013</v>
      </c>
      <c r="H26" s="18">
        <f>ROUND((3904.072+($F26))/3904.072,4)</f>
        <v>1.0026</v>
      </c>
      <c r="I26" s="16">
        <f t="shared" si="6"/>
        <v>18705.89</v>
      </c>
      <c r="J26" s="16"/>
      <c r="K26" s="16"/>
      <c r="L26" s="16"/>
      <c r="M26" s="16"/>
      <c r="N26" s="16"/>
      <c r="O26" s="16">
        <f>IF($H26=0,ROUND($E26*(O$72/12),2),ROUND($E26*(O$72/12)*$H26,2))</f>
        <v>2809.53</v>
      </c>
      <c r="P26" s="16"/>
      <c r="Q26" s="16"/>
      <c r="R26" s="16"/>
      <c r="S26" s="63">
        <f t="shared" si="4"/>
        <v>1.195</v>
      </c>
      <c r="T26" s="16"/>
      <c r="U26" s="16">
        <f t="shared" si="5"/>
        <v>61.86</v>
      </c>
      <c r="V26" s="16">
        <f t="shared" si="3"/>
        <v>2390.6</v>
      </c>
      <c r="W26" s="16">
        <f t="shared" si="3"/>
        <v>2390.6</v>
      </c>
      <c r="X26" s="16"/>
      <c r="Y26" s="16"/>
      <c r="Z26" s="16"/>
      <c r="AA26" s="16"/>
      <c r="AB26" s="16"/>
      <c r="AC26" s="16"/>
      <c r="AD26" s="16"/>
      <c r="AE26" s="16"/>
      <c r="AF26" s="78"/>
      <c r="AG26" s="79"/>
    </row>
    <row r="27" spans="1:33" s="5" customFormat="1" ht="21.75" customHeight="1">
      <c r="A27" s="12">
        <f t="shared" si="1"/>
        <v>15</v>
      </c>
      <c r="B27" s="13">
        <f t="shared" si="2"/>
        <v>49281.37</v>
      </c>
      <c r="C27" s="14">
        <v>49444.48</v>
      </c>
      <c r="D27" s="15" t="s">
        <v>20</v>
      </c>
      <c r="E27" s="16">
        <f>C27-B27</f>
        <v>163.11000000000058</v>
      </c>
      <c r="F27" s="23">
        <v>10</v>
      </c>
      <c r="G27" s="18"/>
      <c r="H27" s="16"/>
      <c r="I27" s="16">
        <f t="shared" si="6"/>
        <v>1631.1</v>
      </c>
      <c r="J27" s="16"/>
      <c r="K27" s="16"/>
      <c r="L27" s="16"/>
      <c r="M27" s="16"/>
      <c r="N27" s="16"/>
      <c r="O27" s="16">
        <f>IF($H27=0,ROUND($E27*(O$72/12),2),ROUND($E27*(O$72/12)*$H27,2))</f>
        <v>244.67</v>
      </c>
      <c r="P27" s="16"/>
      <c r="Q27" s="16"/>
      <c r="R27" s="16"/>
      <c r="S27" s="63">
        <f t="shared" si="4"/>
        <v>0.104</v>
      </c>
      <c r="T27" s="16"/>
      <c r="U27" s="16">
        <f t="shared" si="5"/>
        <v>5.39</v>
      </c>
      <c r="V27" s="16">
        <f t="shared" si="3"/>
        <v>208.42</v>
      </c>
      <c r="W27" s="16">
        <f t="shared" si="3"/>
        <v>208.42</v>
      </c>
      <c r="X27" s="16"/>
      <c r="Y27" s="16"/>
      <c r="Z27" s="16"/>
      <c r="AA27" s="16"/>
      <c r="AB27" s="16"/>
      <c r="AC27" s="16"/>
      <c r="AD27" s="16"/>
      <c r="AE27" s="16"/>
      <c r="AF27" s="78"/>
      <c r="AG27" s="79"/>
    </row>
    <row r="28" spans="1:33" s="5" customFormat="1" ht="21.75" customHeight="1">
      <c r="A28" s="12">
        <f t="shared" si="1"/>
        <v>16</v>
      </c>
      <c r="B28" s="13">
        <f t="shared" si="2"/>
        <v>49444.48</v>
      </c>
      <c r="C28" s="14">
        <v>49694.61</v>
      </c>
      <c r="D28" s="15" t="s">
        <v>20</v>
      </c>
      <c r="E28" s="16">
        <f>C28-B28</f>
        <v>250.12999999999738</v>
      </c>
      <c r="F28" s="23">
        <v>10</v>
      </c>
      <c r="G28" s="18"/>
      <c r="H28" s="16"/>
      <c r="I28" s="16">
        <f t="shared" si="6"/>
        <v>2501.3</v>
      </c>
      <c r="J28" s="16"/>
      <c r="K28" s="16"/>
      <c r="L28" s="16"/>
      <c r="M28" s="16"/>
      <c r="N28" s="16"/>
      <c r="O28" s="16">
        <f>IF($H28=0,ROUND($E28*(O$72/12),2),ROUND($E28*(O$72/12)*$H28,2))</f>
        <v>375.19</v>
      </c>
      <c r="P28" s="16"/>
      <c r="Q28" s="16"/>
      <c r="R28" s="16"/>
      <c r="S28" s="63">
        <f t="shared" si="4"/>
        <v>0.16</v>
      </c>
      <c r="T28" s="16"/>
      <c r="U28" s="16">
        <f t="shared" si="5"/>
        <v>8.27</v>
      </c>
      <c r="V28" s="16">
        <f t="shared" si="3"/>
        <v>319.61</v>
      </c>
      <c r="W28" s="16">
        <f t="shared" si="3"/>
        <v>319.61</v>
      </c>
      <c r="X28" s="16"/>
      <c r="Y28" s="16"/>
      <c r="Z28" s="16"/>
      <c r="AA28" s="16"/>
      <c r="AB28" s="16"/>
      <c r="AC28" s="16"/>
      <c r="AD28" s="16"/>
      <c r="AE28" s="16"/>
      <c r="AF28" s="78"/>
      <c r="AG28" s="79"/>
    </row>
    <row r="29" spans="1:33" s="5" customFormat="1" ht="21.75" customHeight="1">
      <c r="A29" s="12">
        <f t="shared" si="1"/>
        <v>17</v>
      </c>
      <c r="B29" s="13"/>
      <c r="C29" s="14"/>
      <c r="D29" s="15"/>
      <c r="E29" s="16"/>
      <c r="F29" s="23"/>
      <c r="G29" s="18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63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78"/>
      <c r="AG29" s="79"/>
    </row>
    <row r="30" spans="1:33" s="5" customFormat="1" ht="21.75" customHeight="1">
      <c r="A30" s="12">
        <f t="shared" si="1"/>
        <v>18</v>
      </c>
      <c r="B30" s="13">
        <v>50148.92</v>
      </c>
      <c r="C30" s="14">
        <v>50152.18</v>
      </c>
      <c r="D30" s="15" t="s">
        <v>20</v>
      </c>
      <c r="E30" s="16">
        <f aca="true" t="shared" si="7" ref="E30:E42">C30-B30</f>
        <v>3.2600000000020373</v>
      </c>
      <c r="F30" s="23">
        <v>8</v>
      </c>
      <c r="G30" s="18"/>
      <c r="H30" s="16"/>
      <c r="I30" s="16">
        <f aca="true" t="shared" si="8" ref="I30:I41">IF(G30=0,ROUND($E30*$F30,2),ROUND($E30*$F30*$G30,2))</f>
        <v>26.08</v>
      </c>
      <c r="J30" s="16"/>
      <c r="K30" s="16"/>
      <c r="L30" s="16"/>
      <c r="M30" s="16"/>
      <c r="N30" s="16"/>
      <c r="O30" s="16">
        <f aca="true" t="shared" si="9" ref="O30:O37">IF($H30=0,ROUND($E30*(O$72/12),2),ROUND($E30*(O$72/12)*$H30,2))</f>
        <v>4.89</v>
      </c>
      <c r="P30" s="16"/>
      <c r="Q30" s="16"/>
      <c r="R30" s="16"/>
      <c r="S30" s="63">
        <f aca="true" t="shared" si="10" ref="S30:S42">ROUND(($V30/S$72),3)</f>
        <v>0.002</v>
      </c>
      <c r="T30" s="16"/>
      <c r="U30" s="16">
        <f aca="true" t="shared" si="11" ref="U30:U42">ROUND((($U$72*$W$72*$U$73*$U$74*$W30)/2000),2)</f>
        <v>0.09</v>
      </c>
      <c r="V30" s="16">
        <f t="shared" si="3"/>
        <v>3.44</v>
      </c>
      <c r="W30" s="16">
        <f t="shared" si="3"/>
        <v>3.44</v>
      </c>
      <c r="X30" s="16"/>
      <c r="Y30" s="16"/>
      <c r="Z30" s="16"/>
      <c r="AA30" s="16"/>
      <c r="AB30" s="16"/>
      <c r="AC30" s="16"/>
      <c r="AD30" s="16"/>
      <c r="AE30" s="16"/>
      <c r="AF30" s="78"/>
      <c r="AG30" s="79"/>
    </row>
    <row r="31" spans="1:33" s="5" customFormat="1" ht="21.75" customHeight="1">
      <c r="A31" s="12">
        <f t="shared" si="1"/>
        <v>19</v>
      </c>
      <c r="B31" s="13">
        <f>C30</f>
        <v>50152.18</v>
      </c>
      <c r="C31" s="14">
        <v>50203.04</v>
      </c>
      <c r="D31" s="15" t="s">
        <v>20</v>
      </c>
      <c r="E31" s="16">
        <f t="shared" si="7"/>
        <v>50.86000000000058</v>
      </c>
      <c r="F31" s="23">
        <v>8</v>
      </c>
      <c r="G31" s="18"/>
      <c r="H31" s="16"/>
      <c r="I31" s="16">
        <f t="shared" si="8"/>
        <v>406.88</v>
      </c>
      <c r="J31" s="16"/>
      <c r="K31" s="16"/>
      <c r="L31" s="16"/>
      <c r="M31" s="16"/>
      <c r="N31" s="16"/>
      <c r="O31" s="16">
        <f t="shared" si="9"/>
        <v>76.29</v>
      </c>
      <c r="P31" s="16"/>
      <c r="Q31" s="16"/>
      <c r="R31" s="16"/>
      <c r="S31" s="63">
        <f t="shared" si="10"/>
        <v>0.027</v>
      </c>
      <c r="T31" s="16"/>
      <c r="U31" s="16">
        <f t="shared" si="11"/>
        <v>1.39</v>
      </c>
      <c r="V31" s="16">
        <f t="shared" si="3"/>
        <v>53.69</v>
      </c>
      <c r="W31" s="16">
        <f t="shared" si="3"/>
        <v>53.69</v>
      </c>
      <c r="X31" s="16"/>
      <c r="Y31" s="16"/>
      <c r="Z31" s="16"/>
      <c r="AA31" s="16"/>
      <c r="AB31" s="16"/>
      <c r="AC31" s="16"/>
      <c r="AD31" s="16"/>
      <c r="AE31" s="16"/>
      <c r="AF31" s="78"/>
      <c r="AG31" s="79"/>
    </row>
    <row r="32" spans="1:33" s="5" customFormat="1" ht="21.75" customHeight="1">
      <c r="A32" s="12">
        <f t="shared" si="1"/>
        <v>20</v>
      </c>
      <c r="B32" s="13">
        <f>C31</f>
        <v>50203.04</v>
      </c>
      <c r="C32" s="14">
        <v>50395.44</v>
      </c>
      <c r="D32" s="15" t="s">
        <v>20</v>
      </c>
      <c r="E32" s="16">
        <f t="shared" si="7"/>
        <v>192.40000000000146</v>
      </c>
      <c r="F32" s="23">
        <v>8</v>
      </c>
      <c r="G32" s="18">
        <f>ROUND((((2864.79-12-($F32/2))/2864.79)+1)/2,4)</f>
        <v>0.9972</v>
      </c>
      <c r="H32" s="18">
        <f>ROUND((((2864.79-12-($F32))/2864.79)+1)/2,4)</f>
        <v>0.9965</v>
      </c>
      <c r="I32" s="16">
        <f t="shared" si="8"/>
        <v>1534.89</v>
      </c>
      <c r="J32" s="16"/>
      <c r="K32" s="16"/>
      <c r="L32" s="16"/>
      <c r="M32" s="16"/>
      <c r="N32" s="16"/>
      <c r="O32" s="16">
        <f t="shared" si="9"/>
        <v>287.59</v>
      </c>
      <c r="P32" s="16"/>
      <c r="Q32" s="16"/>
      <c r="R32" s="16"/>
      <c r="S32" s="63">
        <f t="shared" si="10"/>
        <v>0.101</v>
      </c>
      <c r="T32" s="16"/>
      <c r="U32" s="16">
        <f t="shared" si="11"/>
        <v>5.24</v>
      </c>
      <c r="V32" s="16">
        <f t="shared" si="3"/>
        <v>202.5</v>
      </c>
      <c r="W32" s="16">
        <f t="shared" si="3"/>
        <v>202.5</v>
      </c>
      <c r="X32" s="16"/>
      <c r="Y32" s="16"/>
      <c r="Z32" s="16"/>
      <c r="AA32" s="16"/>
      <c r="AB32" s="16"/>
      <c r="AC32" s="16"/>
      <c r="AD32" s="16"/>
      <c r="AE32" s="16"/>
      <c r="AF32" s="78"/>
      <c r="AG32" s="79"/>
    </row>
    <row r="33" spans="1:33" s="5" customFormat="1" ht="21.75" customHeight="1">
      <c r="A33" s="12">
        <f t="shared" si="1"/>
        <v>21</v>
      </c>
      <c r="B33" s="13">
        <f>C32</f>
        <v>50395.44</v>
      </c>
      <c r="C33" s="14">
        <v>50495.44</v>
      </c>
      <c r="D33" s="15" t="s">
        <v>20</v>
      </c>
      <c r="E33" s="16">
        <f t="shared" si="7"/>
        <v>100</v>
      </c>
      <c r="F33" s="17">
        <f>ROUND(AVERAGE(10,8),2)</f>
        <v>9</v>
      </c>
      <c r="G33" s="18">
        <f>ROUND((((2864.79-12-($F33/2))/2864.79)+1)/2,4)</f>
        <v>0.9971</v>
      </c>
      <c r="H33" s="18">
        <f>ROUND((((2864.79-12-($F33))/2864.79)+1)/2,4)</f>
        <v>0.9963</v>
      </c>
      <c r="I33" s="16">
        <f t="shared" si="8"/>
        <v>897.39</v>
      </c>
      <c r="J33" s="16"/>
      <c r="K33" s="16"/>
      <c r="L33" s="16"/>
      <c r="M33" s="16"/>
      <c r="N33" s="16"/>
      <c r="O33" s="16">
        <f t="shared" si="9"/>
        <v>149.45</v>
      </c>
      <c r="P33" s="16"/>
      <c r="Q33" s="16"/>
      <c r="R33" s="16"/>
      <c r="S33" s="63">
        <f t="shared" si="10"/>
        <v>0.058</v>
      </c>
      <c r="T33" s="16"/>
      <c r="U33" s="16">
        <f t="shared" si="11"/>
        <v>3.01</v>
      </c>
      <c r="V33" s="16">
        <f t="shared" si="3"/>
        <v>116.32</v>
      </c>
      <c r="W33" s="16">
        <f t="shared" si="3"/>
        <v>116.32</v>
      </c>
      <c r="X33" s="16"/>
      <c r="Y33" s="16"/>
      <c r="Z33" s="16"/>
      <c r="AA33" s="16"/>
      <c r="AB33" s="16"/>
      <c r="AC33" s="16"/>
      <c r="AD33" s="16"/>
      <c r="AE33" s="16"/>
      <c r="AF33" s="78"/>
      <c r="AG33" s="79"/>
    </row>
    <row r="34" spans="1:33" s="5" customFormat="1" ht="21.75" customHeight="1">
      <c r="A34" s="12">
        <f t="shared" si="1"/>
        <v>22</v>
      </c>
      <c r="B34" s="13">
        <f>C33</f>
        <v>50495.44</v>
      </c>
      <c r="C34" s="14">
        <v>50603.04</v>
      </c>
      <c r="D34" s="15" t="s">
        <v>20</v>
      </c>
      <c r="E34" s="16">
        <f t="shared" si="7"/>
        <v>107.59999999999854</v>
      </c>
      <c r="F34" s="23">
        <v>10</v>
      </c>
      <c r="G34" s="18">
        <f>ROUND((((2864.79-($F34/2))/2864.79)+1)/2,4)</f>
        <v>0.9991</v>
      </c>
      <c r="H34" s="18">
        <f>ROUND((((2864.79-($F34))/2864.79)+1)/2,4)</f>
        <v>0.9983</v>
      </c>
      <c r="I34" s="16">
        <f t="shared" si="8"/>
        <v>1075.03</v>
      </c>
      <c r="J34" s="16"/>
      <c r="K34" s="16"/>
      <c r="L34" s="16"/>
      <c r="M34" s="16"/>
      <c r="N34" s="16"/>
      <c r="O34" s="16">
        <f t="shared" si="9"/>
        <v>161.13</v>
      </c>
      <c r="P34" s="16"/>
      <c r="Q34" s="16"/>
      <c r="R34" s="16"/>
      <c r="S34" s="63">
        <f t="shared" si="10"/>
        <v>0.069</v>
      </c>
      <c r="T34" s="16"/>
      <c r="U34" s="16">
        <f t="shared" si="11"/>
        <v>3.55</v>
      </c>
      <c r="V34" s="16">
        <f t="shared" si="3"/>
        <v>137.35</v>
      </c>
      <c r="W34" s="16">
        <f t="shared" si="3"/>
        <v>137.35</v>
      </c>
      <c r="X34" s="16"/>
      <c r="Y34" s="16"/>
      <c r="Z34" s="16"/>
      <c r="AA34" s="16"/>
      <c r="AB34" s="16"/>
      <c r="AC34" s="16"/>
      <c r="AD34" s="16"/>
      <c r="AE34" s="16"/>
      <c r="AF34" s="78"/>
      <c r="AG34" s="79"/>
    </row>
    <row r="35" spans="1:33" s="5" customFormat="1" ht="21.75" customHeight="1">
      <c r="A35" s="12">
        <f t="shared" si="1"/>
        <v>23</v>
      </c>
      <c r="B35" s="13">
        <f>C34</f>
        <v>50603.04</v>
      </c>
      <c r="C35" s="14">
        <v>50775</v>
      </c>
      <c r="D35" s="15" t="s">
        <v>20</v>
      </c>
      <c r="E35" s="16">
        <f t="shared" si="7"/>
        <v>171.95999999999913</v>
      </c>
      <c r="F35" s="17">
        <v>10</v>
      </c>
      <c r="G35" s="18">
        <f>ROUND((2864.79-($F35/2))/2864.79,4)</f>
        <v>0.9983</v>
      </c>
      <c r="H35" s="18">
        <f aca="true" t="shared" si="12" ref="H35:H42">ROUND((2864.79-($F35))/2864.79,4)</f>
        <v>0.9965</v>
      </c>
      <c r="I35" s="16">
        <f t="shared" si="8"/>
        <v>1716.68</v>
      </c>
      <c r="J35" s="16"/>
      <c r="K35" s="16"/>
      <c r="L35" s="16"/>
      <c r="M35" s="16"/>
      <c r="N35" s="16"/>
      <c r="O35" s="16">
        <f t="shared" si="9"/>
        <v>257.04</v>
      </c>
      <c r="P35" s="16"/>
      <c r="Q35" s="16"/>
      <c r="R35" s="16"/>
      <c r="S35" s="63">
        <f t="shared" si="10"/>
        <v>0.11</v>
      </c>
      <c r="T35" s="16"/>
      <c r="U35" s="16">
        <f t="shared" si="11"/>
        <v>5.67</v>
      </c>
      <c r="V35" s="16">
        <f t="shared" si="3"/>
        <v>219.3</v>
      </c>
      <c r="W35" s="16">
        <f t="shared" si="3"/>
        <v>219.3</v>
      </c>
      <c r="X35" s="16"/>
      <c r="Y35" s="16"/>
      <c r="Z35" s="16"/>
      <c r="AA35" s="16"/>
      <c r="AB35" s="16"/>
      <c r="AC35" s="16"/>
      <c r="AD35" s="16"/>
      <c r="AE35" s="16"/>
      <c r="AF35" s="78"/>
      <c r="AG35" s="79"/>
    </row>
    <row r="36" spans="1:33" s="5" customFormat="1" ht="21.75" customHeight="1">
      <c r="A36" s="12">
        <f t="shared" si="1"/>
        <v>24</v>
      </c>
      <c r="B36" s="13">
        <f aca="true" t="shared" si="13" ref="B36:B42">C35</f>
        <v>50775</v>
      </c>
      <c r="C36" s="14">
        <v>50794</v>
      </c>
      <c r="D36" s="15" t="s">
        <v>20</v>
      </c>
      <c r="E36" s="16">
        <f t="shared" si="7"/>
        <v>19</v>
      </c>
      <c r="F36" s="17">
        <f>ROUND(AVERAGE(10,7),2)</f>
        <v>8.5</v>
      </c>
      <c r="G36" s="18">
        <f aca="true" t="shared" si="14" ref="G36:G42">ROUND((2864.79-($F36/2))/2864.79,4)</f>
        <v>0.9985</v>
      </c>
      <c r="H36" s="18">
        <f t="shared" si="12"/>
        <v>0.997</v>
      </c>
      <c r="I36" s="16">
        <f t="shared" si="8"/>
        <v>161.26</v>
      </c>
      <c r="J36" s="16"/>
      <c r="K36" s="16"/>
      <c r="L36" s="16"/>
      <c r="M36" s="16"/>
      <c r="N36" s="16"/>
      <c r="O36" s="16">
        <f t="shared" si="9"/>
        <v>28.41</v>
      </c>
      <c r="P36" s="16"/>
      <c r="Q36" s="16"/>
      <c r="R36" s="16"/>
      <c r="S36" s="63">
        <f t="shared" si="10"/>
        <v>0.011</v>
      </c>
      <c r="T36" s="16"/>
      <c r="U36" s="16">
        <f t="shared" si="11"/>
        <v>0.55</v>
      </c>
      <c r="V36" s="16">
        <f t="shared" si="3"/>
        <v>21.07</v>
      </c>
      <c r="W36" s="16">
        <f t="shared" si="3"/>
        <v>21.07</v>
      </c>
      <c r="X36" s="16"/>
      <c r="Y36" s="16"/>
      <c r="Z36" s="16"/>
      <c r="AA36" s="16"/>
      <c r="AB36" s="16"/>
      <c r="AC36" s="16"/>
      <c r="AD36" s="16"/>
      <c r="AE36" s="16"/>
      <c r="AF36" s="78"/>
      <c r="AG36" s="79"/>
    </row>
    <row r="37" spans="1:33" s="5" customFormat="1" ht="21.75" customHeight="1">
      <c r="A37" s="12">
        <f t="shared" si="1"/>
        <v>25</v>
      </c>
      <c r="B37" s="13">
        <f t="shared" si="13"/>
        <v>50794</v>
      </c>
      <c r="C37" s="14">
        <v>50804.86</v>
      </c>
      <c r="D37" s="15" t="s">
        <v>20</v>
      </c>
      <c r="E37" s="16">
        <f t="shared" si="7"/>
        <v>10.860000000000582</v>
      </c>
      <c r="F37" s="17">
        <v>7</v>
      </c>
      <c r="G37" s="18">
        <f t="shared" si="14"/>
        <v>0.9988</v>
      </c>
      <c r="H37" s="18">
        <f t="shared" si="12"/>
        <v>0.9976</v>
      </c>
      <c r="I37" s="16">
        <f t="shared" si="8"/>
        <v>75.93</v>
      </c>
      <c r="J37" s="16"/>
      <c r="K37" s="16"/>
      <c r="L37" s="16"/>
      <c r="M37" s="16"/>
      <c r="N37" s="16"/>
      <c r="O37" s="16">
        <f t="shared" si="9"/>
        <v>16.25</v>
      </c>
      <c r="P37" s="16"/>
      <c r="Q37" s="16"/>
      <c r="R37" s="16"/>
      <c r="S37" s="63">
        <f t="shared" si="10"/>
        <v>0.005</v>
      </c>
      <c r="T37" s="16"/>
      <c r="U37" s="16">
        <f t="shared" si="11"/>
        <v>0.26</v>
      </c>
      <c r="V37" s="16">
        <f t="shared" si="3"/>
        <v>10.24</v>
      </c>
      <c r="W37" s="16">
        <f t="shared" si="3"/>
        <v>10.24</v>
      </c>
      <c r="X37" s="16"/>
      <c r="Y37" s="16"/>
      <c r="Z37" s="16"/>
      <c r="AA37" s="16"/>
      <c r="AB37" s="16"/>
      <c r="AC37" s="16"/>
      <c r="AD37" s="16"/>
      <c r="AE37" s="16"/>
      <c r="AF37" s="78"/>
      <c r="AG37" s="79"/>
    </row>
    <row r="38" spans="1:33" s="5" customFormat="1" ht="21.75" customHeight="1">
      <c r="A38" s="12">
        <f t="shared" si="1"/>
        <v>26</v>
      </c>
      <c r="B38" s="13">
        <f t="shared" si="13"/>
        <v>50804.86</v>
      </c>
      <c r="C38" s="14">
        <v>50873.02</v>
      </c>
      <c r="D38" s="15" t="s">
        <v>20</v>
      </c>
      <c r="E38" s="16">
        <f t="shared" si="7"/>
        <v>68.15999999999622</v>
      </c>
      <c r="F38" s="17">
        <v>7</v>
      </c>
      <c r="G38" s="18">
        <f t="shared" si="14"/>
        <v>0.9988</v>
      </c>
      <c r="H38" s="18">
        <f t="shared" si="12"/>
        <v>0.9976</v>
      </c>
      <c r="I38" s="16">
        <f t="shared" si="8"/>
        <v>476.55</v>
      </c>
      <c r="J38" s="16"/>
      <c r="K38" s="16"/>
      <c r="L38" s="16"/>
      <c r="M38" s="16"/>
      <c r="N38" s="16"/>
      <c r="O38" s="16"/>
      <c r="P38" s="16">
        <f>IF($H38=0,ROUND($E38*(P$72/12),2),ROUND($E38*(P$72/12)*$H38,2))</f>
        <v>113.33</v>
      </c>
      <c r="Q38" s="16">
        <f>IF($H38=0,ROUND($E38*(Q$72/12),2),ROUND($E38*(Q$72/12)*$H38,2))</f>
        <v>124.66</v>
      </c>
      <c r="R38" s="16"/>
      <c r="S38" s="63">
        <f t="shared" si="10"/>
        <v>0.04</v>
      </c>
      <c r="T38" s="16"/>
      <c r="U38" s="16">
        <f t="shared" si="11"/>
        <v>2.05</v>
      </c>
      <c r="V38" s="16">
        <f t="shared" si="3"/>
        <v>79.39</v>
      </c>
      <c r="W38" s="16">
        <f t="shared" si="3"/>
        <v>79.39</v>
      </c>
      <c r="X38" s="16"/>
      <c r="Y38" s="16"/>
      <c r="Z38" s="16"/>
      <c r="AA38" s="16"/>
      <c r="AB38" s="16"/>
      <c r="AC38" s="16"/>
      <c r="AD38" s="16"/>
      <c r="AE38" s="16"/>
      <c r="AF38" s="78"/>
      <c r="AG38" s="79"/>
    </row>
    <row r="39" spans="1:33" s="5" customFormat="1" ht="21.75" customHeight="1">
      <c r="A39" s="12">
        <f t="shared" si="1"/>
        <v>27</v>
      </c>
      <c r="B39" s="13">
        <f t="shared" si="13"/>
        <v>50873.02</v>
      </c>
      <c r="C39" s="14">
        <v>50891.21</v>
      </c>
      <c r="D39" s="15" t="s">
        <v>20</v>
      </c>
      <c r="E39" s="16">
        <f t="shared" si="7"/>
        <v>18.19000000000233</v>
      </c>
      <c r="F39" s="17">
        <v>7</v>
      </c>
      <c r="G39" s="18">
        <f t="shared" si="14"/>
        <v>0.9988</v>
      </c>
      <c r="H39" s="18">
        <f t="shared" si="12"/>
        <v>0.9976</v>
      </c>
      <c r="I39" s="16">
        <f t="shared" si="8"/>
        <v>127.18</v>
      </c>
      <c r="J39" s="16"/>
      <c r="K39" s="16"/>
      <c r="L39" s="16"/>
      <c r="M39" s="16"/>
      <c r="N39" s="16"/>
      <c r="O39" s="16">
        <f>IF($H39=0,ROUND($E39*(O$72/12),2),ROUND($E39*(O$72/12)*$H39,2))</f>
        <v>27.22</v>
      </c>
      <c r="P39" s="16"/>
      <c r="Q39" s="16"/>
      <c r="R39" s="16"/>
      <c r="S39" s="63">
        <f t="shared" si="10"/>
        <v>0.009</v>
      </c>
      <c r="T39" s="16"/>
      <c r="U39" s="16">
        <f t="shared" si="11"/>
        <v>0.44</v>
      </c>
      <c r="V39" s="16">
        <f t="shared" si="3"/>
        <v>17.16</v>
      </c>
      <c r="W39" s="16">
        <f t="shared" si="3"/>
        <v>17.16</v>
      </c>
      <c r="X39" s="16"/>
      <c r="Y39" s="16"/>
      <c r="Z39" s="16"/>
      <c r="AA39" s="16"/>
      <c r="AB39" s="16"/>
      <c r="AC39" s="16"/>
      <c r="AD39" s="16"/>
      <c r="AE39" s="16"/>
      <c r="AF39" s="78"/>
      <c r="AG39" s="79"/>
    </row>
    <row r="40" spans="1:33" s="5" customFormat="1" ht="21.75" customHeight="1">
      <c r="A40" s="12">
        <f t="shared" si="1"/>
        <v>28</v>
      </c>
      <c r="B40" s="13">
        <f t="shared" si="13"/>
        <v>50891.21</v>
      </c>
      <c r="C40" s="14">
        <v>50925</v>
      </c>
      <c r="D40" s="15" t="s">
        <v>20</v>
      </c>
      <c r="E40" s="16">
        <f t="shared" si="7"/>
        <v>33.79000000000087</v>
      </c>
      <c r="F40" s="17">
        <v>7</v>
      </c>
      <c r="G40" s="18">
        <f t="shared" si="14"/>
        <v>0.9988</v>
      </c>
      <c r="H40" s="18">
        <f t="shared" si="12"/>
        <v>0.9976</v>
      </c>
      <c r="I40" s="16">
        <f t="shared" si="8"/>
        <v>236.25</v>
      </c>
      <c r="J40" s="16"/>
      <c r="K40" s="16"/>
      <c r="L40" s="16"/>
      <c r="M40" s="16"/>
      <c r="N40" s="16"/>
      <c r="O40" s="16">
        <f>IF($H40=0,ROUND($E40*(O$72/12),2),ROUND($E40*(O$72/12)*$H40,2))</f>
        <v>50.56</v>
      </c>
      <c r="P40" s="16"/>
      <c r="Q40" s="16"/>
      <c r="R40" s="16"/>
      <c r="S40" s="63">
        <f t="shared" si="10"/>
        <v>0.016</v>
      </c>
      <c r="T40" s="16"/>
      <c r="U40" s="16">
        <f t="shared" si="11"/>
        <v>0.82</v>
      </c>
      <c r="V40" s="16">
        <f t="shared" si="3"/>
        <v>31.87</v>
      </c>
      <c r="W40" s="16">
        <f t="shared" si="3"/>
        <v>31.87</v>
      </c>
      <c r="X40" s="16"/>
      <c r="Y40" s="16"/>
      <c r="Z40" s="16"/>
      <c r="AA40" s="16"/>
      <c r="AB40" s="16"/>
      <c r="AC40" s="16"/>
      <c r="AD40" s="16"/>
      <c r="AE40" s="16"/>
      <c r="AF40" s="78"/>
      <c r="AG40" s="79"/>
    </row>
    <row r="41" spans="1:33" s="5" customFormat="1" ht="21.75" customHeight="1">
      <c r="A41" s="12">
        <f t="shared" si="1"/>
        <v>29</v>
      </c>
      <c r="B41" s="13">
        <f t="shared" si="13"/>
        <v>50925</v>
      </c>
      <c r="C41" s="14">
        <v>51000</v>
      </c>
      <c r="D41" s="15" t="s">
        <v>20</v>
      </c>
      <c r="E41" s="16">
        <f t="shared" si="7"/>
        <v>75</v>
      </c>
      <c r="F41" s="17">
        <f>ROUND(AVERAGE(10,7),2)</f>
        <v>8.5</v>
      </c>
      <c r="G41" s="18">
        <f t="shared" si="14"/>
        <v>0.9985</v>
      </c>
      <c r="H41" s="18">
        <f t="shared" si="12"/>
        <v>0.997</v>
      </c>
      <c r="I41" s="16">
        <f t="shared" si="8"/>
        <v>636.54</v>
      </c>
      <c r="J41" s="16"/>
      <c r="K41" s="16"/>
      <c r="L41" s="16"/>
      <c r="M41" s="16"/>
      <c r="N41" s="16"/>
      <c r="O41" s="16">
        <f>IF($H41=0,ROUND($E41*(O$72/12),2),ROUND($E41*(O$72/12)*$H41,2))</f>
        <v>112.16</v>
      </c>
      <c r="P41" s="16"/>
      <c r="Q41" s="16"/>
      <c r="R41" s="16"/>
      <c r="S41" s="63">
        <f t="shared" si="10"/>
        <v>0.042</v>
      </c>
      <c r="T41" s="16"/>
      <c r="U41" s="16">
        <f t="shared" si="11"/>
        <v>2.15</v>
      </c>
      <c r="V41" s="16">
        <f t="shared" si="3"/>
        <v>83.19</v>
      </c>
      <c r="W41" s="16">
        <f t="shared" si="3"/>
        <v>83.19</v>
      </c>
      <c r="X41" s="16"/>
      <c r="Y41" s="16"/>
      <c r="Z41" s="16"/>
      <c r="AA41" s="16"/>
      <c r="AB41" s="16"/>
      <c r="AC41" s="16"/>
      <c r="AD41" s="16"/>
      <c r="AE41" s="16"/>
      <c r="AF41" s="78"/>
      <c r="AG41" s="79"/>
    </row>
    <row r="42" spans="1:33" s="5" customFormat="1" ht="21.75" customHeight="1">
      <c r="A42" s="12">
        <f t="shared" si="1"/>
        <v>30</v>
      </c>
      <c r="B42" s="13">
        <f t="shared" si="13"/>
        <v>51000</v>
      </c>
      <c r="C42" s="14">
        <v>51495</v>
      </c>
      <c r="D42" s="15" t="s">
        <v>20</v>
      </c>
      <c r="E42" s="16">
        <f t="shared" si="7"/>
        <v>495</v>
      </c>
      <c r="F42" s="17">
        <v>10</v>
      </c>
      <c r="G42" s="18">
        <f t="shared" si="14"/>
        <v>0.9983</v>
      </c>
      <c r="H42" s="18">
        <f t="shared" si="12"/>
        <v>0.9965</v>
      </c>
      <c r="I42" s="16">
        <f>IF(G42=0,ROUND($E42*$F42,2),ROUND($E42*$F42*$G42,2))</f>
        <v>4941.59</v>
      </c>
      <c r="J42" s="16"/>
      <c r="K42" s="16"/>
      <c r="L42" s="16"/>
      <c r="M42" s="16"/>
      <c r="N42" s="16"/>
      <c r="O42" s="16">
        <f>IF($H42=0,ROUND($E42*(O$72/12),2),ROUND($E42*(O$72/12)*$H42,2))</f>
        <v>739.9</v>
      </c>
      <c r="P42" s="16"/>
      <c r="Q42" s="16"/>
      <c r="R42" s="16"/>
      <c r="S42" s="63">
        <f t="shared" si="10"/>
        <v>0.316</v>
      </c>
      <c r="T42" s="16"/>
      <c r="U42" s="16">
        <f t="shared" si="11"/>
        <v>16.33</v>
      </c>
      <c r="V42" s="16">
        <f t="shared" si="3"/>
        <v>631.28</v>
      </c>
      <c r="W42" s="16">
        <f t="shared" si="3"/>
        <v>631.28</v>
      </c>
      <c r="X42" s="16"/>
      <c r="Y42" s="16"/>
      <c r="Z42" s="16"/>
      <c r="AA42" s="16"/>
      <c r="AB42" s="16"/>
      <c r="AC42" s="16"/>
      <c r="AD42" s="16"/>
      <c r="AE42" s="16"/>
      <c r="AF42" s="78"/>
      <c r="AG42" s="79"/>
    </row>
    <row r="43" spans="1:33" s="5" customFormat="1" ht="21.75" customHeight="1">
      <c r="A43" s="12">
        <f t="shared" si="1"/>
        <v>31</v>
      </c>
      <c r="B43" s="13"/>
      <c r="C43" s="14"/>
      <c r="D43" s="15"/>
      <c r="E43" s="16"/>
      <c r="F43" s="17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63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78"/>
      <c r="AG43" s="79"/>
    </row>
    <row r="44" spans="1:33" s="5" customFormat="1" ht="21.75" customHeight="1">
      <c r="A44" s="12">
        <f t="shared" si="1"/>
        <v>32</v>
      </c>
      <c r="B44" s="13"/>
      <c r="C44" s="14"/>
      <c r="D44" s="15"/>
      <c r="E44" s="16"/>
      <c r="F44" s="17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63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78"/>
      <c r="AG44" s="79"/>
    </row>
    <row r="45" spans="1:33" s="5" customFormat="1" ht="21.75" customHeight="1">
      <c r="A45" s="12">
        <f t="shared" si="1"/>
        <v>33</v>
      </c>
      <c r="B45" s="110" t="s">
        <v>34</v>
      </c>
      <c r="C45" s="111"/>
      <c r="D45" s="111"/>
      <c r="E45" s="111"/>
      <c r="F45" s="111"/>
      <c r="G45" s="111"/>
      <c r="H45" s="111"/>
      <c r="I45" s="112"/>
      <c r="J45" s="16"/>
      <c r="K45" s="16"/>
      <c r="L45" s="16"/>
      <c r="M45" s="16"/>
      <c r="N45" s="16"/>
      <c r="O45" s="16"/>
      <c r="P45" s="16"/>
      <c r="Q45" s="16"/>
      <c r="R45" s="16"/>
      <c r="S45" s="63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78"/>
      <c r="AG45" s="79"/>
    </row>
    <row r="46" spans="1:33" s="5" customFormat="1" ht="21.75" customHeight="1">
      <c r="A46" s="12">
        <f t="shared" si="1"/>
        <v>34</v>
      </c>
      <c r="B46" s="19" t="s">
        <v>35</v>
      </c>
      <c r="C46" s="14"/>
      <c r="D46" s="15"/>
      <c r="E46" s="16"/>
      <c r="F46" s="17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63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78"/>
      <c r="AG46" s="79"/>
    </row>
    <row r="47" spans="1:33" s="5" customFormat="1" ht="21.75" customHeight="1">
      <c r="A47" s="12">
        <f t="shared" si="1"/>
        <v>35</v>
      </c>
      <c r="B47" s="13">
        <v>37167.11</v>
      </c>
      <c r="C47" s="14">
        <v>38624.74</v>
      </c>
      <c r="D47" s="15" t="s">
        <v>20</v>
      </c>
      <c r="E47" s="104" t="s">
        <v>23</v>
      </c>
      <c r="F47" s="105"/>
      <c r="G47" s="105"/>
      <c r="H47" s="105"/>
      <c r="I47" s="106"/>
      <c r="J47" s="16">
        <v>17840.12</v>
      </c>
      <c r="K47" s="16"/>
      <c r="L47" s="16"/>
      <c r="M47" s="16"/>
      <c r="N47" s="16"/>
      <c r="O47" s="16"/>
      <c r="P47" s="16"/>
      <c r="Q47" s="16"/>
      <c r="R47" s="16"/>
      <c r="S47" s="63">
        <f>ROUND(($V47/S$72),3)</f>
        <v>0.991</v>
      </c>
      <c r="T47" s="16"/>
      <c r="U47" s="16">
        <f>ROUND((($U$72*$W$72*$U$73*$U$74*$W47)/2000),2)</f>
        <v>51.29</v>
      </c>
      <c r="V47" s="16">
        <f aca="true" t="shared" si="15" ref="V47:W65">ROUND((($I47+$J47)/9),2)</f>
        <v>1982.24</v>
      </c>
      <c r="W47" s="16">
        <f t="shared" si="15"/>
        <v>1982.24</v>
      </c>
      <c r="X47" s="16"/>
      <c r="Y47" s="16"/>
      <c r="Z47" s="16"/>
      <c r="AA47" s="16"/>
      <c r="AB47" s="16"/>
      <c r="AC47" s="16"/>
      <c r="AD47" s="16"/>
      <c r="AE47" s="16"/>
      <c r="AF47" s="78"/>
      <c r="AG47" s="79"/>
    </row>
    <row r="48" spans="1:33" s="5" customFormat="1" ht="21.75" customHeight="1">
      <c r="A48" s="12">
        <f t="shared" si="1"/>
        <v>36</v>
      </c>
      <c r="B48" s="19" t="s">
        <v>36</v>
      </c>
      <c r="C48" s="14"/>
      <c r="D48" s="15"/>
      <c r="E48" s="16"/>
      <c r="F48" s="17"/>
      <c r="G48" s="18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63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78"/>
      <c r="AG48" s="79"/>
    </row>
    <row r="49" spans="1:33" s="5" customFormat="1" ht="21.75" customHeight="1">
      <c r="A49" s="12">
        <f t="shared" si="1"/>
        <v>37</v>
      </c>
      <c r="B49" s="13">
        <v>47751.03</v>
      </c>
      <c r="C49" s="14">
        <v>48117.43</v>
      </c>
      <c r="D49" s="15" t="s">
        <v>20</v>
      </c>
      <c r="E49" s="104" t="s">
        <v>23</v>
      </c>
      <c r="F49" s="105"/>
      <c r="G49" s="105"/>
      <c r="H49" s="105"/>
      <c r="I49" s="106"/>
      <c r="J49" s="16">
        <v>3272.79</v>
      </c>
      <c r="K49" s="16"/>
      <c r="L49" s="16"/>
      <c r="M49" s="16"/>
      <c r="N49" s="16"/>
      <c r="O49" s="16"/>
      <c r="P49" s="16"/>
      <c r="Q49" s="42"/>
      <c r="R49" s="16"/>
      <c r="S49" s="63">
        <f>ROUND(($V49/S$72),3)</f>
        <v>0.182</v>
      </c>
      <c r="T49" s="16"/>
      <c r="U49" s="16">
        <f>ROUND((($U$72*$W$72*$U$73*$U$74*$W49)/2000),2)</f>
        <v>9.41</v>
      </c>
      <c r="V49" s="16">
        <f t="shared" si="15"/>
        <v>363.64</v>
      </c>
      <c r="W49" s="16">
        <f t="shared" si="15"/>
        <v>363.64</v>
      </c>
      <c r="X49" s="16"/>
      <c r="Y49" s="16"/>
      <c r="Z49" s="16"/>
      <c r="AA49" s="16"/>
      <c r="AB49" s="16"/>
      <c r="AC49" s="16"/>
      <c r="AD49" s="16"/>
      <c r="AE49" s="16"/>
      <c r="AF49" s="78"/>
      <c r="AG49" s="79"/>
    </row>
    <row r="50" spans="1:33" s="5" customFormat="1" ht="21.75" customHeight="1" thickBot="1">
      <c r="A50" s="12">
        <f t="shared" si="1"/>
        <v>38</v>
      </c>
      <c r="B50" s="19" t="s">
        <v>37</v>
      </c>
      <c r="C50" s="14"/>
      <c r="D50" s="15"/>
      <c r="E50" s="16"/>
      <c r="F50" s="17"/>
      <c r="G50" s="18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63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03"/>
      <c r="AG50" s="82"/>
    </row>
    <row r="51" spans="1:33" s="5" customFormat="1" ht="21.75" customHeight="1">
      <c r="A51" s="12">
        <f t="shared" si="1"/>
        <v>39</v>
      </c>
      <c r="B51" s="13">
        <v>49094.61</v>
      </c>
      <c r="C51" s="14">
        <v>49484.83</v>
      </c>
      <c r="D51" s="15" t="s">
        <v>25</v>
      </c>
      <c r="E51" s="104" t="s">
        <v>23</v>
      </c>
      <c r="F51" s="105"/>
      <c r="G51" s="105"/>
      <c r="H51" s="105"/>
      <c r="I51" s="106"/>
      <c r="J51" s="16">
        <v>4263.43</v>
      </c>
      <c r="K51" s="16"/>
      <c r="L51" s="16"/>
      <c r="M51" s="16"/>
      <c r="N51" s="16"/>
      <c r="O51" s="16"/>
      <c r="P51" s="16"/>
      <c r="Q51" s="16"/>
      <c r="R51" s="16"/>
      <c r="S51" s="63">
        <f>ROUND(($V51/S$72),3)</f>
        <v>0.237</v>
      </c>
      <c r="T51" s="16"/>
      <c r="U51" s="16">
        <f>ROUND((($U$72*$W$72*$U$73*$U$74*$W51)/2000),2)</f>
        <v>12.26</v>
      </c>
      <c r="V51" s="16">
        <f t="shared" si="15"/>
        <v>473.71</v>
      </c>
      <c r="W51" s="16">
        <f t="shared" si="15"/>
        <v>473.71</v>
      </c>
      <c r="X51" s="16"/>
      <c r="Y51" s="16"/>
      <c r="Z51" s="16"/>
      <c r="AA51" s="16"/>
      <c r="AB51" s="16"/>
      <c r="AC51" s="16"/>
      <c r="AD51" s="16"/>
      <c r="AE51" s="16"/>
      <c r="AF51" s="76" t="s">
        <v>91</v>
      </c>
      <c r="AG51" s="77"/>
    </row>
    <row r="52" spans="1:33" s="5" customFormat="1" ht="21.75" customHeight="1">
      <c r="A52" s="12">
        <f t="shared" si="1"/>
        <v>40</v>
      </c>
      <c r="B52" s="19" t="s">
        <v>38</v>
      </c>
      <c r="C52" s="14"/>
      <c r="D52" s="15"/>
      <c r="E52" s="16"/>
      <c r="F52" s="17"/>
      <c r="G52" s="1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63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78"/>
      <c r="AG52" s="79"/>
    </row>
    <row r="53" spans="1:33" s="5" customFormat="1" ht="21.75" customHeight="1">
      <c r="A53" s="12">
        <f t="shared" si="1"/>
        <v>41</v>
      </c>
      <c r="B53" s="13">
        <v>49370.87</v>
      </c>
      <c r="C53" s="14">
        <v>50011.29</v>
      </c>
      <c r="D53" s="15" t="s">
        <v>20</v>
      </c>
      <c r="E53" s="104" t="s">
        <v>23</v>
      </c>
      <c r="F53" s="105"/>
      <c r="G53" s="105"/>
      <c r="H53" s="105"/>
      <c r="I53" s="106"/>
      <c r="J53" s="16">
        <v>4654.2</v>
      </c>
      <c r="K53" s="16"/>
      <c r="L53" s="16"/>
      <c r="M53" s="16"/>
      <c r="N53" s="16"/>
      <c r="O53" s="16"/>
      <c r="P53" s="16"/>
      <c r="Q53" s="16"/>
      <c r="R53" s="16"/>
      <c r="S53" s="63">
        <f>ROUND(($V53/S$72),3)</f>
        <v>0.259</v>
      </c>
      <c r="T53" s="16"/>
      <c r="U53" s="16">
        <f>ROUND((($U$72*$W$72*$U$73*$U$74*$W53)/2000),2)</f>
        <v>13.38</v>
      </c>
      <c r="V53" s="16">
        <f t="shared" si="15"/>
        <v>517.13</v>
      </c>
      <c r="W53" s="16">
        <f t="shared" si="15"/>
        <v>517.13</v>
      </c>
      <c r="X53" s="16"/>
      <c r="Y53" s="16"/>
      <c r="Z53" s="16"/>
      <c r="AA53" s="16"/>
      <c r="AB53" s="16"/>
      <c r="AC53" s="16"/>
      <c r="AD53" s="16"/>
      <c r="AE53" s="16"/>
      <c r="AF53" s="78"/>
      <c r="AG53" s="79"/>
    </row>
    <row r="54" spans="1:33" s="5" customFormat="1" ht="21.75" customHeight="1">
      <c r="A54" s="12">
        <f t="shared" si="1"/>
        <v>42</v>
      </c>
      <c r="B54" s="19" t="s">
        <v>39</v>
      </c>
      <c r="C54" s="14"/>
      <c r="D54" s="15"/>
      <c r="E54" s="16"/>
      <c r="F54" s="23"/>
      <c r="G54" s="1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63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78"/>
      <c r="AG54" s="79"/>
    </row>
    <row r="55" spans="1:33" s="5" customFormat="1" ht="21.75" customHeight="1">
      <c r="A55" s="12">
        <f t="shared" si="1"/>
        <v>43</v>
      </c>
      <c r="B55" s="14">
        <v>50742.24</v>
      </c>
      <c r="C55" s="14">
        <v>51485</v>
      </c>
      <c r="D55" s="15" t="s">
        <v>20</v>
      </c>
      <c r="E55" s="104" t="s">
        <v>23</v>
      </c>
      <c r="F55" s="105"/>
      <c r="G55" s="105"/>
      <c r="H55" s="105"/>
      <c r="I55" s="106"/>
      <c r="J55" s="16">
        <v>6205.23</v>
      </c>
      <c r="K55" s="16"/>
      <c r="L55" s="16"/>
      <c r="M55" s="16"/>
      <c r="N55" s="16"/>
      <c r="O55" s="16"/>
      <c r="P55" s="16"/>
      <c r="Q55" s="16"/>
      <c r="R55" s="16"/>
      <c r="S55" s="63">
        <f>ROUND(($V55/S$72),3)</f>
        <v>0.345</v>
      </c>
      <c r="T55" s="16"/>
      <c r="U55" s="16">
        <f>ROUND((($U$72*$W$72*$U$73*$U$74*$W55)/2000),2)</f>
        <v>17.84</v>
      </c>
      <c r="V55" s="16">
        <f t="shared" si="15"/>
        <v>689.47</v>
      </c>
      <c r="W55" s="16">
        <f t="shared" si="15"/>
        <v>689.47</v>
      </c>
      <c r="X55" s="16"/>
      <c r="Y55" s="16"/>
      <c r="Z55" s="16"/>
      <c r="AA55" s="16"/>
      <c r="AB55" s="16"/>
      <c r="AC55" s="16"/>
      <c r="AD55" s="16"/>
      <c r="AE55" s="16"/>
      <c r="AF55" s="78"/>
      <c r="AG55" s="79"/>
    </row>
    <row r="56" spans="1:33" s="5" customFormat="1" ht="21.75" customHeight="1">
      <c r="A56" s="12">
        <f t="shared" si="1"/>
        <v>44</v>
      </c>
      <c r="B56" s="19" t="s">
        <v>40</v>
      </c>
      <c r="C56" s="14"/>
      <c r="D56" s="15"/>
      <c r="E56" s="16"/>
      <c r="F56" s="23"/>
      <c r="G56" s="18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63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78"/>
      <c r="AG56" s="79"/>
    </row>
    <row r="57" spans="1:33" s="5" customFormat="1" ht="21.75" customHeight="1">
      <c r="A57" s="12">
        <f>A56+1</f>
        <v>45</v>
      </c>
      <c r="B57" s="14">
        <v>48663.69</v>
      </c>
      <c r="C57" s="39">
        <v>49444.48</v>
      </c>
      <c r="D57" s="15" t="s">
        <v>25</v>
      </c>
      <c r="E57" s="104" t="s">
        <v>23</v>
      </c>
      <c r="F57" s="105"/>
      <c r="G57" s="105"/>
      <c r="H57" s="105"/>
      <c r="I57" s="106"/>
      <c r="J57" s="16">
        <v>5756.26</v>
      </c>
      <c r="K57" s="16"/>
      <c r="L57" s="16"/>
      <c r="M57" s="16"/>
      <c r="N57" s="16"/>
      <c r="O57" s="16"/>
      <c r="P57" s="16"/>
      <c r="Q57" s="16"/>
      <c r="R57" s="16"/>
      <c r="S57" s="63">
        <f>ROUND(($V57/S$72),3)</f>
        <v>0.32</v>
      </c>
      <c r="T57" s="16"/>
      <c r="U57" s="16">
        <f>ROUND((($U$72*$W$72*$U$73*$U$74*$W57)/2000),2)</f>
        <v>16.55</v>
      </c>
      <c r="V57" s="16">
        <f t="shared" si="15"/>
        <v>639.58</v>
      </c>
      <c r="W57" s="16">
        <f t="shared" si="15"/>
        <v>639.58</v>
      </c>
      <c r="X57" s="16"/>
      <c r="Y57" s="16"/>
      <c r="Z57" s="16"/>
      <c r="AA57" s="16"/>
      <c r="AB57" s="16"/>
      <c r="AC57" s="16"/>
      <c r="AD57" s="16"/>
      <c r="AE57" s="16"/>
      <c r="AF57" s="78"/>
      <c r="AG57" s="79"/>
    </row>
    <row r="58" spans="1:33" s="25" customFormat="1" ht="21.75" customHeight="1">
      <c r="A58" s="12">
        <f t="shared" si="1"/>
        <v>46</v>
      </c>
      <c r="B58" s="19" t="s">
        <v>41</v>
      </c>
      <c r="C58" s="14"/>
      <c r="D58" s="15"/>
      <c r="E58" s="16"/>
      <c r="F58" s="17"/>
      <c r="G58" s="18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63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78"/>
      <c r="AG58" s="79"/>
    </row>
    <row r="59" spans="1:33" s="25" customFormat="1" ht="21.75" customHeight="1">
      <c r="A59" s="12">
        <f t="shared" si="1"/>
        <v>47</v>
      </c>
      <c r="B59" s="14">
        <v>49694.61</v>
      </c>
      <c r="C59" s="14">
        <v>49973.79</v>
      </c>
      <c r="D59" s="15" t="s">
        <v>20</v>
      </c>
      <c r="E59" s="104" t="s">
        <v>23</v>
      </c>
      <c r="F59" s="105"/>
      <c r="G59" s="105"/>
      <c r="H59" s="105"/>
      <c r="I59" s="106"/>
      <c r="J59" s="16">
        <v>2732.84</v>
      </c>
      <c r="K59" s="16"/>
      <c r="L59" s="16"/>
      <c r="M59" s="16"/>
      <c r="N59" s="16"/>
      <c r="O59" s="16"/>
      <c r="P59" s="16"/>
      <c r="Q59" s="16"/>
      <c r="R59" s="16"/>
      <c r="S59" s="63">
        <f>ROUND(($V59/S$72),3)</f>
        <v>0.152</v>
      </c>
      <c r="T59" s="16"/>
      <c r="U59" s="16">
        <f>ROUND((($U$72*$W$72*$U$73*$U$74*$W59)/2000),2)</f>
        <v>7.86</v>
      </c>
      <c r="V59" s="16">
        <f t="shared" si="15"/>
        <v>303.65</v>
      </c>
      <c r="W59" s="16">
        <f t="shared" si="15"/>
        <v>303.65</v>
      </c>
      <c r="X59" s="16"/>
      <c r="Y59" s="16"/>
      <c r="Z59" s="16"/>
      <c r="AA59" s="16"/>
      <c r="AB59" s="16"/>
      <c r="AC59" s="16"/>
      <c r="AD59" s="16"/>
      <c r="AE59" s="16"/>
      <c r="AF59" s="78"/>
      <c r="AG59" s="79"/>
    </row>
    <row r="60" spans="1:33" s="25" customFormat="1" ht="21.75" customHeight="1">
      <c r="A60" s="12">
        <f t="shared" si="1"/>
        <v>48</v>
      </c>
      <c r="B60" s="19" t="s">
        <v>42</v>
      </c>
      <c r="C60" s="14"/>
      <c r="D60" s="15"/>
      <c r="E60" s="16"/>
      <c r="F60" s="17"/>
      <c r="G60" s="18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63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78"/>
      <c r="AG60" s="79"/>
    </row>
    <row r="61" spans="1:33" s="25" customFormat="1" ht="21.75" customHeight="1">
      <c r="A61" s="12">
        <f t="shared" si="1"/>
        <v>49</v>
      </c>
      <c r="B61" s="14">
        <v>50243.78</v>
      </c>
      <c r="C61" s="14">
        <v>50628.88</v>
      </c>
      <c r="D61" s="15" t="s">
        <v>25</v>
      </c>
      <c r="E61" s="104" t="s">
        <v>23</v>
      </c>
      <c r="F61" s="105"/>
      <c r="G61" s="105"/>
      <c r="H61" s="105"/>
      <c r="I61" s="106"/>
      <c r="J61" s="16">
        <v>2851.31</v>
      </c>
      <c r="K61" s="16"/>
      <c r="L61" s="16"/>
      <c r="M61" s="16"/>
      <c r="N61" s="16"/>
      <c r="O61" s="16"/>
      <c r="P61" s="16"/>
      <c r="Q61" s="16"/>
      <c r="R61" s="16"/>
      <c r="S61" s="63">
        <f>ROUND(($V61/S$72),3)</f>
        <v>0.158</v>
      </c>
      <c r="T61" s="16"/>
      <c r="U61" s="16">
        <f>ROUND((($U$72*$W$72*$U$73*$U$74*$W61)/2000),2)</f>
        <v>8.2</v>
      </c>
      <c r="V61" s="16">
        <f t="shared" si="15"/>
        <v>316.81</v>
      </c>
      <c r="W61" s="16">
        <f t="shared" si="15"/>
        <v>316.81</v>
      </c>
      <c r="X61" s="16"/>
      <c r="Y61" s="16"/>
      <c r="Z61" s="16"/>
      <c r="AA61" s="16"/>
      <c r="AB61" s="16"/>
      <c r="AC61" s="16"/>
      <c r="AD61" s="16"/>
      <c r="AE61" s="16"/>
      <c r="AF61" s="78"/>
      <c r="AG61" s="79"/>
    </row>
    <row r="62" spans="1:33" s="25" customFormat="1" ht="21.75" customHeight="1">
      <c r="A62" s="12">
        <f t="shared" si="1"/>
        <v>50</v>
      </c>
      <c r="B62" s="19" t="s">
        <v>50</v>
      </c>
      <c r="C62" s="14"/>
      <c r="D62" s="15"/>
      <c r="E62" s="16"/>
      <c r="F62" s="17"/>
      <c r="G62" s="18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63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78"/>
      <c r="AG62" s="79"/>
    </row>
    <row r="63" spans="1:33" s="25" customFormat="1" ht="21.75" customHeight="1">
      <c r="A63" s="12">
        <f t="shared" si="1"/>
        <v>51</v>
      </c>
      <c r="B63" s="14">
        <v>1545.66</v>
      </c>
      <c r="C63" s="14">
        <v>2464.81</v>
      </c>
      <c r="D63" s="15" t="s">
        <v>20</v>
      </c>
      <c r="E63" s="104" t="s">
        <v>23</v>
      </c>
      <c r="F63" s="105"/>
      <c r="G63" s="105"/>
      <c r="H63" s="105"/>
      <c r="I63" s="106"/>
      <c r="J63" s="16">
        <v>6723.26</v>
      </c>
      <c r="K63" s="16"/>
      <c r="L63" s="16"/>
      <c r="M63" s="16"/>
      <c r="N63" s="16"/>
      <c r="O63" s="16"/>
      <c r="P63" s="16"/>
      <c r="Q63" s="16"/>
      <c r="R63" s="16"/>
      <c r="S63" s="63">
        <f>ROUND(($V63/S$72),3)</f>
        <v>0.374</v>
      </c>
      <c r="T63" s="16"/>
      <c r="U63" s="16">
        <f>ROUND((($U$72*$W$72*$U$73*$U$74*$W63)/2000),2)</f>
        <v>19.33</v>
      </c>
      <c r="V63" s="16">
        <f t="shared" si="15"/>
        <v>747.03</v>
      </c>
      <c r="W63" s="16">
        <f t="shared" si="15"/>
        <v>747.03</v>
      </c>
      <c r="X63" s="16"/>
      <c r="Y63" s="16"/>
      <c r="Z63" s="16"/>
      <c r="AA63" s="16"/>
      <c r="AB63" s="16"/>
      <c r="AC63" s="16"/>
      <c r="AD63" s="16"/>
      <c r="AE63" s="16"/>
      <c r="AF63" s="78"/>
      <c r="AG63" s="79"/>
    </row>
    <row r="64" spans="1:33" s="25" customFormat="1" ht="21.75" customHeight="1">
      <c r="A64" s="12">
        <f t="shared" si="1"/>
        <v>52</v>
      </c>
      <c r="B64" s="19" t="s">
        <v>43</v>
      </c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63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80"/>
      <c r="AG64" s="79"/>
    </row>
    <row r="65" spans="1:33" s="25" customFormat="1" ht="21.75" customHeight="1">
      <c r="A65" s="12">
        <f t="shared" si="1"/>
        <v>53</v>
      </c>
      <c r="B65" s="14">
        <v>59297.65</v>
      </c>
      <c r="C65" s="14">
        <v>59499.78</v>
      </c>
      <c r="D65" s="15" t="s">
        <v>25</v>
      </c>
      <c r="E65" s="104" t="s">
        <v>23</v>
      </c>
      <c r="F65" s="105"/>
      <c r="G65" s="105"/>
      <c r="H65" s="105"/>
      <c r="I65" s="106"/>
      <c r="J65" s="16">
        <v>1287.7</v>
      </c>
      <c r="K65" s="16"/>
      <c r="L65" s="16"/>
      <c r="M65" s="16"/>
      <c r="N65" s="16"/>
      <c r="O65" s="16"/>
      <c r="P65" s="16"/>
      <c r="Q65" s="16"/>
      <c r="R65" s="16"/>
      <c r="S65" s="63">
        <f>ROUND(($V65/S$72),3)</f>
        <v>0.072</v>
      </c>
      <c r="T65" s="16"/>
      <c r="U65" s="16">
        <f>ROUND((($U$72*$W$72*$U$73*$U$74*$W65)/2000),2)</f>
        <v>3.7</v>
      </c>
      <c r="V65" s="16">
        <f t="shared" si="15"/>
        <v>143.08</v>
      </c>
      <c r="W65" s="16">
        <f t="shared" si="15"/>
        <v>143.08</v>
      </c>
      <c r="X65" s="16"/>
      <c r="Y65" s="16"/>
      <c r="Z65" s="16"/>
      <c r="AA65" s="16"/>
      <c r="AB65" s="16"/>
      <c r="AC65" s="16"/>
      <c r="AD65" s="16"/>
      <c r="AE65" s="16"/>
      <c r="AF65" s="80"/>
      <c r="AG65" s="79"/>
    </row>
    <row r="66" spans="1:33" s="25" customFormat="1" ht="21.75" customHeight="1" thickBot="1">
      <c r="A66" s="12">
        <f t="shared" si="1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81"/>
      <c r="AG66" s="82"/>
    </row>
    <row r="67" spans="2:33" s="26" customFormat="1" ht="46.5" customHeight="1">
      <c r="B67" s="95" t="s">
        <v>8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7"/>
      <c r="R67" s="85" t="str">
        <f aca="true" t="shared" si="16" ref="R67:AE67">IF(SUM(R13:R66)=0," ",ROUNDUP(SUM(R13:R66),0))</f>
        <v> </v>
      </c>
      <c r="S67" s="85">
        <f t="shared" si="16"/>
        <v>7</v>
      </c>
      <c r="T67" s="85" t="str">
        <f t="shared" si="16"/>
        <v> </v>
      </c>
      <c r="U67" s="85">
        <f t="shared" si="16"/>
        <v>325</v>
      </c>
      <c r="V67" s="85">
        <f t="shared" si="16"/>
        <v>12530</v>
      </c>
      <c r="W67" s="85">
        <f t="shared" si="16"/>
        <v>12530</v>
      </c>
      <c r="X67" s="85" t="str">
        <f t="shared" si="16"/>
        <v> </v>
      </c>
      <c r="Y67" s="85" t="str">
        <f t="shared" si="16"/>
        <v> </v>
      </c>
      <c r="Z67" s="85" t="str">
        <f t="shared" si="16"/>
        <v> </v>
      </c>
      <c r="AA67" s="85" t="str">
        <f t="shared" si="16"/>
        <v> </v>
      </c>
      <c r="AB67" s="85" t="str">
        <f t="shared" si="16"/>
        <v> </v>
      </c>
      <c r="AC67" s="85" t="str">
        <f t="shared" si="16"/>
        <v> </v>
      </c>
      <c r="AD67" s="85" t="str">
        <f t="shared" si="16"/>
        <v> </v>
      </c>
      <c r="AE67" s="85" t="str">
        <f t="shared" si="16"/>
        <v> </v>
      </c>
      <c r="AF67" s="87">
        <v>7</v>
      </c>
      <c r="AG67" s="88"/>
    </row>
    <row r="68" spans="2:33" s="26" customFormat="1" ht="46.5" customHeight="1" thickBot="1"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100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3">
        <v>16</v>
      </c>
      <c r="AG68" s="84"/>
    </row>
    <row r="69" spans="1:34" ht="36" customHeight="1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T69" s="28"/>
      <c r="U69" s="28"/>
      <c r="V69" s="1"/>
      <c r="W69" s="28"/>
      <c r="X69" s="28"/>
      <c r="Y69" s="28"/>
      <c r="Z69" s="28"/>
      <c r="AA69" s="28"/>
      <c r="AB69" s="28"/>
      <c r="AF69" s="28"/>
      <c r="AG69" s="28"/>
      <c r="AH69" s="29"/>
    </row>
    <row r="70" spans="2:33" ht="12.7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T70" s="28"/>
      <c r="U70" s="28"/>
      <c r="V70" s="1"/>
      <c r="W70" s="28"/>
      <c r="X70" s="28"/>
      <c r="Y70" s="28"/>
      <c r="Z70" s="28"/>
      <c r="AA70" s="28"/>
      <c r="AB70" s="28"/>
      <c r="AF70" s="28"/>
      <c r="AG70" s="28"/>
    </row>
    <row r="71" spans="2:33" ht="12.7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T71" s="28"/>
      <c r="U71" s="28"/>
      <c r="V71" s="1"/>
      <c r="W71" s="28"/>
      <c r="X71" s="28"/>
      <c r="Y71" s="28"/>
      <c r="Z71" s="28"/>
      <c r="AA71" s="28"/>
      <c r="AB71" s="28"/>
      <c r="AF71" s="28"/>
      <c r="AG71" s="28"/>
    </row>
    <row r="72" spans="2:33" ht="15.75">
      <c r="B72" s="64" t="s">
        <v>26</v>
      </c>
      <c r="C72" s="65"/>
      <c r="D72" s="65"/>
      <c r="E72" s="65"/>
      <c r="F72" s="65"/>
      <c r="G72" s="66"/>
      <c r="H72" s="43"/>
      <c r="I72" s="43"/>
      <c r="J72" s="43"/>
      <c r="K72" s="43">
        <v>4</v>
      </c>
      <c r="L72" s="43">
        <v>6</v>
      </c>
      <c r="M72" s="43">
        <v>10</v>
      </c>
      <c r="N72" s="43">
        <v>22.875</v>
      </c>
      <c r="O72" s="43">
        <v>18</v>
      </c>
      <c r="P72" s="43">
        <v>20</v>
      </c>
      <c r="Q72" s="43">
        <v>22</v>
      </c>
      <c r="R72" s="45"/>
      <c r="S72" s="62">
        <v>2000</v>
      </c>
      <c r="T72" s="44"/>
      <c r="U72" s="44">
        <v>0.75</v>
      </c>
      <c r="V72" s="62"/>
      <c r="W72" s="62">
        <v>12</v>
      </c>
      <c r="X72" s="45"/>
      <c r="Y72" s="44"/>
      <c r="Z72" s="44"/>
      <c r="AA72" s="44"/>
      <c r="AB72" s="44"/>
      <c r="AC72" s="44"/>
      <c r="AD72" s="44"/>
      <c r="AF72" s="28"/>
      <c r="AG72" s="28"/>
    </row>
    <row r="73" spans="2:33" ht="15">
      <c r="B73" s="28"/>
      <c r="C73" s="28"/>
      <c r="D73" s="28"/>
      <c r="E73" s="28"/>
      <c r="F73" s="28"/>
      <c r="G73" s="28"/>
      <c r="H73" s="24"/>
      <c r="I73" s="28"/>
      <c r="J73" s="28"/>
      <c r="K73" s="28"/>
      <c r="L73" s="28"/>
      <c r="M73" s="28"/>
      <c r="N73" s="28"/>
      <c r="O73" s="28"/>
      <c r="P73" s="28"/>
      <c r="Q73" s="28"/>
      <c r="R73" s="24"/>
      <c r="T73" s="43"/>
      <c r="U73" s="43">
        <v>115</v>
      </c>
      <c r="V73" s="62"/>
      <c r="W73" s="46"/>
      <c r="X73" s="28"/>
      <c r="Y73" s="28"/>
      <c r="Z73" s="28"/>
      <c r="AA73" s="28"/>
      <c r="AB73" s="28"/>
      <c r="AF73" s="28"/>
      <c r="AG73" s="28"/>
    </row>
    <row r="74" spans="2:33" ht="15">
      <c r="B74" s="28"/>
      <c r="C74" s="30"/>
      <c r="D74" s="28"/>
      <c r="E74" s="28"/>
      <c r="F74" s="28"/>
      <c r="G74" s="28"/>
      <c r="H74" s="31"/>
      <c r="I74" s="28"/>
      <c r="J74" s="28"/>
      <c r="K74" s="67"/>
      <c r="L74" s="68"/>
      <c r="M74" s="68"/>
      <c r="N74" s="68"/>
      <c r="O74" s="68"/>
      <c r="P74" s="68"/>
      <c r="Q74" s="68"/>
      <c r="R74" s="31"/>
      <c r="S74" s="31"/>
      <c r="T74" s="31"/>
      <c r="U74" s="31">
        <v>0.05</v>
      </c>
      <c r="V74" s="44"/>
      <c r="W74" s="31"/>
      <c r="X74" s="31"/>
      <c r="Y74" s="31"/>
      <c r="Z74" s="31"/>
      <c r="AA74" s="31"/>
      <c r="AB74" s="31"/>
      <c r="AC74" s="31"/>
      <c r="AD74" s="31"/>
      <c r="AE74" s="31"/>
      <c r="AF74" s="28"/>
      <c r="AG74" s="28"/>
    </row>
  </sheetData>
  <sheetProtection/>
  <mergeCells count="62">
    <mergeCell ref="E57:I57"/>
    <mergeCell ref="E59:I59"/>
    <mergeCell ref="E61:I61"/>
    <mergeCell ref="E63:I63"/>
    <mergeCell ref="E65:I65"/>
    <mergeCell ref="E47:I47"/>
    <mergeCell ref="E49:I49"/>
    <mergeCell ref="E51:I51"/>
    <mergeCell ref="E53:I53"/>
    <mergeCell ref="B45:I45"/>
    <mergeCell ref="S4:S11"/>
    <mergeCell ref="T4:T11"/>
    <mergeCell ref="U4:U11"/>
    <mergeCell ref="R4:R11"/>
    <mergeCell ref="B3:C11"/>
    <mergeCell ref="D3:D11"/>
    <mergeCell ref="E3:E11"/>
    <mergeCell ref="F3:F11"/>
    <mergeCell ref="G3:G11"/>
    <mergeCell ref="Q3:Q11"/>
    <mergeCell ref="P3:P11"/>
    <mergeCell ref="O3:O11"/>
    <mergeCell ref="N3:N11"/>
    <mergeCell ref="L3:L11"/>
    <mergeCell ref="M3:M11"/>
    <mergeCell ref="V4:V11"/>
    <mergeCell ref="W4:W11"/>
    <mergeCell ref="X4:X11"/>
    <mergeCell ref="AE67:AE68"/>
    <mergeCell ref="Y67:Y68"/>
    <mergeCell ref="Z67:Z68"/>
    <mergeCell ref="Y4:Y11"/>
    <mergeCell ref="Z4:Z11"/>
    <mergeCell ref="AB67:AB68"/>
    <mergeCell ref="X67:X68"/>
    <mergeCell ref="B67:Q68"/>
    <mergeCell ref="R67:R68"/>
    <mergeCell ref="S67:S68"/>
    <mergeCell ref="T67:T68"/>
    <mergeCell ref="E55:I55"/>
    <mergeCell ref="K3:K11"/>
    <mergeCell ref="J3:J11"/>
    <mergeCell ref="B14:I14"/>
    <mergeCell ref="H3:H11"/>
    <mergeCell ref="I3:I11"/>
    <mergeCell ref="AF6:AG50"/>
    <mergeCell ref="AA4:AA11"/>
    <mergeCell ref="AF3:AF5"/>
    <mergeCell ref="AG3:AG5"/>
    <mergeCell ref="AF51:AG66"/>
    <mergeCell ref="AB4:AB11"/>
    <mergeCell ref="AC4:AC11"/>
    <mergeCell ref="AD4:AD11"/>
    <mergeCell ref="AE4:AE11"/>
    <mergeCell ref="U67:U68"/>
    <mergeCell ref="V67:V68"/>
    <mergeCell ref="W67:W68"/>
    <mergeCell ref="AF67:AG67"/>
    <mergeCell ref="AF68:AG68"/>
    <mergeCell ref="AC67:AC68"/>
    <mergeCell ref="AA67:AA68"/>
    <mergeCell ref="AD67:AD68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M54" sqref="M54"/>
    </sheetView>
  </sheetViews>
  <sheetFormatPr defaultColWidth="9.140625" defaultRowHeight="12.75"/>
  <cols>
    <col min="1" max="3" width="24.7109375" style="1" customWidth="1"/>
    <col min="4" max="21" width="15.7109375" style="1" customWidth="1"/>
    <col min="22" max="22" width="15.7109375" style="47" customWidth="1"/>
    <col min="23" max="31" width="15.7109375" style="1" customWidth="1"/>
    <col min="32" max="34" width="6.7109375" style="1" customWidth="1"/>
    <col min="35" max="16384" width="9.140625" style="1" customWidth="1"/>
  </cols>
  <sheetData>
    <row r="1" spans="18:27" ht="12.75">
      <c r="R1" s="49"/>
      <c r="S1" s="49"/>
      <c r="T1" s="49"/>
      <c r="U1" s="49"/>
      <c r="V1" s="50"/>
      <c r="W1" s="49"/>
      <c r="X1" s="49"/>
      <c r="Z1" s="49"/>
      <c r="AA1" s="49"/>
    </row>
    <row r="2" spans="1:34" s="4" customFormat="1" ht="36" customHeight="1" thickBot="1">
      <c r="A2" s="2"/>
      <c r="B2" s="32" t="s">
        <v>14</v>
      </c>
      <c r="C2" s="33"/>
      <c r="D2" s="34"/>
      <c r="E2" s="34"/>
      <c r="F2" s="34"/>
      <c r="G2" s="34"/>
      <c r="H2" s="51"/>
      <c r="I2" s="35"/>
      <c r="J2" s="34"/>
      <c r="K2" s="34"/>
      <c r="L2" s="34"/>
      <c r="M2" s="34"/>
      <c r="N2" s="34"/>
      <c r="O2" s="34"/>
      <c r="P2" s="34"/>
      <c r="Q2" s="35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2"/>
      <c r="AD2" s="48"/>
      <c r="AH2" s="3"/>
    </row>
    <row r="3" spans="2:34" s="5" customFormat="1" ht="21.75" customHeight="1">
      <c r="B3" s="95" t="s">
        <v>0</v>
      </c>
      <c r="C3" s="97"/>
      <c r="D3" s="117" t="s">
        <v>3</v>
      </c>
      <c r="E3" s="117" t="s">
        <v>4</v>
      </c>
      <c r="F3" s="117" t="s">
        <v>5</v>
      </c>
      <c r="G3" s="107" t="s">
        <v>12</v>
      </c>
      <c r="H3" s="107" t="s">
        <v>93</v>
      </c>
      <c r="I3" s="117" t="s">
        <v>6</v>
      </c>
      <c r="J3" s="107" t="s">
        <v>10</v>
      </c>
      <c r="K3" s="107"/>
      <c r="L3" s="107"/>
      <c r="M3" s="107"/>
      <c r="N3" s="107"/>
      <c r="O3" s="107" t="s">
        <v>15</v>
      </c>
      <c r="P3" s="107" t="s">
        <v>16</v>
      </c>
      <c r="Q3" s="107" t="s">
        <v>17</v>
      </c>
      <c r="R3" s="36">
        <v>204</v>
      </c>
      <c r="S3" s="37">
        <v>204</v>
      </c>
      <c r="T3" s="36"/>
      <c r="U3" s="37">
        <v>206</v>
      </c>
      <c r="V3" s="37">
        <v>206</v>
      </c>
      <c r="W3" s="36">
        <v>206</v>
      </c>
      <c r="X3" s="37"/>
      <c r="Y3" s="36"/>
      <c r="Z3" s="37"/>
      <c r="AA3" s="36"/>
      <c r="AB3" s="37"/>
      <c r="AC3" s="36"/>
      <c r="AD3" s="37"/>
      <c r="AE3" s="37"/>
      <c r="AF3" s="101" t="s">
        <v>11</v>
      </c>
      <c r="AG3" s="101" t="s">
        <v>13</v>
      </c>
      <c r="AH3" s="6"/>
    </row>
    <row r="4" spans="2:34" s="5" customFormat="1" ht="27.75" customHeight="1">
      <c r="B4" s="113"/>
      <c r="C4" s="114"/>
      <c r="D4" s="118"/>
      <c r="E4" s="118"/>
      <c r="F4" s="118"/>
      <c r="G4" s="90"/>
      <c r="H4" s="90"/>
      <c r="I4" s="118"/>
      <c r="J4" s="122"/>
      <c r="K4" s="122"/>
      <c r="L4" s="90"/>
      <c r="M4" s="90"/>
      <c r="N4" s="90"/>
      <c r="O4" s="90"/>
      <c r="P4" s="90"/>
      <c r="Q4" s="90"/>
      <c r="R4" s="92" t="s">
        <v>82</v>
      </c>
      <c r="S4" s="89" t="s">
        <v>83</v>
      </c>
      <c r="T4" s="92"/>
      <c r="U4" s="92" t="s">
        <v>92</v>
      </c>
      <c r="V4" s="89" t="s">
        <v>80</v>
      </c>
      <c r="W4" s="89" t="s">
        <v>81</v>
      </c>
      <c r="X4" s="89"/>
      <c r="Y4" s="92"/>
      <c r="Z4" s="89"/>
      <c r="AA4" s="92"/>
      <c r="AB4" s="89"/>
      <c r="AC4" s="92"/>
      <c r="AD4" s="89"/>
      <c r="AE4" s="89"/>
      <c r="AF4" s="108"/>
      <c r="AG4" s="102"/>
      <c r="AH4" s="7"/>
    </row>
    <row r="5" spans="2:33" s="5" customFormat="1" ht="27.75" customHeight="1" thickBot="1">
      <c r="B5" s="113"/>
      <c r="C5" s="114"/>
      <c r="D5" s="118"/>
      <c r="E5" s="118"/>
      <c r="F5" s="118"/>
      <c r="G5" s="90"/>
      <c r="H5" s="90"/>
      <c r="I5" s="118"/>
      <c r="J5" s="122"/>
      <c r="K5" s="122"/>
      <c r="L5" s="90"/>
      <c r="M5" s="90"/>
      <c r="N5" s="90"/>
      <c r="O5" s="90"/>
      <c r="P5" s="90"/>
      <c r="Q5" s="90"/>
      <c r="R5" s="93"/>
      <c r="S5" s="90"/>
      <c r="T5" s="93"/>
      <c r="U5" s="93"/>
      <c r="V5" s="90"/>
      <c r="W5" s="90"/>
      <c r="X5" s="90"/>
      <c r="Y5" s="93"/>
      <c r="Z5" s="90"/>
      <c r="AA5" s="93"/>
      <c r="AB5" s="90"/>
      <c r="AC5" s="93"/>
      <c r="AD5" s="90"/>
      <c r="AE5" s="90"/>
      <c r="AF5" s="109"/>
      <c r="AG5" s="102"/>
    </row>
    <row r="6" spans="2:33" s="5" customFormat="1" ht="27.75" customHeight="1">
      <c r="B6" s="113"/>
      <c r="C6" s="114"/>
      <c r="D6" s="118"/>
      <c r="E6" s="118"/>
      <c r="F6" s="118"/>
      <c r="G6" s="90"/>
      <c r="H6" s="90"/>
      <c r="I6" s="118"/>
      <c r="J6" s="122"/>
      <c r="K6" s="122"/>
      <c r="L6" s="90"/>
      <c r="M6" s="90"/>
      <c r="N6" s="90"/>
      <c r="O6" s="90"/>
      <c r="P6" s="90"/>
      <c r="Q6" s="90"/>
      <c r="R6" s="93"/>
      <c r="S6" s="90"/>
      <c r="T6" s="93"/>
      <c r="U6" s="93"/>
      <c r="V6" s="90"/>
      <c r="W6" s="90"/>
      <c r="X6" s="90"/>
      <c r="Y6" s="93"/>
      <c r="Z6" s="90"/>
      <c r="AA6" s="93"/>
      <c r="AB6" s="90"/>
      <c r="AC6" s="93"/>
      <c r="AD6" s="90"/>
      <c r="AE6" s="90"/>
      <c r="AF6" s="76" t="s">
        <v>79</v>
      </c>
      <c r="AG6" s="77"/>
    </row>
    <row r="7" spans="2:33" s="5" customFormat="1" ht="27.75" customHeight="1">
      <c r="B7" s="113"/>
      <c r="C7" s="114"/>
      <c r="D7" s="118"/>
      <c r="E7" s="118"/>
      <c r="F7" s="118"/>
      <c r="G7" s="90"/>
      <c r="H7" s="90"/>
      <c r="I7" s="118"/>
      <c r="J7" s="122"/>
      <c r="K7" s="122"/>
      <c r="L7" s="90"/>
      <c r="M7" s="90"/>
      <c r="N7" s="90"/>
      <c r="O7" s="90"/>
      <c r="P7" s="90"/>
      <c r="Q7" s="90"/>
      <c r="R7" s="93"/>
      <c r="S7" s="90"/>
      <c r="T7" s="93"/>
      <c r="U7" s="93"/>
      <c r="V7" s="90"/>
      <c r="W7" s="90"/>
      <c r="X7" s="90"/>
      <c r="Y7" s="93"/>
      <c r="Z7" s="90"/>
      <c r="AA7" s="93"/>
      <c r="AB7" s="90"/>
      <c r="AC7" s="93"/>
      <c r="AD7" s="90"/>
      <c r="AE7" s="90"/>
      <c r="AF7" s="78"/>
      <c r="AG7" s="79"/>
    </row>
    <row r="8" spans="2:33" s="5" customFormat="1" ht="27.75" customHeight="1">
      <c r="B8" s="113"/>
      <c r="C8" s="114"/>
      <c r="D8" s="118"/>
      <c r="E8" s="118"/>
      <c r="F8" s="118"/>
      <c r="G8" s="90"/>
      <c r="H8" s="90"/>
      <c r="I8" s="118"/>
      <c r="J8" s="122"/>
      <c r="K8" s="122"/>
      <c r="L8" s="90"/>
      <c r="M8" s="90"/>
      <c r="N8" s="90"/>
      <c r="O8" s="90"/>
      <c r="P8" s="90"/>
      <c r="Q8" s="90"/>
      <c r="R8" s="93"/>
      <c r="S8" s="90"/>
      <c r="T8" s="93"/>
      <c r="U8" s="93"/>
      <c r="V8" s="90"/>
      <c r="W8" s="90"/>
      <c r="X8" s="90"/>
      <c r="Y8" s="93"/>
      <c r="Z8" s="90"/>
      <c r="AA8" s="93"/>
      <c r="AB8" s="90"/>
      <c r="AC8" s="93"/>
      <c r="AD8" s="90"/>
      <c r="AE8" s="90"/>
      <c r="AF8" s="78"/>
      <c r="AG8" s="79"/>
    </row>
    <row r="9" spans="2:33" s="5" customFormat="1" ht="27.75" customHeight="1">
      <c r="B9" s="113"/>
      <c r="C9" s="114"/>
      <c r="D9" s="118"/>
      <c r="E9" s="118"/>
      <c r="F9" s="118"/>
      <c r="G9" s="90"/>
      <c r="H9" s="90"/>
      <c r="I9" s="118"/>
      <c r="J9" s="122"/>
      <c r="K9" s="122"/>
      <c r="L9" s="90"/>
      <c r="M9" s="90"/>
      <c r="N9" s="90"/>
      <c r="O9" s="90"/>
      <c r="P9" s="90"/>
      <c r="Q9" s="90"/>
      <c r="R9" s="93"/>
      <c r="S9" s="90"/>
      <c r="T9" s="93"/>
      <c r="U9" s="93"/>
      <c r="V9" s="90"/>
      <c r="W9" s="90"/>
      <c r="X9" s="90"/>
      <c r="Y9" s="93"/>
      <c r="Z9" s="90"/>
      <c r="AA9" s="93"/>
      <c r="AB9" s="90"/>
      <c r="AC9" s="93"/>
      <c r="AD9" s="90"/>
      <c r="AE9" s="90"/>
      <c r="AF9" s="78"/>
      <c r="AG9" s="79"/>
    </row>
    <row r="10" spans="2:33" s="5" customFormat="1" ht="27.75" customHeight="1">
      <c r="B10" s="113"/>
      <c r="C10" s="114"/>
      <c r="D10" s="118"/>
      <c r="E10" s="118"/>
      <c r="F10" s="118"/>
      <c r="G10" s="90"/>
      <c r="H10" s="90"/>
      <c r="I10" s="118"/>
      <c r="J10" s="122"/>
      <c r="K10" s="122"/>
      <c r="L10" s="90"/>
      <c r="M10" s="90"/>
      <c r="N10" s="90"/>
      <c r="O10" s="90"/>
      <c r="P10" s="90"/>
      <c r="Q10" s="90"/>
      <c r="R10" s="93"/>
      <c r="S10" s="90"/>
      <c r="T10" s="93"/>
      <c r="U10" s="93"/>
      <c r="V10" s="90"/>
      <c r="W10" s="90"/>
      <c r="X10" s="90"/>
      <c r="Y10" s="93"/>
      <c r="Z10" s="90"/>
      <c r="AA10" s="93"/>
      <c r="AB10" s="90"/>
      <c r="AC10" s="93"/>
      <c r="AD10" s="90"/>
      <c r="AE10" s="90"/>
      <c r="AF10" s="78"/>
      <c r="AG10" s="79"/>
    </row>
    <row r="11" spans="2:33" s="8" customFormat="1" ht="27.75" customHeight="1">
      <c r="B11" s="115"/>
      <c r="C11" s="116"/>
      <c r="D11" s="119"/>
      <c r="E11" s="119"/>
      <c r="F11" s="119"/>
      <c r="G11" s="91"/>
      <c r="H11" s="91"/>
      <c r="I11" s="119"/>
      <c r="J11" s="123"/>
      <c r="K11" s="123"/>
      <c r="L11" s="91"/>
      <c r="M11" s="91"/>
      <c r="N11" s="91"/>
      <c r="O11" s="91"/>
      <c r="P11" s="91"/>
      <c r="Q11" s="91"/>
      <c r="R11" s="94"/>
      <c r="S11" s="91"/>
      <c r="T11" s="94"/>
      <c r="U11" s="94"/>
      <c r="V11" s="91"/>
      <c r="W11" s="91"/>
      <c r="X11" s="91"/>
      <c r="Y11" s="94"/>
      <c r="Z11" s="91"/>
      <c r="AA11" s="94"/>
      <c r="AB11" s="91"/>
      <c r="AC11" s="94"/>
      <c r="AD11" s="91"/>
      <c r="AE11" s="91"/>
      <c r="AF11" s="78"/>
      <c r="AG11" s="79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38"/>
      <c r="I12" s="11" t="s">
        <v>9</v>
      </c>
      <c r="J12" s="11" t="s">
        <v>9</v>
      </c>
      <c r="K12" s="11"/>
      <c r="L12" s="11"/>
      <c r="M12" s="11"/>
      <c r="N12" s="11"/>
      <c r="O12" s="11" t="s">
        <v>9</v>
      </c>
      <c r="P12" s="11" t="s">
        <v>9</v>
      </c>
      <c r="Q12" s="11" t="s">
        <v>9</v>
      </c>
      <c r="R12" s="38" t="s">
        <v>85</v>
      </c>
      <c r="S12" s="11" t="s">
        <v>84</v>
      </c>
      <c r="T12" s="38"/>
      <c r="U12" s="11" t="s">
        <v>86</v>
      </c>
      <c r="V12" s="11" t="s">
        <v>85</v>
      </c>
      <c r="W12" s="38" t="s">
        <v>85</v>
      </c>
      <c r="X12" s="11"/>
      <c r="Y12" s="38"/>
      <c r="Z12" s="11"/>
      <c r="AA12" s="38"/>
      <c r="AB12" s="11"/>
      <c r="AC12" s="38"/>
      <c r="AD12" s="11"/>
      <c r="AE12" s="11"/>
      <c r="AF12" s="78"/>
      <c r="AG12" s="79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78"/>
      <c r="AG13" s="79"/>
    </row>
    <row r="14" spans="1:33" s="5" customFormat="1" ht="21.75" customHeight="1">
      <c r="A14" s="12">
        <f>A13+1</f>
        <v>2</v>
      </c>
      <c r="B14" s="110" t="s">
        <v>74</v>
      </c>
      <c r="C14" s="111"/>
      <c r="D14" s="111"/>
      <c r="E14" s="111"/>
      <c r="F14" s="111"/>
      <c r="G14" s="111"/>
      <c r="H14" s="111"/>
      <c r="I14" s="1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78"/>
      <c r="AG14" s="79"/>
    </row>
    <row r="15" spans="1:33" s="5" customFormat="1" ht="21.75" customHeight="1">
      <c r="A15" s="12">
        <f>A14+1</f>
        <v>3</v>
      </c>
      <c r="B15" s="19" t="s">
        <v>44</v>
      </c>
      <c r="C15" s="20"/>
      <c r="D15" s="15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  <c r="P15" s="15"/>
      <c r="Q15" s="16"/>
      <c r="R15" s="16"/>
      <c r="S15" s="63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78"/>
      <c r="AG15" s="79"/>
    </row>
    <row r="16" spans="1:33" s="5" customFormat="1" ht="21.75" customHeight="1">
      <c r="A16" s="12">
        <f>A15+1</f>
        <v>4</v>
      </c>
      <c r="B16" s="14">
        <v>24262.73</v>
      </c>
      <c r="C16" s="21">
        <v>24579.53</v>
      </c>
      <c r="D16" s="15" t="s">
        <v>20</v>
      </c>
      <c r="E16" s="104" t="s">
        <v>23</v>
      </c>
      <c r="F16" s="105"/>
      <c r="G16" s="105"/>
      <c r="H16" s="105"/>
      <c r="I16" s="106"/>
      <c r="J16" s="16">
        <v>3850.68</v>
      </c>
      <c r="K16" s="16"/>
      <c r="L16" s="16"/>
      <c r="M16" s="16"/>
      <c r="N16" s="16"/>
      <c r="O16" s="16"/>
      <c r="P16" s="16"/>
      <c r="Q16" s="16"/>
      <c r="R16" s="16"/>
      <c r="S16" s="63">
        <f>ROUND(($V16/S$72),3)</f>
        <v>0.214</v>
      </c>
      <c r="T16" s="16"/>
      <c r="U16" s="16">
        <f>ROUND((($U$72*$W$72*$U$73*$U$74*$W16)/2000),2)</f>
        <v>11.07</v>
      </c>
      <c r="V16" s="16">
        <f>ROUND((($I16+$J16)/9),2)</f>
        <v>427.85</v>
      </c>
      <c r="W16" s="16">
        <f>ROUND((($I16+$J16)/9),2)</f>
        <v>427.85</v>
      </c>
      <c r="X16" s="16"/>
      <c r="Y16" s="16"/>
      <c r="Z16" s="16"/>
      <c r="AA16" s="16"/>
      <c r="AB16" s="16"/>
      <c r="AC16" s="16"/>
      <c r="AD16" s="16"/>
      <c r="AE16" s="16"/>
      <c r="AF16" s="78"/>
      <c r="AG16" s="79"/>
    </row>
    <row r="17" spans="1:33" s="5" customFormat="1" ht="21.75" customHeight="1">
      <c r="A17" s="12">
        <f aca="true" t="shared" si="0" ref="A17:A66">A16+1</f>
        <v>5</v>
      </c>
      <c r="B17" s="19" t="s">
        <v>45</v>
      </c>
      <c r="C17" s="14"/>
      <c r="D17" s="15"/>
      <c r="E17" s="16"/>
      <c r="F17" s="17"/>
      <c r="G17" s="18"/>
      <c r="H17" s="16"/>
      <c r="I17" s="16"/>
      <c r="J17" s="16"/>
      <c r="K17" s="16"/>
      <c r="L17" s="15"/>
      <c r="M17" s="15"/>
      <c r="N17" s="15"/>
      <c r="O17" s="15"/>
      <c r="P17" s="16"/>
      <c r="Q17" s="16"/>
      <c r="R17" s="16"/>
      <c r="S17" s="63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78"/>
      <c r="AG17" s="79"/>
    </row>
    <row r="18" spans="1:33" s="5" customFormat="1" ht="21.75" customHeight="1">
      <c r="A18" s="12">
        <f t="shared" si="0"/>
        <v>6</v>
      </c>
      <c r="B18" s="13">
        <v>25830.01</v>
      </c>
      <c r="C18" s="14">
        <v>26076.94</v>
      </c>
      <c r="D18" s="15" t="s">
        <v>20</v>
      </c>
      <c r="E18" s="104" t="s">
        <v>23</v>
      </c>
      <c r="F18" s="105"/>
      <c r="G18" s="105"/>
      <c r="H18" s="105"/>
      <c r="I18" s="106"/>
      <c r="J18" s="16">
        <v>2416.6</v>
      </c>
      <c r="K18" s="16"/>
      <c r="L18" s="16"/>
      <c r="M18" s="16"/>
      <c r="N18" s="16"/>
      <c r="O18" s="16"/>
      <c r="P18" s="16"/>
      <c r="Q18" s="16"/>
      <c r="R18" s="16"/>
      <c r="S18" s="63">
        <f>ROUND(($V18/S$72),3)</f>
        <v>0.134</v>
      </c>
      <c r="T18" s="16"/>
      <c r="U18" s="16">
        <f>ROUND((($U$72*$W$72*$U$73*$U$74*$W18)/2000),2)</f>
        <v>6.95</v>
      </c>
      <c r="V18" s="16">
        <f>ROUND((($I18+$J18)/9),2)</f>
        <v>268.51</v>
      </c>
      <c r="W18" s="16">
        <f>ROUND((($I18+$J18)/9),2)</f>
        <v>268.51</v>
      </c>
      <c r="X18" s="16"/>
      <c r="Y18" s="16"/>
      <c r="Z18" s="16"/>
      <c r="AA18" s="16"/>
      <c r="AB18" s="16"/>
      <c r="AC18" s="16"/>
      <c r="AD18" s="16"/>
      <c r="AE18" s="16"/>
      <c r="AF18" s="78"/>
      <c r="AG18" s="79"/>
    </row>
    <row r="19" spans="1:33" s="5" customFormat="1" ht="21.75" customHeight="1">
      <c r="A19" s="12">
        <f t="shared" si="0"/>
        <v>7</v>
      </c>
      <c r="B19" s="19" t="s">
        <v>46</v>
      </c>
      <c r="C19" s="14"/>
      <c r="D19" s="15"/>
      <c r="E19" s="16"/>
      <c r="F19" s="23"/>
      <c r="G19" s="18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63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78"/>
      <c r="AG19" s="79"/>
    </row>
    <row r="20" spans="1:33" s="5" customFormat="1" ht="21.75" customHeight="1">
      <c r="A20" s="12">
        <f t="shared" si="0"/>
        <v>8</v>
      </c>
      <c r="B20" s="13">
        <v>27144.1</v>
      </c>
      <c r="C20" s="14">
        <v>27749.84</v>
      </c>
      <c r="D20" s="15" t="s">
        <v>20</v>
      </c>
      <c r="E20" s="104" t="s">
        <v>23</v>
      </c>
      <c r="F20" s="105"/>
      <c r="G20" s="105"/>
      <c r="H20" s="105"/>
      <c r="I20" s="106"/>
      <c r="J20" s="16">
        <v>4499.7</v>
      </c>
      <c r="K20" s="16"/>
      <c r="L20" s="16"/>
      <c r="M20" s="16"/>
      <c r="N20" s="16"/>
      <c r="O20" s="16"/>
      <c r="P20" s="16"/>
      <c r="Q20" s="16"/>
      <c r="R20" s="16"/>
      <c r="S20" s="63">
        <f>ROUND(($V20/S$72),3)</f>
        <v>0.25</v>
      </c>
      <c r="T20" s="16"/>
      <c r="U20" s="16">
        <f>ROUND((($U$72*$W$72*$U$73*$U$74*$W20)/2000),2)</f>
        <v>12.94</v>
      </c>
      <c r="V20" s="16">
        <f>ROUND((($I20+$J20)/9),2)</f>
        <v>499.97</v>
      </c>
      <c r="W20" s="16">
        <f>ROUND((($I20+$J20)/9),2)</f>
        <v>499.97</v>
      </c>
      <c r="X20" s="16"/>
      <c r="Y20" s="16"/>
      <c r="Z20" s="16"/>
      <c r="AA20" s="16"/>
      <c r="AB20" s="16"/>
      <c r="AC20" s="16"/>
      <c r="AD20" s="16"/>
      <c r="AE20" s="16"/>
      <c r="AF20" s="78"/>
      <c r="AG20" s="79"/>
    </row>
    <row r="21" spans="1:33" s="5" customFormat="1" ht="21.75" customHeight="1">
      <c r="A21" s="12">
        <f t="shared" si="0"/>
        <v>9</v>
      </c>
      <c r="B21" s="19" t="s">
        <v>47</v>
      </c>
      <c r="C21" s="14"/>
      <c r="D21" s="15"/>
      <c r="E21" s="16"/>
      <c r="F21" s="17"/>
      <c r="G21" s="18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63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78"/>
      <c r="AG21" s="79"/>
    </row>
    <row r="22" spans="1:33" s="5" customFormat="1" ht="21.75" customHeight="1">
      <c r="A22" s="12">
        <f t="shared" si="0"/>
        <v>10</v>
      </c>
      <c r="B22" s="13">
        <v>22500</v>
      </c>
      <c r="C22" s="14">
        <v>23563.23</v>
      </c>
      <c r="D22" s="15" t="s">
        <v>25</v>
      </c>
      <c r="E22" s="104" t="s">
        <v>23</v>
      </c>
      <c r="F22" s="105"/>
      <c r="G22" s="105"/>
      <c r="H22" s="105"/>
      <c r="I22" s="106"/>
      <c r="J22" s="16">
        <v>11404.51</v>
      </c>
      <c r="K22" s="16"/>
      <c r="L22" s="16"/>
      <c r="M22" s="16"/>
      <c r="N22" s="16"/>
      <c r="O22" s="16"/>
      <c r="P22" s="16"/>
      <c r="Q22" s="16"/>
      <c r="R22" s="16"/>
      <c r="S22" s="63">
        <f>ROUND(($V22/S$72),3)</f>
        <v>0.634</v>
      </c>
      <c r="T22" s="16"/>
      <c r="U22" s="16">
        <f>ROUND((($U$72*$W$72*$U$73*$U$74*$W22)/2000),2)</f>
        <v>32.79</v>
      </c>
      <c r="V22" s="16">
        <f>ROUND((($I22+$J22)/9),2)</f>
        <v>1267.17</v>
      </c>
      <c r="W22" s="16">
        <f>ROUND((($I22+$J22)/9),2)</f>
        <v>1267.17</v>
      </c>
      <c r="X22" s="16"/>
      <c r="Y22" s="16"/>
      <c r="Z22" s="16"/>
      <c r="AA22" s="16"/>
      <c r="AB22" s="16"/>
      <c r="AC22" s="16"/>
      <c r="AD22" s="16"/>
      <c r="AE22" s="16"/>
      <c r="AF22" s="78"/>
      <c r="AG22" s="79"/>
    </row>
    <row r="23" spans="1:33" s="5" customFormat="1" ht="21.75" customHeight="1">
      <c r="A23" s="12">
        <f t="shared" si="0"/>
        <v>11</v>
      </c>
      <c r="B23" s="19" t="s">
        <v>48</v>
      </c>
      <c r="C23" s="14"/>
      <c r="D23" s="15"/>
      <c r="E23" s="16"/>
      <c r="F23" s="23"/>
      <c r="G23" s="18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63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78"/>
      <c r="AG23" s="79"/>
    </row>
    <row r="24" spans="1:33" s="5" customFormat="1" ht="21.75" customHeight="1">
      <c r="A24" s="12">
        <f t="shared" si="0"/>
        <v>12</v>
      </c>
      <c r="B24" s="13">
        <v>24780.74</v>
      </c>
      <c r="C24" s="14">
        <v>25078.79</v>
      </c>
      <c r="D24" s="15" t="s">
        <v>25</v>
      </c>
      <c r="E24" s="104" t="s">
        <v>23</v>
      </c>
      <c r="F24" s="105"/>
      <c r="G24" s="105"/>
      <c r="H24" s="105"/>
      <c r="I24" s="106"/>
      <c r="J24" s="16">
        <v>2906.77</v>
      </c>
      <c r="K24" s="16"/>
      <c r="L24" s="16"/>
      <c r="M24" s="16"/>
      <c r="N24" s="16"/>
      <c r="O24" s="16"/>
      <c r="P24" s="16"/>
      <c r="Q24" s="16"/>
      <c r="R24" s="16"/>
      <c r="S24" s="63">
        <f>ROUND(($V24/S$72),3)</f>
        <v>0.161</v>
      </c>
      <c r="T24" s="16"/>
      <c r="U24" s="16">
        <f>ROUND((($U$72*$W$72*$U$73*$U$74*$W24)/2000),2)</f>
        <v>8.36</v>
      </c>
      <c r="V24" s="16">
        <f>ROUND((($I24+$J24)/9),2)</f>
        <v>322.97</v>
      </c>
      <c r="W24" s="16">
        <f>ROUND((($I24+$J24)/9),2)</f>
        <v>322.97</v>
      </c>
      <c r="X24" s="16"/>
      <c r="Y24" s="16"/>
      <c r="Z24" s="16"/>
      <c r="AA24" s="16"/>
      <c r="AB24" s="16"/>
      <c r="AC24" s="16"/>
      <c r="AD24" s="16"/>
      <c r="AE24" s="16"/>
      <c r="AF24" s="78"/>
      <c r="AG24" s="79"/>
    </row>
    <row r="25" spans="1:33" s="5" customFormat="1" ht="21.75" customHeight="1">
      <c r="A25" s="12">
        <f t="shared" si="0"/>
        <v>13</v>
      </c>
      <c r="B25" s="19" t="s">
        <v>49</v>
      </c>
      <c r="C25" s="14"/>
      <c r="D25" s="15"/>
      <c r="E25" s="16"/>
      <c r="F25" s="23"/>
      <c r="G25" s="1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63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78"/>
      <c r="AG25" s="79"/>
    </row>
    <row r="26" spans="1:33" s="5" customFormat="1" ht="21.75" customHeight="1">
      <c r="A26" s="12">
        <f>A25+1</f>
        <v>14</v>
      </c>
      <c r="B26" s="13">
        <v>26470.74</v>
      </c>
      <c r="C26" s="14">
        <v>26804.44</v>
      </c>
      <c r="D26" s="15" t="s">
        <v>25</v>
      </c>
      <c r="E26" s="104" t="s">
        <v>23</v>
      </c>
      <c r="F26" s="105"/>
      <c r="G26" s="105"/>
      <c r="H26" s="105"/>
      <c r="I26" s="106"/>
      <c r="J26" s="16">
        <v>2993.91</v>
      </c>
      <c r="K26" s="16"/>
      <c r="L26" s="16"/>
      <c r="M26" s="16"/>
      <c r="N26" s="16"/>
      <c r="O26" s="16"/>
      <c r="P26" s="16"/>
      <c r="Q26" s="16"/>
      <c r="R26" s="16"/>
      <c r="S26" s="63">
        <f>ROUND(($V26/S$72),3)</f>
        <v>0.166</v>
      </c>
      <c r="T26" s="16"/>
      <c r="U26" s="16">
        <f>ROUND((($U$72*$W$72*$U$73*$U$74*$W26)/2000),2)</f>
        <v>8.61</v>
      </c>
      <c r="V26" s="16">
        <f>ROUND((($I26+$J26)/9),2)</f>
        <v>332.66</v>
      </c>
      <c r="W26" s="16">
        <f>ROUND((($I26+$J26)/9),2)</f>
        <v>332.66</v>
      </c>
      <c r="X26" s="16"/>
      <c r="Y26" s="16"/>
      <c r="Z26" s="16"/>
      <c r="AA26" s="16"/>
      <c r="AB26" s="16"/>
      <c r="AC26" s="16"/>
      <c r="AD26" s="16"/>
      <c r="AE26" s="16"/>
      <c r="AF26" s="78"/>
      <c r="AG26" s="79"/>
    </row>
    <row r="27" spans="1:33" s="5" customFormat="1" ht="21.75" customHeight="1">
      <c r="A27" s="12">
        <f t="shared" si="0"/>
        <v>15</v>
      </c>
      <c r="B27" s="13"/>
      <c r="C27" s="14"/>
      <c r="D27" s="15"/>
      <c r="E27" s="16"/>
      <c r="F27" s="23"/>
      <c r="G27" s="18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63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78"/>
      <c r="AG27" s="79"/>
    </row>
    <row r="28" spans="1:33" s="5" customFormat="1" ht="21.75" customHeight="1">
      <c r="A28" s="12">
        <f t="shared" si="0"/>
        <v>16</v>
      </c>
      <c r="B28" s="13"/>
      <c r="C28" s="14"/>
      <c r="D28" s="15"/>
      <c r="E28" s="16"/>
      <c r="F28" s="23"/>
      <c r="G28" s="1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63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78"/>
      <c r="AG28" s="79"/>
    </row>
    <row r="29" spans="1:33" s="5" customFormat="1" ht="21.75" customHeight="1">
      <c r="A29" s="12">
        <f t="shared" si="0"/>
        <v>17</v>
      </c>
      <c r="B29" s="110" t="s">
        <v>87</v>
      </c>
      <c r="C29" s="111"/>
      <c r="D29" s="111"/>
      <c r="E29" s="111"/>
      <c r="F29" s="111"/>
      <c r="G29" s="111"/>
      <c r="H29" s="111"/>
      <c r="I29" s="112"/>
      <c r="J29" s="16"/>
      <c r="K29" s="16"/>
      <c r="L29" s="16"/>
      <c r="M29" s="16"/>
      <c r="N29" s="16"/>
      <c r="O29" s="16"/>
      <c r="P29" s="16"/>
      <c r="Q29" s="16"/>
      <c r="R29" s="16"/>
      <c r="S29" s="63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78"/>
      <c r="AG29" s="79"/>
    </row>
    <row r="30" spans="1:33" s="5" customFormat="1" ht="21.75" customHeight="1">
      <c r="A30" s="12">
        <f t="shared" si="0"/>
        <v>18</v>
      </c>
      <c r="B30" s="19" t="s">
        <v>88</v>
      </c>
      <c r="C30" s="20"/>
      <c r="D30" s="15"/>
      <c r="E30" s="16"/>
      <c r="F30" s="23"/>
      <c r="G30" s="1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63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78"/>
      <c r="AG30" s="79"/>
    </row>
    <row r="31" spans="1:33" s="5" customFormat="1" ht="21.75" customHeight="1">
      <c r="A31" s="12">
        <f t="shared" si="0"/>
        <v>19</v>
      </c>
      <c r="B31" s="13">
        <v>42530.16</v>
      </c>
      <c r="C31" s="14">
        <v>42555.16</v>
      </c>
      <c r="D31" s="15" t="s">
        <v>69</v>
      </c>
      <c r="E31" s="16">
        <f>C31-B31</f>
        <v>25</v>
      </c>
      <c r="F31" s="104" t="s">
        <v>23</v>
      </c>
      <c r="G31" s="105"/>
      <c r="H31" s="105"/>
      <c r="I31" s="106"/>
      <c r="J31" s="16">
        <v>3877.73</v>
      </c>
      <c r="K31" s="16"/>
      <c r="L31" s="16"/>
      <c r="M31" s="16"/>
      <c r="N31" s="16"/>
      <c r="O31" s="16">
        <f>IF($H31=0,ROUND($E31*(O$72/12),2),ROUND($E31*(O$72/12)*$H31,2))</f>
        <v>37.5</v>
      </c>
      <c r="P31" s="16"/>
      <c r="Q31" s="16"/>
      <c r="R31" s="16">
        <f>ROUND((($I31+$J31+($O31*2))/9),2)</f>
        <v>439.19</v>
      </c>
      <c r="S31" s="63">
        <f>ROUND(($R31/S$72),3)</f>
        <v>0.22</v>
      </c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78"/>
      <c r="AG31" s="79"/>
    </row>
    <row r="32" spans="1:33" s="5" customFormat="1" ht="21.75" customHeight="1">
      <c r="A32" s="12">
        <f t="shared" si="0"/>
        <v>20</v>
      </c>
      <c r="B32" s="13">
        <v>42660.73</v>
      </c>
      <c r="C32" s="14">
        <v>42685.73</v>
      </c>
      <c r="D32" s="15" t="s">
        <v>69</v>
      </c>
      <c r="E32" s="16">
        <f aca="true" t="shared" si="1" ref="E32:E38">C32-B32</f>
        <v>25</v>
      </c>
      <c r="F32" s="104" t="s">
        <v>23</v>
      </c>
      <c r="G32" s="105"/>
      <c r="H32" s="105"/>
      <c r="I32" s="106"/>
      <c r="J32" s="16">
        <v>3877.73</v>
      </c>
      <c r="K32" s="16"/>
      <c r="L32" s="16"/>
      <c r="M32" s="16"/>
      <c r="N32" s="16"/>
      <c r="O32" s="16">
        <f>IF($H32=0,ROUND($E32*(O$72/12),2),ROUND($E32*(O$72/12)*$H32,2))</f>
        <v>37.5</v>
      </c>
      <c r="P32" s="16"/>
      <c r="Q32" s="16"/>
      <c r="R32" s="16">
        <f aca="true" t="shared" si="2" ref="R32:R38">ROUND((($I32+$J32+($O32*2))/9),2)</f>
        <v>439.19</v>
      </c>
      <c r="S32" s="63">
        <f>ROUND(($R32/S$72),3)</f>
        <v>0.22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78"/>
      <c r="AG32" s="79"/>
    </row>
    <row r="33" spans="1:33" s="5" customFormat="1" ht="21.75" customHeight="1">
      <c r="A33" s="12">
        <f t="shared" si="0"/>
        <v>21</v>
      </c>
      <c r="B33" s="19" t="s">
        <v>89</v>
      </c>
      <c r="C33" s="20"/>
      <c r="D33" s="15"/>
      <c r="E33" s="16"/>
      <c r="F33" s="23"/>
      <c r="G33" s="18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63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78"/>
      <c r="AG33" s="79"/>
    </row>
    <row r="34" spans="1:33" s="5" customFormat="1" ht="21.75" customHeight="1">
      <c r="A34" s="12">
        <f t="shared" si="0"/>
        <v>22</v>
      </c>
      <c r="B34" s="13">
        <v>42901.43</v>
      </c>
      <c r="C34" s="14">
        <v>42928.48</v>
      </c>
      <c r="D34" s="15" t="s">
        <v>69</v>
      </c>
      <c r="E34" s="16">
        <f t="shared" si="1"/>
        <v>27.05000000000291</v>
      </c>
      <c r="F34" s="104" t="s">
        <v>23</v>
      </c>
      <c r="G34" s="105"/>
      <c r="H34" s="105"/>
      <c r="I34" s="106"/>
      <c r="J34" s="16">
        <v>4276.63</v>
      </c>
      <c r="K34" s="16"/>
      <c r="L34" s="16"/>
      <c r="M34" s="16"/>
      <c r="N34" s="16"/>
      <c r="O34" s="16">
        <f>IF($H34=0,ROUND($E34*(O$72/12),2),ROUND($E34*(O$72/12)*$H34,2))</f>
        <v>40.58</v>
      </c>
      <c r="P34" s="16"/>
      <c r="Q34" s="16"/>
      <c r="R34" s="16">
        <f t="shared" si="2"/>
        <v>484.2</v>
      </c>
      <c r="S34" s="63">
        <f>ROUND(($R34/S$72),3)</f>
        <v>0.242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78"/>
      <c r="AG34" s="79"/>
    </row>
    <row r="35" spans="1:33" s="5" customFormat="1" ht="21.75" customHeight="1">
      <c r="A35" s="12">
        <f t="shared" si="0"/>
        <v>23</v>
      </c>
      <c r="B35" s="13">
        <v>43089.09</v>
      </c>
      <c r="C35" s="14">
        <v>43116.15</v>
      </c>
      <c r="D35" s="15" t="s">
        <v>69</v>
      </c>
      <c r="E35" s="16">
        <f t="shared" si="1"/>
        <v>27.060000000004948</v>
      </c>
      <c r="F35" s="104" t="s">
        <v>23</v>
      </c>
      <c r="G35" s="105"/>
      <c r="H35" s="105"/>
      <c r="I35" s="106"/>
      <c r="J35" s="16">
        <v>4278.73</v>
      </c>
      <c r="K35" s="16"/>
      <c r="L35" s="16"/>
      <c r="M35" s="16"/>
      <c r="N35" s="16"/>
      <c r="O35" s="16">
        <f>IF($H35=0,ROUND($E35*(O$72/12),2),ROUND($E35*(O$72/12)*$H35,2))</f>
        <v>40.59</v>
      </c>
      <c r="P35" s="16"/>
      <c r="Q35" s="16"/>
      <c r="R35" s="16">
        <f t="shared" si="2"/>
        <v>484.43</v>
      </c>
      <c r="S35" s="63">
        <f>ROUND(($R35/S$72),3)</f>
        <v>0.242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78"/>
      <c r="AG35" s="79"/>
    </row>
    <row r="36" spans="1:33" s="5" customFormat="1" ht="21.75" customHeight="1">
      <c r="A36" s="12">
        <f t="shared" si="0"/>
        <v>24</v>
      </c>
      <c r="B36" s="19" t="s">
        <v>90</v>
      </c>
      <c r="C36" s="20"/>
      <c r="D36" s="15"/>
      <c r="E36" s="16"/>
      <c r="F36" s="23"/>
      <c r="G36" s="18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63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78"/>
      <c r="AG36" s="79"/>
    </row>
    <row r="37" spans="1:33" s="5" customFormat="1" ht="21.75" customHeight="1">
      <c r="A37" s="12">
        <f t="shared" si="0"/>
        <v>25</v>
      </c>
      <c r="B37" s="13">
        <v>78907.95</v>
      </c>
      <c r="C37" s="14">
        <v>78937.95</v>
      </c>
      <c r="D37" s="15" t="s">
        <v>69</v>
      </c>
      <c r="E37" s="16">
        <f t="shared" si="1"/>
        <v>30</v>
      </c>
      <c r="F37" s="104" t="s">
        <v>23</v>
      </c>
      <c r="G37" s="105"/>
      <c r="H37" s="105"/>
      <c r="I37" s="106"/>
      <c r="J37" s="16">
        <v>892.04</v>
      </c>
      <c r="K37" s="16"/>
      <c r="L37" s="16"/>
      <c r="M37" s="16"/>
      <c r="N37" s="16"/>
      <c r="O37" s="16">
        <f>IF($H37=0,ROUND($E37*(O$72/12),2),ROUND($E37*(O$72/12)*$H37,2))</f>
        <v>45</v>
      </c>
      <c r="P37" s="16"/>
      <c r="Q37" s="16"/>
      <c r="R37" s="16">
        <f t="shared" si="2"/>
        <v>109.12</v>
      </c>
      <c r="S37" s="63">
        <f>ROUND(($R37/S$72),3)</f>
        <v>0.055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78"/>
      <c r="AG37" s="79"/>
    </row>
    <row r="38" spans="1:33" s="5" customFormat="1" ht="21.75" customHeight="1">
      <c r="A38" s="12">
        <f t="shared" si="0"/>
        <v>26</v>
      </c>
      <c r="B38" s="13">
        <v>79285.7</v>
      </c>
      <c r="C38" s="14">
        <v>79317.7</v>
      </c>
      <c r="D38" s="15" t="s">
        <v>69</v>
      </c>
      <c r="E38" s="16">
        <f t="shared" si="1"/>
        <v>32</v>
      </c>
      <c r="F38" s="104" t="s">
        <v>23</v>
      </c>
      <c r="G38" s="105"/>
      <c r="H38" s="105"/>
      <c r="I38" s="106"/>
      <c r="J38" s="16">
        <v>930.59</v>
      </c>
      <c r="K38" s="16"/>
      <c r="L38" s="16"/>
      <c r="M38" s="16"/>
      <c r="N38" s="16"/>
      <c r="O38" s="16">
        <f>IF($H38=0,ROUND($E38*(O$72/12),2),ROUND($E38*(O$72/12)*$H38,2))</f>
        <v>48</v>
      </c>
      <c r="P38" s="16"/>
      <c r="Q38" s="16"/>
      <c r="R38" s="16">
        <f t="shared" si="2"/>
        <v>114.07</v>
      </c>
      <c r="S38" s="63">
        <f>ROUND(($R38/S$72),3)</f>
        <v>0.057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78"/>
      <c r="AG38" s="79"/>
    </row>
    <row r="39" spans="1:33" s="5" customFormat="1" ht="21.75" customHeight="1">
      <c r="A39" s="12">
        <f t="shared" si="0"/>
        <v>27</v>
      </c>
      <c r="B39" s="13"/>
      <c r="C39" s="14"/>
      <c r="D39" s="15"/>
      <c r="E39" s="16"/>
      <c r="F39" s="23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63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78"/>
      <c r="AG39" s="79"/>
    </row>
    <row r="40" spans="1:33" s="5" customFormat="1" ht="21.75" customHeight="1">
      <c r="A40" s="12">
        <f t="shared" si="0"/>
        <v>28</v>
      </c>
      <c r="B40" s="13"/>
      <c r="C40" s="14"/>
      <c r="D40" s="15"/>
      <c r="E40" s="16"/>
      <c r="F40" s="23"/>
      <c r="G40" s="1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63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78"/>
      <c r="AG40" s="79"/>
    </row>
    <row r="41" spans="1:33" s="5" customFormat="1" ht="21.75" customHeight="1">
      <c r="A41" s="12">
        <f t="shared" si="0"/>
        <v>29</v>
      </c>
      <c r="B41" s="13"/>
      <c r="C41" s="14"/>
      <c r="D41" s="15"/>
      <c r="E41" s="16"/>
      <c r="F41" s="23"/>
      <c r="G41" s="18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63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78"/>
      <c r="AG41" s="79"/>
    </row>
    <row r="42" spans="1:33" s="5" customFormat="1" ht="21.75" customHeight="1">
      <c r="A42" s="12">
        <f t="shared" si="0"/>
        <v>30</v>
      </c>
      <c r="B42" s="13"/>
      <c r="C42" s="14"/>
      <c r="D42" s="15"/>
      <c r="E42" s="16"/>
      <c r="F42" s="17"/>
      <c r="G42" s="18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63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78"/>
      <c r="AG42" s="79"/>
    </row>
    <row r="43" spans="1:33" s="5" customFormat="1" ht="21.75" customHeight="1">
      <c r="A43" s="12">
        <f t="shared" si="0"/>
        <v>31</v>
      </c>
      <c r="B43" s="14"/>
      <c r="C43" s="21"/>
      <c r="D43" s="15"/>
      <c r="E43" s="16"/>
      <c r="F43" s="17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63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78"/>
      <c r="AG43" s="79"/>
    </row>
    <row r="44" spans="1:33" s="5" customFormat="1" ht="21.75" customHeight="1">
      <c r="A44" s="12">
        <f t="shared" si="0"/>
        <v>32</v>
      </c>
      <c r="B44" s="14"/>
      <c r="C44" s="14"/>
      <c r="D44" s="15"/>
      <c r="E44" s="16"/>
      <c r="F44" s="17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63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78"/>
      <c r="AG44" s="79"/>
    </row>
    <row r="45" spans="1:33" s="5" customFormat="1" ht="21.75" customHeight="1">
      <c r="A45" s="12">
        <f t="shared" si="0"/>
        <v>33</v>
      </c>
      <c r="B45" s="14"/>
      <c r="C45" s="14"/>
      <c r="D45" s="15"/>
      <c r="E45" s="16"/>
      <c r="F45" s="17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63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78"/>
      <c r="AG45" s="79"/>
    </row>
    <row r="46" spans="1:33" s="5" customFormat="1" ht="21.75" customHeight="1">
      <c r="A46" s="12">
        <f t="shared" si="0"/>
        <v>34</v>
      </c>
      <c r="B46" s="14"/>
      <c r="C46" s="14"/>
      <c r="D46" s="15"/>
      <c r="E46" s="16"/>
      <c r="F46" s="17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63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78"/>
      <c r="AG46" s="79"/>
    </row>
    <row r="47" spans="1:33" s="5" customFormat="1" ht="21.75" customHeight="1">
      <c r="A47" s="12">
        <f t="shared" si="0"/>
        <v>35</v>
      </c>
      <c r="B47" s="110" t="s">
        <v>51</v>
      </c>
      <c r="C47" s="111"/>
      <c r="D47" s="111"/>
      <c r="E47" s="111"/>
      <c r="F47" s="111"/>
      <c r="G47" s="111"/>
      <c r="H47" s="111"/>
      <c r="I47" s="112"/>
      <c r="J47" s="16"/>
      <c r="K47" s="16"/>
      <c r="L47" s="16"/>
      <c r="M47" s="16"/>
      <c r="N47" s="16"/>
      <c r="O47" s="16"/>
      <c r="P47" s="16"/>
      <c r="Q47" s="16"/>
      <c r="R47" s="16"/>
      <c r="S47" s="63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78"/>
      <c r="AG47" s="79"/>
    </row>
    <row r="48" spans="1:33" s="5" customFormat="1" ht="21.75" customHeight="1">
      <c r="A48" s="12">
        <f t="shared" si="0"/>
        <v>36</v>
      </c>
      <c r="B48" s="19" t="s">
        <v>19</v>
      </c>
      <c r="C48" s="14"/>
      <c r="D48" s="15"/>
      <c r="E48" s="16"/>
      <c r="F48" s="23"/>
      <c r="G48" s="18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63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78"/>
      <c r="AG48" s="79"/>
    </row>
    <row r="49" spans="1:33" s="5" customFormat="1" ht="21.75" customHeight="1">
      <c r="A49" s="12">
        <f t="shared" si="0"/>
        <v>37</v>
      </c>
      <c r="B49" s="13">
        <v>7169.06</v>
      </c>
      <c r="C49" s="14">
        <v>7516.71</v>
      </c>
      <c r="D49" s="15" t="s">
        <v>25</v>
      </c>
      <c r="E49" s="16">
        <f>C49-B49</f>
        <v>347.64999999999964</v>
      </c>
      <c r="F49" s="17">
        <v>16</v>
      </c>
      <c r="G49" s="18">
        <f>ROUND((3819.719+($F49/2))/3819.719,4)</f>
        <v>1.0021</v>
      </c>
      <c r="H49" s="16"/>
      <c r="I49" s="16">
        <f>IF(G49=0,ROUND($E49*$F49,2),ROUND($E49*$F49*$G49,2))</f>
        <v>5574.08</v>
      </c>
      <c r="J49" s="16"/>
      <c r="K49" s="16"/>
      <c r="L49" s="16"/>
      <c r="M49" s="16"/>
      <c r="N49" s="16"/>
      <c r="O49" s="16"/>
      <c r="P49" s="16"/>
      <c r="Q49" s="16"/>
      <c r="R49" s="16"/>
      <c r="S49" s="63">
        <f>ROUND(($V49/S$72),3)</f>
        <v>0.31</v>
      </c>
      <c r="T49" s="16"/>
      <c r="U49" s="16">
        <f>ROUND((($U$72*$W$72*$U$73*$U$74*$W49)/2000),2)</f>
        <v>16.03</v>
      </c>
      <c r="V49" s="16">
        <f aca="true" t="shared" si="3" ref="V49:W51">ROUND((($I49+$J49)/9),2)</f>
        <v>619.34</v>
      </c>
      <c r="W49" s="16">
        <f t="shared" si="3"/>
        <v>619.34</v>
      </c>
      <c r="X49" s="16"/>
      <c r="Y49" s="16"/>
      <c r="Z49" s="16"/>
      <c r="AA49" s="16"/>
      <c r="AB49" s="16"/>
      <c r="AC49" s="16"/>
      <c r="AD49" s="16"/>
      <c r="AE49" s="16"/>
      <c r="AF49" s="78"/>
      <c r="AG49" s="79"/>
    </row>
    <row r="50" spans="1:33" s="5" customFormat="1" ht="21.75" customHeight="1" thickBot="1">
      <c r="A50" s="12">
        <f t="shared" si="0"/>
        <v>38</v>
      </c>
      <c r="B50" s="13">
        <f>C49</f>
        <v>7516.71</v>
      </c>
      <c r="C50" s="14">
        <v>8618.37</v>
      </c>
      <c r="D50" s="15" t="s">
        <v>25</v>
      </c>
      <c r="E50" s="16">
        <f>C50-B50</f>
        <v>1101.6600000000008</v>
      </c>
      <c r="F50" s="17">
        <v>16</v>
      </c>
      <c r="G50" s="18"/>
      <c r="H50" s="16"/>
      <c r="I50" s="16">
        <f>IF(G50=0,ROUND($E50*$F50,2),ROUND($E50*$F50*$G50,2))</f>
        <v>17626.56</v>
      </c>
      <c r="J50" s="16"/>
      <c r="K50" s="16"/>
      <c r="L50" s="16"/>
      <c r="M50" s="16"/>
      <c r="N50" s="16"/>
      <c r="O50" s="16"/>
      <c r="P50" s="16"/>
      <c r="Q50" s="16"/>
      <c r="R50" s="16"/>
      <c r="S50" s="63">
        <f>ROUND(($V50/S$72),3)</f>
        <v>0.979</v>
      </c>
      <c r="T50" s="16"/>
      <c r="U50" s="16">
        <f>ROUND((($U$72*$W$72*$U$73*$U$74*$W50)/2000),2)</f>
        <v>50.68</v>
      </c>
      <c r="V50" s="16">
        <f t="shared" si="3"/>
        <v>1958.51</v>
      </c>
      <c r="W50" s="16">
        <f t="shared" si="3"/>
        <v>1958.51</v>
      </c>
      <c r="X50" s="16"/>
      <c r="Y50" s="16"/>
      <c r="Z50" s="16"/>
      <c r="AA50" s="16"/>
      <c r="AB50" s="16"/>
      <c r="AC50" s="16"/>
      <c r="AD50" s="16"/>
      <c r="AE50" s="16"/>
      <c r="AF50" s="78"/>
      <c r="AG50" s="79"/>
    </row>
    <row r="51" spans="1:33" s="5" customFormat="1" ht="21.75" customHeight="1">
      <c r="A51" s="12">
        <f t="shared" si="0"/>
        <v>39</v>
      </c>
      <c r="B51" s="13">
        <f>C50</f>
        <v>8618.37</v>
      </c>
      <c r="C51" s="14">
        <v>8818.25</v>
      </c>
      <c r="D51" s="15" t="s">
        <v>25</v>
      </c>
      <c r="E51" s="16">
        <f>C51-B51</f>
        <v>199.8799999999992</v>
      </c>
      <c r="F51" s="17">
        <f>ROUND(AVERAGE(16,12),2)</f>
        <v>14</v>
      </c>
      <c r="G51" s="18"/>
      <c r="H51" s="16"/>
      <c r="I51" s="16">
        <f>IF(G51=0,ROUND($E51*$F51,2),ROUND($E51*$F51*$G51,2))</f>
        <v>2798.32</v>
      </c>
      <c r="J51" s="16"/>
      <c r="K51" s="16"/>
      <c r="L51" s="16"/>
      <c r="M51" s="16"/>
      <c r="N51" s="16"/>
      <c r="O51" s="16"/>
      <c r="P51" s="16"/>
      <c r="Q51" s="16"/>
      <c r="R51" s="16"/>
      <c r="S51" s="63">
        <f>ROUND(($V51/S$72),3)</f>
        <v>0.155</v>
      </c>
      <c r="T51" s="16"/>
      <c r="U51" s="16">
        <f>ROUND((($U$72*$W$72*$U$73*$U$74*$W51)/2000),2)</f>
        <v>8.05</v>
      </c>
      <c r="V51" s="16">
        <f t="shared" si="3"/>
        <v>310.92</v>
      </c>
      <c r="W51" s="16">
        <f t="shared" si="3"/>
        <v>310.92</v>
      </c>
      <c r="X51" s="16"/>
      <c r="Y51" s="16"/>
      <c r="Z51" s="16"/>
      <c r="AA51" s="16"/>
      <c r="AB51" s="16"/>
      <c r="AC51" s="16"/>
      <c r="AD51" s="16"/>
      <c r="AE51" s="16"/>
      <c r="AF51" s="76" t="s">
        <v>91</v>
      </c>
      <c r="AG51" s="77"/>
    </row>
    <row r="52" spans="1:33" s="5" customFormat="1" ht="21.75" customHeight="1">
      <c r="A52" s="12">
        <f t="shared" si="0"/>
        <v>40</v>
      </c>
      <c r="B52" s="13"/>
      <c r="C52" s="14"/>
      <c r="D52" s="15"/>
      <c r="E52" s="16"/>
      <c r="F52" s="17"/>
      <c r="G52" s="1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63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78"/>
      <c r="AG52" s="79"/>
    </row>
    <row r="53" spans="1:33" s="5" customFormat="1" ht="21.75" customHeight="1">
      <c r="A53" s="12">
        <f t="shared" si="0"/>
        <v>41</v>
      </c>
      <c r="B53" s="13">
        <v>7169.06</v>
      </c>
      <c r="C53" s="14">
        <v>7447.06</v>
      </c>
      <c r="D53" s="15" t="s">
        <v>20</v>
      </c>
      <c r="E53" s="16">
        <f>C53-B53</f>
        <v>278</v>
      </c>
      <c r="F53" s="17">
        <f>ROUND(AVERAGE(5.56,0),2)</f>
        <v>2.78</v>
      </c>
      <c r="G53" s="18">
        <f>ROUND((3819.719-($F53/2))/3819.719,4)</f>
        <v>0.9996</v>
      </c>
      <c r="H53" s="16"/>
      <c r="I53" s="16">
        <f>IF(G53=0,ROUND($E53*$F53,2),ROUND($E53*$F53*$G53,2))</f>
        <v>772.53</v>
      </c>
      <c r="J53" s="16"/>
      <c r="K53" s="16"/>
      <c r="L53" s="16"/>
      <c r="M53" s="16"/>
      <c r="N53" s="16"/>
      <c r="O53" s="16"/>
      <c r="P53" s="16"/>
      <c r="Q53" s="16"/>
      <c r="R53" s="16"/>
      <c r="S53" s="63">
        <f>ROUND(($V53/S$72),3)</f>
        <v>0.043</v>
      </c>
      <c r="T53" s="16"/>
      <c r="U53" s="16">
        <f>ROUND((($U$72*$W$72*$U$73*$U$74*$W53)/2000),2)</f>
        <v>2.22</v>
      </c>
      <c r="V53" s="16">
        <f>ROUND((($I53+$J53)/9),2)</f>
        <v>85.84</v>
      </c>
      <c r="W53" s="16">
        <f>ROUND((($I53+$J53)/9),2)</f>
        <v>85.84</v>
      </c>
      <c r="X53" s="16"/>
      <c r="Y53" s="16"/>
      <c r="Z53" s="16"/>
      <c r="AA53" s="16"/>
      <c r="AB53" s="16"/>
      <c r="AC53" s="16"/>
      <c r="AD53" s="16"/>
      <c r="AE53" s="16"/>
      <c r="AF53" s="78"/>
      <c r="AG53" s="79"/>
    </row>
    <row r="54" spans="1:33" s="5" customFormat="1" ht="21.75" customHeight="1">
      <c r="A54" s="12">
        <f t="shared" si="0"/>
        <v>42</v>
      </c>
      <c r="B54" s="13"/>
      <c r="C54" s="14"/>
      <c r="D54" s="15"/>
      <c r="E54" s="16"/>
      <c r="F54" s="17"/>
      <c r="G54" s="1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63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78"/>
      <c r="AG54" s="79"/>
    </row>
    <row r="55" spans="1:33" s="5" customFormat="1" ht="21.75" customHeight="1">
      <c r="A55" s="12">
        <f t="shared" si="0"/>
        <v>43</v>
      </c>
      <c r="B55" s="19" t="s">
        <v>27</v>
      </c>
      <c r="C55" s="14"/>
      <c r="D55" s="15"/>
      <c r="E55" s="16"/>
      <c r="F55" s="17"/>
      <c r="G55" s="18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63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78"/>
      <c r="AG55" s="79"/>
    </row>
    <row r="56" spans="1:33" s="5" customFormat="1" ht="21.75" customHeight="1">
      <c r="A56" s="12">
        <f t="shared" si="0"/>
        <v>44</v>
      </c>
      <c r="B56" s="13">
        <v>7169.06</v>
      </c>
      <c r="C56" s="14">
        <v>7267.31</v>
      </c>
      <c r="D56" s="15" t="s">
        <v>20</v>
      </c>
      <c r="E56" s="16">
        <f aca="true" t="shared" si="4" ref="E56:E62">C56-B56</f>
        <v>98.25</v>
      </c>
      <c r="F56" s="17">
        <f>ROUND(AVERAGE(6,9.931),2)</f>
        <v>7.97</v>
      </c>
      <c r="G56" s="18">
        <f>ROUND((3819.719-((5.56+3.595)/2)-($F56/2))/3819.719,4)</f>
        <v>0.9978</v>
      </c>
      <c r="H56" s="18">
        <f>ROUND((3819.719-((5.56+3.595)/2)-($F56))/3819.719,4)</f>
        <v>0.9967</v>
      </c>
      <c r="I56" s="16">
        <f aca="true" t="shared" si="5" ref="I56:I62">IF(G56=0,ROUND($E56*$F56,2),ROUND($E56*$F56*$G56,2))</f>
        <v>781.33</v>
      </c>
      <c r="J56" s="16"/>
      <c r="K56" s="16"/>
      <c r="L56" s="16"/>
      <c r="M56" s="16"/>
      <c r="N56" s="16"/>
      <c r="O56" s="16">
        <f>IF($H56=0,ROUND($E56*(O$72/12),2),ROUND($E56*(O$72/12)*$H56,2))</f>
        <v>146.89</v>
      </c>
      <c r="P56" s="16"/>
      <c r="Q56" s="16"/>
      <c r="R56" s="16"/>
      <c r="S56" s="63">
        <f aca="true" t="shared" si="6" ref="S56:S62">ROUND(($V56/S$72),3)</f>
        <v>0.052</v>
      </c>
      <c r="T56" s="16"/>
      <c r="U56" s="16">
        <f aca="true" t="shared" si="7" ref="U56:U62">ROUND((($U$72*$W$72*$U$73*$U$74*$W56)/2000),2)</f>
        <v>2.67</v>
      </c>
      <c r="V56" s="16">
        <f>ROUND((($I56+$J56+$O56+$P56+$Q56)/9),2)</f>
        <v>103.14</v>
      </c>
      <c r="W56" s="16">
        <f>ROUND((($I56+$J56+$O56+$P56+$Q56)/9),2)</f>
        <v>103.14</v>
      </c>
      <c r="X56" s="16"/>
      <c r="Y56" s="16"/>
      <c r="Z56" s="16"/>
      <c r="AA56" s="16"/>
      <c r="AB56" s="16"/>
      <c r="AC56" s="16"/>
      <c r="AD56" s="16"/>
      <c r="AE56" s="16"/>
      <c r="AF56" s="78"/>
      <c r="AG56" s="79"/>
    </row>
    <row r="57" spans="1:33" s="5" customFormat="1" ht="21.75" customHeight="1">
      <c r="A57" s="12">
        <f t="shared" si="0"/>
        <v>45</v>
      </c>
      <c r="B57" s="14">
        <f aca="true" t="shared" si="8" ref="B57:B62">C56</f>
        <v>7267.31</v>
      </c>
      <c r="C57" s="14">
        <v>7447.06</v>
      </c>
      <c r="D57" s="15" t="s">
        <v>20</v>
      </c>
      <c r="E57" s="16">
        <f t="shared" si="4"/>
        <v>179.75</v>
      </c>
      <c r="F57" s="17">
        <v>6</v>
      </c>
      <c r="G57" s="18">
        <f>ROUND((3819.719-((0+3.595)/2)-($F57/2))/3819.719,4)</f>
        <v>0.9987</v>
      </c>
      <c r="H57" s="18">
        <f>ROUND((3819.719-((0+3.595)/2)-($F57))/3819.719,4)</f>
        <v>0.998</v>
      </c>
      <c r="I57" s="16">
        <f t="shared" si="5"/>
        <v>1077.1</v>
      </c>
      <c r="J57" s="16"/>
      <c r="K57" s="16"/>
      <c r="L57" s="16"/>
      <c r="M57" s="16"/>
      <c r="N57" s="16"/>
      <c r="O57" s="16">
        <f aca="true" t="shared" si="9" ref="O57:O62">IF($H57=0,ROUND($E57*(O$72/12),2),ROUND($E57*(O$72/12)*$H57,2))</f>
        <v>269.09</v>
      </c>
      <c r="P57" s="16"/>
      <c r="Q57" s="16"/>
      <c r="R57" s="16"/>
      <c r="S57" s="63">
        <f t="shared" si="6"/>
        <v>0.075</v>
      </c>
      <c r="T57" s="16"/>
      <c r="U57" s="16">
        <f t="shared" si="7"/>
        <v>3.87</v>
      </c>
      <c r="V57" s="16">
        <f aca="true" t="shared" si="10" ref="V57:W62">ROUND((($I57+$J57+$O57+$P57+$Q57)/9),2)</f>
        <v>149.58</v>
      </c>
      <c r="W57" s="16">
        <f t="shared" si="10"/>
        <v>149.58</v>
      </c>
      <c r="X57" s="16"/>
      <c r="Y57" s="16"/>
      <c r="Z57" s="16"/>
      <c r="AA57" s="16"/>
      <c r="AB57" s="16"/>
      <c r="AC57" s="16"/>
      <c r="AD57" s="16"/>
      <c r="AE57" s="16"/>
      <c r="AF57" s="78"/>
      <c r="AG57" s="79"/>
    </row>
    <row r="58" spans="1:33" s="5" customFormat="1" ht="21.75" customHeight="1">
      <c r="A58" s="12">
        <f t="shared" si="0"/>
        <v>46</v>
      </c>
      <c r="B58" s="14">
        <f t="shared" si="8"/>
        <v>7447.06</v>
      </c>
      <c r="C58" s="14">
        <v>7516.71</v>
      </c>
      <c r="D58" s="15" t="s">
        <v>20</v>
      </c>
      <c r="E58" s="16">
        <f t="shared" si="4"/>
        <v>69.64999999999964</v>
      </c>
      <c r="F58" s="17">
        <v>6</v>
      </c>
      <c r="G58" s="18">
        <f>ROUND((3819.719-($F58/2))/3819.719,4)</f>
        <v>0.9992</v>
      </c>
      <c r="H58" s="18">
        <f>ROUND((3819.719-($F58))/3819.719,4)</f>
        <v>0.9984</v>
      </c>
      <c r="I58" s="16">
        <f t="shared" si="5"/>
        <v>417.57</v>
      </c>
      <c r="J58" s="16"/>
      <c r="K58" s="16"/>
      <c r="L58" s="16"/>
      <c r="M58" s="16"/>
      <c r="N58" s="16"/>
      <c r="O58" s="16">
        <f t="shared" si="9"/>
        <v>104.31</v>
      </c>
      <c r="P58" s="16"/>
      <c r="Q58" s="16"/>
      <c r="R58" s="16"/>
      <c r="S58" s="63">
        <f t="shared" si="6"/>
        <v>0.029</v>
      </c>
      <c r="T58" s="16"/>
      <c r="U58" s="16">
        <f t="shared" si="7"/>
        <v>1.5</v>
      </c>
      <c r="V58" s="16">
        <f t="shared" si="10"/>
        <v>57.99</v>
      </c>
      <c r="W58" s="16">
        <f t="shared" si="10"/>
        <v>57.99</v>
      </c>
      <c r="X58" s="16"/>
      <c r="Y58" s="16"/>
      <c r="Z58" s="16"/>
      <c r="AA58" s="16"/>
      <c r="AB58" s="16"/>
      <c r="AC58" s="16"/>
      <c r="AD58" s="16"/>
      <c r="AE58" s="16"/>
      <c r="AF58" s="78"/>
      <c r="AG58" s="79"/>
    </row>
    <row r="59" spans="1:33" s="5" customFormat="1" ht="21.75" customHeight="1">
      <c r="A59" s="12">
        <f t="shared" si="0"/>
        <v>47</v>
      </c>
      <c r="B59" s="14">
        <f t="shared" si="8"/>
        <v>7516.71</v>
      </c>
      <c r="C59" s="14">
        <v>8117.83</v>
      </c>
      <c r="D59" s="15" t="s">
        <v>20</v>
      </c>
      <c r="E59" s="16">
        <f t="shared" si="4"/>
        <v>601.1199999999999</v>
      </c>
      <c r="F59" s="17">
        <v>6</v>
      </c>
      <c r="G59" s="18"/>
      <c r="H59" s="16"/>
      <c r="I59" s="16">
        <f t="shared" si="5"/>
        <v>3606.72</v>
      </c>
      <c r="J59" s="16"/>
      <c r="K59" s="16"/>
      <c r="L59" s="16"/>
      <c r="M59" s="16"/>
      <c r="N59" s="16"/>
      <c r="O59" s="16">
        <f t="shared" si="9"/>
        <v>901.68</v>
      </c>
      <c r="P59" s="16"/>
      <c r="Q59" s="16"/>
      <c r="R59" s="16"/>
      <c r="S59" s="63">
        <f t="shared" si="6"/>
        <v>0.25</v>
      </c>
      <c r="T59" s="16"/>
      <c r="U59" s="16">
        <f t="shared" si="7"/>
        <v>12.96</v>
      </c>
      <c r="V59" s="16">
        <f t="shared" si="10"/>
        <v>500.93</v>
      </c>
      <c r="W59" s="16">
        <f t="shared" si="10"/>
        <v>500.93</v>
      </c>
      <c r="X59" s="16"/>
      <c r="Y59" s="16"/>
      <c r="Z59" s="16"/>
      <c r="AA59" s="16"/>
      <c r="AB59" s="16"/>
      <c r="AC59" s="16"/>
      <c r="AD59" s="16"/>
      <c r="AE59" s="16"/>
      <c r="AF59" s="78"/>
      <c r="AG59" s="79"/>
    </row>
    <row r="60" spans="1:33" s="5" customFormat="1" ht="21.75" customHeight="1">
      <c r="A60" s="12">
        <f t="shared" si="0"/>
        <v>48</v>
      </c>
      <c r="B60" s="14">
        <f t="shared" si="8"/>
        <v>8117.83</v>
      </c>
      <c r="C60" s="14">
        <v>8167.8</v>
      </c>
      <c r="D60" s="15" t="s">
        <v>20</v>
      </c>
      <c r="E60" s="16">
        <f t="shared" si="4"/>
        <v>49.970000000000255</v>
      </c>
      <c r="F60" s="17">
        <f>ROUND(AVERAGE(6,8),2)</f>
        <v>7</v>
      </c>
      <c r="G60" s="18"/>
      <c r="H60" s="16"/>
      <c r="I60" s="16">
        <f t="shared" si="5"/>
        <v>349.79</v>
      </c>
      <c r="J60" s="16"/>
      <c r="K60" s="16"/>
      <c r="L60" s="16"/>
      <c r="M60" s="16"/>
      <c r="N60" s="16"/>
      <c r="O60" s="16">
        <f t="shared" si="9"/>
        <v>74.96</v>
      </c>
      <c r="P60" s="16"/>
      <c r="Q60" s="16"/>
      <c r="R60" s="16"/>
      <c r="S60" s="63">
        <f t="shared" si="6"/>
        <v>0.024</v>
      </c>
      <c r="T60" s="16"/>
      <c r="U60" s="16">
        <f t="shared" si="7"/>
        <v>1.22</v>
      </c>
      <c r="V60" s="16">
        <f t="shared" si="10"/>
        <v>47.19</v>
      </c>
      <c r="W60" s="16">
        <f t="shared" si="10"/>
        <v>47.19</v>
      </c>
      <c r="X60" s="16"/>
      <c r="Y60" s="16"/>
      <c r="Z60" s="16"/>
      <c r="AA60" s="16"/>
      <c r="AB60" s="16"/>
      <c r="AC60" s="16"/>
      <c r="AD60" s="16"/>
      <c r="AE60" s="16"/>
      <c r="AF60" s="78"/>
      <c r="AG60" s="79"/>
    </row>
    <row r="61" spans="1:33" s="5" customFormat="1" ht="21.75" customHeight="1">
      <c r="A61" s="12">
        <f t="shared" si="0"/>
        <v>49</v>
      </c>
      <c r="B61" s="14">
        <f t="shared" si="8"/>
        <v>8167.8</v>
      </c>
      <c r="C61" s="14">
        <v>8718.15</v>
      </c>
      <c r="D61" s="15" t="s">
        <v>20</v>
      </c>
      <c r="E61" s="16">
        <f t="shared" si="4"/>
        <v>550.3499999999995</v>
      </c>
      <c r="F61" s="17">
        <v>8</v>
      </c>
      <c r="G61" s="18"/>
      <c r="H61" s="16"/>
      <c r="I61" s="16">
        <f t="shared" si="5"/>
        <v>4402.8</v>
      </c>
      <c r="J61" s="16"/>
      <c r="K61" s="16"/>
      <c r="L61" s="16"/>
      <c r="M61" s="16"/>
      <c r="N61" s="16"/>
      <c r="O61" s="16">
        <f t="shared" si="9"/>
        <v>825.52</v>
      </c>
      <c r="P61" s="16"/>
      <c r="Q61" s="16"/>
      <c r="R61" s="16"/>
      <c r="S61" s="63">
        <f t="shared" si="6"/>
        <v>0.29</v>
      </c>
      <c r="T61" s="16"/>
      <c r="U61" s="16">
        <f t="shared" si="7"/>
        <v>15.03</v>
      </c>
      <c r="V61" s="16">
        <f t="shared" si="10"/>
        <v>580.92</v>
      </c>
      <c r="W61" s="16">
        <f t="shared" si="10"/>
        <v>580.92</v>
      </c>
      <c r="X61" s="16"/>
      <c r="Y61" s="16"/>
      <c r="Z61" s="16"/>
      <c r="AA61" s="16"/>
      <c r="AB61" s="16"/>
      <c r="AC61" s="16"/>
      <c r="AD61" s="16"/>
      <c r="AE61" s="16"/>
      <c r="AF61" s="78"/>
      <c r="AG61" s="79"/>
    </row>
    <row r="62" spans="1:33" s="5" customFormat="1" ht="21.75" customHeight="1">
      <c r="A62" s="12">
        <f t="shared" si="0"/>
        <v>50</v>
      </c>
      <c r="B62" s="14">
        <f t="shared" si="8"/>
        <v>8718.15</v>
      </c>
      <c r="C62" s="14">
        <v>8818.25</v>
      </c>
      <c r="D62" s="15" t="s">
        <v>20</v>
      </c>
      <c r="E62" s="16">
        <f t="shared" si="4"/>
        <v>100.10000000000036</v>
      </c>
      <c r="F62" s="17">
        <f>ROUND(AVERAGE(10,8),2)</f>
        <v>9</v>
      </c>
      <c r="G62" s="18"/>
      <c r="H62" s="16"/>
      <c r="I62" s="16">
        <f t="shared" si="5"/>
        <v>900.9</v>
      </c>
      <c r="J62" s="16"/>
      <c r="K62" s="16"/>
      <c r="L62" s="16"/>
      <c r="M62" s="16"/>
      <c r="N62" s="16"/>
      <c r="O62" s="16">
        <f t="shared" si="9"/>
        <v>150.15</v>
      </c>
      <c r="P62" s="16"/>
      <c r="Q62" s="16"/>
      <c r="R62" s="16"/>
      <c r="S62" s="63">
        <f t="shared" si="6"/>
        <v>0.058</v>
      </c>
      <c r="T62" s="16"/>
      <c r="U62" s="16">
        <f t="shared" si="7"/>
        <v>3.02</v>
      </c>
      <c r="V62" s="16">
        <f t="shared" si="10"/>
        <v>116.78</v>
      </c>
      <c r="W62" s="16">
        <f t="shared" si="10"/>
        <v>116.78</v>
      </c>
      <c r="X62" s="16"/>
      <c r="Y62" s="16"/>
      <c r="Z62" s="16"/>
      <c r="AA62" s="16"/>
      <c r="AB62" s="16"/>
      <c r="AC62" s="16"/>
      <c r="AD62" s="16"/>
      <c r="AE62" s="16"/>
      <c r="AF62" s="78"/>
      <c r="AG62" s="79"/>
    </row>
    <row r="63" spans="1:33" s="5" customFormat="1" ht="21.75" customHeight="1">
      <c r="A63" s="12">
        <f t="shared" si="0"/>
        <v>51</v>
      </c>
      <c r="B63" s="14"/>
      <c r="C63" s="14"/>
      <c r="D63" s="15"/>
      <c r="E63" s="16"/>
      <c r="F63" s="23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78"/>
      <c r="AG63" s="79"/>
    </row>
    <row r="64" spans="1:33" s="25" customFormat="1" ht="21.75" customHeight="1">
      <c r="A64" s="12">
        <f t="shared" si="0"/>
        <v>52</v>
      </c>
      <c r="B64" s="14"/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80"/>
      <c r="AG64" s="79"/>
    </row>
    <row r="65" spans="1:33" s="25" customFormat="1" ht="21.75" customHeight="1">
      <c r="A65" s="12">
        <f t="shared" si="0"/>
        <v>53</v>
      </c>
      <c r="B65" s="14"/>
      <c r="C65" s="14"/>
      <c r="D65" s="15"/>
      <c r="E65" s="16"/>
      <c r="F65" s="17"/>
      <c r="G65" s="1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80"/>
      <c r="AG65" s="79"/>
    </row>
    <row r="66" spans="1:33" s="25" customFormat="1" ht="21.75" customHeight="1" thickBot="1">
      <c r="A66" s="12">
        <f t="shared" si="0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81"/>
      <c r="AG66" s="82"/>
    </row>
    <row r="67" spans="2:33" s="26" customFormat="1" ht="46.5" customHeight="1">
      <c r="B67" s="95" t="s">
        <v>8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7"/>
      <c r="R67" s="85">
        <f aca="true" t="shared" si="11" ref="R67:AE67">IF(SUM(R13:R66)=0," ",ROUNDUP(SUM(R13:R66),0))</f>
        <v>2071</v>
      </c>
      <c r="S67" s="85">
        <f t="shared" si="11"/>
        <v>5</v>
      </c>
      <c r="T67" s="85" t="str">
        <f t="shared" si="11"/>
        <v> </v>
      </c>
      <c r="U67" s="85">
        <f t="shared" si="11"/>
        <v>198</v>
      </c>
      <c r="V67" s="85">
        <f t="shared" si="11"/>
        <v>7651</v>
      </c>
      <c r="W67" s="85">
        <f t="shared" si="11"/>
        <v>7651</v>
      </c>
      <c r="X67" s="85" t="str">
        <f t="shared" si="11"/>
        <v> </v>
      </c>
      <c r="Y67" s="85" t="str">
        <f t="shared" si="11"/>
        <v> </v>
      </c>
      <c r="Z67" s="85" t="str">
        <f t="shared" si="11"/>
        <v> </v>
      </c>
      <c r="AA67" s="85" t="str">
        <f t="shared" si="11"/>
        <v> </v>
      </c>
      <c r="AB67" s="85" t="str">
        <f t="shared" si="11"/>
        <v> </v>
      </c>
      <c r="AC67" s="85" t="str">
        <f t="shared" si="11"/>
        <v> </v>
      </c>
      <c r="AD67" s="85" t="str">
        <f t="shared" si="11"/>
        <v> </v>
      </c>
      <c r="AE67" s="85" t="str">
        <f t="shared" si="11"/>
        <v> </v>
      </c>
      <c r="AF67" s="87">
        <v>8</v>
      </c>
      <c r="AG67" s="88"/>
    </row>
    <row r="68" spans="2:33" s="26" customFormat="1" ht="46.5" customHeight="1" thickBot="1"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100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3">
        <v>16</v>
      </c>
      <c r="AG68" s="84"/>
    </row>
    <row r="69" spans="1:34" ht="36" customHeight="1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T69" s="28"/>
      <c r="U69" s="28"/>
      <c r="V69" s="1"/>
      <c r="W69" s="28"/>
      <c r="X69" s="28"/>
      <c r="Y69" s="28"/>
      <c r="Z69" s="28"/>
      <c r="AA69" s="28"/>
      <c r="AB69" s="28"/>
      <c r="AF69" s="28"/>
      <c r="AG69" s="28"/>
      <c r="AH69" s="29"/>
    </row>
    <row r="70" spans="2:33" ht="12.7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T70" s="28"/>
      <c r="U70" s="28"/>
      <c r="V70" s="1"/>
      <c r="W70" s="28"/>
      <c r="X70" s="28"/>
      <c r="Y70" s="28"/>
      <c r="Z70" s="28"/>
      <c r="AA70" s="28"/>
      <c r="AB70" s="28"/>
      <c r="AF70" s="28"/>
      <c r="AG70" s="28"/>
    </row>
    <row r="71" spans="2:33" ht="12.7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T71" s="28"/>
      <c r="U71" s="28"/>
      <c r="V71" s="1"/>
      <c r="W71" s="28"/>
      <c r="X71" s="28"/>
      <c r="Y71" s="28"/>
      <c r="Z71" s="28"/>
      <c r="AA71" s="28"/>
      <c r="AB71" s="28"/>
      <c r="AF71" s="28"/>
      <c r="AG71" s="28"/>
    </row>
    <row r="72" spans="2:33" ht="15.75">
      <c r="B72" s="64" t="s">
        <v>26</v>
      </c>
      <c r="C72" s="65"/>
      <c r="D72" s="65"/>
      <c r="E72" s="65"/>
      <c r="F72" s="65"/>
      <c r="G72" s="66"/>
      <c r="H72" s="43"/>
      <c r="I72" s="43"/>
      <c r="J72" s="43"/>
      <c r="K72" s="43">
        <v>4</v>
      </c>
      <c r="L72" s="43">
        <v>6</v>
      </c>
      <c r="M72" s="43">
        <v>10</v>
      </c>
      <c r="N72" s="43">
        <v>16</v>
      </c>
      <c r="O72" s="43">
        <v>18</v>
      </c>
      <c r="P72" s="43">
        <v>20</v>
      </c>
      <c r="Q72" s="43">
        <v>22</v>
      </c>
      <c r="R72" s="45"/>
      <c r="S72" s="62">
        <v>2000</v>
      </c>
      <c r="T72" s="44"/>
      <c r="U72" s="44">
        <v>0.75</v>
      </c>
      <c r="V72" s="62"/>
      <c r="W72" s="62">
        <v>12</v>
      </c>
      <c r="X72" s="45"/>
      <c r="Y72" s="44"/>
      <c r="Z72" s="44"/>
      <c r="AA72" s="44"/>
      <c r="AB72" s="44"/>
      <c r="AC72" s="44"/>
      <c r="AD72" s="44"/>
      <c r="AF72" s="28"/>
      <c r="AG72" s="28"/>
    </row>
    <row r="73" spans="2:33" ht="15">
      <c r="B73" s="28"/>
      <c r="C73" s="28"/>
      <c r="D73" s="28"/>
      <c r="E73" s="28"/>
      <c r="F73" s="28"/>
      <c r="G73" s="28"/>
      <c r="H73" s="24"/>
      <c r="I73" s="28"/>
      <c r="J73" s="28"/>
      <c r="K73" s="28"/>
      <c r="L73" s="28"/>
      <c r="M73" s="28"/>
      <c r="N73" s="28"/>
      <c r="O73" s="28"/>
      <c r="P73" s="28"/>
      <c r="Q73" s="28"/>
      <c r="R73" s="24"/>
      <c r="T73" s="43"/>
      <c r="U73" s="43">
        <v>115</v>
      </c>
      <c r="V73" s="62"/>
      <c r="W73" s="46"/>
      <c r="X73" s="28"/>
      <c r="Y73" s="28"/>
      <c r="Z73" s="28"/>
      <c r="AA73" s="28"/>
      <c r="AB73" s="28"/>
      <c r="AF73" s="28"/>
      <c r="AG73" s="28"/>
    </row>
    <row r="74" spans="2:33" ht="15">
      <c r="B74" s="28"/>
      <c r="C74" s="30"/>
      <c r="D74" s="28"/>
      <c r="E74" s="28"/>
      <c r="F74" s="28"/>
      <c r="G74" s="28"/>
      <c r="H74" s="31"/>
      <c r="I74" s="28"/>
      <c r="J74" s="28"/>
      <c r="K74" s="120"/>
      <c r="L74" s="121"/>
      <c r="M74" s="121"/>
      <c r="N74" s="121"/>
      <c r="O74" s="121"/>
      <c r="P74" s="121"/>
      <c r="Q74" s="121"/>
      <c r="R74" s="31"/>
      <c r="S74" s="31"/>
      <c r="T74" s="31"/>
      <c r="U74" s="31">
        <v>0.05</v>
      </c>
      <c r="V74" s="44"/>
      <c r="W74" s="31"/>
      <c r="X74" s="31"/>
      <c r="Y74" s="31"/>
      <c r="Z74" s="31"/>
      <c r="AA74" s="31"/>
      <c r="AB74" s="31"/>
      <c r="AC74" s="31"/>
      <c r="AD74" s="31"/>
      <c r="AE74" s="31"/>
      <c r="AF74" s="28"/>
      <c r="AG74" s="28"/>
    </row>
  </sheetData>
  <sheetProtection/>
  <mergeCells count="66">
    <mergeCell ref="B47:I47"/>
    <mergeCell ref="E26:I26"/>
    <mergeCell ref="F37:I37"/>
    <mergeCell ref="F34:I34"/>
    <mergeCell ref="F32:I32"/>
    <mergeCell ref="AF51:AG66"/>
    <mergeCell ref="AF6:AG50"/>
    <mergeCell ref="E16:I16"/>
    <mergeCell ref="AD4:AD11"/>
    <mergeCell ref="I3:I11"/>
    <mergeCell ref="AE67:AE68"/>
    <mergeCell ref="AF67:AG67"/>
    <mergeCell ref="AF68:AG68"/>
    <mergeCell ref="E18:I18"/>
    <mergeCell ref="E20:I20"/>
    <mergeCell ref="E22:I22"/>
    <mergeCell ref="E24:I24"/>
    <mergeCell ref="AA67:AA68"/>
    <mergeCell ref="AB67:AB68"/>
    <mergeCell ref="AC67:AC68"/>
    <mergeCell ref="AD67:AD68"/>
    <mergeCell ref="Y67:Y68"/>
    <mergeCell ref="V67:V68"/>
    <mergeCell ref="W67:W68"/>
    <mergeCell ref="X67:X68"/>
    <mergeCell ref="R67:R68"/>
    <mergeCell ref="S67:S68"/>
    <mergeCell ref="T67:T68"/>
    <mergeCell ref="U67:U68"/>
    <mergeCell ref="K74:Q74"/>
    <mergeCell ref="Z67:Z68"/>
    <mergeCell ref="B67:Q68"/>
    <mergeCell ref="Q3:Q11"/>
    <mergeCell ref="AB4:AB11"/>
    <mergeCell ref="AC4:AC11"/>
    <mergeCell ref="F35:I35"/>
    <mergeCell ref="F38:I38"/>
    <mergeCell ref="F31:I31"/>
    <mergeCell ref="H3:H11"/>
    <mergeCell ref="B29:I29"/>
    <mergeCell ref="AG3:AG5"/>
    <mergeCell ref="R4:R11"/>
    <mergeCell ref="S4:S11"/>
    <mergeCell ref="T4:T11"/>
    <mergeCell ref="U4:U11"/>
    <mergeCell ref="Y4:Y11"/>
    <mergeCell ref="Z4:Z11"/>
    <mergeCell ref="AA4:AA11"/>
    <mergeCell ref="AE4:AE11"/>
    <mergeCell ref="V4:V11"/>
    <mergeCell ref="B14:I14"/>
    <mergeCell ref="B3:C11"/>
    <mergeCell ref="D3:D11"/>
    <mergeCell ref="E3:E11"/>
    <mergeCell ref="F3:F11"/>
    <mergeCell ref="N3:N11"/>
    <mergeCell ref="AF3:AF5"/>
    <mergeCell ref="W4:W11"/>
    <mergeCell ref="X4:X11"/>
    <mergeCell ref="O3:O11"/>
    <mergeCell ref="P3:P11"/>
    <mergeCell ref="G3:G11"/>
    <mergeCell ref="J3:J11"/>
    <mergeCell ref="K3:K11"/>
    <mergeCell ref="L3:L11"/>
    <mergeCell ref="M3:M11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2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L53" sqref="L53"/>
    </sheetView>
  </sheetViews>
  <sheetFormatPr defaultColWidth="9.140625" defaultRowHeight="12.75"/>
  <cols>
    <col min="1" max="3" width="24.7109375" style="1" customWidth="1"/>
    <col min="4" max="21" width="15.7109375" style="1" customWidth="1"/>
    <col min="22" max="22" width="15.7109375" style="47" customWidth="1"/>
    <col min="23" max="31" width="15.7109375" style="1" customWidth="1"/>
    <col min="32" max="34" width="6.7109375" style="1" customWidth="1"/>
    <col min="35" max="16384" width="9.140625" style="1" customWidth="1"/>
  </cols>
  <sheetData>
    <row r="1" spans="18:27" ht="12.75">
      <c r="R1" s="49"/>
      <c r="S1" s="49"/>
      <c r="T1" s="49"/>
      <c r="U1" s="49"/>
      <c r="V1" s="50"/>
      <c r="W1" s="49"/>
      <c r="X1" s="49"/>
      <c r="Z1" s="49"/>
      <c r="AA1" s="49"/>
    </row>
    <row r="2" spans="1:34" s="4" customFormat="1" ht="36" customHeight="1" thickBot="1">
      <c r="A2" s="2"/>
      <c r="B2" s="32" t="s">
        <v>14</v>
      </c>
      <c r="C2" s="33"/>
      <c r="D2" s="34"/>
      <c r="E2" s="34"/>
      <c r="F2" s="34"/>
      <c r="G2" s="34"/>
      <c r="H2" s="51"/>
      <c r="I2" s="35"/>
      <c r="J2" s="34"/>
      <c r="K2" s="34"/>
      <c r="L2" s="34"/>
      <c r="M2" s="34"/>
      <c r="N2" s="34"/>
      <c r="O2" s="34"/>
      <c r="P2" s="34"/>
      <c r="Q2" s="35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2"/>
      <c r="AD2" s="48"/>
      <c r="AH2" s="3"/>
    </row>
    <row r="3" spans="2:34" s="5" customFormat="1" ht="21.75" customHeight="1">
      <c r="B3" s="95" t="s">
        <v>0</v>
      </c>
      <c r="C3" s="97"/>
      <c r="D3" s="117" t="s">
        <v>3</v>
      </c>
      <c r="E3" s="117" t="s">
        <v>4</v>
      </c>
      <c r="F3" s="117" t="s">
        <v>5</v>
      </c>
      <c r="G3" s="107" t="s">
        <v>12</v>
      </c>
      <c r="H3" s="107" t="s">
        <v>93</v>
      </c>
      <c r="I3" s="117" t="s">
        <v>6</v>
      </c>
      <c r="J3" s="107" t="s">
        <v>10</v>
      </c>
      <c r="K3" s="107"/>
      <c r="L3" s="107"/>
      <c r="M3" s="107"/>
      <c r="N3" s="107"/>
      <c r="O3" s="107" t="s">
        <v>15</v>
      </c>
      <c r="P3" s="107" t="s">
        <v>16</v>
      </c>
      <c r="Q3" s="107" t="s">
        <v>17</v>
      </c>
      <c r="R3" s="36">
        <v>204</v>
      </c>
      <c r="S3" s="37">
        <v>204</v>
      </c>
      <c r="T3" s="36"/>
      <c r="U3" s="37">
        <v>206</v>
      </c>
      <c r="V3" s="37">
        <v>206</v>
      </c>
      <c r="W3" s="36">
        <v>206</v>
      </c>
      <c r="X3" s="37"/>
      <c r="Y3" s="36"/>
      <c r="Z3" s="37"/>
      <c r="AA3" s="36"/>
      <c r="AB3" s="37"/>
      <c r="AC3" s="36"/>
      <c r="AD3" s="37"/>
      <c r="AE3" s="37"/>
      <c r="AF3" s="101" t="s">
        <v>11</v>
      </c>
      <c r="AG3" s="101" t="s">
        <v>13</v>
      </c>
      <c r="AH3" s="6"/>
    </row>
    <row r="4" spans="2:34" s="5" customFormat="1" ht="27.75" customHeight="1">
      <c r="B4" s="113"/>
      <c r="C4" s="114"/>
      <c r="D4" s="118"/>
      <c r="E4" s="118"/>
      <c r="F4" s="118"/>
      <c r="G4" s="90"/>
      <c r="H4" s="90"/>
      <c r="I4" s="118"/>
      <c r="J4" s="122"/>
      <c r="K4" s="122"/>
      <c r="L4" s="90"/>
      <c r="M4" s="90"/>
      <c r="N4" s="90"/>
      <c r="O4" s="90"/>
      <c r="P4" s="90"/>
      <c r="Q4" s="90"/>
      <c r="R4" s="92" t="s">
        <v>82</v>
      </c>
      <c r="S4" s="89" t="s">
        <v>83</v>
      </c>
      <c r="T4" s="92"/>
      <c r="U4" s="92" t="s">
        <v>92</v>
      </c>
      <c r="V4" s="89" t="s">
        <v>80</v>
      </c>
      <c r="W4" s="89" t="s">
        <v>81</v>
      </c>
      <c r="X4" s="89"/>
      <c r="Y4" s="92"/>
      <c r="Z4" s="89"/>
      <c r="AA4" s="92"/>
      <c r="AB4" s="89"/>
      <c r="AC4" s="92"/>
      <c r="AD4" s="89"/>
      <c r="AE4" s="89"/>
      <c r="AF4" s="108"/>
      <c r="AG4" s="102"/>
      <c r="AH4" s="7"/>
    </row>
    <row r="5" spans="2:33" s="5" customFormat="1" ht="27.75" customHeight="1" thickBot="1">
      <c r="B5" s="113"/>
      <c r="C5" s="114"/>
      <c r="D5" s="118"/>
      <c r="E5" s="118"/>
      <c r="F5" s="118"/>
      <c r="G5" s="90"/>
      <c r="H5" s="90"/>
      <c r="I5" s="118"/>
      <c r="J5" s="122"/>
      <c r="K5" s="122"/>
      <c r="L5" s="90"/>
      <c r="M5" s="90"/>
      <c r="N5" s="90"/>
      <c r="O5" s="90"/>
      <c r="P5" s="90"/>
      <c r="Q5" s="90"/>
      <c r="R5" s="93"/>
      <c r="S5" s="90"/>
      <c r="T5" s="93"/>
      <c r="U5" s="93"/>
      <c r="V5" s="90"/>
      <c r="W5" s="90"/>
      <c r="X5" s="90"/>
      <c r="Y5" s="93"/>
      <c r="Z5" s="90"/>
      <c r="AA5" s="93"/>
      <c r="AB5" s="90"/>
      <c r="AC5" s="93"/>
      <c r="AD5" s="90"/>
      <c r="AE5" s="90"/>
      <c r="AF5" s="109"/>
      <c r="AG5" s="102"/>
    </row>
    <row r="6" spans="2:33" s="5" customFormat="1" ht="27.75" customHeight="1">
      <c r="B6" s="113"/>
      <c r="C6" s="114"/>
      <c r="D6" s="118"/>
      <c r="E6" s="118"/>
      <c r="F6" s="118"/>
      <c r="G6" s="90"/>
      <c r="H6" s="90"/>
      <c r="I6" s="118"/>
      <c r="J6" s="122"/>
      <c r="K6" s="122"/>
      <c r="L6" s="90"/>
      <c r="M6" s="90"/>
      <c r="N6" s="90"/>
      <c r="O6" s="90"/>
      <c r="P6" s="90"/>
      <c r="Q6" s="90"/>
      <c r="R6" s="93"/>
      <c r="S6" s="90"/>
      <c r="T6" s="93"/>
      <c r="U6" s="93"/>
      <c r="V6" s="90"/>
      <c r="W6" s="90"/>
      <c r="X6" s="90"/>
      <c r="Y6" s="93"/>
      <c r="Z6" s="90"/>
      <c r="AA6" s="93"/>
      <c r="AB6" s="90"/>
      <c r="AC6" s="93"/>
      <c r="AD6" s="90"/>
      <c r="AE6" s="90"/>
      <c r="AF6" s="76" t="s">
        <v>79</v>
      </c>
      <c r="AG6" s="77"/>
    </row>
    <row r="7" spans="2:33" s="5" customFormat="1" ht="27.75" customHeight="1">
      <c r="B7" s="113"/>
      <c r="C7" s="114"/>
      <c r="D7" s="118"/>
      <c r="E7" s="118"/>
      <c r="F7" s="118"/>
      <c r="G7" s="90"/>
      <c r="H7" s="90"/>
      <c r="I7" s="118"/>
      <c r="J7" s="122"/>
      <c r="K7" s="122"/>
      <c r="L7" s="90"/>
      <c r="M7" s="90"/>
      <c r="N7" s="90"/>
      <c r="O7" s="90"/>
      <c r="P7" s="90"/>
      <c r="Q7" s="90"/>
      <c r="R7" s="93"/>
      <c r="S7" s="90"/>
      <c r="T7" s="93"/>
      <c r="U7" s="93"/>
      <c r="V7" s="90"/>
      <c r="W7" s="90"/>
      <c r="X7" s="90"/>
      <c r="Y7" s="93"/>
      <c r="Z7" s="90"/>
      <c r="AA7" s="93"/>
      <c r="AB7" s="90"/>
      <c r="AC7" s="93"/>
      <c r="AD7" s="90"/>
      <c r="AE7" s="90"/>
      <c r="AF7" s="78"/>
      <c r="AG7" s="79"/>
    </row>
    <row r="8" spans="2:33" s="5" customFormat="1" ht="27.75" customHeight="1">
      <c r="B8" s="113"/>
      <c r="C8" s="114"/>
      <c r="D8" s="118"/>
      <c r="E8" s="118"/>
      <c r="F8" s="118"/>
      <c r="G8" s="90"/>
      <c r="H8" s="90"/>
      <c r="I8" s="118"/>
      <c r="J8" s="122"/>
      <c r="K8" s="122"/>
      <c r="L8" s="90"/>
      <c r="M8" s="90"/>
      <c r="N8" s="90"/>
      <c r="O8" s="90"/>
      <c r="P8" s="90"/>
      <c r="Q8" s="90"/>
      <c r="R8" s="93"/>
      <c r="S8" s="90"/>
      <c r="T8" s="93"/>
      <c r="U8" s="93"/>
      <c r="V8" s="90"/>
      <c r="W8" s="90"/>
      <c r="X8" s="90"/>
      <c r="Y8" s="93"/>
      <c r="Z8" s="90"/>
      <c r="AA8" s="93"/>
      <c r="AB8" s="90"/>
      <c r="AC8" s="93"/>
      <c r="AD8" s="90"/>
      <c r="AE8" s="90"/>
      <c r="AF8" s="78"/>
      <c r="AG8" s="79"/>
    </row>
    <row r="9" spans="2:33" s="5" customFormat="1" ht="27.75" customHeight="1">
      <c r="B9" s="113"/>
      <c r="C9" s="114"/>
      <c r="D9" s="118"/>
      <c r="E9" s="118"/>
      <c r="F9" s="118"/>
      <c r="G9" s="90"/>
      <c r="H9" s="90"/>
      <c r="I9" s="118"/>
      <c r="J9" s="122"/>
      <c r="K9" s="122"/>
      <c r="L9" s="90"/>
      <c r="M9" s="90"/>
      <c r="N9" s="90"/>
      <c r="O9" s="90"/>
      <c r="P9" s="90"/>
      <c r="Q9" s="90"/>
      <c r="R9" s="93"/>
      <c r="S9" s="90"/>
      <c r="T9" s="93"/>
      <c r="U9" s="93"/>
      <c r="V9" s="90"/>
      <c r="W9" s="90"/>
      <c r="X9" s="90"/>
      <c r="Y9" s="93"/>
      <c r="Z9" s="90"/>
      <c r="AA9" s="93"/>
      <c r="AB9" s="90"/>
      <c r="AC9" s="93"/>
      <c r="AD9" s="90"/>
      <c r="AE9" s="90"/>
      <c r="AF9" s="78"/>
      <c r="AG9" s="79"/>
    </row>
    <row r="10" spans="2:33" s="5" customFormat="1" ht="27.75" customHeight="1">
      <c r="B10" s="113"/>
      <c r="C10" s="114"/>
      <c r="D10" s="118"/>
      <c r="E10" s="118"/>
      <c r="F10" s="118"/>
      <c r="G10" s="90"/>
      <c r="H10" s="90"/>
      <c r="I10" s="118"/>
      <c r="J10" s="122"/>
      <c r="K10" s="122"/>
      <c r="L10" s="90"/>
      <c r="M10" s="90"/>
      <c r="N10" s="90"/>
      <c r="O10" s="90"/>
      <c r="P10" s="90"/>
      <c r="Q10" s="90"/>
      <c r="R10" s="93"/>
      <c r="S10" s="90"/>
      <c r="T10" s="93"/>
      <c r="U10" s="93"/>
      <c r="V10" s="90"/>
      <c r="W10" s="90"/>
      <c r="X10" s="90"/>
      <c r="Y10" s="93"/>
      <c r="Z10" s="90"/>
      <c r="AA10" s="93"/>
      <c r="AB10" s="90"/>
      <c r="AC10" s="93"/>
      <c r="AD10" s="90"/>
      <c r="AE10" s="90"/>
      <c r="AF10" s="78"/>
      <c r="AG10" s="79"/>
    </row>
    <row r="11" spans="2:33" s="8" customFormat="1" ht="27.75" customHeight="1">
      <c r="B11" s="115"/>
      <c r="C11" s="116"/>
      <c r="D11" s="119"/>
      <c r="E11" s="119"/>
      <c r="F11" s="119"/>
      <c r="G11" s="91"/>
      <c r="H11" s="91"/>
      <c r="I11" s="119"/>
      <c r="J11" s="123"/>
      <c r="K11" s="123"/>
      <c r="L11" s="91"/>
      <c r="M11" s="91"/>
      <c r="N11" s="91"/>
      <c r="O11" s="91"/>
      <c r="P11" s="91"/>
      <c r="Q11" s="91"/>
      <c r="R11" s="94"/>
      <c r="S11" s="91"/>
      <c r="T11" s="94"/>
      <c r="U11" s="94"/>
      <c r="V11" s="91"/>
      <c r="W11" s="91"/>
      <c r="X11" s="91"/>
      <c r="Y11" s="94"/>
      <c r="Z11" s="91"/>
      <c r="AA11" s="94"/>
      <c r="AB11" s="91"/>
      <c r="AC11" s="94"/>
      <c r="AD11" s="91"/>
      <c r="AE11" s="91"/>
      <c r="AF11" s="78"/>
      <c r="AG11" s="79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38"/>
      <c r="I12" s="11" t="s">
        <v>9</v>
      </c>
      <c r="J12" s="11" t="s">
        <v>9</v>
      </c>
      <c r="K12" s="11"/>
      <c r="L12" s="11"/>
      <c r="M12" s="11"/>
      <c r="N12" s="11"/>
      <c r="O12" s="11" t="s">
        <v>9</v>
      </c>
      <c r="P12" s="11" t="s">
        <v>9</v>
      </c>
      <c r="Q12" s="11" t="s">
        <v>9</v>
      </c>
      <c r="R12" s="38" t="s">
        <v>85</v>
      </c>
      <c r="S12" s="11" t="s">
        <v>84</v>
      </c>
      <c r="T12" s="38"/>
      <c r="U12" s="11" t="s">
        <v>86</v>
      </c>
      <c r="V12" s="11" t="s">
        <v>85</v>
      </c>
      <c r="W12" s="38" t="s">
        <v>85</v>
      </c>
      <c r="X12" s="11"/>
      <c r="Y12" s="38"/>
      <c r="Z12" s="11"/>
      <c r="AA12" s="38"/>
      <c r="AB12" s="11"/>
      <c r="AC12" s="38"/>
      <c r="AD12" s="11"/>
      <c r="AE12" s="11"/>
      <c r="AF12" s="78"/>
      <c r="AG12" s="79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78"/>
      <c r="AG13" s="79"/>
    </row>
    <row r="14" spans="1:33" s="5" customFormat="1" ht="21.75" customHeight="1">
      <c r="A14" s="12">
        <f>A13+1</f>
        <v>2</v>
      </c>
      <c r="B14" s="110" t="s">
        <v>30</v>
      </c>
      <c r="C14" s="111"/>
      <c r="D14" s="111"/>
      <c r="E14" s="111"/>
      <c r="F14" s="111"/>
      <c r="G14" s="111"/>
      <c r="H14" s="111"/>
      <c r="I14" s="112"/>
      <c r="J14" s="16"/>
      <c r="K14" s="16"/>
      <c r="L14" s="15"/>
      <c r="M14" s="15"/>
      <c r="N14" s="15"/>
      <c r="O14" s="15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78"/>
      <c r="AG14" s="79"/>
    </row>
    <row r="15" spans="1:33" s="5" customFormat="1" ht="21.75" customHeight="1">
      <c r="A15" s="12">
        <f>A14+1</f>
        <v>3</v>
      </c>
      <c r="B15" s="19" t="s">
        <v>19</v>
      </c>
      <c r="C15" s="20"/>
      <c r="D15" s="15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  <c r="P15" s="16"/>
      <c r="Q15" s="16"/>
      <c r="R15" s="16"/>
      <c r="S15" s="63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78"/>
      <c r="AG15" s="79"/>
    </row>
    <row r="16" spans="1:33" s="5" customFormat="1" ht="21.75" customHeight="1">
      <c r="A16" s="12">
        <f aca="true" t="shared" si="0" ref="A16:A66">A15+1</f>
        <v>4</v>
      </c>
      <c r="B16" s="22">
        <v>8663.69</v>
      </c>
      <c r="C16" s="21">
        <v>9070</v>
      </c>
      <c r="D16" s="15" t="s">
        <v>20</v>
      </c>
      <c r="E16" s="16">
        <f aca="true" t="shared" si="1" ref="E16:E21">C16-B16</f>
        <v>406.3099999999995</v>
      </c>
      <c r="F16" s="17">
        <v>24</v>
      </c>
      <c r="G16" s="18">
        <f>ROUND((2864.789+($F16/2))/2864.789,4)</f>
        <v>1.0042</v>
      </c>
      <c r="H16" s="16"/>
      <c r="I16" s="16">
        <f>IF($G16=0,ROUND($E16*$F16,2),ROUND($E16*$F16*$G16,2))</f>
        <v>9792.4</v>
      </c>
      <c r="J16" s="16"/>
      <c r="K16" s="16"/>
      <c r="L16" s="16"/>
      <c r="M16" s="16"/>
      <c r="N16" s="16"/>
      <c r="O16" s="16"/>
      <c r="P16" s="16"/>
      <c r="Q16" s="16"/>
      <c r="R16" s="16"/>
      <c r="S16" s="63">
        <f aca="true" t="shared" si="2" ref="S16:S65">ROUND(($V16/S$72),3)</f>
        <v>0.544</v>
      </c>
      <c r="T16" s="16"/>
      <c r="U16" s="16">
        <f aca="true" t="shared" si="3" ref="U16:U65">ROUND((($U$72*$W$72*$U$73*$U$74*$W16)/2000),2)</f>
        <v>28.15</v>
      </c>
      <c r="V16" s="16">
        <f aca="true" t="shared" si="4" ref="V16:W22">ROUND((($I16+$J16)/9),2)</f>
        <v>1088.04</v>
      </c>
      <c r="W16" s="16">
        <f t="shared" si="4"/>
        <v>1088.04</v>
      </c>
      <c r="X16" s="16"/>
      <c r="Y16" s="16"/>
      <c r="Z16" s="16"/>
      <c r="AA16" s="16"/>
      <c r="AB16" s="16"/>
      <c r="AC16" s="16"/>
      <c r="AD16" s="16"/>
      <c r="AE16" s="16"/>
      <c r="AF16" s="78"/>
      <c r="AG16" s="79"/>
    </row>
    <row r="17" spans="1:33" s="5" customFormat="1" ht="21.75" customHeight="1">
      <c r="A17" s="12">
        <f t="shared" si="0"/>
        <v>5</v>
      </c>
      <c r="B17" s="13">
        <f>C16</f>
        <v>9070</v>
      </c>
      <c r="C17" s="14">
        <v>9370</v>
      </c>
      <c r="D17" s="15" t="s">
        <v>20</v>
      </c>
      <c r="E17" s="16">
        <f t="shared" si="1"/>
        <v>300</v>
      </c>
      <c r="F17" s="17">
        <v>24</v>
      </c>
      <c r="G17" s="18">
        <f>ROUND((((2864.789+($F17/2))/2864.789)+((1527.887+($F17/2))/1527.887))/2,4)</f>
        <v>1.006</v>
      </c>
      <c r="H17" s="16"/>
      <c r="I17" s="16">
        <f>IF($G17=0,ROUND($E17*$F17,2),ROUND($E17*$F17*$G17,2))</f>
        <v>7243.2</v>
      </c>
      <c r="J17" s="16"/>
      <c r="K17" s="16"/>
      <c r="L17" s="16"/>
      <c r="M17" s="16"/>
      <c r="N17" s="16"/>
      <c r="O17" s="16"/>
      <c r="P17" s="16"/>
      <c r="Q17" s="16"/>
      <c r="R17" s="16"/>
      <c r="S17" s="63">
        <f t="shared" si="2"/>
        <v>0.402</v>
      </c>
      <c r="T17" s="16"/>
      <c r="U17" s="16">
        <f t="shared" si="3"/>
        <v>20.82</v>
      </c>
      <c r="V17" s="16">
        <f t="shared" si="4"/>
        <v>804.8</v>
      </c>
      <c r="W17" s="16">
        <f t="shared" si="4"/>
        <v>804.8</v>
      </c>
      <c r="X17" s="16"/>
      <c r="Y17" s="16"/>
      <c r="Z17" s="16"/>
      <c r="AA17" s="16"/>
      <c r="AB17" s="16"/>
      <c r="AC17" s="16"/>
      <c r="AD17" s="16"/>
      <c r="AE17" s="16"/>
      <c r="AF17" s="78"/>
      <c r="AG17" s="79"/>
    </row>
    <row r="18" spans="1:33" s="5" customFormat="1" ht="21.75" customHeight="1">
      <c r="A18" s="12">
        <f t="shared" si="0"/>
        <v>6</v>
      </c>
      <c r="B18" s="13">
        <f>C17</f>
        <v>9370</v>
      </c>
      <c r="C18" s="14">
        <v>10455.37</v>
      </c>
      <c r="D18" s="15" t="s">
        <v>20</v>
      </c>
      <c r="E18" s="16">
        <f t="shared" si="1"/>
        <v>1085.3700000000008</v>
      </c>
      <c r="F18" s="17">
        <v>24</v>
      </c>
      <c r="G18" s="18">
        <f>ROUND((1527.887+($F18/2))/1527.887,4)</f>
        <v>1.0079</v>
      </c>
      <c r="H18" s="16"/>
      <c r="I18" s="16">
        <f>IF($G18=0,ROUND($E18*$F18,2),ROUND($E18*$F18*$G18,2))</f>
        <v>26254.67</v>
      </c>
      <c r="J18" s="16"/>
      <c r="K18" s="16"/>
      <c r="L18" s="16"/>
      <c r="M18" s="16"/>
      <c r="N18" s="16"/>
      <c r="O18" s="16"/>
      <c r="P18" s="16"/>
      <c r="Q18" s="16"/>
      <c r="R18" s="16"/>
      <c r="S18" s="63">
        <f t="shared" si="2"/>
        <v>1.459</v>
      </c>
      <c r="T18" s="16"/>
      <c r="U18" s="16">
        <f t="shared" si="3"/>
        <v>75.48</v>
      </c>
      <c r="V18" s="16">
        <f t="shared" si="4"/>
        <v>2917.19</v>
      </c>
      <c r="W18" s="16">
        <f t="shared" si="4"/>
        <v>2917.19</v>
      </c>
      <c r="X18" s="16"/>
      <c r="Y18" s="16"/>
      <c r="Z18" s="16"/>
      <c r="AA18" s="16"/>
      <c r="AB18" s="16"/>
      <c r="AC18" s="16"/>
      <c r="AD18" s="16"/>
      <c r="AE18" s="16"/>
      <c r="AF18" s="78"/>
      <c r="AG18" s="79"/>
    </row>
    <row r="19" spans="1:33" s="5" customFormat="1" ht="21.75" customHeight="1">
      <c r="A19" s="12">
        <f t="shared" si="0"/>
        <v>7</v>
      </c>
      <c r="B19" s="13">
        <f>C18</f>
        <v>10455.37</v>
      </c>
      <c r="C19" s="14">
        <v>10655.37</v>
      </c>
      <c r="D19" s="15" t="s">
        <v>20</v>
      </c>
      <c r="E19" s="16">
        <f t="shared" si="1"/>
        <v>200</v>
      </c>
      <c r="F19" s="17">
        <v>24</v>
      </c>
      <c r="G19" s="18">
        <f>ROUND((((9822.134+($F19/2))/9822.134)+((1527.887+($F19/2))/1527.887))/2,4)</f>
        <v>1.0045</v>
      </c>
      <c r="H19" s="16"/>
      <c r="I19" s="16">
        <f>IF($G19=0,ROUND($E19*$F19,2),ROUND($E19*$F19*$G19,2))</f>
        <v>4821.6</v>
      </c>
      <c r="J19" s="16"/>
      <c r="K19" s="16"/>
      <c r="L19" s="16"/>
      <c r="M19" s="16"/>
      <c r="N19" s="16"/>
      <c r="O19" s="16"/>
      <c r="P19" s="16"/>
      <c r="Q19" s="16"/>
      <c r="R19" s="16"/>
      <c r="S19" s="63">
        <f t="shared" si="2"/>
        <v>0.268</v>
      </c>
      <c r="T19" s="16"/>
      <c r="U19" s="16">
        <f t="shared" si="3"/>
        <v>13.86</v>
      </c>
      <c r="V19" s="16">
        <f t="shared" si="4"/>
        <v>535.73</v>
      </c>
      <c r="W19" s="16">
        <f t="shared" si="4"/>
        <v>535.73</v>
      </c>
      <c r="X19" s="16"/>
      <c r="Y19" s="16"/>
      <c r="Z19" s="16"/>
      <c r="AA19" s="16"/>
      <c r="AB19" s="16"/>
      <c r="AC19" s="16"/>
      <c r="AD19" s="16"/>
      <c r="AE19" s="16"/>
      <c r="AF19" s="78"/>
      <c r="AG19" s="79"/>
    </row>
    <row r="20" spans="1:33" s="5" customFormat="1" ht="21.75" customHeight="1">
      <c r="A20" s="12">
        <f t="shared" si="0"/>
        <v>8</v>
      </c>
      <c r="B20" s="13">
        <f>C19</f>
        <v>10655.37</v>
      </c>
      <c r="C20" s="14">
        <v>10889.94</v>
      </c>
      <c r="D20" s="15" t="s">
        <v>20</v>
      </c>
      <c r="E20" s="16">
        <f t="shared" si="1"/>
        <v>234.5699999999997</v>
      </c>
      <c r="F20" s="17">
        <v>24</v>
      </c>
      <c r="G20" s="18">
        <f>ROUND((9822.134+($F20/2))/9822.134,4)</f>
        <v>1.0012</v>
      </c>
      <c r="H20" s="16"/>
      <c r="I20" s="16">
        <f>IF($G20=0,ROUND($E20*$F20,2),ROUND($E20*$F20*$G20,2))</f>
        <v>5636.44</v>
      </c>
      <c r="J20" s="16"/>
      <c r="K20" s="16"/>
      <c r="L20" s="16"/>
      <c r="M20" s="16"/>
      <c r="N20" s="16"/>
      <c r="O20" s="16"/>
      <c r="P20" s="16"/>
      <c r="Q20" s="16"/>
      <c r="R20" s="16"/>
      <c r="S20" s="63">
        <f t="shared" si="2"/>
        <v>0.313</v>
      </c>
      <c r="T20" s="16"/>
      <c r="U20" s="16">
        <f t="shared" si="3"/>
        <v>16.2</v>
      </c>
      <c r="V20" s="16">
        <f t="shared" si="4"/>
        <v>626.27</v>
      </c>
      <c r="W20" s="16">
        <f t="shared" si="4"/>
        <v>626.27</v>
      </c>
      <c r="X20" s="16"/>
      <c r="Y20" s="16"/>
      <c r="Z20" s="16"/>
      <c r="AA20" s="16"/>
      <c r="AB20" s="16"/>
      <c r="AC20" s="16"/>
      <c r="AD20" s="16"/>
      <c r="AE20" s="16"/>
      <c r="AF20" s="78"/>
      <c r="AG20" s="79"/>
    </row>
    <row r="21" spans="1:33" s="5" customFormat="1" ht="21.75" customHeight="1">
      <c r="A21" s="12">
        <f t="shared" si="0"/>
        <v>9</v>
      </c>
      <c r="B21" s="13">
        <f>C20</f>
        <v>10889.94</v>
      </c>
      <c r="C21" s="14">
        <v>11413.78</v>
      </c>
      <c r="D21" s="15" t="s">
        <v>20</v>
      </c>
      <c r="E21" s="16">
        <f t="shared" si="1"/>
        <v>523.8400000000001</v>
      </c>
      <c r="F21" s="17">
        <v>12</v>
      </c>
      <c r="G21" s="18">
        <f>ROUND((9822.134+($F21/2))/9822.134,4)</f>
        <v>1.0006</v>
      </c>
      <c r="H21" s="16"/>
      <c r="I21" s="16">
        <f>IF(G21=0,ROUND($E21*$F21,2),ROUND($E21*$F21*$G21,2))</f>
        <v>6289.85</v>
      </c>
      <c r="J21" s="16"/>
      <c r="K21" s="16"/>
      <c r="L21" s="16"/>
      <c r="M21" s="16"/>
      <c r="N21" s="16"/>
      <c r="O21" s="16"/>
      <c r="P21" s="16"/>
      <c r="Q21" s="16"/>
      <c r="R21" s="16"/>
      <c r="S21" s="63">
        <f t="shared" si="2"/>
        <v>0.349</v>
      </c>
      <c r="T21" s="16"/>
      <c r="U21" s="16">
        <f t="shared" si="3"/>
        <v>18.08</v>
      </c>
      <c r="V21" s="16">
        <f t="shared" si="4"/>
        <v>698.87</v>
      </c>
      <c r="W21" s="16">
        <f t="shared" si="4"/>
        <v>698.87</v>
      </c>
      <c r="X21" s="16"/>
      <c r="Y21" s="16"/>
      <c r="Z21" s="16"/>
      <c r="AA21" s="16"/>
      <c r="AB21" s="16"/>
      <c r="AC21" s="16"/>
      <c r="AD21" s="16"/>
      <c r="AE21" s="16"/>
      <c r="AF21" s="78"/>
      <c r="AG21" s="79"/>
    </row>
    <row r="22" spans="1:33" s="5" customFormat="1" ht="21.75" customHeight="1">
      <c r="A22" s="12">
        <f t="shared" si="0"/>
        <v>10</v>
      </c>
      <c r="B22" s="13">
        <f>C20</f>
        <v>10889.94</v>
      </c>
      <c r="C22" s="14">
        <v>11413.78</v>
      </c>
      <c r="D22" s="15" t="s">
        <v>20</v>
      </c>
      <c r="E22" s="16">
        <f>C22-B22</f>
        <v>523.8400000000001</v>
      </c>
      <c r="F22" s="104" t="s">
        <v>23</v>
      </c>
      <c r="G22" s="105"/>
      <c r="H22" s="105"/>
      <c r="I22" s="106"/>
      <c r="J22" s="16">
        <v>2447.88</v>
      </c>
      <c r="K22" s="16"/>
      <c r="L22" s="16"/>
      <c r="M22" s="16"/>
      <c r="N22" s="16"/>
      <c r="O22" s="16"/>
      <c r="P22" s="16"/>
      <c r="Q22" s="16"/>
      <c r="R22" s="16"/>
      <c r="S22" s="63">
        <f t="shared" si="2"/>
        <v>0.136</v>
      </c>
      <c r="T22" s="16"/>
      <c r="U22" s="16">
        <f t="shared" si="3"/>
        <v>7.04</v>
      </c>
      <c r="V22" s="16">
        <f t="shared" si="4"/>
        <v>271.99</v>
      </c>
      <c r="W22" s="16">
        <f t="shared" si="4"/>
        <v>271.99</v>
      </c>
      <c r="X22" s="16"/>
      <c r="Y22" s="16"/>
      <c r="Z22" s="16"/>
      <c r="AA22" s="16"/>
      <c r="AB22" s="16"/>
      <c r="AC22" s="16"/>
      <c r="AD22" s="16"/>
      <c r="AE22" s="16"/>
      <c r="AF22" s="78"/>
      <c r="AG22" s="79"/>
    </row>
    <row r="23" spans="1:33" s="5" customFormat="1" ht="21.75" customHeight="1">
      <c r="A23" s="12">
        <f t="shared" si="0"/>
        <v>11</v>
      </c>
      <c r="B23" s="13"/>
      <c r="C23" s="14"/>
      <c r="D23" s="15"/>
      <c r="E23" s="16"/>
      <c r="F23" s="17"/>
      <c r="G23" s="18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63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78"/>
      <c r="AG23" s="79"/>
    </row>
    <row r="24" spans="1:33" s="5" customFormat="1" ht="21.75" customHeight="1">
      <c r="A24" s="12">
        <f t="shared" si="0"/>
        <v>12</v>
      </c>
      <c r="B24" s="13" t="s">
        <v>55</v>
      </c>
      <c r="C24" s="14" t="s">
        <v>56</v>
      </c>
      <c r="D24" s="15" t="s">
        <v>20</v>
      </c>
      <c r="E24" s="16">
        <v>37.85</v>
      </c>
      <c r="F24" s="17">
        <f>ROUND(AVERAGE(11.419,12),2)</f>
        <v>11.71</v>
      </c>
      <c r="G24" s="18"/>
      <c r="H24" s="16"/>
      <c r="I24" s="16">
        <f>IF(G24=0,ROUND($E24*$F24,2),ROUND($E24*$F24*$G24,2))</f>
        <v>443.22</v>
      </c>
      <c r="J24" s="16"/>
      <c r="K24" s="16"/>
      <c r="L24" s="16"/>
      <c r="M24" s="16"/>
      <c r="N24" s="16"/>
      <c r="O24" s="16"/>
      <c r="P24" s="16"/>
      <c r="Q24" s="16"/>
      <c r="R24" s="16"/>
      <c r="S24" s="63">
        <f t="shared" si="2"/>
        <v>0.025</v>
      </c>
      <c r="T24" s="16"/>
      <c r="U24" s="16">
        <f t="shared" si="3"/>
        <v>1.27</v>
      </c>
      <c r="V24" s="16">
        <f>ROUND((($I24+$J24)/9),2)</f>
        <v>49.25</v>
      </c>
      <c r="W24" s="16">
        <f>ROUND((($I24+$J24)/9),2)</f>
        <v>49.25</v>
      </c>
      <c r="X24" s="16"/>
      <c r="Y24" s="16"/>
      <c r="Z24" s="16"/>
      <c r="AA24" s="16"/>
      <c r="AB24" s="16"/>
      <c r="AC24" s="16"/>
      <c r="AD24" s="16"/>
      <c r="AE24" s="16"/>
      <c r="AF24" s="78"/>
      <c r="AG24" s="79"/>
    </row>
    <row r="25" spans="1:33" s="5" customFormat="1" ht="21.75" customHeight="1">
      <c r="A25" s="12">
        <f t="shared" si="0"/>
        <v>13</v>
      </c>
      <c r="B25" s="13"/>
      <c r="C25" s="14"/>
      <c r="D25" s="15"/>
      <c r="E25" s="16"/>
      <c r="F25" s="17"/>
      <c r="G25" s="1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63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78"/>
      <c r="AG25" s="79"/>
    </row>
    <row r="26" spans="1:33" s="5" customFormat="1" ht="21.75" customHeight="1">
      <c r="A26" s="12">
        <f t="shared" si="0"/>
        <v>14</v>
      </c>
      <c r="B26" s="19" t="s">
        <v>27</v>
      </c>
      <c r="C26" s="14"/>
      <c r="D26" s="15"/>
      <c r="E26" s="16"/>
      <c r="F26" s="17"/>
      <c r="G26" s="18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63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78"/>
      <c r="AG26" s="79"/>
    </row>
    <row r="27" spans="1:33" s="5" customFormat="1" ht="21.75" customHeight="1">
      <c r="A27" s="12">
        <f t="shared" si="0"/>
        <v>15</v>
      </c>
      <c r="B27" s="13">
        <v>8663.69</v>
      </c>
      <c r="C27" s="14">
        <v>9070</v>
      </c>
      <c r="D27" s="15" t="s">
        <v>25</v>
      </c>
      <c r="E27" s="16">
        <f aca="true" t="shared" si="5" ref="E27:E36">C27-B27</f>
        <v>406.3099999999995</v>
      </c>
      <c r="F27" s="17">
        <v>10</v>
      </c>
      <c r="G27" s="18">
        <f>ROUND((2864.789-($F27/2))/2864.789,4)</f>
        <v>0.9983</v>
      </c>
      <c r="H27" s="18">
        <f>ROUND((2864.789-($F27))/2864.789,4)</f>
        <v>0.9965</v>
      </c>
      <c r="I27" s="16">
        <f aca="true" t="shared" si="6" ref="I27:I32">IF(G27=0,ROUND($E27*$F27,2),ROUND($E27*$F27*$G27,2))</f>
        <v>4056.19</v>
      </c>
      <c r="J27" s="16"/>
      <c r="K27" s="16"/>
      <c r="L27" s="16"/>
      <c r="M27" s="16"/>
      <c r="N27" s="16"/>
      <c r="O27" s="16">
        <f>IF($H27=0,ROUND($E27*(O$72/12),2),ROUND($E27*(O$72/12)*$H27,2))</f>
        <v>607.33</v>
      </c>
      <c r="P27" s="16"/>
      <c r="Q27" s="16"/>
      <c r="R27" s="16"/>
      <c r="S27" s="63">
        <f t="shared" si="2"/>
        <v>0.259</v>
      </c>
      <c r="T27" s="16"/>
      <c r="U27" s="16">
        <f t="shared" si="3"/>
        <v>13.41</v>
      </c>
      <c r="V27" s="16">
        <f>ROUND((($I27+$J27+$O27+$P27+$Q27)/9),2)</f>
        <v>518.17</v>
      </c>
      <c r="W27" s="16">
        <f>ROUND((($I27+$J27+$O27+$P27+$Q27)/9),2)</f>
        <v>518.17</v>
      </c>
      <c r="X27" s="16"/>
      <c r="Y27" s="16"/>
      <c r="Z27" s="16"/>
      <c r="AA27" s="16"/>
      <c r="AB27" s="16"/>
      <c r="AC27" s="16"/>
      <c r="AD27" s="16"/>
      <c r="AE27" s="16"/>
      <c r="AF27" s="78"/>
      <c r="AG27" s="79"/>
    </row>
    <row r="28" spans="1:33" s="5" customFormat="1" ht="21.75" customHeight="1">
      <c r="A28" s="12">
        <f t="shared" si="0"/>
        <v>16</v>
      </c>
      <c r="B28" s="13">
        <f>C27</f>
        <v>9070</v>
      </c>
      <c r="C28" s="14">
        <v>9370</v>
      </c>
      <c r="D28" s="15" t="s">
        <v>25</v>
      </c>
      <c r="E28" s="16">
        <f t="shared" si="5"/>
        <v>300</v>
      </c>
      <c r="F28" s="17">
        <v>10</v>
      </c>
      <c r="G28" s="18">
        <f>ROUND((((2864.789-($F28/2))/2864.789)+((1527.887-($F28/2))/1527.887))/2,4)</f>
        <v>0.9975</v>
      </c>
      <c r="H28" s="18">
        <f>ROUND((((2864.789-($F28))/2864.789)+((1527.887-($F28))/1527.887))/2,4)</f>
        <v>0.995</v>
      </c>
      <c r="I28" s="16">
        <f t="shared" si="6"/>
        <v>2992.5</v>
      </c>
      <c r="J28" s="16"/>
      <c r="K28" s="16"/>
      <c r="L28" s="16"/>
      <c r="M28" s="16"/>
      <c r="N28" s="16"/>
      <c r="O28" s="16">
        <f aca="true" t="shared" si="7" ref="O28:O38">IF($H28=0,ROUND($E28*(O$72/12),2),ROUND($E28*(O$72/12)*$H28,2))</f>
        <v>447.75</v>
      </c>
      <c r="P28" s="16"/>
      <c r="Q28" s="16"/>
      <c r="R28" s="16"/>
      <c r="S28" s="63">
        <f t="shared" si="2"/>
        <v>0.191</v>
      </c>
      <c r="T28" s="16"/>
      <c r="U28" s="16">
        <f t="shared" si="3"/>
        <v>9.89</v>
      </c>
      <c r="V28" s="16">
        <f aca="true" t="shared" si="8" ref="V28:W38">ROUND((($I28+$J28+$O28+$P28+$Q28)/9),2)</f>
        <v>382.25</v>
      </c>
      <c r="W28" s="16">
        <f t="shared" si="8"/>
        <v>382.25</v>
      </c>
      <c r="X28" s="16"/>
      <c r="Y28" s="16"/>
      <c r="Z28" s="16"/>
      <c r="AA28" s="16"/>
      <c r="AB28" s="16"/>
      <c r="AC28" s="16"/>
      <c r="AD28" s="16"/>
      <c r="AE28" s="16"/>
      <c r="AF28" s="78"/>
      <c r="AG28" s="79"/>
    </row>
    <row r="29" spans="1:33" s="5" customFormat="1" ht="21.75" customHeight="1">
      <c r="A29" s="12">
        <f t="shared" si="0"/>
        <v>17</v>
      </c>
      <c r="B29" s="13">
        <f>C28</f>
        <v>9370</v>
      </c>
      <c r="C29" s="14">
        <v>10455.37</v>
      </c>
      <c r="D29" s="15" t="s">
        <v>25</v>
      </c>
      <c r="E29" s="16">
        <f t="shared" si="5"/>
        <v>1085.3700000000008</v>
      </c>
      <c r="F29" s="17">
        <v>10</v>
      </c>
      <c r="G29" s="18">
        <f>ROUND((1527.887-($F29/2))/1527.887,4)</f>
        <v>0.9967</v>
      </c>
      <c r="H29" s="18">
        <f>ROUND((1527.887-($F29))/1527.887,4)</f>
        <v>0.9935</v>
      </c>
      <c r="I29" s="16">
        <f t="shared" si="6"/>
        <v>10817.88</v>
      </c>
      <c r="J29" s="16"/>
      <c r="K29" s="16"/>
      <c r="L29" s="16"/>
      <c r="M29" s="16"/>
      <c r="N29" s="16"/>
      <c r="O29" s="16">
        <f t="shared" si="7"/>
        <v>1617.47</v>
      </c>
      <c r="P29" s="16"/>
      <c r="Q29" s="16"/>
      <c r="R29" s="16"/>
      <c r="S29" s="63">
        <f t="shared" si="2"/>
        <v>0.691</v>
      </c>
      <c r="T29" s="16"/>
      <c r="U29" s="16">
        <f t="shared" si="3"/>
        <v>35.75</v>
      </c>
      <c r="V29" s="16">
        <f t="shared" si="8"/>
        <v>1381.71</v>
      </c>
      <c r="W29" s="16">
        <f t="shared" si="8"/>
        <v>1381.71</v>
      </c>
      <c r="X29" s="16"/>
      <c r="Y29" s="16"/>
      <c r="Z29" s="16"/>
      <c r="AA29" s="16"/>
      <c r="AB29" s="16"/>
      <c r="AC29" s="16"/>
      <c r="AD29" s="16"/>
      <c r="AE29" s="16"/>
      <c r="AF29" s="78"/>
      <c r="AG29" s="79"/>
    </row>
    <row r="30" spans="1:33" s="5" customFormat="1" ht="21.75" customHeight="1">
      <c r="A30" s="12">
        <f t="shared" si="0"/>
        <v>18</v>
      </c>
      <c r="B30" s="13">
        <f>C29</f>
        <v>10455.37</v>
      </c>
      <c r="C30" s="14">
        <v>10655.37</v>
      </c>
      <c r="D30" s="15" t="s">
        <v>25</v>
      </c>
      <c r="E30" s="16">
        <f t="shared" si="5"/>
        <v>200</v>
      </c>
      <c r="F30" s="17">
        <v>10</v>
      </c>
      <c r="G30" s="18">
        <f>ROUND((((9822.134-($F30/2))/9822.134)+((1527.887-($F30/2))/1527.887))/2,4)</f>
        <v>0.9981</v>
      </c>
      <c r="H30" s="18">
        <f>ROUND((((9822.134-($F30))/9822.134)+((1527.887-($F30))/1527.887))/2,4)</f>
        <v>0.9962</v>
      </c>
      <c r="I30" s="16">
        <f t="shared" si="6"/>
        <v>1996.2</v>
      </c>
      <c r="J30" s="16"/>
      <c r="K30" s="16"/>
      <c r="L30" s="16"/>
      <c r="M30" s="16"/>
      <c r="N30" s="16"/>
      <c r="O30" s="16">
        <f t="shared" si="7"/>
        <v>298.86</v>
      </c>
      <c r="P30" s="16"/>
      <c r="Q30" s="16"/>
      <c r="R30" s="16"/>
      <c r="S30" s="63">
        <f t="shared" si="2"/>
        <v>0.128</v>
      </c>
      <c r="T30" s="16"/>
      <c r="U30" s="16">
        <f t="shared" si="3"/>
        <v>6.6</v>
      </c>
      <c r="V30" s="16">
        <f t="shared" si="8"/>
        <v>255.01</v>
      </c>
      <c r="W30" s="16">
        <f t="shared" si="8"/>
        <v>255.01</v>
      </c>
      <c r="X30" s="16"/>
      <c r="Y30" s="16"/>
      <c r="Z30" s="16"/>
      <c r="AA30" s="16"/>
      <c r="AB30" s="16"/>
      <c r="AC30" s="16"/>
      <c r="AD30" s="16"/>
      <c r="AE30" s="16"/>
      <c r="AF30" s="78"/>
      <c r="AG30" s="79"/>
    </row>
    <row r="31" spans="1:33" s="5" customFormat="1" ht="21.75" customHeight="1">
      <c r="A31" s="12">
        <f t="shared" si="0"/>
        <v>19</v>
      </c>
      <c r="B31" s="13">
        <f>C30</f>
        <v>10655.37</v>
      </c>
      <c r="C31" s="14">
        <v>11403.67</v>
      </c>
      <c r="D31" s="15" t="s">
        <v>25</v>
      </c>
      <c r="E31" s="16">
        <f t="shared" si="5"/>
        <v>748.2999999999993</v>
      </c>
      <c r="F31" s="17">
        <v>10</v>
      </c>
      <c r="G31" s="18">
        <f>ROUND((9822.134-($F31/2))/9822.134,4)</f>
        <v>0.9995</v>
      </c>
      <c r="H31" s="18">
        <f>ROUND((9822.134-($F31))/9822.134,4)</f>
        <v>0.999</v>
      </c>
      <c r="I31" s="16">
        <f t="shared" si="6"/>
        <v>7479.26</v>
      </c>
      <c r="J31" s="16"/>
      <c r="K31" s="16"/>
      <c r="L31" s="16"/>
      <c r="M31" s="16"/>
      <c r="N31" s="16"/>
      <c r="O31" s="16">
        <f t="shared" si="7"/>
        <v>1121.33</v>
      </c>
      <c r="P31" s="16"/>
      <c r="Q31" s="16"/>
      <c r="R31" s="16"/>
      <c r="S31" s="63">
        <f t="shared" si="2"/>
        <v>0.478</v>
      </c>
      <c r="T31" s="16"/>
      <c r="U31" s="16">
        <f t="shared" si="3"/>
        <v>24.73</v>
      </c>
      <c r="V31" s="16">
        <f t="shared" si="8"/>
        <v>955.62</v>
      </c>
      <c r="W31" s="16">
        <f t="shared" si="8"/>
        <v>955.62</v>
      </c>
      <c r="X31" s="16"/>
      <c r="Y31" s="16"/>
      <c r="Z31" s="16"/>
      <c r="AA31" s="16"/>
      <c r="AB31" s="16"/>
      <c r="AC31" s="16"/>
      <c r="AD31" s="16"/>
      <c r="AE31" s="16"/>
      <c r="AF31" s="78"/>
      <c r="AG31" s="79"/>
    </row>
    <row r="32" spans="1:33" s="5" customFormat="1" ht="21.75" customHeight="1">
      <c r="A32" s="12">
        <f t="shared" si="0"/>
        <v>20</v>
      </c>
      <c r="B32" s="13">
        <f>C31</f>
        <v>11403.67</v>
      </c>
      <c r="C32" s="14">
        <v>11413.78</v>
      </c>
      <c r="D32" s="15" t="s">
        <v>25</v>
      </c>
      <c r="E32" s="16">
        <f t="shared" si="5"/>
        <v>10.110000000000582</v>
      </c>
      <c r="F32" s="17">
        <f>ROUND(AVERAGE(10.404,10),2)</f>
        <v>10.2</v>
      </c>
      <c r="G32" s="18">
        <f>ROUND((9822.134-($F32/2))/9822.134,4)</f>
        <v>0.9995</v>
      </c>
      <c r="H32" s="18">
        <f>ROUND((9822.134-($F32))/9822.134,4)</f>
        <v>0.999</v>
      </c>
      <c r="I32" s="16">
        <f t="shared" si="6"/>
        <v>103.07</v>
      </c>
      <c r="J32" s="16"/>
      <c r="K32" s="16"/>
      <c r="L32" s="16"/>
      <c r="M32" s="16"/>
      <c r="N32" s="16"/>
      <c r="O32" s="16">
        <f t="shared" si="7"/>
        <v>15.15</v>
      </c>
      <c r="P32" s="16"/>
      <c r="Q32" s="16"/>
      <c r="R32" s="16"/>
      <c r="S32" s="63">
        <f t="shared" si="2"/>
        <v>0.007</v>
      </c>
      <c r="T32" s="16"/>
      <c r="U32" s="16">
        <f t="shared" si="3"/>
        <v>0.34</v>
      </c>
      <c r="V32" s="16">
        <f t="shared" si="8"/>
        <v>13.14</v>
      </c>
      <c r="W32" s="16">
        <f t="shared" si="8"/>
        <v>13.14</v>
      </c>
      <c r="X32" s="16"/>
      <c r="Y32" s="16"/>
      <c r="Z32" s="16"/>
      <c r="AA32" s="16"/>
      <c r="AB32" s="16"/>
      <c r="AC32" s="16"/>
      <c r="AD32" s="16"/>
      <c r="AE32" s="16"/>
      <c r="AF32" s="78"/>
      <c r="AG32" s="79"/>
    </row>
    <row r="33" spans="1:33" s="5" customFormat="1" ht="21.75" customHeight="1">
      <c r="A33" s="12">
        <f t="shared" si="0"/>
        <v>21</v>
      </c>
      <c r="B33" s="13"/>
      <c r="C33" s="14"/>
      <c r="D33" s="15"/>
      <c r="E33" s="16"/>
      <c r="F33" s="17"/>
      <c r="G33" s="18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63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78"/>
      <c r="AG33" s="79"/>
    </row>
    <row r="34" spans="1:33" s="5" customFormat="1" ht="21.75" customHeight="1">
      <c r="A34" s="12">
        <f t="shared" si="0"/>
        <v>22</v>
      </c>
      <c r="B34" s="14">
        <v>9431.42</v>
      </c>
      <c r="C34" s="14">
        <v>9450</v>
      </c>
      <c r="D34" s="15" t="s">
        <v>20</v>
      </c>
      <c r="E34" s="16">
        <f t="shared" si="5"/>
        <v>18.579999999999927</v>
      </c>
      <c r="F34" s="104" t="s">
        <v>23</v>
      </c>
      <c r="G34" s="105"/>
      <c r="H34" s="105"/>
      <c r="I34" s="106"/>
      <c r="J34" s="16">
        <v>74.59</v>
      </c>
      <c r="K34" s="16"/>
      <c r="L34" s="16"/>
      <c r="M34" s="16"/>
      <c r="N34" s="16"/>
      <c r="O34" s="16">
        <f t="shared" si="7"/>
        <v>27.87</v>
      </c>
      <c r="P34" s="16"/>
      <c r="Q34" s="16"/>
      <c r="R34" s="16"/>
      <c r="S34" s="63">
        <f t="shared" si="2"/>
        <v>0.006</v>
      </c>
      <c r="T34" s="16"/>
      <c r="U34" s="16">
        <f t="shared" si="3"/>
        <v>0.29</v>
      </c>
      <c r="V34" s="16">
        <f t="shared" si="8"/>
        <v>11.38</v>
      </c>
      <c r="W34" s="16">
        <f t="shared" si="8"/>
        <v>11.38</v>
      </c>
      <c r="X34" s="16"/>
      <c r="Y34" s="16"/>
      <c r="Z34" s="16"/>
      <c r="AA34" s="16"/>
      <c r="AB34" s="16"/>
      <c r="AC34" s="16"/>
      <c r="AD34" s="16"/>
      <c r="AE34" s="16"/>
      <c r="AF34" s="78"/>
      <c r="AG34" s="79"/>
    </row>
    <row r="35" spans="1:33" s="5" customFormat="1" ht="21.75" customHeight="1">
      <c r="A35" s="12">
        <f t="shared" si="0"/>
        <v>23</v>
      </c>
      <c r="B35" s="13">
        <f>C34</f>
        <v>9450</v>
      </c>
      <c r="C35" s="14">
        <v>10455.37</v>
      </c>
      <c r="D35" s="15" t="s">
        <v>20</v>
      </c>
      <c r="E35" s="16">
        <f t="shared" si="5"/>
        <v>1005.3700000000008</v>
      </c>
      <c r="F35" s="17">
        <v>4</v>
      </c>
      <c r="G35" s="18">
        <f>ROUND((1527.887+24+($F35/2))/1527.887,4)</f>
        <v>1.017</v>
      </c>
      <c r="H35" s="18">
        <f>ROUND((1527.887+24+($F35))/1527.887,4)</f>
        <v>1.0183</v>
      </c>
      <c r="I35" s="16">
        <f>IF(G35=0,ROUND($E35*$F35,2),ROUND($E35*$F35*$G35,2))</f>
        <v>4089.85</v>
      </c>
      <c r="J35" s="16"/>
      <c r="K35" s="16"/>
      <c r="L35" s="16"/>
      <c r="M35" s="16"/>
      <c r="N35" s="16"/>
      <c r="O35" s="16">
        <f t="shared" si="7"/>
        <v>1535.65</v>
      </c>
      <c r="P35" s="16"/>
      <c r="Q35" s="16"/>
      <c r="R35" s="16"/>
      <c r="S35" s="63">
        <f t="shared" si="2"/>
        <v>0.313</v>
      </c>
      <c r="T35" s="16"/>
      <c r="U35" s="16">
        <f t="shared" si="3"/>
        <v>16.17</v>
      </c>
      <c r="V35" s="16">
        <f t="shared" si="8"/>
        <v>625.06</v>
      </c>
      <c r="W35" s="16">
        <f t="shared" si="8"/>
        <v>625.06</v>
      </c>
      <c r="X35" s="16"/>
      <c r="Y35" s="16"/>
      <c r="Z35" s="16"/>
      <c r="AA35" s="16"/>
      <c r="AB35" s="16"/>
      <c r="AC35" s="16"/>
      <c r="AD35" s="16"/>
      <c r="AE35" s="16"/>
      <c r="AF35" s="78"/>
      <c r="AG35" s="79"/>
    </row>
    <row r="36" spans="1:33" s="5" customFormat="1" ht="21.75" customHeight="1">
      <c r="A36" s="12">
        <f t="shared" si="0"/>
        <v>24</v>
      </c>
      <c r="B36" s="13">
        <f>C35</f>
        <v>10455.37</v>
      </c>
      <c r="C36" s="14">
        <v>10573.54</v>
      </c>
      <c r="D36" s="15" t="s">
        <v>20</v>
      </c>
      <c r="E36" s="16">
        <f t="shared" si="5"/>
        <v>118.17000000000007</v>
      </c>
      <c r="F36" s="104" t="s">
        <v>23</v>
      </c>
      <c r="G36" s="105"/>
      <c r="H36" s="105"/>
      <c r="I36" s="106"/>
      <c r="J36" s="16">
        <v>477.67</v>
      </c>
      <c r="K36" s="16"/>
      <c r="L36" s="16"/>
      <c r="M36" s="16"/>
      <c r="N36" s="16"/>
      <c r="O36" s="16">
        <f t="shared" si="7"/>
        <v>177.26</v>
      </c>
      <c r="P36" s="16"/>
      <c r="Q36" s="16"/>
      <c r="R36" s="16"/>
      <c r="S36" s="63">
        <f t="shared" si="2"/>
        <v>0.036</v>
      </c>
      <c r="T36" s="16"/>
      <c r="U36" s="16">
        <f t="shared" si="3"/>
        <v>1.88</v>
      </c>
      <c r="V36" s="16">
        <f t="shared" si="8"/>
        <v>72.77</v>
      </c>
      <c r="W36" s="16">
        <f t="shared" si="8"/>
        <v>72.77</v>
      </c>
      <c r="X36" s="16"/>
      <c r="Y36" s="16"/>
      <c r="Z36" s="16"/>
      <c r="AA36" s="16"/>
      <c r="AB36" s="16"/>
      <c r="AC36" s="16"/>
      <c r="AD36" s="16"/>
      <c r="AE36" s="16"/>
      <c r="AF36" s="78"/>
      <c r="AG36" s="79"/>
    </row>
    <row r="37" spans="1:33" s="5" customFormat="1" ht="21.75" customHeight="1">
      <c r="A37" s="12">
        <f t="shared" si="0"/>
        <v>25</v>
      </c>
      <c r="B37" s="13"/>
      <c r="C37" s="14"/>
      <c r="D37" s="15"/>
      <c r="E37" s="16"/>
      <c r="F37" s="23"/>
      <c r="G37" s="18"/>
      <c r="H37" s="16"/>
      <c r="I37" s="17"/>
      <c r="J37" s="16"/>
      <c r="K37" s="16"/>
      <c r="L37" s="16"/>
      <c r="M37" s="16"/>
      <c r="N37" s="16"/>
      <c r="O37" s="16"/>
      <c r="P37" s="16"/>
      <c r="Q37" s="16"/>
      <c r="R37" s="16"/>
      <c r="S37" s="63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78"/>
      <c r="AG37" s="79"/>
    </row>
    <row r="38" spans="1:33" s="5" customFormat="1" ht="21.75" customHeight="1">
      <c r="A38" s="12">
        <f t="shared" si="0"/>
        <v>26</v>
      </c>
      <c r="B38" s="14" t="s">
        <v>55</v>
      </c>
      <c r="C38" s="14" t="s">
        <v>56</v>
      </c>
      <c r="D38" s="15" t="s">
        <v>20</v>
      </c>
      <c r="E38" s="16">
        <v>37.85</v>
      </c>
      <c r="F38" s="17">
        <f>ROUND(AVERAGE(10.404,11.918),2)</f>
        <v>11.16</v>
      </c>
      <c r="G38" s="16"/>
      <c r="H38" s="16"/>
      <c r="I38" s="16">
        <f>IF(G38=0,ROUND($E38*$F38,2),ROUND($E38*$F38*$G38,2))</f>
        <v>422.41</v>
      </c>
      <c r="J38" s="16"/>
      <c r="K38" s="16"/>
      <c r="L38" s="16"/>
      <c r="M38" s="16"/>
      <c r="N38" s="16"/>
      <c r="O38" s="16">
        <f t="shared" si="7"/>
        <v>56.78</v>
      </c>
      <c r="P38" s="16"/>
      <c r="Q38" s="16"/>
      <c r="R38" s="16"/>
      <c r="S38" s="63">
        <f t="shared" si="2"/>
        <v>0.027</v>
      </c>
      <c r="T38" s="16"/>
      <c r="U38" s="16">
        <f t="shared" si="3"/>
        <v>1.38</v>
      </c>
      <c r="V38" s="16">
        <f t="shared" si="8"/>
        <v>53.24</v>
      </c>
      <c r="W38" s="16">
        <f t="shared" si="8"/>
        <v>53.24</v>
      </c>
      <c r="X38" s="16"/>
      <c r="Y38" s="16"/>
      <c r="Z38" s="16"/>
      <c r="AA38" s="16"/>
      <c r="AB38" s="16"/>
      <c r="AC38" s="16"/>
      <c r="AD38" s="16"/>
      <c r="AE38" s="16"/>
      <c r="AF38" s="78"/>
      <c r="AG38" s="79"/>
    </row>
    <row r="39" spans="1:33" s="5" customFormat="1" ht="21.75" customHeight="1">
      <c r="A39" s="12">
        <f t="shared" si="0"/>
        <v>27</v>
      </c>
      <c r="B39" s="13"/>
      <c r="C39" s="14"/>
      <c r="D39" s="15"/>
      <c r="E39" s="16"/>
      <c r="F39" s="23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63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78"/>
      <c r="AG39" s="79"/>
    </row>
    <row r="40" spans="1:33" s="5" customFormat="1" ht="21.75" customHeight="1">
      <c r="A40" s="12">
        <f t="shared" si="0"/>
        <v>28</v>
      </c>
      <c r="B40" s="110" t="s">
        <v>52</v>
      </c>
      <c r="C40" s="111"/>
      <c r="D40" s="111"/>
      <c r="E40" s="111"/>
      <c r="F40" s="111"/>
      <c r="G40" s="111"/>
      <c r="H40" s="111"/>
      <c r="I40" s="112"/>
      <c r="J40" s="16"/>
      <c r="K40" s="16"/>
      <c r="L40" s="16"/>
      <c r="M40" s="16"/>
      <c r="N40" s="16"/>
      <c r="O40" s="16"/>
      <c r="P40" s="16"/>
      <c r="Q40" s="16"/>
      <c r="R40" s="16"/>
      <c r="S40" s="63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78"/>
      <c r="AG40" s="79"/>
    </row>
    <row r="41" spans="1:33" s="5" customFormat="1" ht="21.75" customHeight="1">
      <c r="A41" s="12">
        <f t="shared" si="0"/>
        <v>29</v>
      </c>
      <c r="B41" s="19" t="s">
        <v>19</v>
      </c>
      <c r="C41" s="14"/>
      <c r="D41" s="15"/>
      <c r="E41" s="16"/>
      <c r="F41" s="17"/>
      <c r="G41" s="18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63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78"/>
      <c r="AG41" s="79"/>
    </row>
    <row r="42" spans="1:33" s="5" customFormat="1" ht="21.75" customHeight="1">
      <c r="A42" s="12">
        <f t="shared" si="0"/>
        <v>30</v>
      </c>
      <c r="B42" s="13">
        <v>19705.36</v>
      </c>
      <c r="C42" s="14">
        <v>19905.36</v>
      </c>
      <c r="D42" s="15" t="s">
        <v>20</v>
      </c>
      <c r="E42" s="16">
        <f aca="true" t="shared" si="9" ref="E42:E52">C42-B42</f>
        <v>200</v>
      </c>
      <c r="F42" s="17">
        <v>16</v>
      </c>
      <c r="G42" s="18">
        <f>ROUND((((848.826+($F42/2))/848.826)+1)/2,4)</f>
        <v>1.0047</v>
      </c>
      <c r="H42" s="16"/>
      <c r="I42" s="16">
        <f aca="true" t="shared" si="10" ref="I42:I48">IF(G42=0,ROUND($E42*$F42,2),ROUND($E42*$F42*$G42,2))</f>
        <v>3215.04</v>
      </c>
      <c r="J42" s="16"/>
      <c r="K42" s="16"/>
      <c r="L42" s="16"/>
      <c r="M42" s="16"/>
      <c r="N42" s="16"/>
      <c r="O42" s="16"/>
      <c r="P42" s="16"/>
      <c r="Q42" s="16"/>
      <c r="R42" s="16"/>
      <c r="S42" s="63">
        <f t="shared" si="2"/>
        <v>0.179</v>
      </c>
      <c r="T42" s="16"/>
      <c r="U42" s="16">
        <f t="shared" si="3"/>
        <v>9.24</v>
      </c>
      <c r="V42" s="16">
        <f aca="true" t="shared" si="11" ref="V42:W48">ROUND((($I42+$J42)/9),2)</f>
        <v>357.23</v>
      </c>
      <c r="W42" s="16">
        <f t="shared" si="11"/>
        <v>357.23</v>
      </c>
      <c r="X42" s="16"/>
      <c r="Y42" s="16"/>
      <c r="Z42" s="16"/>
      <c r="AA42" s="16"/>
      <c r="AB42" s="16"/>
      <c r="AC42" s="16"/>
      <c r="AD42" s="16"/>
      <c r="AE42" s="16"/>
      <c r="AF42" s="78"/>
      <c r="AG42" s="79"/>
    </row>
    <row r="43" spans="1:33" s="5" customFormat="1" ht="21.75" customHeight="1">
      <c r="A43" s="12">
        <f t="shared" si="0"/>
        <v>31</v>
      </c>
      <c r="B43" s="14">
        <f aca="true" t="shared" si="12" ref="B43:B48">C42</f>
        <v>19905.36</v>
      </c>
      <c r="C43" s="14">
        <v>20399.5</v>
      </c>
      <c r="D43" s="15" t="s">
        <v>20</v>
      </c>
      <c r="E43" s="16">
        <f t="shared" si="9"/>
        <v>494.1399999999994</v>
      </c>
      <c r="F43" s="17">
        <v>16</v>
      </c>
      <c r="G43" s="18">
        <f>ROUND((848.826+($F43/2))/848.826,4)</f>
        <v>1.0094</v>
      </c>
      <c r="H43" s="16"/>
      <c r="I43" s="16">
        <f t="shared" si="10"/>
        <v>7980.56</v>
      </c>
      <c r="J43" s="16"/>
      <c r="K43" s="16"/>
      <c r="L43" s="16"/>
      <c r="M43" s="16"/>
      <c r="N43" s="16"/>
      <c r="O43" s="16"/>
      <c r="P43" s="16"/>
      <c r="Q43" s="16"/>
      <c r="R43" s="16"/>
      <c r="S43" s="63">
        <f t="shared" si="2"/>
        <v>0.443</v>
      </c>
      <c r="T43" s="16"/>
      <c r="U43" s="16">
        <f t="shared" si="3"/>
        <v>22.94</v>
      </c>
      <c r="V43" s="16">
        <f t="shared" si="11"/>
        <v>886.73</v>
      </c>
      <c r="W43" s="16">
        <f t="shared" si="11"/>
        <v>886.73</v>
      </c>
      <c r="X43" s="16"/>
      <c r="Y43" s="16"/>
      <c r="Z43" s="16"/>
      <c r="AA43" s="16"/>
      <c r="AB43" s="16"/>
      <c r="AC43" s="16"/>
      <c r="AD43" s="16"/>
      <c r="AE43" s="16"/>
      <c r="AF43" s="78"/>
      <c r="AG43" s="79"/>
    </row>
    <row r="44" spans="1:33" s="5" customFormat="1" ht="21.75" customHeight="1">
      <c r="A44" s="12">
        <f t="shared" si="0"/>
        <v>32</v>
      </c>
      <c r="B44" s="13">
        <f t="shared" si="12"/>
        <v>20399.5</v>
      </c>
      <c r="C44" s="14">
        <v>20599.5</v>
      </c>
      <c r="D44" s="15" t="s">
        <v>20</v>
      </c>
      <c r="E44" s="16">
        <f t="shared" si="9"/>
        <v>200</v>
      </c>
      <c r="F44" s="17">
        <v>16</v>
      </c>
      <c r="G44" s="18">
        <f>ROUND((((848.826+($F44/2))/848.826)+1)/2,4)</f>
        <v>1.0047</v>
      </c>
      <c r="H44" s="16"/>
      <c r="I44" s="16">
        <f t="shared" si="10"/>
        <v>3215.04</v>
      </c>
      <c r="J44" s="16"/>
      <c r="K44" s="16"/>
      <c r="L44" s="16"/>
      <c r="M44" s="16"/>
      <c r="N44" s="16"/>
      <c r="O44" s="16"/>
      <c r="P44" s="16"/>
      <c r="Q44" s="16"/>
      <c r="R44" s="16"/>
      <c r="S44" s="63">
        <f t="shared" si="2"/>
        <v>0.179</v>
      </c>
      <c r="T44" s="16"/>
      <c r="U44" s="16">
        <f t="shared" si="3"/>
        <v>9.24</v>
      </c>
      <c r="V44" s="16">
        <f t="shared" si="11"/>
        <v>357.23</v>
      </c>
      <c r="W44" s="16">
        <f t="shared" si="11"/>
        <v>357.23</v>
      </c>
      <c r="X44" s="16"/>
      <c r="Y44" s="16"/>
      <c r="Z44" s="16"/>
      <c r="AA44" s="16"/>
      <c r="AB44" s="16"/>
      <c r="AC44" s="16"/>
      <c r="AD44" s="16"/>
      <c r="AE44" s="16"/>
      <c r="AF44" s="78"/>
      <c r="AG44" s="79"/>
    </row>
    <row r="45" spans="1:33" s="5" customFormat="1" ht="21.75" customHeight="1">
      <c r="A45" s="12">
        <f t="shared" si="0"/>
        <v>33</v>
      </c>
      <c r="B45" s="13">
        <f t="shared" si="12"/>
        <v>20599.5</v>
      </c>
      <c r="C45" s="14">
        <v>20773.39</v>
      </c>
      <c r="D45" s="15" t="s">
        <v>20</v>
      </c>
      <c r="E45" s="16">
        <f t="shared" si="9"/>
        <v>173.88999999999942</v>
      </c>
      <c r="F45" s="17">
        <v>16</v>
      </c>
      <c r="G45" s="18"/>
      <c r="H45" s="16"/>
      <c r="I45" s="16">
        <f t="shared" si="10"/>
        <v>2782.24</v>
      </c>
      <c r="J45" s="16"/>
      <c r="K45" s="16"/>
      <c r="L45" s="16"/>
      <c r="M45" s="16"/>
      <c r="N45" s="16"/>
      <c r="O45" s="16"/>
      <c r="P45" s="16"/>
      <c r="Q45" s="16"/>
      <c r="R45" s="16"/>
      <c r="S45" s="63">
        <f t="shared" si="2"/>
        <v>0.155</v>
      </c>
      <c r="T45" s="16"/>
      <c r="U45" s="16">
        <f t="shared" si="3"/>
        <v>8</v>
      </c>
      <c r="V45" s="16">
        <f t="shared" si="11"/>
        <v>309.14</v>
      </c>
      <c r="W45" s="16">
        <f t="shared" si="11"/>
        <v>309.14</v>
      </c>
      <c r="X45" s="16"/>
      <c r="Y45" s="16"/>
      <c r="Z45" s="16"/>
      <c r="AA45" s="16"/>
      <c r="AB45" s="16"/>
      <c r="AC45" s="16"/>
      <c r="AD45" s="16"/>
      <c r="AE45" s="16"/>
      <c r="AF45" s="78"/>
      <c r="AG45" s="79"/>
    </row>
    <row r="46" spans="1:33" s="5" customFormat="1" ht="21.75" customHeight="1">
      <c r="A46" s="12">
        <f t="shared" si="0"/>
        <v>34</v>
      </c>
      <c r="B46" s="13">
        <f t="shared" si="12"/>
        <v>20773.39</v>
      </c>
      <c r="C46" s="14">
        <v>20973.39</v>
      </c>
      <c r="D46" s="15" t="s">
        <v>20</v>
      </c>
      <c r="E46" s="16">
        <f t="shared" si="9"/>
        <v>200</v>
      </c>
      <c r="F46" s="17">
        <v>16</v>
      </c>
      <c r="G46" s="18">
        <f>ROUND((((716.197+($F46/2))/716.197)+1)/2,4)</f>
        <v>1.0056</v>
      </c>
      <c r="H46" s="16"/>
      <c r="I46" s="16">
        <f t="shared" si="10"/>
        <v>3217.92</v>
      </c>
      <c r="J46" s="16"/>
      <c r="K46" s="16"/>
      <c r="L46" s="16"/>
      <c r="M46" s="16"/>
      <c r="N46" s="16"/>
      <c r="O46" s="16"/>
      <c r="P46" s="16"/>
      <c r="Q46" s="16"/>
      <c r="R46" s="16"/>
      <c r="S46" s="63">
        <f t="shared" si="2"/>
        <v>0.179</v>
      </c>
      <c r="T46" s="16"/>
      <c r="U46" s="16">
        <f t="shared" si="3"/>
        <v>9.25</v>
      </c>
      <c r="V46" s="16">
        <f t="shared" si="11"/>
        <v>357.55</v>
      </c>
      <c r="W46" s="16">
        <f t="shared" si="11"/>
        <v>357.55</v>
      </c>
      <c r="X46" s="16"/>
      <c r="Y46" s="16"/>
      <c r="Z46" s="16"/>
      <c r="AA46" s="16"/>
      <c r="AB46" s="16"/>
      <c r="AC46" s="16"/>
      <c r="AD46" s="16"/>
      <c r="AE46" s="16"/>
      <c r="AF46" s="78"/>
      <c r="AG46" s="79"/>
    </row>
    <row r="47" spans="1:33" s="5" customFormat="1" ht="21.75" customHeight="1">
      <c r="A47" s="12">
        <f t="shared" si="0"/>
        <v>35</v>
      </c>
      <c r="B47" s="13">
        <f t="shared" si="12"/>
        <v>20973.39</v>
      </c>
      <c r="C47" s="14">
        <v>21358.8</v>
      </c>
      <c r="D47" s="15" t="s">
        <v>20</v>
      </c>
      <c r="E47" s="16">
        <f t="shared" si="9"/>
        <v>385.40999999999985</v>
      </c>
      <c r="F47" s="17">
        <v>16</v>
      </c>
      <c r="G47" s="18">
        <f>ROUND((716.197+($F47/2))/716.197,4)</f>
        <v>1.0112</v>
      </c>
      <c r="H47" s="16"/>
      <c r="I47" s="16">
        <f t="shared" si="10"/>
        <v>6235.63</v>
      </c>
      <c r="J47" s="16"/>
      <c r="K47" s="16"/>
      <c r="L47" s="16"/>
      <c r="M47" s="16"/>
      <c r="N47" s="16"/>
      <c r="O47" s="16"/>
      <c r="P47" s="16"/>
      <c r="Q47" s="16"/>
      <c r="R47" s="16"/>
      <c r="S47" s="63">
        <f t="shared" si="2"/>
        <v>0.346</v>
      </c>
      <c r="T47" s="16"/>
      <c r="U47" s="16">
        <f t="shared" si="3"/>
        <v>17.93</v>
      </c>
      <c r="V47" s="16">
        <f t="shared" si="11"/>
        <v>692.85</v>
      </c>
      <c r="W47" s="16">
        <f t="shared" si="11"/>
        <v>692.85</v>
      </c>
      <c r="X47" s="16"/>
      <c r="Y47" s="16"/>
      <c r="Z47" s="16"/>
      <c r="AA47" s="16"/>
      <c r="AB47" s="16"/>
      <c r="AC47" s="16"/>
      <c r="AD47" s="16"/>
      <c r="AE47" s="16"/>
      <c r="AF47" s="78"/>
      <c r="AG47" s="79"/>
    </row>
    <row r="48" spans="1:33" s="5" customFormat="1" ht="21.75" customHeight="1">
      <c r="A48" s="12">
        <f t="shared" si="0"/>
        <v>36</v>
      </c>
      <c r="B48" s="13">
        <f t="shared" si="12"/>
        <v>21358.8</v>
      </c>
      <c r="C48" s="14">
        <v>21490</v>
      </c>
      <c r="D48" s="15" t="s">
        <v>20</v>
      </c>
      <c r="E48" s="16">
        <f t="shared" si="9"/>
        <v>131.20000000000073</v>
      </c>
      <c r="F48" s="17">
        <v>16</v>
      </c>
      <c r="G48" s="18">
        <f>ROUND((((716.197+($F48/2))/716.197)+1)/2,4)</f>
        <v>1.0056</v>
      </c>
      <c r="H48" s="16"/>
      <c r="I48" s="16">
        <f t="shared" si="10"/>
        <v>2110.96</v>
      </c>
      <c r="J48" s="16"/>
      <c r="K48" s="40"/>
      <c r="L48" s="16"/>
      <c r="M48" s="16"/>
      <c r="N48" s="16"/>
      <c r="O48" s="16"/>
      <c r="P48" s="16"/>
      <c r="Q48" s="16"/>
      <c r="R48" s="16"/>
      <c r="S48" s="63">
        <f t="shared" si="2"/>
        <v>0.117</v>
      </c>
      <c r="T48" s="16"/>
      <c r="U48" s="16">
        <f t="shared" si="3"/>
        <v>6.07</v>
      </c>
      <c r="V48" s="16">
        <f t="shared" si="11"/>
        <v>234.55</v>
      </c>
      <c r="W48" s="16">
        <f t="shared" si="11"/>
        <v>234.55</v>
      </c>
      <c r="X48" s="16"/>
      <c r="Y48" s="16"/>
      <c r="Z48" s="16"/>
      <c r="AA48" s="16"/>
      <c r="AB48" s="16"/>
      <c r="AC48" s="16"/>
      <c r="AD48" s="16"/>
      <c r="AE48" s="16"/>
      <c r="AF48" s="78"/>
      <c r="AG48" s="79"/>
    </row>
    <row r="49" spans="1:33" s="5" customFormat="1" ht="21.75" customHeight="1">
      <c r="A49" s="12">
        <f t="shared" si="0"/>
        <v>37</v>
      </c>
      <c r="B49" s="56"/>
      <c r="C49" s="57"/>
      <c r="D49" s="15"/>
      <c r="E49" s="16"/>
      <c r="F49" s="58"/>
      <c r="G49" s="18"/>
      <c r="H49" s="16"/>
      <c r="I49" s="53"/>
      <c r="J49" s="16"/>
      <c r="K49" s="16"/>
      <c r="L49" s="16"/>
      <c r="M49" s="16"/>
      <c r="N49" s="16"/>
      <c r="O49" s="16"/>
      <c r="P49" s="16"/>
      <c r="Q49" s="16"/>
      <c r="R49" s="16"/>
      <c r="S49" s="63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78"/>
      <c r="AG49" s="79"/>
    </row>
    <row r="50" spans="1:33" s="5" customFormat="1" ht="21.75" customHeight="1" thickBot="1">
      <c r="A50" s="12">
        <f t="shared" si="0"/>
        <v>38</v>
      </c>
      <c r="B50" s="19" t="s">
        <v>27</v>
      </c>
      <c r="C50" s="41"/>
      <c r="D50" s="15"/>
      <c r="E50" s="16"/>
      <c r="F50" s="58"/>
      <c r="G50" s="18"/>
      <c r="H50" s="16"/>
      <c r="I50" s="53"/>
      <c r="J50" s="16"/>
      <c r="K50" s="42"/>
      <c r="L50" s="16"/>
      <c r="M50" s="16"/>
      <c r="N50" s="16"/>
      <c r="O50" s="16"/>
      <c r="P50" s="16"/>
      <c r="Q50" s="42"/>
      <c r="R50" s="16"/>
      <c r="S50" s="63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78"/>
      <c r="AG50" s="79"/>
    </row>
    <row r="51" spans="1:33" s="5" customFormat="1" ht="21.75" customHeight="1">
      <c r="A51" s="12">
        <f t="shared" si="0"/>
        <v>39</v>
      </c>
      <c r="B51" s="14">
        <v>19705.36</v>
      </c>
      <c r="C51" s="39">
        <v>19805.36</v>
      </c>
      <c r="D51" s="15" t="s">
        <v>25</v>
      </c>
      <c r="E51" s="16">
        <f t="shared" si="9"/>
        <v>100</v>
      </c>
      <c r="F51" s="17">
        <f>ROUND(AVERAGE(10,8),2)</f>
        <v>9</v>
      </c>
      <c r="G51" s="18">
        <f>ROUND((((848.826-($F51/2))/848.826)+1)/2,4)</f>
        <v>0.9973</v>
      </c>
      <c r="H51" s="18">
        <f>ROUND((((848.826-($F51))/848.826)+1)/2,4)</f>
        <v>0.9947</v>
      </c>
      <c r="I51" s="16">
        <f aca="true" t="shared" si="13" ref="I51:I59">IF(G51=0,ROUND($E51*$F51,2),ROUND($E51*$F51*$G51,2))</f>
        <v>897.57</v>
      </c>
      <c r="J51" s="16"/>
      <c r="K51" s="42"/>
      <c r="L51" s="16"/>
      <c r="M51" s="16"/>
      <c r="N51" s="16"/>
      <c r="O51" s="16">
        <f>IF($H51=0,ROUND($E51*(O$72/12),2),ROUND($E51*(O$72/12)*$H51,2))</f>
        <v>149.21</v>
      </c>
      <c r="P51" s="16"/>
      <c r="Q51" s="42"/>
      <c r="R51" s="16"/>
      <c r="S51" s="63">
        <f t="shared" si="2"/>
        <v>0.058</v>
      </c>
      <c r="T51" s="16"/>
      <c r="U51" s="16">
        <f t="shared" si="3"/>
        <v>3.01</v>
      </c>
      <c r="V51" s="16">
        <f>ROUND((($I51+$J51+$O51+$P51+$Q51)/9),2)</f>
        <v>116.31</v>
      </c>
      <c r="W51" s="16">
        <f>ROUND((($I51+$J51+$O51+$P51+$Q51)/9),2)</f>
        <v>116.31</v>
      </c>
      <c r="X51" s="16"/>
      <c r="Y51" s="16"/>
      <c r="Z51" s="16"/>
      <c r="AA51" s="16"/>
      <c r="AB51" s="16"/>
      <c r="AC51" s="16"/>
      <c r="AD51" s="16"/>
      <c r="AE51" s="16"/>
      <c r="AF51" s="76" t="s">
        <v>91</v>
      </c>
      <c r="AG51" s="77"/>
    </row>
    <row r="52" spans="1:33" s="5" customFormat="1" ht="21.75" customHeight="1">
      <c r="A52" s="12">
        <f t="shared" si="0"/>
        <v>40</v>
      </c>
      <c r="B52" s="14">
        <f aca="true" t="shared" si="14" ref="B52:B59">C51</f>
        <v>19805.36</v>
      </c>
      <c r="C52" s="14">
        <v>19905.36</v>
      </c>
      <c r="D52" s="15" t="s">
        <v>25</v>
      </c>
      <c r="E52" s="16">
        <f t="shared" si="9"/>
        <v>100</v>
      </c>
      <c r="F52" s="17">
        <v>8</v>
      </c>
      <c r="G52" s="18">
        <f>ROUND((((848.826-($F52/2))/848.826)+1)/2,4)</f>
        <v>0.9976</v>
      </c>
      <c r="H52" s="18">
        <f>ROUND((((848.826-($F52))/848.826)+1)/2,4)</f>
        <v>0.9953</v>
      </c>
      <c r="I52" s="16">
        <f t="shared" si="13"/>
        <v>798.08</v>
      </c>
      <c r="J52" s="16"/>
      <c r="K52" s="16"/>
      <c r="L52" s="16"/>
      <c r="M52" s="16"/>
      <c r="N52" s="16"/>
      <c r="O52" s="16">
        <f aca="true" t="shared" si="15" ref="O52:O65">IF($H52=0,ROUND($E52*(O$72/12),2),ROUND($E52*(O$72/12)*$H52,2))</f>
        <v>149.3</v>
      </c>
      <c r="P52" s="16"/>
      <c r="Q52" s="42"/>
      <c r="R52" s="16"/>
      <c r="S52" s="63">
        <f t="shared" si="2"/>
        <v>0.053</v>
      </c>
      <c r="T52" s="16"/>
      <c r="U52" s="16">
        <f t="shared" si="3"/>
        <v>2.72</v>
      </c>
      <c r="V52" s="16">
        <f aca="true" t="shared" si="16" ref="V52:W65">ROUND((($I52+$J52+$O52+$P52+$Q52)/9),2)</f>
        <v>105.26</v>
      </c>
      <c r="W52" s="16">
        <f t="shared" si="16"/>
        <v>105.26</v>
      </c>
      <c r="X52" s="16"/>
      <c r="Y52" s="16"/>
      <c r="Z52" s="16"/>
      <c r="AA52" s="16"/>
      <c r="AB52" s="16"/>
      <c r="AC52" s="16"/>
      <c r="AD52" s="16"/>
      <c r="AE52" s="16"/>
      <c r="AF52" s="78"/>
      <c r="AG52" s="79"/>
    </row>
    <row r="53" spans="1:33" s="5" customFormat="1" ht="21.75" customHeight="1">
      <c r="A53" s="12">
        <f t="shared" si="0"/>
        <v>41</v>
      </c>
      <c r="B53" s="14">
        <f t="shared" si="14"/>
        <v>19905.36</v>
      </c>
      <c r="C53" s="14">
        <v>20399.5</v>
      </c>
      <c r="D53" s="15" t="s">
        <v>25</v>
      </c>
      <c r="E53" s="16">
        <f aca="true" t="shared" si="17" ref="E53:E65">C53-B53</f>
        <v>494.1399999999994</v>
      </c>
      <c r="F53" s="17">
        <v>8</v>
      </c>
      <c r="G53" s="18">
        <f>ROUND((848.826-($F53/2))/848.826,4)</f>
        <v>0.9953</v>
      </c>
      <c r="H53" s="18">
        <f>ROUND((848.826-($F53))/848.826,4)</f>
        <v>0.9906</v>
      </c>
      <c r="I53" s="16">
        <f t="shared" si="13"/>
        <v>3934.54</v>
      </c>
      <c r="J53" s="16"/>
      <c r="K53" s="16"/>
      <c r="L53" s="16"/>
      <c r="M53" s="16"/>
      <c r="N53" s="16"/>
      <c r="O53" s="16">
        <f t="shared" si="15"/>
        <v>734.24</v>
      </c>
      <c r="P53" s="16"/>
      <c r="Q53" s="42"/>
      <c r="R53" s="16"/>
      <c r="S53" s="63">
        <f t="shared" si="2"/>
        <v>0.259</v>
      </c>
      <c r="T53" s="16"/>
      <c r="U53" s="16">
        <f t="shared" si="3"/>
        <v>13.42</v>
      </c>
      <c r="V53" s="16">
        <f t="shared" si="16"/>
        <v>518.75</v>
      </c>
      <c r="W53" s="16">
        <f t="shared" si="16"/>
        <v>518.75</v>
      </c>
      <c r="X53" s="16"/>
      <c r="Y53" s="16"/>
      <c r="Z53" s="16"/>
      <c r="AA53" s="16"/>
      <c r="AB53" s="16"/>
      <c r="AC53" s="16"/>
      <c r="AD53" s="16"/>
      <c r="AE53" s="16"/>
      <c r="AF53" s="78"/>
      <c r="AG53" s="79"/>
    </row>
    <row r="54" spans="1:33" s="5" customFormat="1" ht="21.75" customHeight="1">
      <c r="A54" s="12">
        <f t="shared" si="0"/>
        <v>42</v>
      </c>
      <c r="B54" s="14">
        <f t="shared" si="14"/>
        <v>20399.5</v>
      </c>
      <c r="C54" s="14">
        <v>20449.5</v>
      </c>
      <c r="D54" s="15" t="s">
        <v>25</v>
      </c>
      <c r="E54" s="16">
        <f t="shared" si="17"/>
        <v>50</v>
      </c>
      <c r="F54" s="17">
        <f>ROUND(AVERAGE(6,8),2)</f>
        <v>7</v>
      </c>
      <c r="G54" s="18">
        <f>ROUND((((848.826-($F54/2))/848.826)+1)/2,4)</f>
        <v>0.9979</v>
      </c>
      <c r="H54" s="18">
        <f>ROUND((((848.826-($F54))/848.826)+1)/2,4)</f>
        <v>0.9959</v>
      </c>
      <c r="I54" s="16">
        <f t="shared" si="13"/>
        <v>349.27</v>
      </c>
      <c r="J54" s="16"/>
      <c r="K54" s="16"/>
      <c r="L54" s="16"/>
      <c r="M54" s="16"/>
      <c r="N54" s="16"/>
      <c r="O54" s="16">
        <f t="shared" si="15"/>
        <v>74.69</v>
      </c>
      <c r="P54" s="16"/>
      <c r="Q54" s="42"/>
      <c r="R54" s="16"/>
      <c r="S54" s="63">
        <f t="shared" si="2"/>
        <v>0.024</v>
      </c>
      <c r="T54" s="16"/>
      <c r="U54" s="16">
        <f t="shared" si="3"/>
        <v>1.22</v>
      </c>
      <c r="V54" s="16">
        <f t="shared" si="16"/>
        <v>47.11</v>
      </c>
      <c r="W54" s="16">
        <f t="shared" si="16"/>
        <v>47.11</v>
      </c>
      <c r="X54" s="16"/>
      <c r="Y54" s="16"/>
      <c r="Z54" s="16"/>
      <c r="AA54" s="16"/>
      <c r="AB54" s="16"/>
      <c r="AC54" s="16"/>
      <c r="AD54" s="16"/>
      <c r="AE54" s="16"/>
      <c r="AF54" s="78"/>
      <c r="AG54" s="79"/>
    </row>
    <row r="55" spans="1:33" s="5" customFormat="1" ht="21.75" customHeight="1">
      <c r="A55" s="12">
        <f t="shared" si="0"/>
        <v>43</v>
      </c>
      <c r="B55" s="14">
        <f t="shared" si="14"/>
        <v>20449.5</v>
      </c>
      <c r="C55" s="14">
        <v>20599.5</v>
      </c>
      <c r="D55" s="15" t="s">
        <v>25</v>
      </c>
      <c r="E55" s="16">
        <f t="shared" si="17"/>
        <v>150</v>
      </c>
      <c r="F55" s="17">
        <v>6</v>
      </c>
      <c r="G55" s="18">
        <f>ROUND((((848.826-($F55/2))/848.826)+1)/2,4)</f>
        <v>0.9982</v>
      </c>
      <c r="H55" s="18">
        <f>ROUND((((848.826-($F55))/848.826)+1)/2,4)</f>
        <v>0.9965</v>
      </c>
      <c r="I55" s="16">
        <f t="shared" si="13"/>
        <v>898.38</v>
      </c>
      <c r="J55" s="16"/>
      <c r="K55" s="16"/>
      <c r="L55" s="16"/>
      <c r="M55" s="16"/>
      <c r="N55" s="16"/>
      <c r="O55" s="16">
        <f t="shared" si="15"/>
        <v>224.21</v>
      </c>
      <c r="P55" s="16"/>
      <c r="Q55" s="42"/>
      <c r="R55" s="16"/>
      <c r="S55" s="63">
        <f t="shared" si="2"/>
        <v>0.062</v>
      </c>
      <c r="T55" s="16"/>
      <c r="U55" s="16">
        <f t="shared" si="3"/>
        <v>3.23</v>
      </c>
      <c r="V55" s="16">
        <f t="shared" si="16"/>
        <v>124.73</v>
      </c>
      <c r="W55" s="16">
        <f t="shared" si="16"/>
        <v>124.73</v>
      </c>
      <c r="X55" s="16"/>
      <c r="Y55" s="16"/>
      <c r="Z55" s="16"/>
      <c r="AA55" s="16"/>
      <c r="AB55" s="16"/>
      <c r="AC55" s="16"/>
      <c r="AD55" s="16"/>
      <c r="AE55" s="16"/>
      <c r="AF55" s="78"/>
      <c r="AG55" s="79"/>
    </row>
    <row r="56" spans="1:33" s="5" customFormat="1" ht="21.75" customHeight="1">
      <c r="A56" s="12">
        <f t="shared" si="0"/>
        <v>44</v>
      </c>
      <c r="B56" s="13">
        <f t="shared" si="14"/>
        <v>20599.5</v>
      </c>
      <c r="C56" s="14">
        <v>20773.39</v>
      </c>
      <c r="D56" s="15" t="s">
        <v>25</v>
      </c>
      <c r="E56" s="16">
        <f t="shared" si="17"/>
        <v>173.88999999999942</v>
      </c>
      <c r="F56" s="17">
        <v>6</v>
      </c>
      <c r="G56" s="18"/>
      <c r="H56" s="18"/>
      <c r="I56" s="16">
        <f t="shared" si="13"/>
        <v>1043.34</v>
      </c>
      <c r="J56" s="16"/>
      <c r="K56" s="16"/>
      <c r="L56" s="16"/>
      <c r="M56" s="16"/>
      <c r="N56" s="16"/>
      <c r="O56" s="16">
        <f t="shared" si="15"/>
        <v>260.83</v>
      </c>
      <c r="P56" s="16"/>
      <c r="Q56" s="42"/>
      <c r="R56" s="16"/>
      <c r="S56" s="63">
        <f t="shared" si="2"/>
        <v>0.072</v>
      </c>
      <c r="T56" s="16"/>
      <c r="U56" s="16">
        <f t="shared" si="3"/>
        <v>3.75</v>
      </c>
      <c r="V56" s="16">
        <f t="shared" si="16"/>
        <v>144.91</v>
      </c>
      <c r="W56" s="16">
        <f t="shared" si="16"/>
        <v>144.91</v>
      </c>
      <c r="X56" s="16"/>
      <c r="Y56" s="16"/>
      <c r="Z56" s="16"/>
      <c r="AA56" s="16"/>
      <c r="AB56" s="16"/>
      <c r="AC56" s="16"/>
      <c r="AD56" s="16"/>
      <c r="AE56" s="16"/>
      <c r="AF56" s="78"/>
      <c r="AG56" s="79"/>
    </row>
    <row r="57" spans="1:33" s="5" customFormat="1" ht="21.75" customHeight="1">
      <c r="A57" s="12">
        <f t="shared" si="0"/>
        <v>45</v>
      </c>
      <c r="B57" s="13">
        <f t="shared" si="14"/>
        <v>20773.39</v>
      </c>
      <c r="C57" s="14">
        <v>20973.39</v>
      </c>
      <c r="D57" s="15" t="s">
        <v>25</v>
      </c>
      <c r="E57" s="16">
        <f t="shared" si="17"/>
        <v>200</v>
      </c>
      <c r="F57" s="17">
        <v>6</v>
      </c>
      <c r="G57" s="18">
        <f>ROUND((((716.197-($F57/2))/716.197)+1)/2,4)</f>
        <v>0.9979</v>
      </c>
      <c r="H57" s="18">
        <f>ROUND((((716.197-($F57))/716.197)+1)/2,4)</f>
        <v>0.9958</v>
      </c>
      <c r="I57" s="16">
        <f t="shared" si="13"/>
        <v>1197.48</v>
      </c>
      <c r="J57" s="16"/>
      <c r="K57" s="16"/>
      <c r="L57" s="16"/>
      <c r="M57" s="16"/>
      <c r="N57" s="16"/>
      <c r="O57" s="16">
        <f t="shared" si="15"/>
        <v>298.74</v>
      </c>
      <c r="P57" s="16"/>
      <c r="Q57" s="42"/>
      <c r="R57" s="16"/>
      <c r="S57" s="63">
        <f t="shared" si="2"/>
        <v>0.083</v>
      </c>
      <c r="T57" s="16"/>
      <c r="U57" s="16">
        <f t="shared" si="3"/>
        <v>4.3</v>
      </c>
      <c r="V57" s="16">
        <f t="shared" si="16"/>
        <v>166.25</v>
      </c>
      <c r="W57" s="16">
        <f t="shared" si="16"/>
        <v>166.25</v>
      </c>
      <c r="X57" s="16"/>
      <c r="Y57" s="16"/>
      <c r="Z57" s="16"/>
      <c r="AA57" s="16"/>
      <c r="AB57" s="16"/>
      <c r="AC57" s="16"/>
      <c r="AD57" s="16"/>
      <c r="AE57" s="16"/>
      <c r="AF57" s="78"/>
      <c r="AG57" s="79"/>
    </row>
    <row r="58" spans="1:33" s="5" customFormat="1" ht="21.75" customHeight="1">
      <c r="A58" s="12">
        <f t="shared" si="0"/>
        <v>46</v>
      </c>
      <c r="B58" s="13">
        <f t="shared" si="14"/>
        <v>20973.39</v>
      </c>
      <c r="C58" s="14">
        <v>21358.8</v>
      </c>
      <c r="D58" s="15" t="s">
        <v>25</v>
      </c>
      <c r="E58" s="16">
        <f t="shared" si="17"/>
        <v>385.40999999999985</v>
      </c>
      <c r="F58" s="17">
        <v>6</v>
      </c>
      <c r="G58" s="18">
        <f>ROUND((716.197-($F58/2))/716.197,4)</f>
        <v>0.9958</v>
      </c>
      <c r="H58" s="18">
        <f>ROUND((716.197-($F58))/716.197,4)</f>
        <v>0.9916</v>
      </c>
      <c r="I58" s="16">
        <f t="shared" si="13"/>
        <v>2302.75</v>
      </c>
      <c r="J58" s="16"/>
      <c r="K58" s="16"/>
      <c r="L58" s="16"/>
      <c r="M58" s="16"/>
      <c r="N58" s="16"/>
      <c r="O58" s="16">
        <f t="shared" si="15"/>
        <v>573.26</v>
      </c>
      <c r="P58" s="16"/>
      <c r="Q58" s="42"/>
      <c r="R58" s="16"/>
      <c r="S58" s="63">
        <f t="shared" si="2"/>
        <v>0.16</v>
      </c>
      <c r="T58" s="16"/>
      <c r="U58" s="16">
        <f t="shared" si="3"/>
        <v>8.27</v>
      </c>
      <c r="V58" s="16">
        <f t="shared" si="16"/>
        <v>319.56</v>
      </c>
      <c r="W58" s="16">
        <f t="shared" si="16"/>
        <v>319.56</v>
      </c>
      <c r="X58" s="16"/>
      <c r="Y58" s="16"/>
      <c r="Z58" s="16"/>
      <c r="AA58" s="16"/>
      <c r="AB58" s="16"/>
      <c r="AC58" s="16"/>
      <c r="AD58" s="16"/>
      <c r="AE58" s="16"/>
      <c r="AF58" s="78"/>
      <c r="AG58" s="79"/>
    </row>
    <row r="59" spans="1:33" s="5" customFormat="1" ht="21.75" customHeight="1">
      <c r="A59" s="12">
        <f t="shared" si="0"/>
        <v>47</v>
      </c>
      <c r="B59" s="13">
        <f t="shared" si="14"/>
        <v>21358.8</v>
      </c>
      <c r="C59" s="14">
        <v>21490</v>
      </c>
      <c r="D59" s="15" t="s">
        <v>25</v>
      </c>
      <c r="E59" s="16">
        <f t="shared" si="17"/>
        <v>131.20000000000073</v>
      </c>
      <c r="F59" s="17">
        <v>6</v>
      </c>
      <c r="G59" s="18">
        <f>ROUND((((716.197-($F59/2))/716.197)+1)/2,4)</f>
        <v>0.9979</v>
      </c>
      <c r="H59" s="18">
        <f>ROUND((((716.197-($F59))/716.197)+1)/2,4)</f>
        <v>0.9958</v>
      </c>
      <c r="I59" s="16">
        <f t="shared" si="13"/>
        <v>785.55</v>
      </c>
      <c r="J59" s="16"/>
      <c r="K59" s="16"/>
      <c r="L59" s="16"/>
      <c r="M59" s="16"/>
      <c r="N59" s="16"/>
      <c r="O59" s="16">
        <f t="shared" si="15"/>
        <v>195.97</v>
      </c>
      <c r="P59" s="16"/>
      <c r="Q59" s="42"/>
      <c r="R59" s="16"/>
      <c r="S59" s="63">
        <f t="shared" si="2"/>
        <v>0.055</v>
      </c>
      <c r="T59" s="16"/>
      <c r="U59" s="16">
        <f t="shared" si="3"/>
        <v>2.82</v>
      </c>
      <c r="V59" s="16">
        <f t="shared" si="16"/>
        <v>109.06</v>
      </c>
      <c r="W59" s="16">
        <f t="shared" si="16"/>
        <v>109.06</v>
      </c>
      <c r="X59" s="16"/>
      <c r="Y59" s="16"/>
      <c r="Z59" s="16"/>
      <c r="AA59" s="16"/>
      <c r="AB59" s="16"/>
      <c r="AC59" s="16"/>
      <c r="AD59" s="16"/>
      <c r="AE59" s="16"/>
      <c r="AF59" s="78"/>
      <c r="AG59" s="79"/>
    </row>
    <row r="60" spans="1:33" s="5" customFormat="1" ht="21.75" customHeight="1">
      <c r="A60" s="12">
        <f t="shared" si="0"/>
        <v>48</v>
      </c>
      <c r="B60" s="13"/>
      <c r="C60" s="14"/>
      <c r="D60" s="15"/>
      <c r="E60" s="16"/>
      <c r="F60" s="17"/>
      <c r="G60" s="18"/>
      <c r="H60" s="16"/>
      <c r="I60" s="16"/>
      <c r="J60" s="16"/>
      <c r="K60" s="16"/>
      <c r="L60" s="16"/>
      <c r="M60" s="16"/>
      <c r="N60" s="16"/>
      <c r="O60" s="16"/>
      <c r="P60" s="16"/>
      <c r="Q60" s="42"/>
      <c r="R60" s="16"/>
      <c r="S60" s="63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78"/>
      <c r="AG60" s="79"/>
    </row>
    <row r="61" spans="1:33" s="5" customFormat="1" ht="21.75" customHeight="1">
      <c r="A61" s="12">
        <f t="shared" si="0"/>
        <v>49</v>
      </c>
      <c r="B61" s="13">
        <v>20585.45</v>
      </c>
      <c r="C61" s="14">
        <v>20599.5</v>
      </c>
      <c r="D61" s="15" t="s">
        <v>20</v>
      </c>
      <c r="E61" s="16">
        <f t="shared" si="17"/>
        <v>14.049999999999272</v>
      </c>
      <c r="F61" s="104" t="s">
        <v>23</v>
      </c>
      <c r="G61" s="105"/>
      <c r="H61" s="105"/>
      <c r="I61" s="106"/>
      <c r="J61" s="16">
        <v>55.74</v>
      </c>
      <c r="K61" s="16"/>
      <c r="L61" s="16"/>
      <c r="M61" s="16"/>
      <c r="N61" s="16"/>
      <c r="O61" s="16">
        <f t="shared" si="15"/>
        <v>21.07</v>
      </c>
      <c r="P61" s="16"/>
      <c r="Q61" s="42"/>
      <c r="R61" s="16"/>
      <c r="S61" s="63">
        <f t="shared" si="2"/>
        <v>0.004</v>
      </c>
      <c r="T61" s="16"/>
      <c r="U61" s="16">
        <f t="shared" si="3"/>
        <v>0.22</v>
      </c>
      <c r="V61" s="16">
        <f t="shared" si="16"/>
        <v>8.53</v>
      </c>
      <c r="W61" s="16">
        <f t="shared" si="16"/>
        <v>8.53</v>
      </c>
      <c r="X61" s="16"/>
      <c r="Y61" s="16"/>
      <c r="Z61" s="16"/>
      <c r="AA61" s="16"/>
      <c r="AB61" s="16"/>
      <c r="AC61" s="16"/>
      <c r="AD61" s="16"/>
      <c r="AE61" s="16"/>
      <c r="AF61" s="78"/>
      <c r="AG61" s="79"/>
    </row>
    <row r="62" spans="1:33" s="25" customFormat="1" ht="21.75" customHeight="1">
      <c r="A62" s="12">
        <f t="shared" si="0"/>
        <v>50</v>
      </c>
      <c r="B62" s="13">
        <f>C61</f>
        <v>20599.5</v>
      </c>
      <c r="C62" s="14">
        <v>20773.39</v>
      </c>
      <c r="D62" s="15" t="s">
        <v>20</v>
      </c>
      <c r="E62" s="16">
        <f t="shared" si="17"/>
        <v>173.88999999999942</v>
      </c>
      <c r="F62" s="17">
        <v>4</v>
      </c>
      <c r="G62" s="18"/>
      <c r="H62" s="16"/>
      <c r="I62" s="16">
        <f>IF(G62=0,ROUND($E62*$F62,2),ROUND($E62*$F62*$G62,2))</f>
        <v>695.56</v>
      </c>
      <c r="J62" s="16"/>
      <c r="K62" s="16"/>
      <c r="L62" s="16"/>
      <c r="M62" s="16"/>
      <c r="N62" s="16"/>
      <c r="O62" s="16">
        <f t="shared" si="15"/>
        <v>260.83</v>
      </c>
      <c r="P62" s="16"/>
      <c r="Q62" s="42"/>
      <c r="R62" s="16"/>
      <c r="S62" s="63">
        <f t="shared" si="2"/>
        <v>0.053</v>
      </c>
      <c r="T62" s="16"/>
      <c r="U62" s="16">
        <f t="shared" si="3"/>
        <v>2.75</v>
      </c>
      <c r="V62" s="16">
        <f t="shared" si="16"/>
        <v>106.27</v>
      </c>
      <c r="W62" s="16">
        <f t="shared" si="16"/>
        <v>106.27</v>
      </c>
      <c r="X62" s="16"/>
      <c r="Y62" s="16"/>
      <c r="Z62" s="16"/>
      <c r="AA62" s="16"/>
      <c r="AB62" s="16"/>
      <c r="AC62" s="16"/>
      <c r="AD62" s="16"/>
      <c r="AE62" s="16"/>
      <c r="AF62" s="78"/>
      <c r="AG62" s="79"/>
    </row>
    <row r="63" spans="1:33" s="25" customFormat="1" ht="21.75" customHeight="1">
      <c r="A63" s="12">
        <f t="shared" si="0"/>
        <v>51</v>
      </c>
      <c r="B63" s="13">
        <f>C62</f>
        <v>20773.39</v>
      </c>
      <c r="C63" s="14">
        <v>20973.39</v>
      </c>
      <c r="D63" s="15" t="s">
        <v>20</v>
      </c>
      <c r="E63" s="16">
        <f t="shared" si="17"/>
        <v>200</v>
      </c>
      <c r="F63" s="17">
        <v>4</v>
      </c>
      <c r="G63" s="18">
        <f>ROUND((((716.197+16+($F63/2))/716.197)+1)/2,4)</f>
        <v>1.0126</v>
      </c>
      <c r="H63" s="18">
        <f>ROUND((((716.197+16+($F63))/716.197)+1)/2,4)</f>
        <v>1.014</v>
      </c>
      <c r="I63" s="16">
        <f>IF(G63=0,ROUND($E63*$F63,2),ROUND($E63*$F63*$G63,2))</f>
        <v>810.08</v>
      </c>
      <c r="J63" s="16"/>
      <c r="K63" s="16"/>
      <c r="L63" s="16"/>
      <c r="M63" s="16"/>
      <c r="N63" s="16"/>
      <c r="O63" s="16">
        <f t="shared" si="15"/>
        <v>304.2</v>
      </c>
      <c r="P63" s="16"/>
      <c r="Q63" s="42"/>
      <c r="R63" s="16"/>
      <c r="S63" s="63">
        <f t="shared" si="2"/>
        <v>0.062</v>
      </c>
      <c r="T63" s="16"/>
      <c r="U63" s="16">
        <f t="shared" si="3"/>
        <v>3.2</v>
      </c>
      <c r="V63" s="16">
        <f t="shared" si="16"/>
        <v>123.81</v>
      </c>
      <c r="W63" s="16">
        <f t="shared" si="16"/>
        <v>123.81</v>
      </c>
      <c r="X63" s="16"/>
      <c r="Y63" s="16"/>
      <c r="Z63" s="16"/>
      <c r="AA63" s="16"/>
      <c r="AB63" s="16"/>
      <c r="AC63" s="16"/>
      <c r="AD63" s="16"/>
      <c r="AE63" s="16"/>
      <c r="AF63" s="78"/>
      <c r="AG63" s="79"/>
    </row>
    <row r="64" spans="1:33" s="25" customFormat="1" ht="21.75" customHeight="1">
      <c r="A64" s="12">
        <f t="shared" si="0"/>
        <v>52</v>
      </c>
      <c r="B64" s="13">
        <f>C63</f>
        <v>20973.39</v>
      </c>
      <c r="C64" s="14">
        <v>21358.8</v>
      </c>
      <c r="D64" s="15" t="s">
        <v>20</v>
      </c>
      <c r="E64" s="16">
        <f t="shared" si="17"/>
        <v>385.40999999999985</v>
      </c>
      <c r="F64" s="17">
        <v>4</v>
      </c>
      <c r="G64" s="18">
        <f>ROUND((716.197+16+($F64/2))/716.197,4)</f>
        <v>1.0251</v>
      </c>
      <c r="H64" s="18">
        <f>ROUND((716.197+16+($F64))/716.197,4)</f>
        <v>1.0279</v>
      </c>
      <c r="I64" s="16">
        <f>IF(G64=0,ROUND($E64*$F64,2),ROUND($E64*$F64*$G64,2))</f>
        <v>1580.34</v>
      </c>
      <c r="J64" s="16"/>
      <c r="K64" s="16"/>
      <c r="L64" s="16"/>
      <c r="M64" s="16"/>
      <c r="N64" s="16"/>
      <c r="O64" s="16">
        <f t="shared" si="15"/>
        <v>594.24</v>
      </c>
      <c r="P64" s="16"/>
      <c r="Q64" s="42"/>
      <c r="R64" s="16"/>
      <c r="S64" s="63">
        <f t="shared" si="2"/>
        <v>0.121</v>
      </c>
      <c r="T64" s="16"/>
      <c r="U64" s="16">
        <f t="shared" si="3"/>
        <v>6.25</v>
      </c>
      <c r="V64" s="16">
        <f t="shared" si="16"/>
        <v>241.62</v>
      </c>
      <c r="W64" s="16">
        <f t="shared" si="16"/>
        <v>241.62</v>
      </c>
      <c r="X64" s="16"/>
      <c r="Y64" s="16"/>
      <c r="Z64" s="16"/>
      <c r="AA64" s="16"/>
      <c r="AB64" s="16"/>
      <c r="AC64" s="16"/>
      <c r="AD64" s="16"/>
      <c r="AE64" s="16"/>
      <c r="AF64" s="80"/>
      <c r="AG64" s="79"/>
    </row>
    <row r="65" spans="1:33" s="25" customFormat="1" ht="21.75" customHeight="1">
      <c r="A65" s="12">
        <f t="shared" si="0"/>
        <v>53</v>
      </c>
      <c r="B65" s="13">
        <f>C64</f>
        <v>21358.8</v>
      </c>
      <c r="C65" s="14">
        <v>21490</v>
      </c>
      <c r="D65" s="15" t="s">
        <v>20</v>
      </c>
      <c r="E65" s="16">
        <f t="shared" si="17"/>
        <v>131.20000000000073</v>
      </c>
      <c r="F65" s="17">
        <v>4</v>
      </c>
      <c r="G65" s="18">
        <f>ROUND((((716.197+16+($F65/2))/716.197)+1)/2,4)</f>
        <v>1.0126</v>
      </c>
      <c r="H65" s="18">
        <f>ROUND((((716.197+16+($F65))/716.197)+1)/2,4)</f>
        <v>1.014</v>
      </c>
      <c r="I65" s="16">
        <f>IF(G65=0,ROUND($E65*$F65,2),ROUND($E65*$F65*$G65,2))</f>
        <v>531.41</v>
      </c>
      <c r="J65" s="16"/>
      <c r="K65" s="16"/>
      <c r="L65" s="16"/>
      <c r="M65" s="16"/>
      <c r="N65" s="16"/>
      <c r="O65" s="16">
        <f t="shared" si="15"/>
        <v>199.56</v>
      </c>
      <c r="P65" s="16"/>
      <c r="Q65" s="42"/>
      <c r="R65" s="16"/>
      <c r="S65" s="63">
        <f t="shared" si="2"/>
        <v>0.041</v>
      </c>
      <c r="T65" s="16"/>
      <c r="U65" s="16">
        <f t="shared" si="3"/>
        <v>2.1</v>
      </c>
      <c r="V65" s="16">
        <f t="shared" si="16"/>
        <v>81.22</v>
      </c>
      <c r="W65" s="16">
        <f t="shared" si="16"/>
        <v>81.22</v>
      </c>
      <c r="X65" s="16"/>
      <c r="Y65" s="16"/>
      <c r="Z65" s="16"/>
      <c r="AA65" s="16"/>
      <c r="AB65" s="16"/>
      <c r="AC65" s="16"/>
      <c r="AD65" s="16"/>
      <c r="AE65" s="16"/>
      <c r="AF65" s="80"/>
      <c r="AG65" s="79"/>
    </row>
    <row r="66" spans="1:33" s="25" customFormat="1" ht="21.75" customHeight="1" thickBot="1">
      <c r="A66" s="12">
        <f t="shared" si="0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81"/>
      <c r="AG66" s="82"/>
    </row>
    <row r="67" spans="2:33" s="26" customFormat="1" ht="46.5" customHeight="1">
      <c r="B67" s="95" t="s">
        <v>8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7"/>
      <c r="R67" s="85" t="str">
        <f aca="true" t="shared" si="18" ref="R67:AE67">IF(SUM(R13:R66)=0," ",ROUNDUP(SUM(R13:R66),0))</f>
        <v> </v>
      </c>
      <c r="S67" s="85">
        <f t="shared" si="18"/>
        <v>9</v>
      </c>
      <c r="T67" s="85" t="str">
        <f t="shared" si="18"/>
        <v> </v>
      </c>
      <c r="U67" s="85">
        <f t="shared" si="18"/>
        <v>432</v>
      </c>
      <c r="V67" s="85">
        <f t="shared" si="18"/>
        <v>16670</v>
      </c>
      <c r="W67" s="85">
        <f t="shared" si="18"/>
        <v>16670</v>
      </c>
      <c r="X67" s="85" t="str">
        <f t="shared" si="18"/>
        <v> </v>
      </c>
      <c r="Y67" s="85" t="str">
        <f t="shared" si="18"/>
        <v> </v>
      </c>
      <c r="Z67" s="85" t="str">
        <f t="shared" si="18"/>
        <v> </v>
      </c>
      <c r="AA67" s="85" t="str">
        <f t="shared" si="18"/>
        <v> </v>
      </c>
      <c r="AB67" s="85" t="str">
        <f t="shared" si="18"/>
        <v> </v>
      </c>
      <c r="AC67" s="85" t="str">
        <f t="shared" si="18"/>
        <v> </v>
      </c>
      <c r="AD67" s="85" t="str">
        <f t="shared" si="18"/>
        <v> </v>
      </c>
      <c r="AE67" s="85" t="str">
        <f t="shared" si="18"/>
        <v> </v>
      </c>
      <c r="AF67" s="87">
        <v>9</v>
      </c>
      <c r="AG67" s="88"/>
    </row>
    <row r="68" spans="2:33" s="26" customFormat="1" ht="46.5" customHeight="1" thickBot="1"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100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3">
        <v>16</v>
      </c>
      <c r="AG68" s="84"/>
    </row>
    <row r="69" spans="1:34" ht="36" customHeight="1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T69" s="28"/>
      <c r="U69" s="28"/>
      <c r="V69" s="1"/>
      <c r="W69" s="28"/>
      <c r="X69" s="28"/>
      <c r="Y69" s="28"/>
      <c r="Z69" s="28"/>
      <c r="AA69" s="28"/>
      <c r="AB69" s="28"/>
      <c r="AF69" s="28"/>
      <c r="AG69" s="28"/>
      <c r="AH69" s="29"/>
    </row>
    <row r="70" spans="2:33" ht="12.7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T70" s="28"/>
      <c r="U70" s="28"/>
      <c r="V70" s="1"/>
      <c r="W70" s="28"/>
      <c r="X70" s="28"/>
      <c r="Y70" s="28"/>
      <c r="Z70" s="28"/>
      <c r="AA70" s="28"/>
      <c r="AB70" s="28"/>
      <c r="AF70" s="28"/>
      <c r="AG70" s="28"/>
    </row>
    <row r="71" spans="2:33" ht="12.7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T71" s="28"/>
      <c r="U71" s="28"/>
      <c r="V71" s="1"/>
      <c r="W71" s="28"/>
      <c r="X71" s="28"/>
      <c r="Y71" s="28"/>
      <c r="Z71" s="28"/>
      <c r="AA71" s="28"/>
      <c r="AB71" s="28"/>
      <c r="AF71" s="28"/>
      <c r="AG71" s="28"/>
    </row>
    <row r="72" spans="2:33" ht="15.75">
      <c r="B72" s="64" t="s">
        <v>26</v>
      </c>
      <c r="C72" s="65"/>
      <c r="D72" s="65"/>
      <c r="E72" s="65"/>
      <c r="F72" s="65"/>
      <c r="G72" s="66"/>
      <c r="H72" s="43"/>
      <c r="I72" s="43"/>
      <c r="J72" s="43"/>
      <c r="K72" s="43">
        <v>4</v>
      </c>
      <c r="L72" s="43">
        <v>6</v>
      </c>
      <c r="M72" s="43">
        <v>10</v>
      </c>
      <c r="N72" s="43">
        <v>16</v>
      </c>
      <c r="O72" s="43">
        <v>18</v>
      </c>
      <c r="P72" s="43">
        <v>20</v>
      </c>
      <c r="Q72" s="43">
        <v>22</v>
      </c>
      <c r="R72" s="45"/>
      <c r="S72" s="62">
        <v>2000</v>
      </c>
      <c r="T72" s="44"/>
      <c r="U72" s="44">
        <v>0.75</v>
      </c>
      <c r="V72" s="62"/>
      <c r="W72" s="62">
        <v>12</v>
      </c>
      <c r="X72" s="45"/>
      <c r="Y72" s="44"/>
      <c r="Z72" s="44"/>
      <c r="AA72" s="44"/>
      <c r="AB72" s="44"/>
      <c r="AC72" s="44"/>
      <c r="AD72" s="44"/>
      <c r="AF72" s="28"/>
      <c r="AG72" s="28"/>
    </row>
    <row r="73" spans="2:33" ht="15">
      <c r="B73" s="28"/>
      <c r="C73" s="28"/>
      <c r="D73" s="28"/>
      <c r="E73" s="28"/>
      <c r="F73" s="28"/>
      <c r="G73" s="28"/>
      <c r="H73" s="24"/>
      <c r="I73" s="28"/>
      <c r="J73" s="28"/>
      <c r="K73" s="28"/>
      <c r="L73" s="28"/>
      <c r="M73" s="28"/>
      <c r="N73" s="28"/>
      <c r="O73" s="28"/>
      <c r="P73" s="28"/>
      <c r="Q73" s="28"/>
      <c r="R73" s="24"/>
      <c r="T73" s="43"/>
      <c r="U73" s="43">
        <v>115</v>
      </c>
      <c r="V73" s="62"/>
      <c r="W73" s="46"/>
      <c r="X73" s="28"/>
      <c r="Y73" s="28"/>
      <c r="Z73" s="28"/>
      <c r="AA73" s="28"/>
      <c r="AB73" s="28"/>
      <c r="AF73" s="28"/>
      <c r="AG73" s="28"/>
    </row>
    <row r="74" spans="2:33" ht="15">
      <c r="B74" s="28"/>
      <c r="C74" s="30"/>
      <c r="D74" s="28"/>
      <c r="E74" s="28"/>
      <c r="F74" s="28"/>
      <c r="G74" s="28"/>
      <c r="H74" s="31"/>
      <c r="I74" s="28"/>
      <c r="J74" s="28"/>
      <c r="K74" s="120"/>
      <c r="L74" s="121"/>
      <c r="M74" s="121"/>
      <c r="N74" s="121"/>
      <c r="O74" s="121"/>
      <c r="P74" s="121"/>
      <c r="Q74" s="121"/>
      <c r="R74" s="31"/>
      <c r="S74" s="31"/>
      <c r="T74" s="31"/>
      <c r="U74" s="31">
        <v>0.05</v>
      </c>
      <c r="V74" s="44"/>
      <c r="W74" s="31"/>
      <c r="X74" s="31"/>
      <c r="Y74" s="31"/>
      <c r="Z74" s="31"/>
      <c r="AA74" s="31"/>
      <c r="AB74" s="31"/>
      <c r="AC74" s="31"/>
      <c r="AD74" s="31"/>
      <c r="AE74" s="31"/>
      <c r="AF74" s="28"/>
      <c r="AG74" s="28"/>
    </row>
  </sheetData>
  <sheetProtection/>
  <mergeCells count="57">
    <mergeCell ref="N3:N11"/>
    <mergeCell ref="Q3:Q11"/>
    <mergeCell ref="J3:J11"/>
    <mergeCell ref="K3:K11"/>
    <mergeCell ref="L3:L11"/>
    <mergeCell ref="R4:R11"/>
    <mergeCell ref="P3:P11"/>
    <mergeCell ref="AF67:AG67"/>
    <mergeCell ref="AC4:AC11"/>
    <mergeCell ref="AD4:AD11"/>
    <mergeCell ref="AE4:AE11"/>
    <mergeCell ref="M3:M11"/>
    <mergeCell ref="AB4:AB11"/>
    <mergeCell ref="AF3:AF5"/>
    <mergeCell ref="AG3:AG5"/>
    <mergeCell ref="V4:V11"/>
    <mergeCell ref="S4:S11"/>
    <mergeCell ref="AF51:AG66"/>
    <mergeCell ref="AF6:AG50"/>
    <mergeCell ref="F61:I61"/>
    <mergeCell ref="AD67:AD68"/>
    <mergeCell ref="AE67:AE68"/>
    <mergeCell ref="U4:U11"/>
    <mergeCell ref="W67:W68"/>
    <mergeCell ref="X67:X68"/>
    <mergeCell ref="Y67:Y68"/>
    <mergeCell ref="W4:W11"/>
    <mergeCell ref="AB67:AB68"/>
    <mergeCell ref="B67:Q68"/>
    <mergeCell ref="B14:I14"/>
    <mergeCell ref="T4:T11"/>
    <mergeCell ref="Y4:Y11"/>
    <mergeCell ref="F34:I34"/>
    <mergeCell ref="X4:X11"/>
    <mergeCell ref="I3:I11"/>
    <mergeCell ref="B3:C11"/>
    <mergeCell ref="D3:D11"/>
    <mergeCell ref="F36:I36"/>
    <mergeCell ref="B40:I40"/>
    <mergeCell ref="Z4:Z11"/>
    <mergeCell ref="AA4:AA11"/>
    <mergeCell ref="O3:O11"/>
    <mergeCell ref="F22:I22"/>
    <mergeCell ref="E3:E11"/>
    <mergeCell ref="F3:F11"/>
    <mergeCell ref="G3:G11"/>
    <mergeCell ref="H3:H11"/>
    <mergeCell ref="AF68:AG68"/>
    <mergeCell ref="U67:U68"/>
    <mergeCell ref="V67:V68"/>
    <mergeCell ref="K74:Q74"/>
    <mergeCell ref="AC67:AC68"/>
    <mergeCell ref="Z67:Z68"/>
    <mergeCell ref="R67:R68"/>
    <mergeCell ref="S67:S68"/>
    <mergeCell ref="T67:T68"/>
    <mergeCell ref="AA67:AA68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M18" sqref="M18"/>
    </sheetView>
  </sheetViews>
  <sheetFormatPr defaultColWidth="9.140625" defaultRowHeight="12.75"/>
  <cols>
    <col min="1" max="3" width="24.7109375" style="1" customWidth="1"/>
    <col min="4" max="21" width="15.7109375" style="1" customWidth="1"/>
    <col min="22" max="22" width="15.7109375" style="47" customWidth="1"/>
    <col min="23" max="31" width="15.7109375" style="1" customWidth="1"/>
    <col min="32" max="34" width="6.7109375" style="1" customWidth="1"/>
    <col min="35" max="16384" width="9.140625" style="1" customWidth="1"/>
  </cols>
  <sheetData>
    <row r="1" spans="18:27" ht="12.75">
      <c r="R1" s="49"/>
      <c r="S1" s="49"/>
      <c r="T1" s="49"/>
      <c r="U1" s="49"/>
      <c r="V1" s="50"/>
      <c r="W1" s="49"/>
      <c r="X1" s="49"/>
      <c r="Z1" s="49"/>
      <c r="AA1" s="49"/>
    </row>
    <row r="2" spans="1:34" s="4" customFormat="1" ht="36" customHeight="1" thickBot="1">
      <c r="A2" s="2"/>
      <c r="B2" s="32" t="s">
        <v>14</v>
      </c>
      <c r="C2" s="33"/>
      <c r="D2" s="34"/>
      <c r="E2" s="34"/>
      <c r="F2" s="34"/>
      <c r="G2" s="34"/>
      <c r="H2" s="51"/>
      <c r="I2" s="35"/>
      <c r="J2" s="34"/>
      <c r="K2" s="34"/>
      <c r="L2" s="34"/>
      <c r="M2" s="34"/>
      <c r="N2" s="34"/>
      <c r="O2" s="34"/>
      <c r="P2" s="34"/>
      <c r="Q2" s="35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2"/>
      <c r="AD2" s="48"/>
      <c r="AH2" s="3"/>
    </row>
    <row r="3" spans="2:34" s="5" customFormat="1" ht="21.75" customHeight="1">
      <c r="B3" s="95" t="s">
        <v>0</v>
      </c>
      <c r="C3" s="97"/>
      <c r="D3" s="117" t="s">
        <v>3</v>
      </c>
      <c r="E3" s="117" t="s">
        <v>4</v>
      </c>
      <c r="F3" s="117" t="s">
        <v>5</v>
      </c>
      <c r="G3" s="107" t="s">
        <v>12</v>
      </c>
      <c r="H3" s="107" t="s">
        <v>93</v>
      </c>
      <c r="I3" s="117" t="s">
        <v>6</v>
      </c>
      <c r="J3" s="107" t="s">
        <v>10</v>
      </c>
      <c r="K3" s="107"/>
      <c r="L3" s="107"/>
      <c r="M3" s="107"/>
      <c r="N3" s="107"/>
      <c r="O3" s="107" t="s">
        <v>15</v>
      </c>
      <c r="P3" s="107" t="s">
        <v>16</v>
      </c>
      <c r="Q3" s="107" t="s">
        <v>17</v>
      </c>
      <c r="R3" s="36">
        <v>204</v>
      </c>
      <c r="S3" s="37">
        <v>204</v>
      </c>
      <c r="T3" s="36"/>
      <c r="U3" s="37">
        <v>206</v>
      </c>
      <c r="V3" s="37">
        <v>206</v>
      </c>
      <c r="W3" s="36">
        <v>206</v>
      </c>
      <c r="X3" s="37"/>
      <c r="Y3" s="36"/>
      <c r="Z3" s="37"/>
      <c r="AA3" s="36"/>
      <c r="AB3" s="37"/>
      <c r="AC3" s="36"/>
      <c r="AD3" s="37"/>
      <c r="AE3" s="37"/>
      <c r="AF3" s="101" t="s">
        <v>11</v>
      </c>
      <c r="AG3" s="101" t="s">
        <v>13</v>
      </c>
      <c r="AH3" s="6"/>
    </row>
    <row r="4" spans="2:34" s="5" customFormat="1" ht="27.75" customHeight="1">
      <c r="B4" s="113"/>
      <c r="C4" s="114"/>
      <c r="D4" s="118"/>
      <c r="E4" s="118"/>
      <c r="F4" s="118"/>
      <c r="G4" s="90"/>
      <c r="H4" s="90"/>
      <c r="I4" s="118"/>
      <c r="J4" s="122"/>
      <c r="K4" s="122"/>
      <c r="L4" s="90"/>
      <c r="M4" s="90"/>
      <c r="N4" s="90"/>
      <c r="O4" s="90"/>
      <c r="P4" s="90"/>
      <c r="Q4" s="90"/>
      <c r="R4" s="92" t="s">
        <v>82</v>
      </c>
      <c r="S4" s="89" t="s">
        <v>83</v>
      </c>
      <c r="T4" s="92"/>
      <c r="U4" s="92" t="s">
        <v>92</v>
      </c>
      <c r="V4" s="89" t="s">
        <v>80</v>
      </c>
      <c r="W4" s="89" t="s">
        <v>81</v>
      </c>
      <c r="X4" s="89"/>
      <c r="Y4" s="92"/>
      <c r="Z4" s="89"/>
      <c r="AA4" s="92"/>
      <c r="AB4" s="89"/>
      <c r="AC4" s="92"/>
      <c r="AD4" s="89"/>
      <c r="AE4" s="89"/>
      <c r="AF4" s="108"/>
      <c r="AG4" s="102"/>
      <c r="AH4" s="7"/>
    </row>
    <row r="5" spans="2:33" s="5" customFormat="1" ht="27.75" customHeight="1" thickBot="1">
      <c r="B5" s="113"/>
      <c r="C5" s="114"/>
      <c r="D5" s="118"/>
      <c r="E5" s="118"/>
      <c r="F5" s="118"/>
      <c r="G5" s="90"/>
      <c r="H5" s="90"/>
      <c r="I5" s="118"/>
      <c r="J5" s="122"/>
      <c r="K5" s="122"/>
      <c r="L5" s="90"/>
      <c r="M5" s="90"/>
      <c r="N5" s="90"/>
      <c r="O5" s="90"/>
      <c r="P5" s="90"/>
      <c r="Q5" s="90"/>
      <c r="R5" s="93"/>
      <c r="S5" s="90"/>
      <c r="T5" s="93"/>
      <c r="U5" s="93"/>
      <c r="V5" s="90"/>
      <c r="W5" s="90"/>
      <c r="X5" s="90"/>
      <c r="Y5" s="93"/>
      <c r="Z5" s="90"/>
      <c r="AA5" s="93"/>
      <c r="AB5" s="90"/>
      <c r="AC5" s="93"/>
      <c r="AD5" s="90"/>
      <c r="AE5" s="90"/>
      <c r="AF5" s="109"/>
      <c r="AG5" s="102"/>
    </row>
    <row r="6" spans="2:33" s="5" customFormat="1" ht="27.75" customHeight="1">
      <c r="B6" s="113"/>
      <c r="C6" s="114"/>
      <c r="D6" s="118"/>
      <c r="E6" s="118"/>
      <c r="F6" s="118"/>
      <c r="G6" s="90"/>
      <c r="H6" s="90"/>
      <c r="I6" s="118"/>
      <c r="J6" s="122"/>
      <c r="K6" s="122"/>
      <c r="L6" s="90"/>
      <c r="M6" s="90"/>
      <c r="N6" s="90"/>
      <c r="O6" s="90"/>
      <c r="P6" s="90"/>
      <c r="Q6" s="90"/>
      <c r="R6" s="93"/>
      <c r="S6" s="90"/>
      <c r="T6" s="93"/>
      <c r="U6" s="93"/>
      <c r="V6" s="90"/>
      <c r="W6" s="90"/>
      <c r="X6" s="90"/>
      <c r="Y6" s="93"/>
      <c r="Z6" s="90"/>
      <c r="AA6" s="93"/>
      <c r="AB6" s="90"/>
      <c r="AC6" s="93"/>
      <c r="AD6" s="90"/>
      <c r="AE6" s="90"/>
      <c r="AF6" s="76" t="s">
        <v>79</v>
      </c>
      <c r="AG6" s="77"/>
    </row>
    <row r="7" spans="2:33" s="5" customFormat="1" ht="27.75" customHeight="1">
      <c r="B7" s="113"/>
      <c r="C7" s="114"/>
      <c r="D7" s="118"/>
      <c r="E7" s="118"/>
      <c r="F7" s="118"/>
      <c r="G7" s="90"/>
      <c r="H7" s="90"/>
      <c r="I7" s="118"/>
      <c r="J7" s="122"/>
      <c r="K7" s="122"/>
      <c r="L7" s="90"/>
      <c r="M7" s="90"/>
      <c r="N7" s="90"/>
      <c r="O7" s="90"/>
      <c r="P7" s="90"/>
      <c r="Q7" s="90"/>
      <c r="R7" s="93"/>
      <c r="S7" s="90"/>
      <c r="T7" s="93"/>
      <c r="U7" s="93"/>
      <c r="V7" s="90"/>
      <c r="W7" s="90"/>
      <c r="X7" s="90"/>
      <c r="Y7" s="93"/>
      <c r="Z7" s="90"/>
      <c r="AA7" s="93"/>
      <c r="AB7" s="90"/>
      <c r="AC7" s="93"/>
      <c r="AD7" s="90"/>
      <c r="AE7" s="90"/>
      <c r="AF7" s="78"/>
      <c r="AG7" s="79"/>
    </row>
    <row r="8" spans="2:33" s="5" customFormat="1" ht="27.75" customHeight="1">
      <c r="B8" s="113"/>
      <c r="C8" s="114"/>
      <c r="D8" s="118"/>
      <c r="E8" s="118"/>
      <c r="F8" s="118"/>
      <c r="G8" s="90"/>
      <c r="H8" s="90"/>
      <c r="I8" s="118"/>
      <c r="J8" s="122"/>
      <c r="K8" s="122"/>
      <c r="L8" s="90"/>
      <c r="M8" s="90"/>
      <c r="N8" s="90"/>
      <c r="O8" s="90"/>
      <c r="P8" s="90"/>
      <c r="Q8" s="90"/>
      <c r="R8" s="93"/>
      <c r="S8" s="90"/>
      <c r="T8" s="93"/>
      <c r="U8" s="93"/>
      <c r="V8" s="90"/>
      <c r="W8" s="90"/>
      <c r="X8" s="90"/>
      <c r="Y8" s="93"/>
      <c r="Z8" s="90"/>
      <c r="AA8" s="93"/>
      <c r="AB8" s="90"/>
      <c r="AC8" s="93"/>
      <c r="AD8" s="90"/>
      <c r="AE8" s="90"/>
      <c r="AF8" s="78"/>
      <c r="AG8" s="79"/>
    </row>
    <row r="9" spans="2:33" s="5" customFormat="1" ht="27.75" customHeight="1">
      <c r="B9" s="113"/>
      <c r="C9" s="114"/>
      <c r="D9" s="118"/>
      <c r="E9" s="118"/>
      <c r="F9" s="118"/>
      <c r="G9" s="90"/>
      <c r="H9" s="90"/>
      <c r="I9" s="118"/>
      <c r="J9" s="122"/>
      <c r="K9" s="122"/>
      <c r="L9" s="90"/>
      <c r="M9" s="90"/>
      <c r="N9" s="90"/>
      <c r="O9" s="90"/>
      <c r="P9" s="90"/>
      <c r="Q9" s="90"/>
      <c r="R9" s="93"/>
      <c r="S9" s="90"/>
      <c r="T9" s="93"/>
      <c r="U9" s="93"/>
      <c r="V9" s="90"/>
      <c r="W9" s="90"/>
      <c r="X9" s="90"/>
      <c r="Y9" s="93"/>
      <c r="Z9" s="90"/>
      <c r="AA9" s="93"/>
      <c r="AB9" s="90"/>
      <c r="AC9" s="93"/>
      <c r="AD9" s="90"/>
      <c r="AE9" s="90"/>
      <c r="AF9" s="78"/>
      <c r="AG9" s="79"/>
    </row>
    <row r="10" spans="2:33" s="5" customFormat="1" ht="27.75" customHeight="1">
      <c r="B10" s="113"/>
      <c r="C10" s="114"/>
      <c r="D10" s="118"/>
      <c r="E10" s="118"/>
      <c r="F10" s="118"/>
      <c r="G10" s="90"/>
      <c r="H10" s="90"/>
      <c r="I10" s="118"/>
      <c r="J10" s="122"/>
      <c r="K10" s="122"/>
      <c r="L10" s="90"/>
      <c r="M10" s="90"/>
      <c r="N10" s="90"/>
      <c r="O10" s="90"/>
      <c r="P10" s="90"/>
      <c r="Q10" s="90"/>
      <c r="R10" s="93"/>
      <c r="S10" s="90"/>
      <c r="T10" s="93"/>
      <c r="U10" s="93"/>
      <c r="V10" s="90"/>
      <c r="W10" s="90"/>
      <c r="X10" s="90"/>
      <c r="Y10" s="93"/>
      <c r="Z10" s="90"/>
      <c r="AA10" s="93"/>
      <c r="AB10" s="90"/>
      <c r="AC10" s="93"/>
      <c r="AD10" s="90"/>
      <c r="AE10" s="90"/>
      <c r="AF10" s="78"/>
      <c r="AG10" s="79"/>
    </row>
    <row r="11" spans="2:33" s="8" customFormat="1" ht="27.75" customHeight="1">
      <c r="B11" s="115"/>
      <c r="C11" s="116"/>
      <c r="D11" s="119"/>
      <c r="E11" s="119"/>
      <c r="F11" s="119"/>
      <c r="G11" s="91"/>
      <c r="H11" s="91"/>
      <c r="I11" s="119"/>
      <c r="J11" s="123"/>
      <c r="K11" s="123"/>
      <c r="L11" s="91"/>
      <c r="M11" s="91"/>
      <c r="N11" s="91"/>
      <c r="O11" s="91"/>
      <c r="P11" s="91"/>
      <c r="Q11" s="91"/>
      <c r="R11" s="94"/>
      <c r="S11" s="91"/>
      <c r="T11" s="94"/>
      <c r="U11" s="94"/>
      <c r="V11" s="91"/>
      <c r="W11" s="91"/>
      <c r="X11" s="91"/>
      <c r="Y11" s="94"/>
      <c r="Z11" s="91"/>
      <c r="AA11" s="94"/>
      <c r="AB11" s="91"/>
      <c r="AC11" s="94"/>
      <c r="AD11" s="91"/>
      <c r="AE11" s="91"/>
      <c r="AF11" s="78"/>
      <c r="AG11" s="79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38"/>
      <c r="I12" s="11" t="s">
        <v>9</v>
      </c>
      <c r="J12" s="11" t="s">
        <v>9</v>
      </c>
      <c r="K12" s="11"/>
      <c r="L12" s="11"/>
      <c r="M12" s="11"/>
      <c r="N12" s="11"/>
      <c r="O12" s="11" t="s">
        <v>9</v>
      </c>
      <c r="P12" s="11" t="s">
        <v>9</v>
      </c>
      <c r="Q12" s="11" t="s">
        <v>9</v>
      </c>
      <c r="R12" s="38" t="s">
        <v>85</v>
      </c>
      <c r="S12" s="11" t="s">
        <v>84</v>
      </c>
      <c r="T12" s="38"/>
      <c r="U12" s="11" t="s">
        <v>86</v>
      </c>
      <c r="V12" s="11" t="s">
        <v>85</v>
      </c>
      <c r="W12" s="38" t="s">
        <v>85</v>
      </c>
      <c r="X12" s="11"/>
      <c r="Y12" s="38"/>
      <c r="Z12" s="11"/>
      <c r="AA12" s="38"/>
      <c r="AB12" s="11"/>
      <c r="AC12" s="38"/>
      <c r="AD12" s="11"/>
      <c r="AE12" s="11"/>
      <c r="AF12" s="78"/>
      <c r="AG12" s="79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78"/>
      <c r="AG13" s="79"/>
    </row>
    <row r="14" spans="1:33" s="5" customFormat="1" ht="21.75" customHeight="1">
      <c r="A14" s="12">
        <f>A13+1</f>
        <v>2</v>
      </c>
      <c r="B14" s="110" t="s">
        <v>53</v>
      </c>
      <c r="C14" s="111"/>
      <c r="D14" s="111"/>
      <c r="E14" s="111"/>
      <c r="F14" s="111"/>
      <c r="G14" s="111"/>
      <c r="H14" s="111"/>
      <c r="I14" s="112"/>
      <c r="J14" s="16"/>
      <c r="K14" s="16"/>
      <c r="L14" s="15"/>
      <c r="M14" s="15"/>
      <c r="N14" s="15"/>
      <c r="O14" s="15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78"/>
      <c r="AG14" s="79"/>
    </row>
    <row r="15" spans="1:33" s="5" customFormat="1" ht="21.75" customHeight="1">
      <c r="A15" s="12">
        <f>A14+1</f>
        <v>3</v>
      </c>
      <c r="B15" s="19" t="s">
        <v>19</v>
      </c>
      <c r="C15" s="20"/>
      <c r="D15" s="15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78"/>
      <c r="AG15" s="79"/>
    </row>
    <row r="16" spans="1:33" s="5" customFormat="1" ht="21.75" customHeight="1">
      <c r="A16" s="12">
        <f aca="true" t="shared" si="0" ref="A16:A66">A15+1</f>
        <v>4</v>
      </c>
      <c r="B16" s="22">
        <v>40243.78</v>
      </c>
      <c r="C16" s="21">
        <v>40501.68</v>
      </c>
      <c r="D16" s="15" t="s">
        <v>20</v>
      </c>
      <c r="E16" s="16">
        <f aca="true" t="shared" si="1" ref="E16:E23">C16-B16</f>
        <v>257.90000000000146</v>
      </c>
      <c r="F16" s="17">
        <v>16</v>
      </c>
      <c r="G16" s="18"/>
      <c r="H16" s="16"/>
      <c r="I16" s="16">
        <f aca="true" t="shared" si="2" ref="I16:I21">IF($G16=0,ROUND($E16*$F16,2),ROUND($E16*$F16*$G16,2))</f>
        <v>4126.4</v>
      </c>
      <c r="J16" s="16"/>
      <c r="K16" s="16"/>
      <c r="L16" s="16"/>
      <c r="M16" s="16"/>
      <c r="N16" s="16"/>
      <c r="O16" s="16"/>
      <c r="P16" s="16"/>
      <c r="Q16" s="16"/>
      <c r="R16" s="16"/>
      <c r="S16" s="63">
        <f aca="true" t="shared" si="3" ref="S16:S23">ROUND(($V16/S$72),3)</f>
        <v>0.229</v>
      </c>
      <c r="T16" s="16"/>
      <c r="U16" s="16">
        <f aca="true" t="shared" si="4" ref="U16:U23">ROUND((($U$72*$W$72*$U$73*$U$74*$W16)/2000),2)</f>
        <v>11.86</v>
      </c>
      <c r="V16" s="16">
        <f aca="true" t="shared" si="5" ref="V16:W23">ROUND((($I16+$J16)/9),2)</f>
        <v>458.49</v>
      </c>
      <c r="W16" s="16">
        <f t="shared" si="5"/>
        <v>458.49</v>
      </c>
      <c r="X16" s="16"/>
      <c r="Y16" s="16"/>
      <c r="Z16" s="16"/>
      <c r="AA16" s="16"/>
      <c r="AB16" s="16"/>
      <c r="AC16" s="16"/>
      <c r="AD16" s="16"/>
      <c r="AE16" s="16"/>
      <c r="AF16" s="78"/>
      <c r="AG16" s="79"/>
    </row>
    <row r="17" spans="1:33" s="5" customFormat="1" ht="21.75" customHeight="1">
      <c r="A17" s="12">
        <f t="shared" si="0"/>
        <v>5</v>
      </c>
      <c r="B17" s="13">
        <f aca="true" t="shared" si="6" ref="B17:B23">C16</f>
        <v>40501.68</v>
      </c>
      <c r="C17" s="21">
        <v>40631.76</v>
      </c>
      <c r="D17" s="15" t="s">
        <v>20</v>
      </c>
      <c r="E17" s="16">
        <f t="shared" si="1"/>
        <v>130.08000000000175</v>
      </c>
      <c r="F17" s="17">
        <v>16</v>
      </c>
      <c r="G17" s="18">
        <f>ROUND((((487.624+($F17/2))/487.624)+1)/2,4)</f>
        <v>1.0082</v>
      </c>
      <c r="H17" s="16"/>
      <c r="I17" s="16">
        <f t="shared" si="2"/>
        <v>2098.35</v>
      </c>
      <c r="J17" s="16"/>
      <c r="K17" s="16"/>
      <c r="L17" s="16"/>
      <c r="M17" s="16"/>
      <c r="N17" s="16"/>
      <c r="O17" s="16"/>
      <c r="P17" s="16"/>
      <c r="Q17" s="16"/>
      <c r="R17" s="16"/>
      <c r="S17" s="63">
        <f t="shared" si="3"/>
        <v>0.117</v>
      </c>
      <c r="T17" s="16"/>
      <c r="U17" s="16">
        <f t="shared" si="4"/>
        <v>6.03</v>
      </c>
      <c r="V17" s="16">
        <f t="shared" si="5"/>
        <v>233.15</v>
      </c>
      <c r="W17" s="16">
        <f t="shared" si="5"/>
        <v>233.15</v>
      </c>
      <c r="X17" s="16"/>
      <c r="Y17" s="16"/>
      <c r="Z17" s="16"/>
      <c r="AA17" s="16"/>
      <c r="AB17" s="16"/>
      <c r="AC17" s="16"/>
      <c r="AD17" s="16"/>
      <c r="AE17" s="16"/>
      <c r="AF17" s="78"/>
      <c r="AG17" s="79"/>
    </row>
    <row r="18" spans="1:33" s="5" customFormat="1" ht="21.75" customHeight="1">
      <c r="A18" s="12">
        <f t="shared" si="0"/>
        <v>6</v>
      </c>
      <c r="B18" s="13">
        <f t="shared" si="6"/>
        <v>40631.76</v>
      </c>
      <c r="C18" s="14">
        <v>40701.68</v>
      </c>
      <c r="D18" s="15" t="s">
        <v>20</v>
      </c>
      <c r="E18" s="16">
        <f t="shared" si="1"/>
        <v>69.91999999999825</v>
      </c>
      <c r="F18" s="17">
        <v>16</v>
      </c>
      <c r="G18" s="18">
        <f>ROUND((((487.624+($F18/2))/487.624)+1)/2,4)</f>
        <v>1.0082</v>
      </c>
      <c r="H18" s="16"/>
      <c r="I18" s="16">
        <f t="shared" si="2"/>
        <v>1127.89</v>
      </c>
      <c r="J18" s="16"/>
      <c r="K18" s="16"/>
      <c r="L18" s="16"/>
      <c r="M18" s="16"/>
      <c r="N18" s="16"/>
      <c r="O18" s="16"/>
      <c r="P18" s="16"/>
      <c r="Q18" s="16"/>
      <c r="R18" s="16"/>
      <c r="S18" s="63">
        <f t="shared" si="3"/>
        <v>0.063</v>
      </c>
      <c r="T18" s="16"/>
      <c r="U18" s="16">
        <f t="shared" si="4"/>
        <v>3.24</v>
      </c>
      <c r="V18" s="16">
        <f t="shared" si="5"/>
        <v>125.32</v>
      </c>
      <c r="W18" s="16">
        <f t="shared" si="5"/>
        <v>125.32</v>
      </c>
      <c r="X18" s="16"/>
      <c r="Y18" s="16"/>
      <c r="Z18" s="16"/>
      <c r="AA18" s="16"/>
      <c r="AB18" s="16"/>
      <c r="AC18" s="16"/>
      <c r="AD18" s="16"/>
      <c r="AE18" s="16"/>
      <c r="AF18" s="78"/>
      <c r="AG18" s="79"/>
    </row>
    <row r="19" spans="1:33" s="5" customFormat="1" ht="21.75" customHeight="1">
      <c r="A19" s="12">
        <f t="shared" si="0"/>
        <v>7</v>
      </c>
      <c r="B19" s="13">
        <f t="shared" si="6"/>
        <v>40701.68</v>
      </c>
      <c r="C19" s="14">
        <v>40850.17</v>
      </c>
      <c r="D19" s="15" t="s">
        <v>20</v>
      </c>
      <c r="E19" s="16">
        <f t="shared" si="1"/>
        <v>148.48999999999796</v>
      </c>
      <c r="F19" s="17">
        <v>16</v>
      </c>
      <c r="G19" s="18">
        <f>ROUND((487.624+($F19/2))/487.624,4)</f>
        <v>1.0164</v>
      </c>
      <c r="H19" s="16"/>
      <c r="I19" s="16">
        <f t="shared" si="2"/>
        <v>2414.8</v>
      </c>
      <c r="J19" s="16"/>
      <c r="K19" s="16"/>
      <c r="L19" s="16"/>
      <c r="M19" s="16"/>
      <c r="N19" s="16"/>
      <c r="O19" s="16"/>
      <c r="P19" s="16"/>
      <c r="Q19" s="16"/>
      <c r="R19" s="16"/>
      <c r="S19" s="63">
        <f t="shared" si="3"/>
        <v>0.134</v>
      </c>
      <c r="T19" s="16"/>
      <c r="U19" s="16">
        <f t="shared" si="4"/>
        <v>6.94</v>
      </c>
      <c r="V19" s="16">
        <f t="shared" si="5"/>
        <v>268.31</v>
      </c>
      <c r="W19" s="16">
        <f t="shared" si="5"/>
        <v>268.31</v>
      </c>
      <c r="X19" s="16"/>
      <c r="Y19" s="16"/>
      <c r="Z19" s="16"/>
      <c r="AA19" s="16"/>
      <c r="AB19" s="16"/>
      <c r="AC19" s="16"/>
      <c r="AD19" s="16"/>
      <c r="AE19" s="16"/>
      <c r="AF19" s="78"/>
      <c r="AG19" s="79"/>
    </row>
    <row r="20" spans="1:33" s="5" customFormat="1" ht="21.75" customHeight="1">
      <c r="A20" s="12">
        <f t="shared" si="0"/>
        <v>8</v>
      </c>
      <c r="B20" s="13">
        <f t="shared" si="6"/>
        <v>40850.17</v>
      </c>
      <c r="C20" s="14">
        <v>41562.45</v>
      </c>
      <c r="D20" s="15" t="s">
        <v>20</v>
      </c>
      <c r="E20" s="16">
        <f t="shared" si="1"/>
        <v>712.2799999999988</v>
      </c>
      <c r="F20" s="17">
        <v>16</v>
      </c>
      <c r="G20" s="18">
        <f>ROUND((238.732+($F20/2))/238.732,4)</f>
        <v>1.0335</v>
      </c>
      <c r="H20" s="16"/>
      <c r="I20" s="16">
        <f t="shared" si="2"/>
        <v>11778.26</v>
      </c>
      <c r="J20" s="16"/>
      <c r="K20" s="16"/>
      <c r="L20" s="16"/>
      <c r="M20" s="16"/>
      <c r="N20" s="16"/>
      <c r="O20" s="16"/>
      <c r="P20" s="16"/>
      <c r="Q20" s="16"/>
      <c r="R20" s="16"/>
      <c r="S20" s="63">
        <f t="shared" si="3"/>
        <v>0.654</v>
      </c>
      <c r="T20" s="16"/>
      <c r="U20" s="16">
        <f t="shared" si="4"/>
        <v>33.86</v>
      </c>
      <c r="V20" s="16">
        <f t="shared" si="5"/>
        <v>1308.7</v>
      </c>
      <c r="W20" s="16">
        <f t="shared" si="5"/>
        <v>1308.7</v>
      </c>
      <c r="X20" s="16"/>
      <c r="Y20" s="16"/>
      <c r="Z20" s="16"/>
      <c r="AA20" s="16"/>
      <c r="AB20" s="16"/>
      <c r="AC20" s="16"/>
      <c r="AD20" s="16"/>
      <c r="AE20" s="16"/>
      <c r="AF20" s="78"/>
      <c r="AG20" s="79"/>
    </row>
    <row r="21" spans="1:33" s="5" customFormat="1" ht="21.75" customHeight="1">
      <c r="A21" s="12">
        <f t="shared" si="0"/>
        <v>9</v>
      </c>
      <c r="B21" s="13">
        <f t="shared" si="6"/>
        <v>41562.45</v>
      </c>
      <c r="C21" s="14">
        <v>41762.45</v>
      </c>
      <c r="D21" s="15" t="s">
        <v>20</v>
      </c>
      <c r="E21" s="16">
        <f t="shared" si="1"/>
        <v>200</v>
      </c>
      <c r="F21" s="17">
        <v>16</v>
      </c>
      <c r="G21" s="18">
        <f>ROUND((((238.732+($F21/2))/238.732)+((4583.662+($F21/2))/4583.662))/2,4)</f>
        <v>1.0176</v>
      </c>
      <c r="H21" s="16"/>
      <c r="I21" s="16">
        <f t="shared" si="2"/>
        <v>3256.32</v>
      </c>
      <c r="J21" s="16"/>
      <c r="K21" s="16"/>
      <c r="L21" s="16"/>
      <c r="M21" s="16"/>
      <c r="N21" s="16"/>
      <c r="O21" s="16"/>
      <c r="P21" s="16"/>
      <c r="Q21" s="16"/>
      <c r="R21" s="16"/>
      <c r="S21" s="63">
        <f t="shared" si="3"/>
        <v>0.181</v>
      </c>
      <c r="T21" s="16"/>
      <c r="U21" s="16">
        <f t="shared" si="4"/>
        <v>9.36</v>
      </c>
      <c r="V21" s="16">
        <f t="shared" si="5"/>
        <v>361.81</v>
      </c>
      <c r="W21" s="16">
        <f t="shared" si="5"/>
        <v>361.81</v>
      </c>
      <c r="X21" s="16"/>
      <c r="Y21" s="16"/>
      <c r="Z21" s="16"/>
      <c r="AA21" s="16"/>
      <c r="AB21" s="16"/>
      <c r="AC21" s="16"/>
      <c r="AD21" s="16"/>
      <c r="AE21" s="16"/>
      <c r="AF21" s="78"/>
      <c r="AG21" s="79"/>
    </row>
    <row r="22" spans="1:33" s="5" customFormat="1" ht="21.75" customHeight="1">
      <c r="A22" s="12">
        <f t="shared" si="0"/>
        <v>10</v>
      </c>
      <c r="B22" s="13">
        <f t="shared" si="6"/>
        <v>41762.45</v>
      </c>
      <c r="C22" s="14">
        <v>41855.68</v>
      </c>
      <c r="D22" s="15" t="s">
        <v>20</v>
      </c>
      <c r="E22" s="16">
        <f t="shared" si="1"/>
        <v>93.2300000000032</v>
      </c>
      <c r="F22" s="17">
        <v>16</v>
      </c>
      <c r="G22" s="18">
        <f>ROUND((4583.662+($F22/2))/4583.662,4)</f>
        <v>1.0017</v>
      </c>
      <c r="H22" s="16"/>
      <c r="I22" s="16">
        <f>IF(G22=0,ROUND($E22*$F22,2),ROUND($E22*$F22*$G22,2))</f>
        <v>1494.22</v>
      </c>
      <c r="J22" s="16"/>
      <c r="K22" s="16"/>
      <c r="L22" s="16"/>
      <c r="M22" s="16"/>
      <c r="N22" s="16"/>
      <c r="O22" s="16"/>
      <c r="P22" s="16"/>
      <c r="Q22" s="16"/>
      <c r="R22" s="16"/>
      <c r="S22" s="63">
        <f t="shared" si="3"/>
        <v>0.083</v>
      </c>
      <c r="T22" s="16"/>
      <c r="U22" s="16">
        <f t="shared" si="4"/>
        <v>4.3</v>
      </c>
      <c r="V22" s="16">
        <f t="shared" si="5"/>
        <v>166.02</v>
      </c>
      <c r="W22" s="16">
        <f t="shared" si="5"/>
        <v>166.02</v>
      </c>
      <c r="X22" s="16"/>
      <c r="Y22" s="16"/>
      <c r="Z22" s="16"/>
      <c r="AA22" s="16"/>
      <c r="AB22" s="16"/>
      <c r="AC22" s="16"/>
      <c r="AD22" s="16"/>
      <c r="AE22" s="16"/>
      <c r="AF22" s="78"/>
      <c r="AG22" s="79"/>
    </row>
    <row r="23" spans="1:33" s="5" customFormat="1" ht="21.75" customHeight="1">
      <c r="A23" s="12">
        <f t="shared" si="0"/>
        <v>11</v>
      </c>
      <c r="B23" s="13">
        <f t="shared" si="6"/>
        <v>41855.68</v>
      </c>
      <c r="C23" s="14">
        <v>42145.82</v>
      </c>
      <c r="D23" s="15" t="s">
        <v>20</v>
      </c>
      <c r="E23" s="16">
        <f t="shared" si="1"/>
        <v>290.1399999999994</v>
      </c>
      <c r="F23" s="104" t="s">
        <v>23</v>
      </c>
      <c r="G23" s="105"/>
      <c r="H23" s="105"/>
      <c r="I23" s="106"/>
      <c r="J23" s="16">
        <v>4143.69</v>
      </c>
      <c r="K23" s="16"/>
      <c r="L23" s="16"/>
      <c r="M23" s="16"/>
      <c r="N23" s="16"/>
      <c r="O23" s="16"/>
      <c r="P23" s="16"/>
      <c r="Q23" s="16"/>
      <c r="R23" s="16"/>
      <c r="S23" s="63">
        <f t="shared" si="3"/>
        <v>0.23</v>
      </c>
      <c r="T23" s="16"/>
      <c r="U23" s="16">
        <f t="shared" si="4"/>
        <v>11.91</v>
      </c>
      <c r="V23" s="16">
        <f t="shared" si="5"/>
        <v>460.41</v>
      </c>
      <c r="W23" s="16">
        <f t="shared" si="5"/>
        <v>460.41</v>
      </c>
      <c r="X23" s="16"/>
      <c r="Y23" s="16"/>
      <c r="Z23" s="16"/>
      <c r="AA23" s="16"/>
      <c r="AB23" s="16"/>
      <c r="AC23" s="16"/>
      <c r="AD23" s="16"/>
      <c r="AE23" s="16"/>
      <c r="AF23" s="78"/>
      <c r="AG23" s="79"/>
    </row>
    <row r="24" spans="1:33" s="5" customFormat="1" ht="21.75" customHeight="1">
      <c r="A24" s="12">
        <f t="shared" si="0"/>
        <v>12</v>
      </c>
      <c r="B24" s="13"/>
      <c r="C24" s="14"/>
      <c r="D24" s="15"/>
      <c r="E24" s="16"/>
      <c r="F24" s="17"/>
      <c r="G24" s="18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63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78"/>
      <c r="AG24" s="79"/>
    </row>
    <row r="25" spans="1:33" s="5" customFormat="1" ht="21.75" customHeight="1">
      <c r="A25" s="12">
        <f t="shared" si="0"/>
        <v>13</v>
      </c>
      <c r="B25" s="19" t="s">
        <v>27</v>
      </c>
      <c r="C25" s="14"/>
      <c r="D25" s="15"/>
      <c r="E25" s="16"/>
      <c r="F25" s="17"/>
      <c r="G25" s="1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63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78"/>
      <c r="AG25" s="79"/>
    </row>
    <row r="26" spans="1:33" s="5" customFormat="1" ht="21.75" customHeight="1">
      <c r="A26" s="12">
        <f t="shared" si="0"/>
        <v>14</v>
      </c>
      <c r="B26" s="13">
        <v>40243.78</v>
      </c>
      <c r="C26" s="14">
        <v>40501.68</v>
      </c>
      <c r="D26" s="15" t="s">
        <v>25</v>
      </c>
      <c r="E26" s="16">
        <f aca="true" t="shared" si="7" ref="E26:E36">C26-B26</f>
        <v>257.90000000000146</v>
      </c>
      <c r="F26" s="17">
        <v>8</v>
      </c>
      <c r="G26" s="18"/>
      <c r="H26" s="16"/>
      <c r="I26" s="16">
        <f aca="true" t="shared" si="8" ref="I26:I36">IF(G26=0,ROUND($E26*$F26,2),ROUND($E26*$F26*$G26,2))</f>
        <v>2063.2</v>
      </c>
      <c r="J26" s="16"/>
      <c r="K26" s="16"/>
      <c r="L26" s="16"/>
      <c r="M26" s="16"/>
      <c r="N26" s="16"/>
      <c r="O26" s="16">
        <f>IF($H26=0,ROUND($E26*(O$72/12),2),ROUND($E26*(O$72/12)*$H26,2))</f>
        <v>386.85</v>
      </c>
      <c r="P26" s="16"/>
      <c r="Q26" s="16"/>
      <c r="R26" s="16"/>
      <c r="S26" s="63">
        <f aca="true" t="shared" si="9" ref="S26:S36">ROUND(($V26/S$72),3)</f>
        <v>0.136</v>
      </c>
      <c r="T26" s="16"/>
      <c r="U26" s="16">
        <f aca="true" t="shared" si="10" ref="U26:U36">ROUND((($U$72*$W$72*$U$73*$U$74*$W26)/2000),2)</f>
        <v>7.04</v>
      </c>
      <c r="V26" s="16">
        <f>ROUND((($I26+$J26+$O26+$P26+$Q26)/9),2)</f>
        <v>272.23</v>
      </c>
      <c r="W26" s="16">
        <f>ROUND((($I26+$J26+$O26+$P26+$Q26)/9),2)</f>
        <v>272.23</v>
      </c>
      <c r="X26" s="16"/>
      <c r="Y26" s="16"/>
      <c r="Z26" s="16"/>
      <c r="AA26" s="16"/>
      <c r="AB26" s="16"/>
      <c r="AC26" s="16"/>
      <c r="AD26" s="16"/>
      <c r="AE26" s="16"/>
      <c r="AF26" s="78"/>
      <c r="AG26" s="79"/>
    </row>
    <row r="27" spans="1:33" s="5" customFormat="1" ht="21.75" customHeight="1">
      <c r="A27" s="12">
        <f t="shared" si="0"/>
        <v>15</v>
      </c>
      <c r="B27" s="13">
        <f aca="true" t="shared" si="11" ref="B27:B36">C26</f>
        <v>40501.68</v>
      </c>
      <c r="C27" s="14">
        <v>40551.68</v>
      </c>
      <c r="D27" s="15" t="s">
        <v>25</v>
      </c>
      <c r="E27" s="16">
        <f t="shared" si="7"/>
        <v>50</v>
      </c>
      <c r="F27" s="17">
        <f>ROUND(AVERAGE(8,6),2)</f>
        <v>7</v>
      </c>
      <c r="G27" s="18">
        <f>ROUND((((487.624-($F27/2))/487.624)+1)/2,4)</f>
        <v>0.9964</v>
      </c>
      <c r="H27" s="18">
        <f>ROUND((((487.624-($F27))/487.624)+1)/2,4)</f>
        <v>0.9928</v>
      </c>
      <c r="I27" s="16">
        <f t="shared" si="8"/>
        <v>348.74</v>
      </c>
      <c r="J27" s="16"/>
      <c r="K27" s="16"/>
      <c r="L27" s="16"/>
      <c r="M27" s="16"/>
      <c r="N27" s="16"/>
      <c r="O27" s="16">
        <f aca="true" t="shared" si="12" ref="O27:O42">IF($H27=0,ROUND($E27*(O$72/12),2),ROUND($E27*(O$72/12)*$H27,2))</f>
        <v>74.46</v>
      </c>
      <c r="P27" s="16"/>
      <c r="Q27" s="16"/>
      <c r="R27" s="16"/>
      <c r="S27" s="63">
        <f t="shared" si="9"/>
        <v>0.024</v>
      </c>
      <c r="T27" s="16"/>
      <c r="U27" s="16">
        <f t="shared" si="10"/>
        <v>1.22</v>
      </c>
      <c r="V27" s="16">
        <f aca="true" t="shared" si="13" ref="V27:W42">ROUND((($I27+$J27+$O27+$P27+$Q27)/9),2)</f>
        <v>47.02</v>
      </c>
      <c r="W27" s="16">
        <f t="shared" si="13"/>
        <v>47.02</v>
      </c>
      <c r="X27" s="16"/>
      <c r="Y27" s="16"/>
      <c r="Z27" s="16"/>
      <c r="AA27" s="16"/>
      <c r="AB27" s="16"/>
      <c r="AC27" s="16"/>
      <c r="AD27" s="16"/>
      <c r="AE27" s="16"/>
      <c r="AF27" s="78"/>
      <c r="AG27" s="79"/>
    </row>
    <row r="28" spans="1:33" s="5" customFormat="1" ht="21.75" customHeight="1">
      <c r="A28" s="12">
        <f t="shared" si="0"/>
        <v>16</v>
      </c>
      <c r="B28" s="13">
        <f t="shared" si="11"/>
        <v>40551.68</v>
      </c>
      <c r="C28" s="14">
        <v>40631.76</v>
      </c>
      <c r="D28" s="15" t="s">
        <v>25</v>
      </c>
      <c r="E28" s="16">
        <f t="shared" si="7"/>
        <v>80.08000000000175</v>
      </c>
      <c r="F28" s="17">
        <v>6</v>
      </c>
      <c r="G28" s="18">
        <f>ROUND((((487.624-($F28/2))/487.624)+1)/2,4)</f>
        <v>0.9969</v>
      </c>
      <c r="H28" s="18">
        <f>ROUND((((487.624-($F28))/487.624)+1)/2,4)</f>
        <v>0.9938</v>
      </c>
      <c r="I28" s="16">
        <f t="shared" si="8"/>
        <v>478.99</v>
      </c>
      <c r="J28" s="16"/>
      <c r="K28" s="16"/>
      <c r="L28" s="16"/>
      <c r="M28" s="16"/>
      <c r="N28" s="16"/>
      <c r="O28" s="16">
        <f t="shared" si="12"/>
        <v>119.38</v>
      </c>
      <c r="P28" s="16"/>
      <c r="Q28" s="16"/>
      <c r="R28" s="16"/>
      <c r="S28" s="63">
        <f t="shared" si="9"/>
        <v>0.033</v>
      </c>
      <c r="T28" s="16"/>
      <c r="U28" s="16">
        <f t="shared" si="10"/>
        <v>1.72</v>
      </c>
      <c r="V28" s="16">
        <f t="shared" si="13"/>
        <v>66.49</v>
      </c>
      <c r="W28" s="16">
        <f t="shared" si="13"/>
        <v>66.49</v>
      </c>
      <c r="X28" s="16"/>
      <c r="Y28" s="16"/>
      <c r="Z28" s="16"/>
      <c r="AA28" s="16"/>
      <c r="AB28" s="16"/>
      <c r="AC28" s="16"/>
      <c r="AD28" s="16"/>
      <c r="AE28" s="16"/>
      <c r="AF28" s="78"/>
      <c r="AG28" s="79"/>
    </row>
    <row r="29" spans="1:33" s="5" customFormat="1" ht="21.75" customHeight="1">
      <c r="A29" s="12">
        <f t="shared" si="0"/>
        <v>17</v>
      </c>
      <c r="B29" s="13">
        <f t="shared" si="11"/>
        <v>40631.76</v>
      </c>
      <c r="C29" s="14">
        <v>40701.68</v>
      </c>
      <c r="D29" s="15" t="s">
        <v>25</v>
      </c>
      <c r="E29" s="16">
        <f t="shared" si="7"/>
        <v>69.91999999999825</v>
      </c>
      <c r="F29" s="17">
        <v>6</v>
      </c>
      <c r="G29" s="18">
        <f>ROUND((((487.624-($F29/2))/487.624)+1)/2,4)</f>
        <v>0.9969</v>
      </c>
      <c r="H29" s="18">
        <f>ROUND((((487.624-($F29))/487.624)+1)/2,4)</f>
        <v>0.9938</v>
      </c>
      <c r="I29" s="16">
        <f t="shared" si="8"/>
        <v>418.22</v>
      </c>
      <c r="J29" s="16"/>
      <c r="K29" s="16"/>
      <c r="L29" s="16"/>
      <c r="M29" s="16"/>
      <c r="N29" s="16"/>
      <c r="O29" s="16">
        <f t="shared" si="12"/>
        <v>104.23</v>
      </c>
      <c r="P29" s="16"/>
      <c r="Q29" s="16"/>
      <c r="R29" s="16"/>
      <c r="S29" s="63">
        <f t="shared" si="9"/>
        <v>0.029</v>
      </c>
      <c r="T29" s="16"/>
      <c r="U29" s="16">
        <f t="shared" si="10"/>
        <v>1.5</v>
      </c>
      <c r="V29" s="16">
        <f t="shared" si="13"/>
        <v>58.05</v>
      </c>
      <c r="W29" s="16">
        <f t="shared" si="13"/>
        <v>58.05</v>
      </c>
      <c r="X29" s="16"/>
      <c r="Y29" s="16"/>
      <c r="Z29" s="16"/>
      <c r="AA29" s="16"/>
      <c r="AB29" s="16"/>
      <c r="AC29" s="16"/>
      <c r="AD29" s="16"/>
      <c r="AE29" s="16"/>
      <c r="AF29" s="78"/>
      <c r="AG29" s="79"/>
    </row>
    <row r="30" spans="1:33" s="5" customFormat="1" ht="21.75" customHeight="1">
      <c r="A30" s="12">
        <f t="shared" si="0"/>
        <v>18</v>
      </c>
      <c r="B30" s="13">
        <f t="shared" si="11"/>
        <v>40701.68</v>
      </c>
      <c r="C30" s="14">
        <v>40850.17</v>
      </c>
      <c r="D30" s="15" t="s">
        <v>25</v>
      </c>
      <c r="E30" s="16">
        <f t="shared" si="7"/>
        <v>148.48999999999796</v>
      </c>
      <c r="F30" s="17">
        <v>6</v>
      </c>
      <c r="G30" s="18">
        <f>ROUND((487.624-($F30/2))/487.624,4)</f>
        <v>0.9938</v>
      </c>
      <c r="H30" s="18">
        <f>ROUND((487.624-($F30))/487.624,4)</f>
        <v>0.9877</v>
      </c>
      <c r="I30" s="16">
        <f t="shared" si="8"/>
        <v>885.42</v>
      </c>
      <c r="J30" s="16"/>
      <c r="K30" s="16"/>
      <c r="L30" s="16"/>
      <c r="M30" s="16"/>
      <c r="N30" s="16"/>
      <c r="O30" s="16">
        <f t="shared" si="12"/>
        <v>220</v>
      </c>
      <c r="P30" s="16"/>
      <c r="Q30" s="16"/>
      <c r="R30" s="16"/>
      <c r="S30" s="63">
        <f t="shared" si="9"/>
        <v>0.061</v>
      </c>
      <c r="T30" s="16"/>
      <c r="U30" s="16">
        <f t="shared" si="10"/>
        <v>3.18</v>
      </c>
      <c r="V30" s="16">
        <f t="shared" si="13"/>
        <v>122.82</v>
      </c>
      <c r="W30" s="16">
        <f t="shared" si="13"/>
        <v>122.82</v>
      </c>
      <c r="X30" s="16"/>
      <c r="Y30" s="16"/>
      <c r="Z30" s="16"/>
      <c r="AA30" s="16"/>
      <c r="AB30" s="16"/>
      <c r="AC30" s="16"/>
      <c r="AD30" s="16"/>
      <c r="AE30" s="16"/>
      <c r="AF30" s="78"/>
      <c r="AG30" s="79"/>
    </row>
    <row r="31" spans="1:33" s="5" customFormat="1" ht="21.75" customHeight="1">
      <c r="A31" s="12">
        <f t="shared" si="0"/>
        <v>19</v>
      </c>
      <c r="B31" s="13">
        <f t="shared" si="11"/>
        <v>40850.17</v>
      </c>
      <c r="C31" s="14">
        <v>41562.45</v>
      </c>
      <c r="D31" s="15" t="s">
        <v>25</v>
      </c>
      <c r="E31" s="16">
        <f t="shared" si="7"/>
        <v>712.2799999999988</v>
      </c>
      <c r="F31" s="17">
        <v>6</v>
      </c>
      <c r="G31" s="18">
        <f>ROUND((238.732-($F31/2))/238.732,4)</f>
        <v>0.9874</v>
      </c>
      <c r="H31" s="18">
        <f>ROUND((238.732-($F31))/238.732,4)</f>
        <v>0.9749</v>
      </c>
      <c r="I31" s="16">
        <f t="shared" si="8"/>
        <v>4219.83</v>
      </c>
      <c r="J31" s="16"/>
      <c r="K31" s="16"/>
      <c r="L31" s="16"/>
      <c r="M31" s="16"/>
      <c r="N31" s="16"/>
      <c r="O31" s="16">
        <f t="shared" si="12"/>
        <v>1041.6</v>
      </c>
      <c r="P31" s="16"/>
      <c r="Q31" s="16"/>
      <c r="R31" s="16"/>
      <c r="S31" s="63">
        <f t="shared" si="9"/>
        <v>0.292</v>
      </c>
      <c r="T31" s="16"/>
      <c r="U31" s="16">
        <f t="shared" si="10"/>
        <v>15.13</v>
      </c>
      <c r="V31" s="16">
        <f t="shared" si="13"/>
        <v>584.6</v>
      </c>
      <c r="W31" s="16">
        <f t="shared" si="13"/>
        <v>584.6</v>
      </c>
      <c r="X31" s="16"/>
      <c r="Y31" s="16"/>
      <c r="Z31" s="16"/>
      <c r="AA31" s="16"/>
      <c r="AB31" s="16"/>
      <c r="AC31" s="16"/>
      <c r="AD31" s="16"/>
      <c r="AE31" s="16"/>
      <c r="AF31" s="78"/>
      <c r="AG31" s="79"/>
    </row>
    <row r="32" spans="1:33" s="5" customFormat="1" ht="21.75" customHeight="1">
      <c r="A32" s="12">
        <f t="shared" si="0"/>
        <v>20</v>
      </c>
      <c r="B32" s="13">
        <f t="shared" si="11"/>
        <v>41562.45</v>
      </c>
      <c r="C32" s="14">
        <v>41755.68</v>
      </c>
      <c r="D32" s="15" t="s">
        <v>25</v>
      </c>
      <c r="E32" s="16">
        <f t="shared" si="7"/>
        <v>193.2300000000032</v>
      </c>
      <c r="F32" s="17">
        <v>6</v>
      </c>
      <c r="G32" s="18">
        <f>ROUND((((238.732-($F32/2))/238.732)+((4583.662-($F32/2))/4583.662))/2,4)</f>
        <v>0.9934</v>
      </c>
      <c r="H32" s="18">
        <f>ROUND((((238.732-($F32))/238.732)+((4583.662-($F32))/4583.662))/2,4)</f>
        <v>0.9868</v>
      </c>
      <c r="I32" s="16">
        <f t="shared" si="8"/>
        <v>1151.73</v>
      </c>
      <c r="J32" s="16"/>
      <c r="K32" s="16"/>
      <c r="L32" s="16"/>
      <c r="M32" s="16"/>
      <c r="N32" s="16"/>
      <c r="O32" s="16">
        <f t="shared" si="12"/>
        <v>286.02</v>
      </c>
      <c r="P32" s="16"/>
      <c r="Q32" s="16"/>
      <c r="R32" s="16"/>
      <c r="S32" s="63">
        <f t="shared" si="9"/>
        <v>0.08</v>
      </c>
      <c r="T32" s="16"/>
      <c r="U32" s="16">
        <f t="shared" si="10"/>
        <v>4.13</v>
      </c>
      <c r="V32" s="16">
        <f t="shared" si="13"/>
        <v>159.75</v>
      </c>
      <c r="W32" s="16">
        <f t="shared" si="13"/>
        <v>159.75</v>
      </c>
      <c r="X32" s="16"/>
      <c r="Y32" s="16"/>
      <c r="Z32" s="16"/>
      <c r="AA32" s="16"/>
      <c r="AB32" s="16"/>
      <c r="AC32" s="16"/>
      <c r="AD32" s="16"/>
      <c r="AE32" s="16"/>
      <c r="AF32" s="78"/>
      <c r="AG32" s="79"/>
    </row>
    <row r="33" spans="1:33" s="5" customFormat="1" ht="21.75" customHeight="1">
      <c r="A33" s="12">
        <f t="shared" si="0"/>
        <v>21</v>
      </c>
      <c r="B33" s="13">
        <f t="shared" si="11"/>
        <v>41755.68</v>
      </c>
      <c r="C33" s="14">
        <v>41762.45</v>
      </c>
      <c r="D33" s="15" t="s">
        <v>25</v>
      </c>
      <c r="E33" s="16">
        <f t="shared" si="7"/>
        <v>6.769999999996799</v>
      </c>
      <c r="F33" s="17">
        <f>ROUND(AVERAGE(6.271,6),2)</f>
        <v>6.14</v>
      </c>
      <c r="G33" s="18">
        <f>ROUND((((238.732-($F33/2))/238.732)+((4583.662-($F33/2))/4583.662))/2,4)</f>
        <v>0.9932</v>
      </c>
      <c r="H33" s="18">
        <f>ROUND((((238.732-($F33))/238.732)+((4583.662-($F33))/4583.662))/2,4)</f>
        <v>0.9865</v>
      </c>
      <c r="I33" s="16">
        <f t="shared" si="8"/>
        <v>41.29</v>
      </c>
      <c r="J33" s="16"/>
      <c r="K33" s="16"/>
      <c r="L33" s="16"/>
      <c r="M33" s="16"/>
      <c r="N33" s="16"/>
      <c r="O33" s="16">
        <f t="shared" si="12"/>
        <v>10.02</v>
      </c>
      <c r="P33" s="16"/>
      <c r="Q33" s="16"/>
      <c r="R33" s="16"/>
      <c r="S33" s="63">
        <f t="shared" si="9"/>
        <v>0.003</v>
      </c>
      <c r="T33" s="16"/>
      <c r="U33" s="16">
        <f t="shared" si="10"/>
        <v>0.15</v>
      </c>
      <c r="V33" s="16">
        <f t="shared" si="13"/>
        <v>5.7</v>
      </c>
      <c r="W33" s="16">
        <f t="shared" si="13"/>
        <v>5.7</v>
      </c>
      <c r="X33" s="16"/>
      <c r="Y33" s="16"/>
      <c r="Z33" s="16"/>
      <c r="AA33" s="16"/>
      <c r="AB33" s="16"/>
      <c r="AC33" s="16"/>
      <c r="AD33" s="16"/>
      <c r="AE33" s="16"/>
      <c r="AF33" s="78"/>
      <c r="AG33" s="79"/>
    </row>
    <row r="34" spans="1:33" s="5" customFormat="1" ht="21.75" customHeight="1">
      <c r="A34" s="12">
        <f t="shared" si="0"/>
        <v>22</v>
      </c>
      <c r="B34" s="13">
        <f t="shared" si="11"/>
        <v>41762.45</v>
      </c>
      <c r="C34" s="14">
        <v>41855.68</v>
      </c>
      <c r="D34" s="15" t="s">
        <v>25</v>
      </c>
      <c r="E34" s="16">
        <f t="shared" si="7"/>
        <v>93.2300000000032</v>
      </c>
      <c r="F34" s="17">
        <f>ROUND(AVERAGE(6.271,10),2)</f>
        <v>8.14</v>
      </c>
      <c r="G34" s="18">
        <f>ROUND((4583.662-($F34/2))/4583.662,4)</f>
        <v>0.9991</v>
      </c>
      <c r="H34" s="18">
        <f>ROUND((4583.662-($F34))/4583.662,4)</f>
        <v>0.9982</v>
      </c>
      <c r="I34" s="16">
        <f t="shared" si="8"/>
        <v>758.21</v>
      </c>
      <c r="J34" s="16"/>
      <c r="K34" s="16"/>
      <c r="L34" s="16"/>
      <c r="M34" s="16"/>
      <c r="N34" s="16"/>
      <c r="O34" s="16">
        <f t="shared" si="12"/>
        <v>139.59</v>
      </c>
      <c r="P34" s="16"/>
      <c r="Q34" s="16"/>
      <c r="R34" s="16"/>
      <c r="S34" s="63">
        <f t="shared" si="9"/>
        <v>0.05</v>
      </c>
      <c r="T34" s="16"/>
      <c r="U34" s="16">
        <f t="shared" si="10"/>
        <v>2.58</v>
      </c>
      <c r="V34" s="16">
        <f t="shared" si="13"/>
        <v>99.76</v>
      </c>
      <c r="W34" s="16">
        <f t="shared" si="13"/>
        <v>99.76</v>
      </c>
      <c r="X34" s="16"/>
      <c r="Y34" s="16"/>
      <c r="Z34" s="16"/>
      <c r="AA34" s="16"/>
      <c r="AB34" s="16"/>
      <c r="AC34" s="16"/>
      <c r="AD34" s="16"/>
      <c r="AE34" s="16"/>
      <c r="AF34" s="78"/>
      <c r="AG34" s="79"/>
    </row>
    <row r="35" spans="1:33" s="5" customFormat="1" ht="21.75" customHeight="1">
      <c r="A35" s="12">
        <f t="shared" si="0"/>
        <v>23</v>
      </c>
      <c r="B35" s="13">
        <f t="shared" si="11"/>
        <v>41855.68</v>
      </c>
      <c r="C35" s="14">
        <v>42131.93</v>
      </c>
      <c r="D35" s="15" t="s">
        <v>25</v>
      </c>
      <c r="E35" s="16">
        <f t="shared" si="7"/>
        <v>276.25</v>
      </c>
      <c r="F35" s="17">
        <v>10</v>
      </c>
      <c r="G35" s="18">
        <f>ROUND((4583.662-($F35/2))/4583.662,4)</f>
        <v>0.9989</v>
      </c>
      <c r="H35" s="18">
        <f>ROUND((4583.662-($F35))/4583.662,4)</f>
        <v>0.9978</v>
      </c>
      <c r="I35" s="16">
        <f t="shared" si="8"/>
        <v>2759.46</v>
      </c>
      <c r="J35" s="16"/>
      <c r="K35" s="16"/>
      <c r="L35" s="16"/>
      <c r="M35" s="16"/>
      <c r="N35" s="16"/>
      <c r="O35" s="16">
        <f t="shared" si="12"/>
        <v>413.46</v>
      </c>
      <c r="P35" s="16"/>
      <c r="Q35" s="16"/>
      <c r="R35" s="16"/>
      <c r="S35" s="63">
        <f t="shared" si="9"/>
        <v>0.176</v>
      </c>
      <c r="T35" s="16"/>
      <c r="U35" s="16">
        <f t="shared" si="10"/>
        <v>9.12</v>
      </c>
      <c r="V35" s="16">
        <f t="shared" si="13"/>
        <v>352.55</v>
      </c>
      <c r="W35" s="16">
        <f t="shared" si="13"/>
        <v>352.55</v>
      </c>
      <c r="X35" s="16"/>
      <c r="Y35" s="16"/>
      <c r="Z35" s="16"/>
      <c r="AA35" s="16"/>
      <c r="AB35" s="16"/>
      <c r="AC35" s="16"/>
      <c r="AD35" s="16"/>
      <c r="AE35" s="16"/>
      <c r="AF35" s="78"/>
      <c r="AG35" s="79"/>
    </row>
    <row r="36" spans="1:33" s="5" customFormat="1" ht="21.75" customHeight="1">
      <c r="A36" s="12">
        <f t="shared" si="0"/>
        <v>24</v>
      </c>
      <c r="B36" s="14">
        <f t="shared" si="11"/>
        <v>42131.93</v>
      </c>
      <c r="C36" s="39">
        <v>42136.23</v>
      </c>
      <c r="D36" s="15" t="s">
        <v>25</v>
      </c>
      <c r="E36" s="16">
        <f t="shared" si="7"/>
        <v>4.30000000000291</v>
      </c>
      <c r="F36" s="17">
        <v>10</v>
      </c>
      <c r="G36" s="18">
        <f>ROUND((4583.662-($F36/2))/4583.662,4)</f>
        <v>0.9989</v>
      </c>
      <c r="H36" s="18">
        <f>ROUND((4583.662-($F36))/4583.662,4)</f>
        <v>0.9978</v>
      </c>
      <c r="I36" s="16">
        <f t="shared" si="8"/>
        <v>42.95</v>
      </c>
      <c r="J36" s="16"/>
      <c r="K36" s="16"/>
      <c r="L36" s="16"/>
      <c r="M36" s="16"/>
      <c r="N36" s="16"/>
      <c r="O36" s="16"/>
      <c r="P36" s="16"/>
      <c r="Q36" s="16"/>
      <c r="R36" s="16"/>
      <c r="S36" s="63">
        <f t="shared" si="9"/>
        <v>0.002</v>
      </c>
      <c r="T36" s="16"/>
      <c r="U36" s="16">
        <f t="shared" si="10"/>
        <v>0.12</v>
      </c>
      <c r="V36" s="16">
        <f t="shared" si="13"/>
        <v>4.77</v>
      </c>
      <c r="W36" s="16">
        <f t="shared" si="13"/>
        <v>4.77</v>
      </c>
      <c r="X36" s="16"/>
      <c r="Y36" s="16"/>
      <c r="Z36" s="16"/>
      <c r="AA36" s="16"/>
      <c r="AB36" s="16"/>
      <c r="AC36" s="16"/>
      <c r="AD36" s="16"/>
      <c r="AE36" s="16"/>
      <c r="AF36" s="78"/>
      <c r="AG36" s="79"/>
    </row>
    <row r="37" spans="1:33" s="5" customFormat="1" ht="21.75" customHeight="1">
      <c r="A37" s="12">
        <f t="shared" si="0"/>
        <v>25</v>
      </c>
      <c r="B37" s="13"/>
      <c r="C37" s="14"/>
      <c r="D37" s="15"/>
      <c r="E37" s="16"/>
      <c r="F37" s="17"/>
      <c r="G37" s="18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63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78"/>
      <c r="AG37" s="79"/>
    </row>
    <row r="38" spans="1:33" s="5" customFormat="1" ht="21.75" customHeight="1">
      <c r="A38" s="12">
        <f t="shared" si="0"/>
        <v>26</v>
      </c>
      <c r="B38" s="13">
        <v>40631.21</v>
      </c>
      <c r="C38" s="14">
        <v>40701.68</v>
      </c>
      <c r="D38" s="15" t="s">
        <v>20</v>
      </c>
      <c r="E38" s="16">
        <f>C38-B38</f>
        <v>70.47000000000116</v>
      </c>
      <c r="F38" s="104" t="s">
        <v>23</v>
      </c>
      <c r="G38" s="105"/>
      <c r="H38" s="105"/>
      <c r="I38" s="106"/>
      <c r="J38" s="16">
        <v>216.8</v>
      </c>
      <c r="K38" s="16"/>
      <c r="L38" s="16"/>
      <c r="M38" s="16"/>
      <c r="N38" s="16"/>
      <c r="O38" s="16">
        <f t="shared" si="12"/>
        <v>105.71</v>
      </c>
      <c r="P38" s="16"/>
      <c r="Q38" s="16"/>
      <c r="R38" s="16"/>
      <c r="S38" s="63">
        <f>ROUND(($V38/S$72),3)</f>
        <v>0.018</v>
      </c>
      <c r="T38" s="16"/>
      <c r="U38" s="16">
        <f>ROUND((($U$72*$W$72*$U$73*$U$74*$W38)/2000),2)</f>
        <v>0.93</v>
      </c>
      <c r="V38" s="16">
        <f t="shared" si="13"/>
        <v>35.83</v>
      </c>
      <c r="W38" s="16">
        <f t="shared" si="13"/>
        <v>35.83</v>
      </c>
      <c r="X38" s="16"/>
      <c r="Y38" s="16"/>
      <c r="Z38" s="16"/>
      <c r="AA38" s="16"/>
      <c r="AB38" s="16"/>
      <c r="AC38" s="16"/>
      <c r="AD38" s="16"/>
      <c r="AE38" s="16"/>
      <c r="AF38" s="78"/>
      <c r="AG38" s="79"/>
    </row>
    <row r="39" spans="1:33" s="5" customFormat="1" ht="21.75" customHeight="1">
      <c r="A39" s="12">
        <f t="shared" si="0"/>
        <v>27</v>
      </c>
      <c r="B39" s="13">
        <f>C38</f>
        <v>40701.68</v>
      </c>
      <c r="C39" s="14">
        <v>40850.17</v>
      </c>
      <c r="D39" s="15" t="s">
        <v>20</v>
      </c>
      <c r="E39" s="16">
        <f>C39-B39</f>
        <v>148.48999999999796</v>
      </c>
      <c r="F39" s="17">
        <v>3</v>
      </c>
      <c r="G39" s="18">
        <f>ROUND((487.624+16+($F39/2))/487.624,4)</f>
        <v>1.0359</v>
      </c>
      <c r="H39" s="18">
        <f>ROUND((487.624+16+($F39))/487.624,4)</f>
        <v>1.039</v>
      </c>
      <c r="I39" s="16">
        <f>IF(G39=0,ROUND($E39*$F39,2),ROUND($E39*$F39*$G39,2))</f>
        <v>461.46</v>
      </c>
      <c r="J39" s="16"/>
      <c r="K39" s="16"/>
      <c r="L39" s="16"/>
      <c r="M39" s="16"/>
      <c r="N39" s="16"/>
      <c r="O39" s="16">
        <f t="shared" si="12"/>
        <v>231.42</v>
      </c>
      <c r="P39" s="16"/>
      <c r="Q39" s="16"/>
      <c r="R39" s="16"/>
      <c r="S39" s="63">
        <f>ROUND(($V39/S$72),3)</f>
        <v>0.038</v>
      </c>
      <c r="T39" s="16"/>
      <c r="U39" s="16">
        <f>ROUND((($U$72*$W$72*$U$73*$U$74*$W39)/2000),2)</f>
        <v>1.99</v>
      </c>
      <c r="V39" s="16">
        <f t="shared" si="13"/>
        <v>76.99</v>
      </c>
      <c r="W39" s="16">
        <f t="shared" si="13"/>
        <v>76.99</v>
      </c>
      <c r="X39" s="16"/>
      <c r="Y39" s="16"/>
      <c r="Z39" s="16"/>
      <c r="AA39" s="16"/>
      <c r="AB39" s="16"/>
      <c r="AC39" s="16"/>
      <c r="AD39" s="16"/>
      <c r="AE39" s="16"/>
      <c r="AF39" s="78"/>
      <c r="AG39" s="79"/>
    </row>
    <row r="40" spans="1:33" s="5" customFormat="1" ht="21.75" customHeight="1">
      <c r="A40" s="12">
        <f t="shared" si="0"/>
        <v>28</v>
      </c>
      <c r="B40" s="13">
        <f>C39</f>
        <v>40850.17</v>
      </c>
      <c r="C40" s="14">
        <v>41562.45</v>
      </c>
      <c r="D40" s="15" t="s">
        <v>20</v>
      </c>
      <c r="E40" s="16">
        <f>C40-B40</f>
        <v>712.2799999999988</v>
      </c>
      <c r="F40" s="17">
        <v>3</v>
      </c>
      <c r="G40" s="18">
        <f>ROUND((238.732+16+($F40/2))/238.732,4)</f>
        <v>1.0733</v>
      </c>
      <c r="H40" s="18">
        <f>ROUND((238.732+16+($F40))/238.732,4)</f>
        <v>1.0796</v>
      </c>
      <c r="I40" s="16">
        <f>IF(G40=0,ROUND($E40*$F40,2),ROUND($E40*$F40*$G40,2))</f>
        <v>2293.47</v>
      </c>
      <c r="J40" s="16"/>
      <c r="K40" s="16"/>
      <c r="L40" s="16"/>
      <c r="M40" s="16"/>
      <c r="N40" s="16"/>
      <c r="O40" s="16">
        <f t="shared" si="12"/>
        <v>1153.47</v>
      </c>
      <c r="P40" s="16"/>
      <c r="Q40" s="16"/>
      <c r="R40" s="16"/>
      <c r="S40" s="63">
        <f>ROUND(($V40/S$72),3)</f>
        <v>0.191</v>
      </c>
      <c r="T40" s="16"/>
      <c r="U40" s="16">
        <f>ROUND((($U$72*$W$72*$U$73*$U$74*$W40)/2000),2)</f>
        <v>9.91</v>
      </c>
      <c r="V40" s="16">
        <f t="shared" si="13"/>
        <v>382.99</v>
      </c>
      <c r="W40" s="16">
        <f t="shared" si="13"/>
        <v>382.99</v>
      </c>
      <c r="X40" s="16"/>
      <c r="Y40" s="16"/>
      <c r="Z40" s="16"/>
      <c r="AA40" s="16"/>
      <c r="AB40" s="16"/>
      <c r="AC40" s="16"/>
      <c r="AD40" s="16"/>
      <c r="AE40" s="16"/>
      <c r="AF40" s="78"/>
      <c r="AG40" s="79"/>
    </row>
    <row r="41" spans="1:33" s="5" customFormat="1" ht="21.75" customHeight="1">
      <c r="A41" s="12">
        <f t="shared" si="0"/>
        <v>29</v>
      </c>
      <c r="B41" s="13">
        <f>C40</f>
        <v>41562.45</v>
      </c>
      <c r="C41" s="14">
        <v>41762.45</v>
      </c>
      <c r="D41" s="15" t="s">
        <v>20</v>
      </c>
      <c r="E41" s="16">
        <f>C41-B41</f>
        <v>200</v>
      </c>
      <c r="F41" s="17">
        <v>3</v>
      </c>
      <c r="G41" s="18">
        <f>ROUND((((238.732+16+($F41/2))/238.732)+((4583.662+16+($F41/2))/4583.662))/2,4)</f>
        <v>1.0386</v>
      </c>
      <c r="H41" s="18">
        <f>ROUND((((238.732+16+($F41))/238.732)+((4583.662+16+($F41))/4583.662))/2,4)</f>
        <v>1.0419</v>
      </c>
      <c r="I41" s="16">
        <f>IF(G41=0,ROUND($E41*$F41,2),ROUND($E41*$F41*$G41,2))</f>
        <v>623.16</v>
      </c>
      <c r="J41" s="16"/>
      <c r="K41" s="16"/>
      <c r="L41" s="16"/>
      <c r="M41" s="16"/>
      <c r="N41" s="16"/>
      <c r="O41" s="16">
        <f t="shared" si="12"/>
        <v>312.57</v>
      </c>
      <c r="P41" s="16"/>
      <c r="Q41" s="16"/>
      <c r="R41" s="16"/>
      <c r="S41" s="63">
        <f>ROUND(($V41/S$72),3)</f>
        <v>0.052</v>
      </c>
      <c r="T41" s="16"/>
      <c r="U41" s="16">
        <f>ROUND((($U$72*$W$72*$U$73*$U$74*$W41)/2000),2)</f>
        <v>2.69</v>
      </c>
      <c r="V41" s="16">
        <f t="shared" si="13"/>
        <v>103.97</v>
      </c>
      <c r="W41" s="16">
        <f t="shared" si="13"/>
        <v>103.97</v>
      </c>
      <c r="X41" s="16"/>
      <c r="Y41" s="16"/>
      <c r="Z41" s="16"/>
      <c r="AA41" s="16"/>
      <c r="AB41" s="16"/>
      <c r="AC41" s="16"/>
      <c r="AD41" s="16"/>
      <c r="AE41" s="16"/>
      <c r="AF41" s="78"/>
      <c r="AG41" s="79"/>
    </row>
    <row r="42" spans="1:33" s="5" customFormat="1" ht="21.75" customHeight="1">
      <c r="A42" s="12">
        <f t="shared" si="0"/>
        <v>30</v>
      </c>
      <c r="B42" s="13">
        <f>C41</f>
        <v>41762.45</v>
      </c>
      <c r="C42" s="14">
        <v>41855.99</v>
      </c>
      <c r="D42" s="15" t="s">
        <v>20</v>
      </c>
      <c r="E42" s="16">
        <f aca="true" t="shared" si="14" ref="E42:E65">C42-B42</f>
        <v>93.54000000000087</v>
      </c>
      <c r="F42" s="104" t="s">
        <v>23</v>
      </c>
      <c r="G42" s="105"/>
      <c r="H42" s="105"/>
      <c r="I42" s="106"/>
      <c r="J42" s="16">
        <v>281.22</v>
      </c>
      <c r="K42" s="16"/>
      <c r="L42" s="16"/>
      <c r="M42" s="16"/>
      <c r="N42" s="16"/>
      <c r="O42" s="16">
        <f t="shared" si="12"/>
        <v>140.31</v>
      </c>
      <c r="P42" s="16"/>
      <c r="Q42" s="16"/>
      <c r="R42" s="16"/>
      <c r="S42" s="63">
        <f>ROUND(($V42/S$72),3)</f>
        <v>0.023</v>
      </c>
      <c r="T42" s="16"/>
      <c r="U42" s="16">
        <f>ROUND((($U$72*$W$72*$U$73*$U$74*$W42)/2000),2)</f>
        <v>1.21</v>
      </c>
      <c r="V42" s="16">
        <f t="shared" si="13"/>
        <v>46.84</v>
      </c>
      <c r="W42" s="16">
        <f t="shared" si="13"/>
        <v>46.84</v>
      </c>
      <c r="X42" s="16"/>
      <c r="Y42" s="16"/>
      <c r="Z42" s="16"/>
      <c r="AA42" s="16"/>
      <c r="AB42" s="16"/>
      <c r="AC42" s="16"/>
      <c r="AD42" s="16"/>
      <c r="AE42" s="16"/>
      <c r="AF42" s="78"/>
      <c r="AG42" s="79"/>
    </row>
    <row r="43" spans="1:33" s="5" customFormat="1" ht="21.75" customHeight="1">
      <c r="A43" s="12">
        <f t="shared" si="0"/>
        <v>31</v>
      </c>
      <c r="B43" s="14"/>
      <c r="C43" s="14"/>
      <c r="D43" s="15"/>
      <c r="E43" s="16"/>
      <c r="F43" s="17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63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78"/>
      <c r="AG43" s="79"/>
    </row>
    <row r="44" spans="1:33" s="5" customFormat="1" ht="21.75" customHeight="1">
      <c r="A44" s="12">
        <f t="shared" si="0"/>
        <v>32</v>
      </c>
      <c r="B44" s="13"/>
      <c r="C44" s="14"/>
      <c r="D44" s="15"/>
      <c r="E44" s="16"/>
      <c r="F44" s="17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63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78"/>
      <c r="AG44" s="79"/>
    </row>
    <row r="45" spans="1:33" s="5" customFormat="1" ht="21.75" customHeight="1">
      <c r="A45" s="12">
        <f t="shared" si="0"/>
        <v>33</v>
      </c>
      <c r="B45" s="110" t="s">
        <v>54</v>
      </c>
      <c r="C45" s="111"/>
      <c r="D45" s="111"/>
      <c r="E45" s="111"/>
      <c r="F45" s="111"/>
      <c r="G45" s="111"/>
      <c r="H45" s="111"/>
      <c r="I45" s="112"/>
      <c r="J45" s="16"/>
      <c r="K45" s="16"/>
      <c r="L45" s="16"/>
      <c r="M45" s="16"/>
      <c r="N45" s="16"/>
      <c r="O45" s="16"/>
      <c r="P45" s="16"/>
      <c r="Q45" s="16"/>
      <c r="R45" s="16"/>
      <c r="S45" s="63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78"/>
      <c r="AG45" s="79"/>
    </row>
    <row r="46" spans="1:33" s="5" customFormat="1" ht="21.75" customHeight="1">
      <c r="A46" s="12">
        <f t="shared" si="0"/>
        <v>34</v>
      </c>
      <c r="B46" s="19" t="s">
        <v>19</v>
      </c>
      <c r="C46" s="14"/>
      <c r="D46" s="15"/>
      <c r="E46" s="16"/>
      <c r="F46" s="17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63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78"/>
      <c r="AG46" s="79"/>
    </row>
    <row r="47" spans="1:33" s="5" customFormat="1" ht="21.75" customHeight="1">
      <c r="A47" s="12">
        <f t="shared" si="0"/>
        <v>35</v>
      </c>
      <c r="B47" s="13">
        <v>28564.96</v>
      </c>
      <c r="C47" s="14">
        <v>29091.54</v>
      </c>
      <c r="D47" s="15" t="s">
        <v>20</v>
      </c>
      <c r="E47" s="16">
        <f t="shared" si="14"/>
        <v>526.5800000000017</v>
      </c>
      <c r="F47" s="17">
        <v>12</v>
      </c>
      <c r="G47" s="18">
        <f>ROUND((2911.977+($F47/2))/2911.977,4)</f>
        <v>1.0021</v>
      </c>
      <c r="H47" s="16"/>
      <c r="I47" s="16">
        <f>IF(G47=0,ROUND($E47*$F47,2),ROUND($E47*$F47*$G47,2))</f>
        <v>6332.23</v>
      </c>
      <c r="J47" s="16"/>
      <c r="K47" s="40"/>
      <c r="L47" s="16"/>
      <c r="M47" s="16"/>
      <c r="N47" s="16"/>
      <c r="O47" s="16"/>
      <c r="P47" s="16"/>
      <c r="Q47" s="16"/>
      <c r="R47" s="16"/>
      <c r="S47" s="63">
        <f aca="true" t="shared" si="15" ref="S47:S55">ROUND(($V47/S$72),3)</f>
        <v>0.352</v>
      </c>
      <c r="T47" s="16"/>
      <c r="U47" s="16">
        <f aca="true" t="shared" si="16" ref="U47:U55">ROUND((($U$72*$W$72*$U$73*$U$74*$W47)/2000),2)</f>
        <v>18.21</v>
      </c>
      <c r="V47" s="16">
        <f aca="true" t="shared" si="17" ref="V47:W50">ROUND((($I47+$J47)/9),2)</f>
        <v>703.58</v>
      </c>
      <c r="W47" s="16">
        <f t="shared" si="17"/>
        <v>703.58</v>
      </c>
      <c r="X47" s="16"/>
      <c r="Y47" s="16"/>
      <c r="Z47" s="16"/>
      <c r="AA47" s="16"/>
      <c r="AB47" s="16"/>
      <c r="AC47" s="16"/>
      <c r="AD47" s="16"/>
      <c r="AE47" s="16"/>
      <c r="AF47" s="78"/>
      <c r="AG47" s="79"/>
    </row>
    <row r="48" spans="1:33" s="5" customFormat="1" ht="21.75" customHeight="1">
      <c r="A48" s="12">
        <f t="shared" si="0"/>
        <v>36</v>
      </c>
      <c r="B48" s="13">
        <v>28564.96</v>
      </c>
      <c r="C48" s="14">
        <v>29091.54</v>
      </c>
      <c r="D48" s="15" t="s">
        <v>20</v>
      </c>
      <c r="E48" s="16">
        <f t="shared" si="14"/>
        <v>526.5800000000017</v>
      </c>
      <c r="F48" s="104" t="s">
        <v>23</v>
      </c>
      <c r="G48" s="105"/>
      <c r="H48" s="105"/>
      <c r="I48" s="106"/>
      <c r="J48" s="16">
        <v>2117.76</v>
      </c>
      <c r="K48" s="16"/>
      <c r="L48" s="16"/>
      <c r="M48" s="16"/>
      <c r="N48" s="16"/>
      <c r="O48" s="16"/>
      <c r="P48" s="16"/>
      <c r="Q48" s="16"/>
      <c r="R48" s="16"/>
      <c r="S48" s="63">
        <f t="shared" si="15"/>
        <v>0.118</v>
      </c>
      <c r="T48" s="16"/>
      <c r="U48" s="16">
        <f t="shared" si="16"/>
        <v>6.09</v>
      </c>
      <c r="V48" s="16">
        <f t="shared" si="17"/>
        <v>235.31</v>
      </c>
      <c r="W48" s="16">
        <f t="shared" si="17"/>
        <v>235.31</v>
      </c>
      <c r="X48" s="16"/>
      <c r="Y48" s="16"/>
      <c r="Z48" s="16"/>
      <c r="AA48" s="16"/>
      <c r="AB48" s="16"/>
      <c r="AC48" s="16"/>
      <c r="AD48" s="16"/>
      <c r="AE48" s="16"/>
      <c r="AF48" s="78"/>
      <c r="AG48" s="79"/>
    </row>
    <row r="49" spans="1:33" s="5" customFormat="1" ht="21.75" customHeight="1">
      <c r="A49" s="12">
        <f t="shared" si="0"/>
        <v>37</v>
      </c>
      <c r="B49" s="13">
        <f>C48</f>
        <v>29091.54</v>
      </c>
      <c r="C49" s="14">
        <v>29471.25</v>
      </c>
      <c r="D49" s="15" t="s">
        <v>20</v>
      </c>
      <c r="E49" s="16">
        <f aca="true" t="shared" si="18" ref="E49:E54">C49-B49</f>
        <v>379.7099999999991</v>
      </c>
      <c r="F49" s="17">
        <v>24</v>
      </c>
      <c r="G49" s="18">
        <f>ROUND((2911.977+($F49/2))/2911.977,4)</f>
        <v>1.0041</v>
      </c>
      <c r="H49" s="16"/>
      <c r="I49" s="16">
        <f aca="true" t="shared" si="19" ref="I49:I61">IF(G49=0,ROUND($E49*$F49,2),ROUND($E49*$F49*$G49,2))</f>
        <v>9150.4</v>
      </c>
      <c r="J49" s="16"/>
      <c r="K49" s="42"/>
      <c r="L49" s="16"/>
      <c r="M49" s="16"/>
      <c r="N49" s="16"/>
      <c r="O49" s="16"/>
      <c r="P49" s="16"/>
      <c r="Q49" s="42"/>
      <c r="R49" s="16"/>
      <c r="S49" s="63">
        <f t="shared" si="15"/>
        <v>0.508</v>
      </c>
      <c r="T49" s="16"/>
      <c r="U49" s="16">
        <f t="shared" si="16"/>
        <v>26.31</v>
      </c>
      <c r="V49" s="16">
        <f t="shared" si="17"/>
        <v>1016.71</v>
      </c>
      <c r="W49" s="16">
        <f t="shared" si="17"/>
        <v>1016.71</v>
      </c>
      <c r="X49" s="16"/>
      <c r="Y49" s="16"/>
      <c r="Z49" s="16"/>
      <c r="AA49" s="16"/>
      <c r="AB49" s="16"/>
      <c r="AC49" s="16"/>
      <c r="AD49" s="16"/>
      <c r="AE49" s="16"/>
      <c r="AF49" s="78"/>
      <c r="AG49" s="79"/>
    </row>
    <row r="50" spans="1:33" s="5" customFormat="1" ht="21.75" customHeight="1" thickBot="1">
      <c r="A50" s="12">
        <f t="shared" si="0"/>
        <v>38</v>
      </c>
      <c r="B50" s="13">
        <f>C49</f>
        <v>29471.25</v>
      </c>
      <c r="C50" s="14">
        <v>29794.13</v>
      </c>
      <c r="D50" s="15" t="s">
        <v>20</v>
      </c>
      <c r="E50" s="16">
        <f t="shared" si="18"/>
        <v>322.880000000001</v>
      </c>
      <c r="F50" s="17">
        <v>24</v>
      </c>
      <c r="G50" s="18"/>
      <c r="H50" s="16"/>
      <c r="I50" s="16">
        <f t="shared" si="19"/>
        <v>7749.12</v>
      </c>
      <c r="J50" s="16"/>
      <c r="K50" s="42"/>
      <c r="L50" s="16"/>
      <c r="M50" s="16"/>
      <c r="N50" s="16"/>
      <c r="O50" s="16"/>
      <c r="P50" s="16"/>
      <c r="Q50" s="16"/>
      <c r="R50" s="16"/>
      <c r="S50" s="63">
        <f t="shared" si="15"/>
        <v>0.431</v>
      </c>
      <c r="T50" s="16"/>
      <c r="U50" s="16">
        <f t="shared" si="16"/>
        <v>22.28</v>
      </c>
      <c r="V50" s="16">
        <f t="shared" si="17"/>
        <v>861.01</v>
      </c>
      <c r="W50" s="16">
        <f t="shared" si="17"/>
        <v>861.01</v>
      </c>
      <c r="X50" s="16"/>
      <c r="Y50" s="16"/>
      <c r="Z50" s="16"/>
      <c r="AA50" s="16"/>
      <c r="AB50" s="16"/>
      <c r="AC50" s="16"/>
      <c r="AD50" s="16"/>
      <c r="AE50" s="16"/>
      <c r="AF50" s="103"/>
      <c r="AG50" s="82"/>
    </row>
    <row r="51" spans="1:33" s="5" customFormat="1" ht="21.75" customHeight="1">
      <c r="A51" s="12">
        <f t="shared" si="0"/>
        <v>39</v>
      </c>
      <c r="B51" s="13">
        <f>C50</f>
        <v>29794.13</v>
      </c>
      <c r="C51" s="14">
        <v>30094.13</v>
      </c>
      <c r="D51" s="15" t="s">
        <v>20</v>
      </c>
      <c r="E51" s="16">
        <f t="shared" si="18"/>
        <v>300</v>
      </c>
      <c r="F51" s="17">
        <v>24</v>
      </c>
      <c r="G51" s="18">
        <f>ROUND((5729.578-($F51/2))/5729.578,4)</f>
        <v>0.9979</v>
      </c>
      <c r="H51" s="16"/>
      <c r="I51" s="16">
        <f t="shared" si="19"/>
        <v>7184.88</v>
      </c>
      <c r="J51" s="16"/>
      <c r="K51" s="16"/>
      <c r="L51" s="16"/>
      <c r="M51" s="16"/>
      <c r="N51" s="16"/>
      <c r="O51" s="16"/>
      <c r="P51" s="16"/>
      <c r="Q51" s="16"/>
      <c r="R51" s="16"/>
      <c r="S51" s="63">
        <f t="shared" si="15"/>
        <v>0.399</v>
      </c>
      <c r="T51" s="16"/>
      <c r="U51" s="16">
        <f t="shared" si="16"/>
        <v>20.66</v>
      </c>
      <c r="V51" s="16">
        <f aca="true" t="shared" si="20" ref="V51:W65">ROUND((($I51+$J51)/9),2)</f>
        <v>798.32</v>
      </c>
      <c r="W51" s="16">
        <f t="shared" si="20"/>
        <v>798.32</v>
      </c>
      <c r="X51" s="16"/>
      <c r="Y51" s="16"/>
      <c r="Z51" s="16"/>
      <c r="AA51" s="16"/>
      <c r="AB51" s="16"/>
      <c r="AC51" s="16"/>
      <c r="AD51" s="16"/>
      <c r="AE51" s="16"/>
      <c r="AF51" s="76" t="s">
        <v>91</v>
      </c>
      <c r="AG51" s="77"/>
    </row>
    <row r="52" spans="1:33" s="5" customFormat="1" ht="21.75" customHeight="1">
      <c r="A52" s="12">
        <f t="shared" si="0"/>
        <v>40</v>
      </c>
      <c r="B52" s="14">
        <f aca="true" t="shared" si="21" ref="B52:B61">C51</f>
        <v>30094.13</v>
      </c>
      <c r="C52" s="14">
        <v>30530.56</v>
      </c>
      <c r="D52" s="15" t="s">
        <v>20</v>
      </c>
      <c r="E52" s="16">
        <f t="shared" si="18"/>
        <v>436.4300000000003</v>
      </c>
      <c r="F52" s="17">
        <v>24</v>
      </c>
      <c r="G52" s="18"/>
      <c r="H52" s="16"/>
      <c r="I52" s="16">
        <f t="shared" si="19"/>
        <v>10474.32</v>
      </c>
      <c r="J52" s="16"/>
      <c r="K52" s="16"/>
      <c r="L52" s="16"/>
      <c r="M52" s="16"/>
      <c r="N52" s="16"/>
      <c r="O52" s="16"/>
      <c r="P52" s="16"/>
      <c r="Q52" s="16"/>
      <c r="R52" s="16"/>
      <c r="S52" s="63">
        <f t="shared" si="15"/>
        <v>0.582</v>
      </c>
      <c r="T52" s="16"/>
      <c r="U52" s="16">
        <f t="shared" si="16"/>
        <v>30.11</v>
      </c>
      <c r="V52" s="16">
        <f t="shared" si="20"/>
        <v>1163.81</v>
      </c>
      <c r="W52" s="16">
        <f t="shared" si="20"/>
        <v>1163.81</v>
      </c>
      <c r="X52" s="16"/>
      <c r="Y52" s="16"/>
      <c r="Z52" s="16"/>
      <c r="AA52" s="16"/>
      <c r="AB52" s="16"/>
      <c r="AC52" s="16"/>
      <c r="AD52" s="16"/>
      <c r="AE52" s="16"/>
      <c r="AF52" s="78"/>
      <c r="AG52" s="79"/>
    </row>
    <row r="53" spans="1:33" s="5" customFormat="1" ht="21.75" customHeight="1">
      <c r="A53" s="12">
        <f t="shared" si="0"/>
        <v>41</v>
      </c>
      <c r="B53" s="14">
        <f t="shared" si="21"/>
        <v>30530.56</v>
      </c>
      <c r="C53" s="14">
        <v>30730.56</v>
      </c>
      <c r="D53" s="15" t="s">
        <v>20</v>
      </c>
      <c r="E53" s="16">
        <f t="shared" si="18"/>
        <v>200</v>
      </c>
      <c r="F53" s="17">
        <f>ROUND(AVERAGE(27,24),2)</f>
        <v>25.5</v>
      </c>
      <c r="G53" s="18">
        <f>ROUND((((477.458+(((27.5+24)/2)/2))/477.458)+1)/2,4)</f>
        <v>1.0135</v>
      </c>
      <c r="H53" s="16"/>
      <c r="I53" s="16">
        <f t="shared" si="19"/>
        <v>5168.85</v>
      </c>
      <c r="J53" s="16"/>
      <c r="K53" s="16"/>
      <c r="L53" s="16"/>
      <c r="M53" s="16"/>
      <c r="N53" s="16"/>
      <c r="O53" s="16"/>
      <c r="P53" s="16"/>
      <c r="Q53" s="16"/>
      <c r="R53" s="16"/>
      <c r="S53" s="63">
        <f t="shared" si="15"/>
        <v>0.287</v>
      </c>
      <c r="T53" s="16"/>
      <c r="U53" s="16">
        <f t="shared" si="16"/>
        <v>14.86</v>
      </c>
      <c r="V53" s="16">
        <f t="shared" si="20"/>
        <v>574.32</v>
      </c>
      <c r="W53" s="16">
        <f t="shared" si="20"/>
        <v>574.32</v>
      </c>
      <c r="X53" s="16"/>
      <c r="Y53" s="16"/>
      <c r="Z53" s="16"/>
      <c r="AA53" s="16"/>
      <c r="AB53" s="16"/>
      <c r="AC53" s="16"/>
      <c r="AD53" s="16"/>
      <c r="AE53" s="16"/>
      <c r="AF53" s="78"/>
      <c r="AG53" s="79"/>
    </row>
    <row r="54" spans="1:33" s="5" customFormat="1" ht="21.75" customHeight="1">
      <c r="A54" s="12">
        <f t="shared" si="0"/>
        <v>42</v>
      </c>
      <c r="B54" s="14">
        <f t="shared" si="21"/>
        <v>30730.56</v>
      </c>
      <c r="C54" s="14">
        <v>30796.22</v>
      </c>
      <c r="D54" s="15" t="s">
        <v>20</v>
      </c>
      <c r="E54" s="16">
        <f t="shared" si="18"/>
        <v>65.65999999999985</v>
      </c>
      <c r="F54" s="17">
        <v>27</v>
      </c>
      <c r="G54" s="18">
        <f>ROUND((477.458+(27.5/2))/477.458,4)</f>
        <v>1.0288</v>
      </c>
      <c r="H54" s="16"/>
      <c r="I54" s="16">
        <f t="shared" si="19"/>
        <v>1823.88</v>
      </c>
      <c r="J54" s="16"/>
      <c r="K54" s="16"/>
      <c r="L54" s="16"/>
      <c r="M54" s="16"/>
      <c r="N54" s="16"/>
      <c r="O54" s="16"/>
      <c r="P54" s="16"/>
      <c r="Q54" s="16"/>
      <c r="R54" s="16"/>
      <c r="S54" s="63">
        <f t="shared" si="15"/>
        <v>0.101</v>
      </c>
      <c r="T54" s="16"/>
      <c r="U54" s="16">
        <f t="shared" si="16"/>
        <v>5.24</v>
      </c>
      <c r="V54" s="16">
        <f t="shared" si="20"/>
        <v>202.65</v>
      </c>
      <c r="W54" s="16">
        <f t="shared" si="20"/>
        <v>202.65</v>
      </c>
      <c r="X54" s="16"/>
      <c r="Y54" s="16"/>
      <c r="Z54" s="16"/>
      <c r="AA54" s="16"/>
      <c r="AB54" s="16"/>
      <c r="AC54" s="16"/>
      <c r="AD54" s="16"/>
      <c r="AE54" s="16"/>
      <c r="AF54" s="78"/>
      <c r="AG54" s="79"/>
    </row>
    <row r="55" spans="1:33" s="5" customFormat="1" ht="21.75" customHeight="1">
      <c r="A55" s="12">
        <f t="shared" si="0"/>
        <v>43</v>
      </c>
      <c r="B55" s="14">
        <f t="shared" si="21"/>
        <v>30796.22</v>
      </c>
      <c r="C55" s="14">
        <v>739.01</v>
      </c>
      <c r="D55" s="15" t="s">
        <v>20</v>
      </c>
      <c r="E55" s="16">
        <f>(C55-736.18)+(30815.76-B55)</f>
        <v>22.369999999997276</v>
      </c>
      <c r="F55" s="104" t="s">
        <v>23</v>
      </c>
      <c r="G55" s="105"/>
      <c r="H55" s="105"/>
      <c r="I55" s="106"/>
      <c r="J55" s="16">
        <v>636.72</v>
      </c>
      <c r="K55" s="16"/>
      <c r="L55" s="16"/>
      <c r="M55" s="16"/>
      <c r="N55" s="16"/>
      <c r="O55" s="16"/>
      <c r="P55" s="16"/>
      <c r="Q55" s="16"/>
      <c r="R55" s="16"/>
      <c r="S55" s="63">
        <f t="shared" si="15"/>
        <v>0.035</v>
      </c>
      <c r="T55" s="16"/>
      <c r="U55" s="16">
        <f t="shared" si="16"/>
        <v>1.83</v>
      </c>
      <c r="V55" s="16">
        <f t="shared" si="20"/>
        <v>70.75</v>
      </c>
      <c r="W55" s="16">
        <f t="shared" si="20"/>
        <v>70.75</v>
      </c>
      <c r="X55" s="16"/>
      <c r="Y55" s="16"/>
      <c r="Z55" s="16"/>
      <c r="AA55" s="16"/>
      <c r="AB55" s="16"/>
      <c r="AC55" s="16"/>
      <c r="AD55" s="16"/>
      <c r="AE55" s="16"/>
      <c r="AF55" s="78"/>
      <c r="AG55" s="79"/>
    </row>
    <row r="56" spans="1:33" s="5" customFormat="1" ht="21.75" customHeight="1">
      <c r="A56" s="12">
        <f t="shared" si="0"/>
        <v>44</v>
      </c>
      <c r="B56" s="19"/>
      <c r="C56" s="14"/>
      <c r="D56" s="15"/>
      <c r="E56" s="16"/>
      <c r="F56" s="17"/>
      <c r="G56" s="18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63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78"/>
      <c r="AG56" s="79"/>
    </row>
    <row r="57" spans="1:33" s="5" customFormat="1" ht="21.75" customHeight="1">
      <c r="A57" s="12">
        <f t="shared" si="0"/>
        <v>45</v>
      </c>
      <c r="B57" s="13">
        <v>990.81</v>
      </c>
      <c r="C57" s="14">
        <v>997.74</v>
      </c>
      <c r="D57" s="15" t="s">
        <v>20</v>
      </c>
      <c r="E57" s="16">
        <f t="shared" si="14"/>
        <v>6.930000000000064</v>
      </c>
      <c r="F57" s="104" t="s">
        <v>23</v>
      </c>
      <c r="G57" s="105"/>
      <c r="H57" s="105"/>
      <c r="I57" s="106"/>
      <c r="J57" s="16">
        <v>192.13</v>
      </c>
      <c r="K57" s="16"/>
      <c r="L57" s="16"/>
      <c r="M57" s="16"/>
      <c r="N57" s="16"/>
      <c r="O57" s="16"/>
      <c r="P57" s="16"/>
      <c r="Q57" s="16"/>
      <c r="R57" s="16"/>
      <c r="S57" s="63">
        <f aca="true" t="shared" si="22" ref="S57:S65">ROUND(($V57/S$72),3)</f>
        <v>0.011</v>
      </c>
      <c r="T57" s="16"/>
      <c r="U57" s="16">
        <f aca="true" t="shared" si="23" ref="U57:U65">ROUND((($U$72*$W$72*$U$73*$U$74*$W57)/2000),2)</f>
        <v>0.55</v>
      </c>
      <c r="V57" s="16">
        <f t="shared" si="20"/>
        <v>21.35</v>
      </c>
      <c r="W57" s="16">
        <f t="shared" si="20"/>
        <v>21.35</v>
      </c>
      <c r="X57" s="16"/>
      <c r="Y57" s="16"/>
      <c r="Z57" s="16"/>
      <c r="AA57" s="16"/>
      <c r="AB57" s="16"/>
      <c r="AC57" s="16"/>
      <c r="AD57" s="16"/>
      <c r="AE57" s="16"/>
      <c r="AF57" s="78"/>
      <c r="AG57" s="79"/>
    </row>
    <row r="58" spans="1:33" s="5" customFormat="1" ht="21.75" customHeight="1">
      <c r="A58" s="12">
        <f t="shared" si="0"/>
        <v>46</v>
      </c>
      <c r="B58" s="13">
        <f t="shared" si="21"/>
        <v>997.74</v>
      </c>
      <c r="C58" s="14">
        <v>1000</v>
      </c>
      <c r="D58" s="15" t="s">
        <v>20</v>
      </c>
      <c r="E58" s="16">
        <f t="shared" si="14"/>
        <v>2.259999999999991</v>
      </c>
      <c r="F58" s="17">
        <v>27</v>
      </c>
      <c r="G58" s="18">
        <f>ROUND((477.458+(27.5/2))/477.458,4)</f>
        <v>1.0288</v>
      </c>
      <c r="H58" s="16"/>
      <c r="I58" s="16">
        <f t="shared" si="19"/>
        <v>62.78</v>
      </c>
      <c r="J58" s="16"/>
      <c r="K58" s="16"/>
      <c r="L58" s="16"/>
      <c r="M58" s="16"/>
      <c r="N58" s="16"/>
      <c r="O58" s="16"/>
      <c r="P58" s="16"/>
      <c r="Q58" s="16"/>
      <c r="R58" s="16"/>
      <c r="S58" s="63">
        <f t="shared" si="22"/>
        <v>0.003</v>
      </c>
      <c r="T58" s="16"/>
      <c r="U58" s="16">
        <f t="shared" si="23"/>
        <v>0.18</v>
      </c>
      <c r="V58" s="16">
        <f t="shared" si="20"/>
        <v>6.98</v>
      </c>
      <c r="W58" s="16">
        <f t="shared" si="20"/>
        <v>6.98</v>
      </c>
      <c r="X58" s="16"/>
      <c r="Y58" s="16"/>
      <c r="Z58" s="16"/>
      <c r="AA58" s="16"/>
      <c r="AB58" s="16"/>
      <c r="AC58" s="16"/>
      <c r="AD58" s="16"/>
      <c r="AE58" s="16"/>
      <c r="AF58" s="78"/>
      <c r="AG58" s="79"/>
    </row>
    <row r="59" spans="1:33" s="5" customFormat="1" ht="21.75" customHeight="1">
      <c r="A59" s="12">
        <f t="shared" si="0"/>
        <v>47</v>
      </c>
      <c r="B59" s="13">
        <f t="shared" si="21"/>
        <v>1000</v>
      </c>
      <c r="C59" s="14">
        <v>1100</v>
      </c>
      <c r="D59" s="15" t="s">
        <v>20</v>
      </c>
      <c r="E59" s="16">
        <f t="shared" si="14"/>
        <v>100</v>
      </c>
      <c r="F59" s="17">
        <v>27</v>
      </c>
      <c r="G59" s="18">
        <f>ROUND((477.458+(((27.5+27)/2)/2))/477.458,4)</f>
        <v>1.0285</v>
      </c>
      <c r="H59" s="16"/>
      <c r="I59" s="16">
        <f t="shared" si="19"/>
        <v>2776.95</v>
      </c>
      <c r="J59" s="16"/>
      <c r="K59" s="16"/>
      <c r="L59" s="16"/>
      <c r="M59" s="16"/>
      <c r="N59" s="16"/>
      <c r="O59" s="16"/>
      <c r="P59" s="16"/>
      <c r="Q59" s="16"/>
      <c r="R59" s="16"/>
      <c r="S59" s="63">
        <f t="shared" si="22"/>
        <v>0.154</v>
      </c>
      <c r="T59" s="16"/>
      <c r="U59" s="16">
        <f t="shared" si="23"/>
        <v>7.98</v>
      </c>
      <c r="V59" s="16">
        <f t="shared" si="20"/>
        <v>308.55</v>
      </c>
      <c r="W59" s="16">
        <f t="shared" si="20"/>
        <v>308.55</v>
      </c>
      <c r="X59" s="16"/>
      <c r="Y59" s="16"/>
      <c r="Z59" s="16"/>
      <c r="AA59" s="16"/>
      <c r="AB59" s="16"/>
      <c r="AC59" s="16"/>
      <c r="AD59" s="16"/>
      <c r="AE59" s="16"/>
      <c r="AF59" s="78"/>
      <c r="AG59" s="79"/>
    </row>
    <row r="60" spans="1:33" s="5" customFormat="1" ht="21.75" customHeight="1">
      <c r="A60" s="12">
        <f t="shared" si="0"/>
        <v>48</v>
      </c>
      <c r="B60" s="13">
        <f t="shared" si="21"/>
        <v>1100</v>
      </c>
      <c r="C60" s="14">
        <v>1387.73</v>
      </c>
      <c r="D60" s="15" t="s">
        <v>20</v>
      </c>
      <c r="E60" s="16">
        <f t="shared" si="14"/>
        <v>287.73</v>
      </c>
      <c r="F60" s="17">
        <v>27</v>
      </c>
      <c r="G60" s="18">
        <f>ROUND((477.458+($F60/2))/477.458,4)</f>
        <v>1.0283</v>
      </c>
      <c r="H60" s="16"/>
      <c r="I60" s="16">
        <f t="shared" si="19"/>
        <v>7988.56</v>
      </c>
      <c r="J60" s="16"/>
      <c r="K60" s="16"/>
      <c r="L60" s="16"/>
      <c r="M60" s="16"/>
      <c r="N60" s="16"/>
      <c r="O60" s="16"/>
      <c r="P60" s="16"/>
      <c r="Q60" s="16"/>
      <c r="R60" s="16"/>
      <c r="S60" s="63">
        <f t="shared" si="22"/>
        <v>0.444</v>
      </c>
      <c r="T60" s="16"/>
      <c r="U60" s="16">
        <f t="shared" si="23"/>
        <v>22.97</v>
      </c>
      <c r="V60" s="16">
        <f t="shared" si="20"/>
        <v>887.62</v>
      </c>
      <c r="W60" s="16">
        <f t="shared" si="20"/>
        <v>887.62</v>
      </c>
      <c r="X60" s="16"/>
      <c r="Y60" s="16"/>
      <c r="Z60" s="16"/>
      <c r="AA60" s="16"/>
      <c r="AB60" s="16"/>
      <c r="AC60" s="16"/>
      <c r="AD60" s="16"/>
      <c r="AE60" s="16"/>
      <c r="AF60" s="78"/>
      <c r="AG60" s="79"/>
    </row>
    <row r="61" spans="1:33" s="5" customFormat="1" ht="21.75" customHeight="1">
      <c r="A61" s="12">
        <f t="shared" si="0"/>
        <v>49</v>
      </c>
      <c r="B61" s="13">
        <f t="shared" si="21"/>
        <v>1387.73</v>
      </c>
      <c r="C61" s="14">
        <v>1962.73</v>
      </c>
      <c r="D61" s="15" t="s">
        <v>20</v>
      </c>
      <c r="E61" s="16">
        <f t="shared" si="14"/>
        <v>575</v>
      </c>
      <c r="F61" s="17">
        <v>27</v>
      </c>
      <c r="G61" s="18">
        <f>ROUND((1+((848.826-($F61/2))/848.826))/2,4)</f>
        <v>0.992</v>
      </c>
      <c r="H61" s="16"/>
      <c r="I61" s="16">
        <f t="shared" si="19"/>
        <v>15400.8</v>
      </c>
      <c r="J61" s="16"/>
      <c r="K61" s="16"/>
      <c r="L61" s="16"/>
      <c r="M61" s="16"/>
      <c r="N61" s="16"/>
      <c r="O61" s="16"/>
      <c r="P61" s="16"/>
      <c r="Q61" s="16"/>
      <c r="R61" s="16"/>
      <c r="S61" s="63">
        <f t="shared" si="22"/>
        <v>0.856</v>
      </c>
      <c r="T61" s="16"/>
      <c r="U61" s="16">
        <f t="shared" si="23"/>
        <v>44.28</v>
      </c>
      <c r="V61" s="16">
        <f t="shared" si="20"/>
        <v>1711.2</v>
      </c>
      <c r="W61" s="16">
        <f t="shared" si="20"/>
        <v>1711.2</v>
      </c>
      <c r="X61" s="16"/>
      <c r="Y61" s="16"/>
      <c r="Z61" s="16"/>
      <c r="AA61" s="16"/>
      <c r="AB61" s="16"/>
      <c r="AC61" s="16"/>
      <c r="AD61" s="16"/>
      <c r="AE61" s="16"/>
      <c r="AF61" s="78"/>
      <c r="AG61" s="79"/>
    </row>
    <row r="62" spans="1:33" s="25" customFormat="1" ht="21.75" customHeight="1">
      <c r="A62" s="12">
        <f t="shared" si="0"/>
        <v>50</v>
      </c>
      <c r="B62" s="13">
        <f>C61</f>
        <v>1962.73</v>
      </c>
      <c r="C62" s="14">
        <v>2239.81</v>
      </c>
      <c r="D62" s="15" t="s">
        <v>20</v>
      </c>
      <c r="E62" s="16">
        <f t="shared" si="14"/>
        <v>277.0799999999999</v>
      </c>
      <c r="F62" s="17">
        <v>27</v>
      </c>
      <c r="G62" s="18">
        <f>ROUND((848.826-($F62/2))/848.826,4)</f>
        <v>0.9841</v>
      </c>
      <c r="H62" s="16"/>
      <c r="I62" s="16">
        <f>IF(G62=0,ROUND($E62*$F62,2),ROUND($E62*$F62*$G62,2))</f>
        <v>7362.21</v>
      </c>
      <c r="J62" s="16"/>
      <c r="K62" s="16"/>
      <c r="L62" s="16"/>
      <c r="M62" s="16"/>
      <c r="N62" s="16"/>
      <c r="O62" s="16"/>
      <c r="P62" s="16"/>
      <c r="Q62" s="16"/>
      <c r="R62" s="16"/>
      <c r="S62" s="63">
        <f t="shared" si="22"/>
        <v>0.409</v>
      </c>
      <c r="T62" s="16"/>
      <c r="U62" s="16">
        <f t="shared" si="23"/>
        <v>21.17</v>
      </c>
      <c r="V62" s="16">
        <f t="shared" si="20"/>
        <v>818.02</v>
      </c>
      <c r="W62" s="16">
        <f t="shared" si="20"/>
        <v>818.02</v>
      </c>
      <c r="X62" s="16"/>
      <c r="Y62" s="16"/>
      <c r="Z62" s="16"/>
      <c r="AA62" s="16"/>
      <c r="AB62" s="16"/>
      <c r="AC62" s="16"/>
      <c r="AD62" s="16"/>
      <c r="AE62" s="16"/>
      <c r="AF62" s="78"/>
      <c r="AG62" s="79"/>
    </row>
    <row r="63" spans="1:33" s="25" customFormat="1" ht="21.75" customHeight="1">
      <c r="A63" s="12">
        <f t="shared" si="0"/>
        <v>51</v>
      </c>
      <c r="B63" s="13">
        <f>C62</f>
        <v>2239.81</v>
      </c>
      <c r="C63" s="14">
        <v>2464.81</v>
      </c>
      <c r="D63" s="15" t="s">
        <v>20</v>
      </c>
      <c r="E63" s="16">
        <f t="shared" si="14"/>
        <v>225</v>
      </c>
      <c r="F63" s="17">
        <f>ROUND(AVERAGE(27,24),2)</f>
        <v>25.5</v>
      </c>
      <c r="G63" s="18">
        <f>ROUND((1+((848.826-($F63/2))/848.826))/2,4)</f>
        <v>0.9925</v>
      </c>
      <c r="H63" s="16"/>
      <c r="I63" s="16">
        <f>IF(G63=0,ROUND($E63*$F63,2),ROUND($E63*$F63*$G63,2))</f>
        <v>5694.47</v>
      </c>
      <c r="J63" s="16"/>
      <c r="K63" s="16"/>
      <c r="L63" s="16"/>
      <c r="M63" s="16"/>
      <c r="N63" s="16"/>
      <c r="O63" s="16"/>
      <c r="P63" s="16"/>
      <c r="Q63" s="16"/>
      <c r="R63" s="16"/>
      <c r="S63" s="63">
        <f t="shared" si="22"/>
        <v>0.316</v>
      </c>
      <c r="T63" s="16"/>
      <c r="U63" s="16">
        <f t="shared" si="23"/>
        <v>16.37</v>
      </c>
      <c r="V63" s="16">
        <f t="shared" si="20"/>
        <v>632.72</v>
      </c>
      <c r="W63" s="16">
        <f t="shared" si="20"/>
        <v>632.72</v>
      </c>
      <c r="X63" s="16"/>
      <c r="Y63" s="16"/>
      <c r="Z63" s="16"/>
      <c r="AA63" s="16"/>
      <c r="AB63" s="16"/>
      <c r="AC63" s="16"/>
      <c r="AD63" s="16"/>
      <c r="AE63" s="16"/>
      <c r="AF63" s="78"/>
      <c r="AG63" s="79"/>
    </row>
    <row r="64" spans="1:33" s="25" customFormat="1" ht="21.75" customHeight="1">
      <c r="A64" s="12">
        <f t="shared" si="0"/>
        <v>52</v>
      </c>
      <c r="B64" s="13">
        <f>C63</f>
        <v>2464.81</v>
      </c>
      <c r="C64" s="14">
        <v>3264.81</v>
      </c>
      <c r="D64" s="15" t="s">
        <v>20</v>
      </c>
      <c r="E64" s="16">
        <f t="shared" si="14"/>
        <v>800</v>
      </c>
      <c r="F64" s="17">
        <f>ROUND(AVERAGE(40,24),2)</f>
        <v>32</v>
      </c>
      <c r="G64" s="18"/>
      <c r="H64" s="16"/>
      <c r="I64" s="16">
        <f>IF(G64=0,ROUND($E64*$F64,2),ROUND($E64*$F64*$G64,2))</f>
        <v>25600</v>
      </c>
      <c r="J64" s="16"/>
      <c r="K64" s="16"/>
      <c r="L64" s="16"/>
      <c r="M64" s="16"/>
      <c r="N64" s="16"/>
      <c r="O64" s="16"/>
      <c r="P64" s="16"/>
      <c r="Q64" s="16"/>
      <c r="R64" s="16"/>
      <c r="S64" s="63">
        <f t="shared" si="22"/>
        <v>1.422</v>
      </c>
      <c r="T64" s="16"/>
      <c r="U64" s="16">
        <f t="shared" si="23"/>
        <v>73.6</v>
      </c>
      <c r="V64" s="16">
        <f t="shared" si="20"/>
        <v>2844.44</v>
      </c>
      <c r="W64" s="16">
        <f t="shared" si="20"/>
        <v>2844.44</v>
      </c>
      <c r="X64" s="16"/>
      <c r="Y64" s="16"/>
      <c r="Z64" s="16"/>
      <c r="AA64" s="16"/>
      <c r="AB64" s="16"/>
      <c r="AC64" s="16"/>
      <c r="AD64" s="16"/>
      <c r="AE64" s="16"/>
      <c r="AF64" s="80"/>
      <c r="AG64" s="79"/>
    </row>
    <row r="65" spans="1:33" s="25" customFormat="1" ht="21.75" customHeight="1">
      <c r="A65" s="12">
        <f t="shared" si="0"/>
        <v>53</v>
      </c>
      <c r="B65" s="13">
        <f>C64</f>
        <v>3264.81</v>
      </c>
      <c r="C65" s="14">
        <v>3382</v>
      </c>
      <c r="D65" s="15" t="s">
        <v>20</v>
      </c>
      <c r="E65" s="16">
        <f t="shared" si="14"/>
        <v>117.19000000000005</v>
      </c>
      <c r="F65" s="17">
        <v>24</v>
      </c>
      <c r="G65" s="18"/>
      <c r="H65" s="16"/>
      <c r="I65" s="16">
        <f>IF(G65=0,ROUND($E65*$F65,2),ROUND($E65*$F65*$G65,2))</f>
        <v>2812.56</v>
      </c>
      <c r="J65" s="16"/>
      <c r="K65" s="16"/>
      <c r="L65" s="16"/>
      <c r="M65" s="16"/>
      <c r="N65" s="16"/>
      <c r="O65" s="16"/>
      <c r="P65" s="16"/>
      <c r="Q65" s="16"/>
      <c r="R65" s="16"/>
      <c r="S65" s="63">
        <f t="shared" si="22"/>
        <v>0.156</v>
      </c>
      <c r="T65" s="16"/>
      <c r="U65" s="16">
        <f t="shared" si="23"/>
        <v>8.09</v>
      </c>
      <c r="V65" s="16">
        <f t="shared" si="20"/>
        <v>312.51</v>
      </c>
      <c r="W65" s="16">
        <f t="shared" si="20"/>
        <v>312.51</v>
      </c>
      <c r="X65" s="16"/>
      <c r="Y65" s="16"/>
      <c r="Z65" s="16"/>
      <c r="AA65" s="16"/>
      <c r="AB65" s="16"/>
      <c r="AC65" s="16"/>
      <c r="AD65" s="16"/>
      <c r="AE65" s="16"/>
      <c r="AF65" s="80"/>
      <c r="AG65" s="79"/>
    </row>
    <row r="66" spans="1:33" s="25" customFormat="1" ht="21.75" customHeight="1" thickBot="1">
      <c r="A66" s="12">
        <f t="shared" si="0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81"/>
      <c r="AG66" s="82"/>
    </row>
    <row r="67" spans="2:33" s="26" customFormat="1" ht="46.5" customHeight="1">
      <c r="B67" s="95" t="s">
        <v>8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7"/>
      <c r="R67" s="85" t="str">
        <f aca="true" t="shared" si="24" ref="R67:AE67">IF(SUM(R13:R66)=0," ",ROUNDUP(SUM(R13:R66),0))</f>
        <v> </v>
      </c>
      <c r="S67" s="85">
        <f t="shared" si="24"/>
        <v>10</v>
      </c>
      <c r="T67" s="85" t="str">
        <f t="shared" si="24"/>
        <v> </v>
      </c>
      <c r="U67" s="85">
        <f t="shared" si="24"/>
        <v>491</v>
      </c>
      <c r="V67" s="85">
        <f t="shared" si="24"/>
        <v>18973</v>
      </c>
      <c r="W67" s="85">
        <f t="shared" si="24"/>
        <v>18973</v>
      </c>
      <c r="X67" s="85" t="str">
        <f t="shared" si="24"/>
        <v> </v>
      </c>
      <c r="Y67" s="85" t="str">
        <f t="shared" si="24"/>
        <v> </v>
      </c>
      <c r="Z67" s="85" t="str">
        <f t="shared" si="24"/>
        <v> </v>
      </c>
      <c r="AA67" s="85" t="str">
        <f t="shared" si="24"/>
        <v> </v>
      </c>
      <c r="AB67" s="85" t="str">
        <f t="shared" si="24"/>
        <v> </v>
      </c>
      <c r="AC67" s="85" t="str">
        <f t="shared" si="24"/>
        <v> </v>
      </c>
      <c r="AD67" s="85" t="str">
        <f t="shared" si="24"/>
        <v> </v>
      </c>
      <c r="AE67" s="85" t="str">
        <f t="shared" si="24"/>
        <v> </v>
      </c>
      <c r="AF67" s="87">
        <v>10</v>
      </c>
      <c r="AG67" s="88"/>
    </row>
    <row r="68" spans="2:33" s="26" customFormat="1" ht="46.5" customHeight="1" thickBot="1"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100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3">
        <v>16</v>
      </c>
      <c r="AG68" s="84"/>
    </row>
    <row r="69" spans="1:34" ht="36" customHeight="1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T69" s="28"/>
      <c r="U69" s="28"/>
      <c r="V69" s="1"/>
      <c r="W69" s="28"/>
      <c r="X69" s="28"/>
      <c r="Y69" s="28"/>
      <c r="Z69" s="28"/>
      <c r="AA69" s="28"/>
      <c r="AB69" s="28"/>
      <c r="AF69" s="28"/>
      <c r="AG69" s="28"/>
      <c r="AH69" s="29"/>
    </row>
    <row r="70" spans="2:33" ht="12.7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T70" s="28"/>
      <c r="U70" s="28"/>
      <c r="V70" s="1"/>
      <c r="W70" s="28"/>
      <c r="X70" s="28"/>
      <c r="Y70" s="28"/>
      <c r="Z70" s="28"/>
      <c r="AA70" s="28"/>
      <c r="AB70" s="28"/>
      <c r="AF70" s="28"/>
      <c r="AG70" s="28"/>
    </row>
    <row r="71" spans="2:33" ht="12.7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T71" s="28"/>
      <c r="U71" s="28"/>
      <c r="V71" s="1"/>
      <c r="W71" s="28"/>
      <c r="X71" s="28"/>
      <c r="Y71" s="28"/>
      <c r="Z71" s="28"/>
      <c r="AA71" s="28"/>
      <c r="AB71" s="28"/>
      <c r="AF71" s="28"/>
      <c r="AG71" s="28"/>
    </row>
    <row r="72" spans="2:33" ht="15.75">
      <c r="B72" s="64" t="s">
        <v>26</v>
      </c>
      <c r="C72" s="65"/>
      <c r="D72" s="65"/>
      <c r="E72" s="65"/>
      <c r="F72" s="65"/>
      <c r="G72" s="66"/>
      <c r="H72" s="43"/>
      <c r="I72" s="43"/>
      <c r="J72" s="43"/>
      <c r="K72" s="43">
        <v>4</v>
      </c>
      <c r="L72" s="43">
        <v>6</v>
      </c>
      <c r="M72" s="43">
        <v>10</v>
      </c>
      <c r="N72" s="43">
        <v>16</v>
      </c>
      <c r="O72" s="43">
        <v>18</v>
      </c>
      <c r="P72" s="43">
        <v>20</v>
      </c>
      <c r="Q72" s="43">
        <v>22</v>
      </c>
      <c r="R72" s="45"/>
      <c r="S72" s="62">
        <v>2000</v>
      </c>
      <c r="T72" s="44"/>
      <c r="U72" s="44">
        <v>0.75</v>
      </c>
      <c r="V72" s="62"/>
      <c r="W72" s="62">
        <v>12</v>
      </c>
      <c r="X72" s="45"/>
      <c r="Y72" s="44"/>
      <c r="Z72" s="44"/>
      <c r="AA72" s="44"/>
      <c r="AB72" s="44"/>
      <c r="AC72" s="44"/>
      <c r="AD72" s="44"/>
      <c r="AF72" s="28"/>
      <c r="AG72" s="28"/>
    </row>
    <row r="73" spans="2:33" ht="15">
      <c r="B73" s="28"/>
      <c r="C73" s="28"/>
      <c r="D73" s="28"/>
      <c r="E73" s="28"/>
      <c r="F73" s="28"/>
      <c r="G73" s="28"/>
      <c r="H73" s="24"/>
      <c r="I73" s="28"/>
      <c r="J73" s="28"/>
      <c r="K73" s="28"/>
      <c r="L73" s="28"/>
      <c r="M73" s="28"/>
      <c r="N73" s="28"/>
      <c r="O73" s="28"/>
      <c r="P73" s="28"/>
      <c r="Q73" s="28"/>
      <c r="R73" s="24"/>
      <c r="T73" s="43"/>
      <c r="U73" s="43">
        <v>115</v>
      </c>
      <c r="V73" s="62"/>
      <c r="W73" s="46"/>
      <c r="X73" s="28"/>
      <c r="Y73" s="28"/>
      <c r="Z73" s="28"/>
      <c r="AA73" s="28"/>
      <c r="AB73" s="28"/>
      <c r="AF73" s="28"/>
      <c r="AG73" s="28"/>
    </row>
    <row r="74" spans="2:33" ht="15">
      <c r="B74" s="28"/>
      <c r="C74" s="30"/>
      <c r="D74" s="28"/>
      <c r="E74" s="28"/>
      <c r="F74" s="28"/>
      <c r="G74" s="28"/>
      <c r="H74" s="31"/>
      <c r="I74" s="28"/>
      <c r="J74" s="28"/>
      <c r="K74" s="120"/>
      <c r="L74" s="121"/>
      <c r="M74" s="121"/>
      <c r="N74" s="121"/>
      <c r="O74" s="121"/>
      <c r="P74" s="121"/>
      <c r="Q74" s="121"/>
      <c r="R74" s="31"/>
      <c r="S74" s="31"/>
      <c r="T74" s="31"/>
      <c r="U74" s="31">
        <v>0.05</v>
      </c>
      <c r="V74" s="44"/>
      <c r="W74" s="31"/>
      <c r="X74" s="31"/>
      <c r="Y74" s="31"/>
      <c r="Z74" s="31"/>
      <c r="AA74" s="31"/>
      <c r="AB74" s="31"/>
      <c r="AC74" s="31"/>
      <c r="AD74" s="31"/>
      <c r="AE74" s="31"/>
      <c r="AF74" s="28"/>
      <c r="AG74" s="28"/>
    </row>
  </sheetData>
  <sheetProtection/>
  <mergeCells count="59">
    <mergeCell ref="F48:I48"/>
    <mergeCell ref="F38:I38"/>
    <mergeCell ref="F57:I57"/>
    <mergeCell ref="F55:I55"/>
    <mergeCell ref="B45:I45"/>
    <mergeCell ref="B3:C11"/>
    <mergeCell ref="D3:D11"/>
    <mergeCell ref="E3:E11"/>
    <mergeCell ref="F3:F11"/>
    <mergeCell ref="G3:G11"/>
    <mergeCell ref="F42:I42"/>
    <mergeCell ref="H3:H11"/>
    <mergeCell ref="I3:I11"/>
    <mergeCell ref="F23:I23"/>
    <mergeCell ref="K74:Q74"/>
    <mergeCell ref="X67:X68"/>
    <mergeCell ref="O3:O11"/>
    <mergeCell ref="M3:M11"/>
    <mergeCell ref="T67:T68"/>
    <mergeCell ref="U4:U11"/>
    <mergeCell ref="Z67:Z68"/>
    <mergeCell ref="AA67:AA68"/>
    <mergeCell ref="AD67:AD68"/>
    <mergeCell ref="V67:V68"/>
    <mergeCell ref="B67:Q68"/>
    <mergeCell ref="U67:U68"/>
    <mergeCell ref="W67:W68"/>
    <mergeCell ref="R67:R68"/>
    <mergeCell ref="S67:S68"/>
    <mergeCell ref="AC4:AC11"/>
    <mergeCell ref="AE67:AE68"/>
    <mergeCell ref="AF67:AG67"/>
    <mergeCell ref="AF68:AG68"/>
    <mergeCell ref="Q3:Q11"/>
    <mergeCell ref="AA4:AA11"/>
    <mergeCell ref="AE4:AE11"/>
    <mergeCell ref="AB67:AB68"/>
    <mergeCell ref="AC67:AC68"/>
    <mergeCell ref="Y67:Y68"/>
    <mergeCell ref="X4:X11"/>
    <mergeCell ref="Y4:Y11"/>
    <mergeCell ref="Z4:Z11"/>
    <mergeCell ref="AD4:AD11"/>
    <mergeCell ref="B14:I14"/>
    <mergeCell ref="V4:V11"/>
    <mergeCell ref="W4:W11"/>
    <mergeCell ref="N3:N11"/>
    <mergeCell ref="P3:P11"/>
    <mergeCell ref="AB4:AB11"/>
    <mergeCell ref="AF51:AG66"/>
    <mergeCell ref="AF6:AG50"/>
    <mergeCell ref="J3:J11"/>
    <mergeCell ref="K3:K11"/>
    <mergeCell ref="L3:L11"/>
    <mergeCell ref="AF3:AF5"/>
    <mergeCell ref="AG3:AG5"/>
    <mergeCell ref="R4:R11"/>
    <mergeCell ref="S4:S11"/>
    <mergeCell ref="T4:T11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(PAVEMENT) CALCS.</dc:title>
  <dc:subject/>
  <dc:creator>ATR</dc:creator>
  <cp:keywords/>
  <dc:description/>
  <cp:lastModifiedBy>Cox, Casey</cp:lastModifiedBy>
  <cp:lastPrinted>2019-07-01T15:41:06Z</cp:lastPrinted>
  <dcterms:created xsi:type="dcterms:W3CDTF">2000-02-18T16:47:28Z</dcterms:created>
  <dcterms:modified xsi:type="dcterms:W3CDTF">2020-11-20T15:21:00Z</dcterms:modified>
  <cp:category/>
  <cp:version/>
  <cp:contentType/>
  <cp:contentStatus/>
</cp:coreProperties>
</file>