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ODOT\20-00102-010 STA 172-10.86 (Jan Programmatics)\111010_STA-172-10.86\Design\Roadway\EngData\Pavement Calculations\"/>
    </mc:Choice>
  </mc:AlternateContent>
  <xr:revisionPtr revIDLastSave="0" documentId="13_ncr:1_{824F8BD3-C402-4D9D-80A8-A407098F2BBE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Stage 3" sheetId="8" r:id="rId1"/>
  </sheets>
  <definedNames>
    <definedName name="new" localSheetId="0">#REF!</definedName>
    <definedName name="new">#REF!</definedName>
    <definedName name="_xlnm.Print_Area" localSheetId="0">'Stage 3'!$B$1:$AR$89</definedName>
    <definedName name="_xlnm.Print_Titles" localSheetId="0">'Stage 3'!$B:$T,'Stage 3'!$1:$14</definedName>
    <definedName name="Spanner_Auto_File">"J:\1617800\DATA\EXCEL\DRIVES.x2a"</definedName>
    <definedName name="Spanner_Auto_Select" localSheetId="0">'Stage 3'!$C$9:$AK$87</definedName>
    <definedName name="Spanner_Auto_Sele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2" i="8" l="1"/>
  <c r="K72" i="8"/>
  <c r="O71" i="8"/>
  <c r="Q71" i="8" s="1"/>
  <c r="M71" i="8"/>
  <c r="G71" i="8"/>
  <c r="I71" i="8" s="1"/>
  <c r="F71" i="8"/>
  <c r="H68" i="8"/>
  <c r="I68" i="8" s="1"/>
  <c r="AP83" i="8"/>
  <c r="AP77" i="8"/>
  <c r="AI77" i="8" s="1"/>
  <c r="G46" i="8"/>
  <c r="G45" i="8"/>
  <c r="F44" i="8"/>
  <c r="M44" i="8"/>
  <c r="P43" i="8"/>
  <c r="Q44" i="8" s="1"/>
  <c r="G43" i="8"/>
  <c r="O29" i="8"/>
  <c r="P29" i="8"/>
  <c r="P30" i="8"/>
  <c r="AO77" i="8"/>
  <c r="AR77" i="8"/>
  <c r="R71" i="8" l="1"/>
  <c r="AC71" i="8" s="1"/>
  <c r="N71" i="8"/>
  <c r="AF71" i="8" s="1"/>
  <c r="U71" i="8"/>
  <c r="V71" i="8"/>
  <c r="AR71" i="8"/>
  <c r="J71" i="8"/>
  <c r="AO71" i="8"/>
  <c r="N44" i="8"/>
  <c r="AL44" i="8" s="1"/>
  <c r="R44" i="8"/>
  <c r="AO44" i="8"/>
  <c r="AP88" i="8"/>
  <c r="AP89" i="8" s="1"/>
  <c r="AI83" i="8"/>
  <c r="AI88" i="8" s="1"/>
  <c r="AO83" i="8"/>
  <c r="G59" i="8"/>
  <c r="P42" i="8"/>
  <c r="P39" i="8"/>
  <c r="P32" i="8"/>
  <c r="P31" i="8"/>
  <c r="AH71" i="8" l="1"/>
  <c r="AL71" i="8"/>
  <c r="AK71" i="8"/>
  <c r="AD71" i="8"/>
  <c r="AE71" i="8"/>
  <c r="Y71" i="8"/>
  <c r="AB71" i="8"/>
  <c r="AM71" i="8"/>
  <c r="Z71" i="8"/>
  <c r="AJ71" i="8"/>
  <c r="AF44" i="8"/>
  <c r="AH44" i="8"/>
  <c r="Y44" i="8"/>
  <c r="AB44" i="8"/>
  <c r="AC44" i="8"/>
  <c r="AD44" i="8"/>
  <c r="AE44" i="8"/>
  <c r="AK44" i="8"/>
  <c r="AA86" i="8" l="1"/>
  <c r="AA80" i="8"/>
  <c r="AA77" i="8"/>
  <c r="X83" i="8"/>
  <c r="X80" i="8"/>
  <c r="X77" i="8"/>
  <c r="X88" i="8" l="1"/>
  <c r="X89" i="8" s="1"/>
  <c r="G64" i="8" l="1"/>
  <c r="K64" i="8"/>
  <c r="Q63" i="8"/>
  <c r="K63" i="8"/>
  <c r="M63" i="8" s="1"/>
  <c r="G63" i="8"/>
  <c r="I63" i="8" s="1"/>
  <c r="F63" i="8"/>
  <c r="AR63" i="8" s="1"/>
  <c r="V63" i="8" l="1"/>
  <c r="N63" i="8"/>
  <c r="AL63" i="8" s="1"/>
  <c r="J63" i="8"/>
  <c r="Z63" i="8" s="1"/>
  <c r="U63" i="8"/>
  <c r="AO63" i="8"/>
  <c r="R63" i="8"/>
  <c r="F51" i="8"/>
  <c r="AQ51" i="8" s="1"/>
  <c r="AN18" i="8"/>
  <c r="AN17" i="8"/>
  <c r="AG86" i="8"/>
  <c r="AG85" i="8"/>
  <c r="AG17" i="8"/>
  <c r="AQ56" i="8"/>
  <c r="F50" i="8"/>
  <c r="AQ50" i="8" s="1"/>
  <c r="F52" i="8"/>
  <c r="W52" i="8" s="1"/>
  <c r="F53" i="8"/>
  <c r="AQ53" i="8" s="1"/>
  <c r="F54" i="8"/>
  <c r="W54" i="8" s="1"/>
  <c r="F55" i="8"/>
  <c r="AQ55" i="8" s="1"/>
  <c r="F49" i="8"/>
  <c r="AQ49" i="8" s="1"/>
  <c r="J83" i="8"/>
  <c r="R83" i="8"/>
  <c r="AA83" i="8" s="1"/>
  <c r="AA88" i="8" s="1"/>
  <c r="AA89" i="8" s="1"/>
  <c r="AO80" i="8"/>
  <c r="J80" i="8"/>
  <c r="AK26" i="8"/>
  <c r="AK47" i="8"/>
  <c r="AK57" i="8"/>
  <c r="AK67" i="8"/>
  <c r="AK74" i="8"/>
  <c r="AK75" i="8"/>
  <c r="AK76" i="8"/>
  <c r="AK77" i="8"/>
  <c r="AK78" i="8"/>
  <c r="AK79" i="8"/>
  <c r="AK80" i="8"/>
  <c r="AK81" i="8"/>
  <c r="AK82" i="8"/>
  <c r="AK84" i="8"/>
  <c r="AK85" i="8"/>
  <c r="K66" i="8"/>
  <c r="M66" i="8" s="1"/>
  <c r="K65" i="8"/>
  <c r="M65" i="8" s="1"/>
  <c r="G65" i="8"/>
  <c r="I65" i="8" s="1"/>
  <c r="G66" i="8"/>
  <c r="I66" i="8" s="1"/>
  <c r="Q65" i="8"/>
  <c r="F65" i="8"/>
  <c r="AR65" i="8" s="1"/>
  <c r="Q66" i="8"/>
  <c r="F66" i="8"/>
  <c r="AR66" i="8" s="1"/>
  <c r="K62" i="8"/>
  <c r="M62" i="8" s="1"/>
  <c r="K61" i="8"/>
  <c r="G61" i="8"/>
  <c r="G62" i="8"/>
  <c r="I62" i="8" s="1"/>
  <c r="Q62" i="8"/>
  <c r="F62" i="8"/>
  <c r="AR62" i="8" s="1"/>
  <c r="Q60" i="8"/>
  <c r="K60" i="8"/>
  <c r="M60" i="8" s="1"/>
  <c r="G60" i="8"/>
  <c r="F60" i="8"/>
  <c r="AO60" i="8" s="1"/>
  <c r="AF63" i="8" l="1"/>
  <c r="AH63" i="8"/>
  <c r="AJ63" i="8"/>
  <c r="AE63" i="8"/>
  <c r="AC63" i="8"/>
  <c r="AD63" i="8"/>
  <c r="AB63" i="8"/>
  <c r="Y63" i="8"/>
  <c r="AM63" i="8"/>
  <c r="AK63" i="8"/>
  <c r="AO49" i="8"/>
  <c r="W49" i="8"/>
  <c r="AQ52" i="8"/>
  <c r="N53" i="8"/>
  <c r="AN53" i="8" s="1"/>
  <c r="W53" i="8"/>
  <c r="N50" i="8"/>
  <c r="AG50" i="8" s="1"/>
  <c r="N51" i="8"/>
  <c r="AN51" i="8" s="1"/>
  <c r="U51" i="8"/>
  <c r="W51" i="8"/>
  <c r="AO51" i="8"/>
  <c r="AQ54" i="8"/>
  <c r="N52" i="8"/>
  <c r="U49" i="8"/>
  <c r="W55" i="8"/>
  <c r="U50" i="8"/>
  <c r="AO50" i="8"/>
  <c r="W50" i="8"/>
  <c r="U62" i="8"/>
  <c r="U66" i="8"/>
  <c r="J66" i="8"/>
  <c r="Z66" i="8" s="1"/>
  <c r="N66" i="8"/>
  <c r="AF66" i="8" s="1"/>
  <c r="AO66" i="8"/>
  <c r="V65" i="8"/>
  <c r="AO65" i="8"/>
  <c r="U65" i="8"/>
  <c r="J65" i="8"/>
  <c r="AJ65" i="8" s="1"/>
  <c r="N65" i="8"/>
  <c r="R65" i="8"/>
  <c r="V66" i="8"/>
  <c r="R66" i="8"/>
  <c r="V62" i="8"/>
  <c r="J62" i="8"/>
  <c r="AJ62" i="8" s="1"/>
  <c r="N62" i="8"/>
  <c r="AO62" i="8"/>
  <c r="R62" i="8"/>
  <c r="AR60" i="8"/>
  <c r="N60" i="8"/>
  <c r="R60" i="8"/>
  <c r="AE60" i="8" s="1"/>
  <c r="U60" i="8"/>
  <c r="V60" i="8"/>
  <c r="J60" i="8"/>
  <c r="AJ60" i="8" s="1"/>
  <c r="I61" i="8"/>
  <c r="K59" i="8"/>
  <c r="I59" i="8"/>
  <c r="K58" i="8"/>
  <c r="I58" i="8"/>
  <c r="Q45" i="8"/>
  <c r="M45" i="8"/>
  <c r="I45" i="8"/>
  <c r="F45" i="8"/>
  <c r="O43" i="8"/>
  <c r="Q43" i="8" s="1"/>
  <c r="P41" i="8"/>
  <c r="P40" i="8"/>
  <c r="O40" i="8"/>
  <c r="P38" i="8"/>
  <c r="O39" i="8" s="1"/>
  <c r="P37" i="8"/>
  <c r="O38" i="8" s="1"/>
  <c r="P36" i="8"/>
  <c r="O37" i="8" s="1"/>
  <c r="P35" i="8"/>
  <c r="P34" i="8"/>
  <c r="O35" i="8" s="1"/>
  <c r="P33" i="8"/>
  <c r="O32" i="8"/>
  <c r="O30" i="8"/>
  <c r="M24" i="8"/>
  <c r="I24" i="8"/>
  <c r="F24" i="8"/>
  <c r="R24" i="8" s="1"/>
  <c r="AL87" i="8"/>
  <c r="AE87" i="8"/>
  <c r="AD87" i="8"/>
  <c r="AO86" i="8"/>
  <c r="AM86" i="8"/>
  <c r="AL86" i="8"/>
  <c r="AK86" i="8"/>
  <c r="AJ86" i="8"/>
  <c r="AH86" i="8"/>
  <c r="AF86" i="8"/>
  <c r="AE86" i="8"/>
  <c r="AD86" i="8"/>
  <c r="AC86" i="8"/>
  <c r="AB86" i="8"/>
  <c r="Z86" i="8"/>
  <c r="Y86" i="8"/>
  <c r="V86" i="8"/>
  <c r="U86" i="8"/>
  <c r="AO85" i="8"/>
  <c r="AM85" i="8"/>
  <c r="AL85" i="8"/>
  <c r="AJ85" i="8"/>
  <c r="AH85" i="8"/>
  <c r="AF85" i="8"/>
  <c r="AE85" i="8"/>
  <c r="AD85" i="8"/>
  <c r="AC85" i="8"/>
  <c r="AB85" i="8"/>
  <c r="Z85" i="8"/>
  <c r="Y85" i="8"/>
  <c r="V85" i="8"/>
  <c r="U85" i="8"/>
  <c r="AL83" i="8"/>
  <c r="AJ83" i="8"/>
  <c r="AH83" i="8"/>
  <c r="AF83" i="8"/>
  <c r="Z83" i="8"/>
  <c r="AO82" i="8"/>
  <c r="AM82" i="8"/>
  <c r="AL82" i="8"/>
  <c r="AJ82" i="8"/>
  <c r="AH82" i="8"/>
  <c r="AF82" i="8"/>
  <c r="AE82" i="8"/>
  <c r="AD82" i="8"/>
  <c r="AC82" i="8"/>
  <c r="AB82" i="8"/>
  <c r="Z82" i="8"/>
  <c r="Y82" i="8"/>
  <c r="U82" i="8"/>
  <c r="AO81" i="8"/>
  <c r="AM81" i="8"/>
  <c r="AL81" i="8"/>
  <c r="AJ81" i="8"/>
  <c r="AH81" i="8"/>
  <c r="AF81" i="8"/>
  <c r="AE81" i="8"/>
  <c r="AD81" i="8"/>
  <c r="AC81" i="8"/>
  <c r="AB81" i="8"/>
  <c r="Z81" i="8"/>
  <c r="Y81" i="8"/>
  <c r="U81" i="8"/>
  <c r="AM80" i="8"/>
  <c r="AL80" i="8"/>
  <c r="AJ80" i="8"/>
  <c r="AH80" i="8"/>
  <c r="AF80" i="8"/>
  <c r="AE80" i="8"/>
  <c r="AD80" i="8"/>
  <c r="AC80" i="8"/>
  <c r="AB80" i="8"/>
  <c r="Z80" i="8"/>
  <c r="Y80" i="8"/>
  <c r="AO79" i="8"/>
  <c r="AM79" i="8"/>
  <c r="AL79" i="8"/>
  <c r="AJ79" i="8"/>
  <c r="AH79" i="8"/>
  <c r="AF79" i="8"/>
  <c r="AE79" i="8"/>
  <c r="AD79" i="8"/>
  <c r="AC79" i="8"/>
  <c r="AB79" i="8"/>
  <c r="Z79" i="8"/>
  <c r="Y79" i="8"/>
  <c r="U79" i="8"/>
  <c r="AO78" i="8"/>
  <c r="AM78" i="8"/>
  <c r="AL78" i="8"/>
  <c r="AJ78" i="8"/>
  <c r="AH78" i="8"/>
  <c r="AF78" i="8"/>
  <c r="AE78" i="8"/>
  <c r="AD78" i="8"/>
  <c r="AC78" i="8"/>
  <c r="AB78" i="8"/>
  <c r="Z78" i="8"/>
  <c r="Y78" i="8"/>
  <c r="U78" i="8"/>
  <c r="AM77" i="8"/>
  <c r="AL77" i="8"/>
  <c r="AJ77" i="8"/>
  <c r="AH77" i="8"/>
  <c r="AF77" i="8"/>
  <c r="AE77" i="8"/>
  <c r="AD77" i="8"/>
  <c r="AC77" i="8"/>
  <c r="AB77" i="8"/>
  <c r="Z77" i="8"/>
  <c r="Y77" i="8"/>
  <c r="AO76" i="8"/>
  <c r="AM76" i="8"/>
  <c r="AL76" i="8"/>
  <c r="AJ76" i="8"/>
  <c r="AH76" i="8"/>
  <c r="AF76" i="8"/>
  <c r="AE76" i="8"/>
  <c r="AD76" i="8"/>
  <c r="AC76" i="8"/>
  <c r="AB76" i="8"/>
  <c r="Z76" i="8"/>
  <c r="Y76" i="8"/>
  <c r="AO75" i="8"/>
  <c r="AM75" i="8"/>
  <c r="AL75" i="8"/>
  <c r="AJ75" i="8"/>
  <c r="AH75" i="8"/>
  <c r="AF75" i="8"/>
  <c r="AE75" i="8"/>
  <c r="AD75" i="8"/>
  <c r="AC75" i="8"/>
  <c r="AB75" i="8"/>
  <c r="Z75" i="8"/>
  <c r="Y75" i="8"/>
  <c r="AO74" i="8"/>
  <c r="AM74" i="8"/>
  <c r="AL74" i="8"/>
  <c r="AJ74" i="8"/>
  <c r="AH74" i="8"/>
  <c r="AF74" i="8"/>
  <c r="AE74" i="8"/>
  <c r="AD74" i="8"/>
  <c r="AC74" i="8"/>
  <c r="AB74" i="8"/>
  <c r="Z74" i="8"/>
  <c r="Y74" i="8"/>
  <c r="O73" i="8"/>
  <c r="K73" i="8"/>
  <c r="G73" i="8"/>
  <c r="I73" i="8" s="1"/>
  <c r="F73" i="8"/>
  <c r="AO73" i="8" s="1"/>
  <c r="M72" i="8"/>
  <c r="G72" i="8"/>
  <c r="I72" i="8" s="1"/>
  <c r="F72" i="8"/>
  <c r="O70" i="8"/>
  <c r="M70" i="8"/>
  <c r="G70" i="8"/>
  <c r="I70" i="8" s="1"/>
  <c r="F70" i="8"/>
  <c r="M69" i="8"/>
  <c r="I69" i="8"/>
  <c r="F69" i="8"/>
  <c r="Q68" i="8"/>
  <c r="M68" i="8"/>
  <c r="F68" i="8"/>
  <c r="AO67" i="8"/>
  <c r="AM67" i="8"/>
  <c r="AL67" i="8"/>
  <c r="AJ67" i="8"/>
  <c r="AH67" i="8"/>
  <c r="AF67" i="8"/>
  <c r="AE67" i="8"/>
  <c r="AD67" i="8"/>
  <c r="AC67" i="8"/>
  <c r="AB67" i="8"/>
  <c r="Z67" i="8"/>
  <c r="Y67" i="8"/>
  <c r="Q64" i="8"/>
  <c r="M64" i="8"/>
  <c r="I64" i="8"/>
  <c r="F64" i="8"/>
  <c r="V64" i="8" s="1"/>
  <c r="Q61" i="8"/>
  <c r="M61" i="8"/>
  <c r="F61" i="8"/>
  <c r="V61" i="8" s="1"/>
  <c r="Q59" i="8"/>
  <c r="F59" i="8"/>
  <c r="U59" i="8" s="1"/>
  <c r="Q58" i="8"/>
  <c r="F58" i="8"/>
  <c r="AO57" i="8"/>
  <c r="AM57" i="8"/>
  <c r="AL57" i="8"/>
  <c r="AJ57" i="8"/>
  <c r="AH57" i="8"/>
  <c r="AF57" i="8"/>
  <c r="AE57" i="8"/>
  <c r="AD57" i="8"/>
  <c r="AC57" i="8"/>
  <c r="AB57" i="8"/>
  <c r="Z57" i="8"/>
  <c r="Y57" i="8"/>
  <c r="AO47" i="8"/>
  <c r="AM47" i="8"/>
  <c r="AL47" i="8"/>
  <c r="AJ47" i="8"/>
  <c r="AH47" i="8"/>
  <c r="AF47" i="8"/>
  <c r="AE47" i="8"/>
  <c r="AD47" i="8"/>
  <c r="AC47" i="8"/>
  <c r="AB47" i="8"/>
  <c r="Z47" i="8"/>
  <c r="Y47" i="8"/>
  <c r="Q46" i="8"/>
  <c r="M46" i="8"/>
  <c r="I46" i="8"/>
  <c r="F46" i="8"/>
  <c r="AO46" i="8" s="1"/>
  <c r="M43" i="8"/>
  <c r="F43" i="8"/>
  <c r="AO43" i="8" s="1"/>
  <c r="M42" i="8"/>
  <c r="G42" i="8"/>
  <c r="I42" i="8" s="1"/>
  <c r="H43" i="8" s="1"/>
  <c r="I44" i="8" s="1"/>
  <c r="J44" i="8" s="1"/>
  <c r="F42" i="8"/>
  <c r="M41" i="8"/>
  <c r="G41" i="8"/>
  <c r="I41" i="8" s="1"/>
  <c r="F41" i="8"/>
  <c r="M40" i="8"/>
  <c r="G40" i="8"/>
  <c r="I40" i="8" s="1"/>
  <c r="F40" i="8"/>
  <c r="AO40" i="8" s="1"/>
  <c r="M39" i="8"/>
  <c r="G39" i="8"/>
  <c r="I39" i="8" s="1"/>
  <c r="F39" i="8"/>
  <c r="AO39" i="8" s="1"/>
  <c r="M38" i="8"/>
  <c r="G38" i="8"/>
  <c r="I38" i="8" s="1"/>
  <c r="F38" i="8"/>
  <c r="AO38" i="8" s="1"/>
  <c r="M37" i="8"/>
  <c r="G37" i="8"/>
  <c r="I37" i="8" s="1"/>
  <c r="F37" i="8"/>
  <c r="AO37" i="8" s="1"/>
  <c r="M36" i="8"/>
  <c r="G36" i="8"/>
  <c r="I36" i="8" s="1"/>
  <c r="F36" i="8"/>
  <c r="M35" i="8"/>
  <c r="G35" i="8"/>
  <c r="I35" i="8" s="1"/>
  <c r="F35" i="8"/>
  <c r="AO35" i="8" s="1"/>
  <c r="M34" i="8"/>
  <c r="G34" i="8"/>
  <c r="I34" i="8" s="1"/>
  <c r="F34" i="8"/>
  <c r="M33" i="8"/>
  <c r="G33" i="8"/>
  <c r="I33" i="8" s="1"/>
  <c r="F33" i="8"/>
  <c r="M32" i="8"/>
  <c r="G32" i="8"/>
  <c r="I32" i="8" s="1"/>
  <c r="F32" i="8"/>
  <c r="AO32" i="8" s="1"/>
  <c r="M31" i="8"/>
  <c r="G31" i="8"/>
  <c r="I31" i="8" s="1"/>
  <c r="F31" i="8"/>
  <c r="AO31" i="8" s="1"/>
  <c r="M30" i="8"/>
  <c r="G30" i="8"/>
  <c r="I30" i="8" s="1"/>
  <c r="F30" i="8"/>
  <c r="AO30" i="8" s="1"/>
  <c r="M29" i="8"/>
  <c r="I29" i="8"/>
  <c r="F29" i="8"/>
  <c r="AO29" i="8" s="1"/>
  <c r="O28" i="8"/>
  <c r="M28" i="8"/>
  <c r="I28" i="8"/>
  <c r="F28" i="8"/>
  <c r="W28" i="8" s="1"/>
  <c r="Q27" i="8"/>
  <c r="M27" i="8"/>
  <c r="I27" i="8"/>
  <c r="F27" i="8"/>
  <c r="AO27" i="8" s="1"/>
  <c r="AO26" i="8"/>
  <c r="AM26" i="8"/>
  <c r="AL26" i="8"/>
  <c r="AJ26" i="8"/>
  <c r="AH26" i="8"/>
  <c r="AF26" i="8"/>
  <c r="AE26" i="8"/>
  <c r="AD26" i="8"/>
  <c r="AC26" i="8"/>
  <c r="AB26" i="8"/>
  <c r="Z26" i="8"/>
  <c r="Y26" i="8"/>
  <c r="M25" i="8"/>
  <c r="I25" i="8"/>
  <c r="F25" i="8"/>
  <c r="M23" i="8"/>
  <c r="G23" i="8"/>
  <c r="I23" i="8" s="1"/>
  <c r="F23" i="8"/>
  <c r="R23" i="8" s="1"/>
  <c r="AB23" i="8" s="1"/>
  <c r="M22" i="8"/>
  <c r="G22" i="8"/>
  <c r="I22" i="8" s="1"/>
  <c r="F22" i="8"/>
  <c r="M21" i="8"/>
  <c r="G21" i="8"/>
  <c r="I21" i="8" s="1"/>
  <c r="F21" i="8"/>
  <c r="AO21" i="8" s="1"/>
  <c r="M20" i="8"/>
  <c r="G20" i="8"/>
  <c r="I20" i="8" s="1"/>
  <c r="F20" i="8"/>
  <c r="AO20" i="8" s="1"/>
  <c r="M19" i="8"/>
  <c r="G19" i="8"/>
  <c r="I19" i="8" s="1"/>
  <c r="F19" i="8"/>
  <c r="AO19" i="8" s="1"/>
  <c r="M18" i="8"/>
  <c r="G18" i="8"/>
  <c r="I18" i="8" s="1"/>
  <c r="F18" i="8"/>
  <c r="AO18" i="8" s="1"/>
  <c r="M17" i="8"/>
  <c r="I17" i="8"/>
  <c r="F17" i="8"/>
  <c r="R17" i="8" s="1"/>
  <c r="AO68" i="8" l="1"/>
  <c r="J68" i="8"/>
  <c r="Z44" i="8"/>
  <c r="AJ44" i="8"/>
  <c r="AM44" i="8"/>
  <c r="R43" i="8"/>
  <c r="AG53" i="8"/>
  <c r="AN50" i="8"/>
  <c r="AG51" i="8"/>
  <c r="R25" i="8"/>
  <c r="AE25" i="8" s="1"/>
  <c r="AQ25" i="8"/>
  <c r="W25" i="8"/>
  <c r="AG52" i="8"/>
  <c r="AN52" i="8"/>
  <c r="M58" i="8"/>
  <c r="N58" i="8" s="1"/>
  <c r="M59" i="8"/>
  <c r="N59" i="8" s="1"/>
  <c r="M73" i="8"/>
  <c r="N73" i="8" s="1"/>
  <c r="Q28" i="8"/>
  <c r="R28" i="8" s="1"/>
  <c r="AD28" i="8" s="1"/>
  <c r="Q69" i="8"/>
  <c r="R69" i="8" s="1"/>
  <c r="AD69" i="8" s="1"/>
  <c r="Q72" i="8"/>
  <c r="R72" i="8" s="1"/>
  <c r="Q70" i="8"/>
  <c r="R70" i="8" s="1"/>
  <c r="Q73" i="8"/>
  <c r="R73" i="8" s="1"/>
  <c r="AD73" i="8" s="1"/>
  <c r="AK62" i="8"/>
  <c r="AK60" i="8"/>
  <c r="AL66" i="8"/>
  <c r="AK66" i="8"/>
  <c r="AE83" i="8"/>
  <c r="AK83" i="8"/>
  <c r="AH65" i="8"/>
  <c r="AK65" i="8"/>
  <c r="AH66" i="8"/>
  <c r="V70" i="8"/>
  <c r="AO70" i="8"/>
  <c r="AR70" i="8"/>
  <c r="AF62" i="8"/>
  <c r="AO69" i="8"/>
  <c r="V69" i="8"/>
  <c r="AF65" i="8"/>
  <c r="AJ66" i="8"/>
  <c r="AL65" i="8"/>
  <c r="AM65" i="8"/>
  <c r="Z65" i="8"/>
  <c r="AB60" i="8"/>
  <c r="AE65" i="8"/>
  <c r="AD65" i="8"/>
  <c r="AC65" i="8"/>
  <c r="AB65" i="8"/>
  <c r="Y65" i="8"/>
  <c r="AF60" i="8"/>
  <c r="AH60" i="8"/>
  <c r="AL60" i="8"/>
  <c r="J21" i="8"/>
  <c r="AJ21" i="8" s="1"/>
  <c r="AE66" i="8"/>
  <c r="AD66" i="8"/>
  <c r="AC66" i="8"/>
  <c r="Y66" i="8"/>
  <c r="AB66" i="8"/>
  <c r="AM66" i="8"/>
  <c r="AH62" i="8"/>
  <c r="AL62" i="8"/>
  <c r="Y60" i="8"/>
  <c r="Z60" i="8"/>
  <c r="AM60" i="8"/>
  <c r="Z62" i="8"/>
  <c r="R45" i="8"/>
  <c r="AD45" i="8" s="1"/>
  <c r="J19" i="8"/>
  <c r="Z19" i="8" s="1"/>
  <c r="AO23" i="8"/>
  <c r="AE62" i="8"/>
  <c r="AD62" i="8"/>
  <c r="AC62" i="8"/>
  <c r="AB62" i="8"/>
  <c r="Y62" i="8"/>
  <c r="AM62" i="8"/>
  <c r="AC60" i="8"/>
  <c r="AD60" i="8"/>
  <c r="J24" i="8"/>
  <c r="AJ24" i="8" s="1"/>
  <c r="J23" i="8"/>
  <c r="Z23" i="8" s="1"/>
  <c r="AO24" i="8"/>
  <c r="AC83" i="8"/>
  <c r="N34" i="8"/>
  <c r="J58" i="8"/>
  <c r="AJ58" i="8" s="1"/>
  <c r="J38" i="8"/>
  <c r="Z38" i="8" s="1"/>
  <c r="AO58" i="8"/>
  <c r="U58" i="8"/>
  <c r="V58" i="8"/>
  <c r="V73" i="8"/>
  <c r="N21" i="8"/>
  <c r="Q39" i="8"/>
  <c r="R39" i="8" s="1"/>
  <c r="AQ27" i="8"/>
  <c r="W27" i="8"/>
  <c r="U27" i="8"/>
  <c r="AR73" i="8"/>
  <c r="J45" i="8"/>
  <c r="Z45" i="8" s="1"/>
  <c r="N45" i="8"/>
  <c r="AO45" i="8"/>
  <c r="N19" i="8"/>
  <c r="AL19" i="8" s="1"/>
  <c r="N36" i="8"/>
  <c r="J37" i="8"/>
  <c r="Z37" i="8" s="1"/>
  <c r="J30" i="8"/>
  <c r="AJ30" i="8" s="1"/>
  <c r="N37" i="8"/>
  <c r="AF37" i="8" s="1"/>
  <c r="R19" i="8"/>
  <c r="AB19" i="8" s="1"/>
  <c r="N30" i="8"/>
  <c r="N64" i="8"/>
  <c r="N23" i="8"/>
  <c r="J73" i="8"/>
  <c r="AJ73" i="8" s="1"/>
  <c r="AM83" i="8"/>
  <c r="J69" i="8"/>
  <c r="Z69" i="8" s="1"/>
  <c r="N72" i="8"/>
  <c r="R21" i="8"/>
  <c r="AB21" i="8" s="1"/>
  <c r="N28" i="8"/>
  <c r="N43" i="8"/>
  <c r="U73" i="8"/>
  <c r="N39" i="8"/>
  <c r="N18" i="8"/>
  <c r="N35" i="8"/>
  <c r="AF35" i="8" s="1"/>
  <c r="J46" i="8"/>
  <c r="AJ46" i="8" s="1"/>
  <c r="V72" i="8"/>
  <c r="R18" i="8"/>
  <c r="AE18" i="8" s="1"/>
  <c r="N20" i="8"/>
  <c r="AH20" i="8" s="1"/>
  <c r="N22" i="8"/>
  <c r="N46" i="8"/>
  <c r="R58" i="8"/>
  <c r="AC58" i="8" s="1"/>
  <c r="R68" i="8"/>
  <c r="AE68" i="8" s="1"/>
  <c r="J35" i="8"/>
  <c r="Z35" i="8" s="1"/>
  <c r="AR69" i="8"/>
  <c r="J36" i="8"/>
  <c r="AJ36" i="8" s="1"/>
  <c r="AO25" i="8"/>
  <c r="N24" i="8"/>
  <c r="AK24" i="8" s="1"/>
  <c r="AD24" i="8"/>
  <c r="AC24" i="8"/>
  <c r="AB24" i="8"/>
  <c r="AE24" i="8"/>
  <c r="J22" i="8"/>
  <c r="AJ22" i="8" s="1"/>
  <c r="J61" i="8"/>
  <c r="AJ61" i="8" s="1"/>
  <c r="J70" i="8"/>
  <c r="Q37" i="8"/>
  <c r="R37" i="8" s="1"/>
  <c r="AC37" i="8" s="1"/>
  <c r="J18" i="8"/>
  <c r="AJ18" i="8" s="1"/>
  <c r="J20" i="8"/>
  <c r="AJ20" i="8" s="1"/>
  <c r="N25" i="8"/>
  <c r="J27" i="8"/>
  <c r="Z27" i="8" s="1"/>
  <c r="J28" i="8"/>
  <c r="Z28" i="8" s="1"/>
  <c r="J29" i="8"/>
  <c r="N38" i="8"/>
  <c r="N61" i="8"/>
  <c r="N70" i="8"/>
  <c r="R20" i="8"/>
  <c r="AE20" i="8" s="1"/>
  <c r="AC23" i="8"/>
  <c r="R22" i="8"/>
  <c r="AE22" i="8" s="1"/>
  <c r="AD23" i="8"/>
  <c r="R27" i="8"/>
  <c r="Q30" i="8"/>
  <c r="R30" i="8" s="1"/>
  <c r="N32" i="8"/>
  <c r="N40" i="8"/>
  <c r="J64" i="8"/>
  <c r="AJ64" i="8" s="1"/>
  <c r="N68" i="8"/>
  <c r="N69" i="8"/>
  <c r="AE23" i="8"/>
  <c r="AE17" i="8"/>
  <c r="AD17" i="8"/>
  <c r="AC17" i="8"/>
  <c r="AB17" i="8"/>
  <c r="O34" i="8"/>
  <c r="AO17" i="8"/>
  <c r="J17" i="8"/>
  <c r="N27" i="8"/>
  <c r="N31" i="8"/>
  <c r="Q29" i="8"/>
  <c r="R29" i="8" s="1"/>
  <c r="O31" i="8"/>
  <c r="J32" i="8"/>
  <c r="J40" i="8"/>
  <c r="N17" i="8"/>
  <c r="AO22" i="8"/>
  <c r="J59" i="8"/>
  <c r="V59" i="8"/>
  <c r="R59" i="8"/>
  <c r="AR59" i="8"/>
  <c r="AO59" i="8"/>
  <c r="AO33" i="8"/>
  <c r="N33" i="8"/>
  <c r="J33" i="8"/>
  <c r="AO34" i="8"/>
  <c r="J42" i="8"/>
  <c r="AO42" i="8"/>
  <c r="N42" i="8"/>
  <c r="O42" i="8"/>
  <c r="J25" i="8"/>
  <c r="N29" i="8"/>
  <c r="J31" i="8"/>
  <c r="Q32" i="8"/>
  <c r="R32" i="8" s="1"/>
  <c r="O33" i="8"/>
  <c r="J34" i="8"/>
  <c r="AJ34" i="8" s="1"/>
  <c r="Q35" i="8"/>
  <c r="R35" i="8" s="1"/>
  <c r="Q40" i="8"/>
  <c r="R40" i="8" s="1"/>
  <c r="AO28" i="8"/>
  <c r="O36" i="8"/>
  <c r="AO36" i="8"/>
  <c r="Q38" i="8"/>
  <c r="R38" i="8" s="1"/>
  <c r="J41" i="8"/>
  <c r="AJ41" i="8" s="1"/>
  <c r="R46" i="8"/>
  <c r="AO61" i="8"/>
  <c r="AQ28" i="8"/>
  <c r="R61" i="8"/>
  <c r="AR61" i="8"/>
  <c r="AO64" i="8"/>
  <c r="AO72" i="8"/>
  <c r="Y83" i="8"/>
  <c r="J39" i="8"/>
  <c r="N41" i="8"/>
  <c r="U61" i="8"/>
  <c r="R64" i="8"/>
  <c r="AR64" i="8"/>
  <c r="AR72" i="8"/>
  <c r="O41" i="8"/>
  <c r="AO41" i="8"/>
  <c r="U64" i="8"/>
  <c r="U72" i="8"/>
  <c r="AB83" i="8"/>
  <c r="J72" i="8"/>
  <c r="AD83" i="8"/>
  <c r="N90" i="8" l="1"/>
  <c r="Z29" i="8"/>
  <c r="AD25" i="8"/>
  <c r="W88" i="8"/>
  <c r="W89" i="8" s="1"/>
  <c r="I43" i="8"/>
  <c r="J43" i="8" s="1"/>
  <c r="Z43" i="8" s="1"/>
  <c r="AN88" i="8"/>
  <c r="AN89" i="8" s="1"/>
  <c r="AB25" i="8"/>
  <c r="AE45" i="8"/>
  <c r="AC25" i="8"/>
  <c r="Q42" i="8"/>
  <c r="R42" i="8" s="1"/>
  <c r="AE42" i="8" s="1"/>
  <c r="Q41" i="8"/>
  <c r="R41" i="8" s="1"/>
  <c r="AD41" i="8" s="1"/>
  <c r="Q33" i="8"/>
  <c r="R33" i="8" s="1"/>
  <c r="AM33" i="8" s="1"/>
  <c r="Q31" i="8"/>
  <c r="R31" i="8" s="1"/>
  <c r="AK31" i="8" s="1"/>
  <c r="Q34" i="8"/>
  <c r="R34" i="8" s="1"/>
  <c r="AK34" i="8" s="1"/>
  <c r="AB45" i="8"/>
  <c r="Q36" i="8"/>
  <c r="R36" i="8" s="1"/>
  <c r="AG88" i="8"/>
  <c r="AK40" i="8"/>
  <c r="AK29" i="8"/>
  <c r="Z21" i="8"/>
  <c r="AK37" i="8"/>
  <c r="AH21" i="8"/>
  <c r="AK21" i="8"/>
  <c r="AH32" i="8"/>
  <c r="AK32" i="8"/>
  <c r="AK70" i="8"/>
  <c r="AL58" i="8"/>
  <c r="AK58" i="8"/>
  <c r="AH43" i="8"/>
  <c r="AK43" i="8"/>
  <c r="AF28" i="8"/>
  <c r="AK28" i="8"/>
  <c r="AH72" i="8"/>
  <c r="AK72" i="8"/>
  <c r="AF73" i="8"/>
  <c r="AK73" i="8"/>
  <c r="AL45" i="8"/>
  <c r="AK45" i="8"/>
  <c r="AH35" i="8"/>
  <c r="AK35" i="8"/>
  <c r="Y23" i="8"/>
  <c r="AK23" i="8"/>
  <c r="AL35" i="8"/>
  <c r="Y17" i="8"/>
  <c r="AK17" i="8"/>
  <c r="AK27" i="8"/>
  <c r="AH68" i="8"/>
  <c r="AK68" i="8"/>
  <c r="AL38" i="8"/>
  <c r="AK38" i="8"/>
  <c r="Z24" i="8"/>
  <c r="AF46" i="8"/>
  <c r="AK46" i="8"/>
  <c r="AF18" i="8"/>
  <c r="AK18" i="8"/>
  <c r="AF19" i="8"/>
  <c r="AK19" i="8"/>
  <c r="AK69" i="8"/>
  <c r="AE58" i="8"/>
  <c r="AF21" i="8"/>
  <c r="AF22" i="8"/>
  <c r="AK22" i="8"/>
  <c r="AF39" i="8"/>
  <c r="AK39" i="8"/>
  <c r="AH64" i="8"/>
  <c r="AK64" i="8"/>
  <c r="Y25" i="8"/>
  <c r="AK25" i="8"/>
  <c r="AH61" i="8"/>
  <c r="AK61" i="8"/>
  <c r="AL36" i="8"/>
  <c r="AK59" i="8"/>
  <c r="AF20" i="8"/>
  <c r="AK20" i="8"/>
  <c r="AL30" i="8"/>
  <c r="AK30" i="8"/>
  <c r="AF34" i="8"/>
  <c r="AJ23" i="8"/>
  <c r="AL72" i="8"/>
  <c r="AH73" i="8"/>
  <c r="AC68" i="8"/>
  <c r="AH70" i="8"/>
  <c r="AL70" i="8"/>
  <c r="AF70" i="8"/>
  <c r="AL37" i="8"/>
  <c r="AD21" i="8"/>
  <c r="AJ70" i="8"/>
  <c r="Z70" i="8"/>
  <c r="AM70" i="8"/>
  <c r="AH37" i="8"/>
  <c r="AL40" i="8"/>
  <c r="AD20" i="8"/>
  <c r="Y70" i="8"/>
  <c r="AB70" i="8"/>
  <c r="AC70" i="8"/>
  <c r="AD70" i="8"/>
  <c r="AE70" i="8"/>
  <c r="AJ38" i="8"/>
  <c r="AJ19" i="8"/>
  <c r="AB73" i="8"/>
  <c r="AC73" i="8"/>
  <c r="V88" i="8"/>
  <c r="V89" i="8" s="1"/>
  <c r="Y73" i="8"/>
  <c r="AL20" i="8"/>
  <c r="AC45" i="8"/>
  <c r="AL46" i="8"/>
  <c r="Z61" i="8"/>
  <c r="AL34" i="8"/>
  <c r="AH34" i="8"/>
  <c r="AH19" i="8"/>
  <c r="AF23" i="8"/>
  <c r="AQ88" i="8"/>
  <c r="AQ89" i="8" s="1"/>
  <c r="AL23" i="8"/>
  <c r="AH23" i="8"/>
  <c r="AF32" i="8"/>
  <c r="AF30" i="8"/>
  <c r="AC18" i="8"/>
  <c r="AF43" i="8"/>
  <c r="AH45" i="8"/>
  <c r="AF40" i="8"/>
  <c r="AB58" i="8"/>
  <c r="AD58" i="8"/>
  <c r="Z58" i="8"/>
  <c r="Y58" i="8"/>
  <c r="AB18" i="8"/>
  <c r="AJ37" i="8"/>
  <c r="AH28" i="8"/>
  <c r="AL21" i="8"/>
  <c r="AB37" i="8"/>
  <c r="AL28" i="8"/>
  <c r="AF64" i="8"/>
  <c r="Z36" i="8"/>
  <c r="Y43" i="8"/>
  <c r="AL64" i="8"/>
  <c r="AH30" i="8"/>
  <c r="AD18" i="8"/>
  <c r="AD68" i="8"/>
  <c r="Y21" i="8"/>
  <c r="Y19" i="8"/>
  <c r="AF45" i="8"/>
  <c r="AD27" i="8"/>
  <c r="Y27" i="8"/>
  <c r="AE73" i="8"/>
  <c r="AL73" i="8"/>
  <c r="AM73" i="8"/>
  <c r="AJ69" i="8"/>
  <c r="AL61" i="8"/>
  <c r="AF61" i="8"/>
  <c r="AH59" i="8"/>
  <c r="AL59" i="8"/>
  <c r="AM58" i="8"/>
  <c r="AJ45" i="8"/>
  <c r="Z46" i="8"/>
  <c r="AM46" i="8"/>
  <c r="Y45" i="8"/>
  <c r="AM45" i="8"/>
  <c r="AL24" i="8"/>
  <c r="AH36" i="8"/>
  <c r="AH40" i="8"/>
  <c r="AF58" i="8"/>
  <c r="AF36" i="8"/>
  <c r="AH46" i="8"/>
  <c r="Z30" i="8"/>
  <c r="Z18" i="8"/>
  <c r="AH58" i="8"/>
  <c r="AB69" i="8"/>
  <c r="AM30" i="8"/>
  <c r="AH18" i="8"/>
  <c r="AM19" i="8"/>
  <c r="Y68" i="8"/>
  <c r="AE69" i="8"/>
  <c r="AL18" i="8"/>
  <c r="Y18" i="8"/>
  <c r="Y24" i="8"/>
  <c r="AB68" i="8"/>
  <c r="Z73" i="8"/>
  <c r="AM23" i="8"/>
  <c r="AM69" i="8"/>
  <c r="AC19" i="8"/>
  <c r="AL68" i="8"/>
  <c r="AD19" i="8"/>
  <c r="AF72" i="8"/>
  <c r="AH38" i="8"/>
  <c r="AC22" i="8"/>
  <c r="Z20" i="8"/>
  <c r="AF68" i="8"/>
  <c r="AM21" i="8"/>
  <c r="AC21" i="8"/>
  <c r="AE21" i="8"/>
  <c r="AF24" i="8"/>
  <c r="AC69" i="8"/>
  <c r="AE19" i="8"/>
  <c r="AM24" i="8"/>
  <c r="AJ35" i="8"/>
  <c r="AM35" i="8"/>
  <c r="AL43" i="8"/>
  <c r="AH22" i="8"/>
  <c r="AH39" i="8"/>
  <c r="AM68" i="8"/>
  <c r="AL22" i="8"/>
  <c r="AL39" i="8"/>
  <c r="AH24" i="8"/>
  <c r="AE28" i="8"/>
  <c r="AJ27" i="8"/>
  <c r="Z22" i="8"/>
  <c r="AC43" i="8"/>
  <c r="AE43" i="8"/>
  <c r="AB43" i="8"/>
  <c r="AD37" i="8"/>
  <c r="AE37" i="8"/>
  <c r="AJ29" i="8"/>
  <c r="AC28" i="8"/>
  <c r="AJ28" i="8"/>
  <c r="AF25" i="8"/>
  <c r="AH25" i="8"/>
  <c r="AB28" i="8"/>
  <c r="AJ68" i="8"/>
  <c r="AC27" i="8"/>
  <c r="AM20" i="8"/>
  <c r="AF69" i="8"/>
  <c r="Z64" i="8"/>
  <c r="AM22" i="8"/>
  <c r="AM61" i="8"/>
  <c r="AL25" i="8"/>
  <c r="Z68" i="8"/>
  <c r="AL32" i="8"/>
  <c r="AH69" i="8"/>
  <c r="AM37" i="8"/>
  <c r="AB20" i="8"/>
  <c r="AL69" i="8"/>
  <c r="Y69" i="8"/>
  <c r="Y37" i="8"/>
  <c r="AF59" i="8"/>
  <c r="AF38" i="8"/>
  <c r="AD43" i="8"/>
  <c r="AR88" i="8"/>
  <c r="AR89" i="8" s="1"/>
  <c r="Y28" i="8"/>
  <c r="AB22" i="8"/>
  <c r="AE27" i="8"/>
  <c r="AB27" i="8"/>
  <c r="AD22" i="8"/>
  <c r="AC20" i="8"/>
  <c r="AM28" i="8"/>
  <c r="AM18" i="8"/>
  <c r="Y20" i="8"/>
  <c r="Y22" i="8"/>
  <c r="AC29" i="8"/>
  <c r="Y29" i="8"/>
  <c r="AE29" i="8"/>
  <c r="AD29" i="8"/>
  <c r="AB29" i="8"/>
  <c r="AE38" i="8"/>
  <c r="AD38" i="8"/>
  <c r="AC38" i="8"/>
  <c r="Y38" i="8"/>
  <c r="AB38" i="8"/>
  <c r="AM38" i="8"/>
  <c r="AC32" i="8"/>
  <c r="AB32" i="8"/>
  <c r="Y32" i="8"/>
  <c r="AD32" i="8"/>
  <c r="AE32" i="8"/>
  <c r="Z42" i="8"/>
  <c r="AJ42" i="8"/>
  <c r="AM32" i="8"/>
  <c r="Z32" i="8"/>
  <c r="AJ32" i="8"/>
  <c r="AB72" i="8"/>
  <c r="Y72" i="8"/>
  <c r="AE72" i="8"/>
  <c r="AD72" i="8"/>
  <c r="AC72" i="8"/>
  <c r="Z31" i="8"/>
  <c r="AJ31" i="8"/>
  <c r="AF27" i="8"/>
  <c r="AL27" i="8"/>
  <c r="AH27" i="8"/>
  <c r="AH41" i="8"/>
  <c r="AF41" i="8"/>
  <c r="AL41" i="8"/>
  <c r="Z39" i="8"/>
  <c r="AJ39" i="8"/>
  <c r="AM39" i="8"/>
  <c r="AC59" i="8"/>
  <c r="AB59" i="8"/>
  <c r="AE59" i="8"/>
  <c r="AD59" i="8"/>
  <c r="Y59" i="8"/>
  <c r="AE40" i="8"/>
  <c r="AC40" i="8"/>
  <c r="AB40" i="8"/>
  <c r="Y40" i="8"/>
  <c r="AD40" i="8"/>
  <c r="AF29" i="8"/>
  <c r="AH29" i="8"/>
  <c r="AL29" i="8"/>
  <c r="AM29" i="8"/>
  <c r="AM59" i="8"/>
  <c r="Z59" i="8"/>
  <c r="AJ59" i="8"/>
  <c r="Z17" i="8"/>
  <c r="AJ17" i="8"/>
  <c r="AM17" i="8"/>
  <c r="Z25" i="8"/>
  <c r="AJ25" i="8"/>
  <c r="AM25" i="8"/>
  <c r="AH33" i="8"/>
  <c r="AF33" i="8"/>
  <c r="AL33" i="8"/>
  <c r="AB64" i="8"/>
  <c r="Y64" i="8"/>
  <c r="AE64" i="8"/>
  <c r="AD64" i="8"/>
  <c r="AC64" i="8"/>
  <c r="AE46" i="8"/>
  <c r="AD46" i="8"/>
  <c r="AB46" i="8"/>
  <c r="Y46" i="8"/>
  <c r="AC46" i="8"/>
  <c r="AB35" i="8"/>
  <c r="Y35" i="8"/>
  <c r="AE35" i="8"/>
  <c r="AD35" i="8"/>
  <c r="AC35" i="8"/>
  <c r="AH42" i="8"/>
  <c r="AL42" i="8"/>
  <c r="AF42" i="8"/>
  <c r="AL17" i="8"/>
  <c r="AH17" i="8"/>
  <c r="AF17" i="8"/>
  <c r="AL31" i="8"/>
  <c r="AH31" i="8"/>
  <c r="AF31" i="8"/>
  <c r="AM27" i="8"/>
  <c r="Z41" i="8"/>
  <c r="Z34" i="8"/>
  <c r="U88" i="8"/>
  <c r="U89" i="8" s="1"/>
  <c r="AM40" i="8"/>
  <c r="Z40" i="8"/>
  <c r="AJ40" i="8"/>
  <c r="AD30" i="8"/>
  <c r="Y30" i="8"/>
  <c r="AE30" i="8"/>
  <c r="AC30" i="8"/>
  <c r="AB30" i="8"/>
  <c r="AO88" i="8"/>
  <c r="AO89" i="8" s="1"/>
  <c r="AM64" i="8"/>
  <c r="Z72" i="8"/>
  <c r="AJ72" i="8"/>
  <c r="AM72" i="8"/>
  <c r="AC61" i="8"/>
  <c r="AB61" i="8"/>
  <c r="AE61" i="8"/>
  <c r="AD61" i="8"/>
  <c r="Y61" i="8"/>
  <c r="AE39" i="8"/>
  <c r="AD39" i="8"/>
  <c r="AB39" i="8"/>
  <c r="Y39" i="8"/>
  <c r="AC39" i="8"/>
  <c r="Z33" i="8"/>
  <c r="AJ33" i="8"/>
  <c r="AC36" i="8" l="1"/>
  <c r="AB36" i="8"/>
  <c r="J90" i="8"/>
  <c r="R90" i="8"/>
  <c r="Y42" i="8"/>
  <c r="AM43" i="8"/>
  <c r="AB41" i="8"/>
  <c r="AM41" i="8"/>
  <c r="AJ43" i="8"/>
  <c r="AJ88" i="8" s="1"/>
  <c r="AC31" i="8"/>
  <c r="AB31" i="8"/>
  <c r="AD31" i="8"/>
  <c r="AE31" i="8"/>
  <c r="Y31" i="8"/>
  <c r="AE41" i="8"/>
  <c r="AM31" i="8"/>
  <c r="AM34" i="8"/>
  <c r="AK41" i="8"/>
  <c r="AM42" i="8"/>
  <c r="AB42" i="8"/>
  <c r="Y41" i="8"/>
  <c r="AE36" i="8"/>
  <c r="AB33" i="8"/>
  <c r="AM36" i="8"/>
  <c r="AD34" i="8"/>
  <c r="AK36" i="8"/>
  <c r="Y36" i="8"/>
  <c r="AC41" i="8"/>
  <c r="AE34" i="8"/>
  <c r="AD36" i="8"/>
  <c r="Y33" i="8"/>
  <c r="AC33" i="8"/>
  <c r="Y34" i="8"/>
  <c r="AE33" i="8"/>
  <c r="AK33" i="8"/>
  <c r="AC42" i="8"/>
  <c r="AD33" i="8"/>
  <c r="AK42" i="8"/>
  <c r="AB34" i="8"/>
  <c r="AD42" i="8"/>
  <c r="AC34" i="8"/>
  <c r="AF88" i="8"/>
  <c r="AF89" i="8" s="1"/>
  <c r="AH88" i="8"/>
  <c r="AH89" i="8" s="1"/>
  <c r="AL88" i="8"/>
  <c r="AL89" i="8" s="1"/>
  <c r="Z88" i="8"/>
  <c r="Z89" i="8" s="1"/>
  <c r="Y88" i="8" l="1"/>
  <c r="Y89" i="8" s="1"/>
  <c r="AM88" i="8"/>
  <c r="AM89" i="8" s="1"/>
  <c r="AE88" i="8"/>
  <c r="AE89" i="8" s="1"/>
  <c r="AB88" i="8"/>
  <c r="AB89" i="8" s="1"/>
  <c r="AC88" i="8"/>
  <c r="AC89" i="8" s="1"/>
  <c r="AD88" i="8"/>
  <c r="AD89" i="8" s="1"/>
  <c r="AK88" i="8"/>
  <c r="AJ89" i="8" s="1"/>
</calcChain>
</file>

<file path=xl/sharedStrings.xml><?xml version="1.0" encoding="utf-8"?>
<sst xmlns="http://schemas.openxmlformats.org/spreadsheetml/2006/main" count="193" uniqueCount="94">
  <si>
    <t>STATION</t>
  </si>
  <si>
    <t>TO</t>
  </si>
  <si>
    <t>FROM</t>
  </si>
  <si>
    <t>SIDE</t>
  </si>
  <si>
    <t>TOTALS CARRIED TO GENERAL SUMMARY</t>
  </si>
  <si>
    <t xml:space="preserve">SUBGRADE COMPACTION </t>
  </si>
  <si>
    <t>FT</t>
  </si>
  <si>
    <t>SUBTOTALS</t>
  </si>
  <si>
    <t>GAL</t>
  </si>
  <si>
    <t>CY</t>
  </si>
  <si>
    <t>SY</t>
  </si>
  <si>
    <t>SF</t>
  </si>
  <si>
    <t>LT/RT</t>
  </si>
  <si>
    <t>LENGTH
L</t>
  </si>
  <si>
    <t>6" AGGREGATE BASE</t>
  </si>
  <si>
    <t>RT</t>
  </si>
  <si>
    <t>12 * 27</t>
  </si>
  <si>
    <t>AC</t>
  </si>
  <si>
    <t>L</t>
  </si>
  <si>
    <t>CURB REMOVED</t>
  </si>
  <si>
    <t>PID 111010</t>
  </si>
  <si>
    <t>EDG Project No. 20-00102-010</t>
  </si>
  <si>
    <t>S.R. 172</t>
  </si>
  <si>
    <t>PERRY DR SW</t>
  </si>
  <si>
    <t>LT</t>
  </si>
  <si>
    <t>SW RETURN</t>
  </si>
  <si>
    <t>RT/LT</t>
  </si>
  <si>
    <t>SE RETURN</t>
  </si>
  <si>
    <t>NE RETURN</t>
  </si>
  <si>
    <t>NW RETURN</t>
  </si>
  <si>
    <t>PROPOSED WIDENING PAVEMENT 
SURFACE AREA
AW = L x W</t>
  </si>
  <si>
    <t>PROPOSED UTILITY TRENCH PAVEMENT 
SURFACE AREA
AU = L x U</t>
  </si>
  <si>
    <t>1.25" PAVEMENT PLANING, ASPHALT CONCRETE</t>
  </si>
  <si>
    <t>AC * 0.085</t>
  </si>
  <si>
    <t>AW + AU</t>
  </si>
  <si>
    <t>(AC+AW+AU)</t>
  </si>
  <si>
    <t>* 1.25</t>
  </si>
  <si>
    <t>COMBINATION CURB AND GUTTER, TYPE 4</t>
  </si>
  <si>
    <t>CURB, TYPE 4-C</t>
  </si>
  <si>
    <t>4" CONCRETE WALK</t>
  </si>
  <si>
    <t>PROPOSED WALK WIDTH
SW</t>
  </si>
  <si>
    <t>SW * L</t>
  </si>
  <si>
    <t>BEGIN UTILITY TRENCH WIDTH
U1</t>
  </si>
  <si>
    <t>PROPOSED UTILITY TRENCH WIDTH
U = (U1 + U2) / 2</t>
  </si>
  <si>
    <t>BEGIN PAVEMENT WIDTH TO REMAIN
C1</t>
  </si>
  <si>
    <t>END PAVEMENT WIDTH TO REMAIN
C2</t>
  </si>
  <si>
    <t>BEGIN WIDENING PAVEMENT WIDTH
W1</t>
  </si>
  <si>
    <t>PROPOSED WIDENING PAVEMENT WIDTH
W = (W1 + W2) / 2</t>
  </si>
  <si>
    <t xml:space="preserve"> AU * 6</t>
  </si>
  <si>
    <t>AW * 6</t>
  </si>
  <si>
    <t>AU * 0.055</t>
  </si>
  <si>
    <t>INTERSECTION AREAS - ALL CADD AREAS, SEE QUANTITY TAKE OFF SHEETS</t>
  </si>
  <si>
    <t>WALK REMOVED</t>
  </si>
  <si>
    <t>L * EW</t>
  </si>
  <si>
    <t>EXISTING WALK REMOVED WIDTH
EW</t>
  </si>
  <si>
    <t>CURB AND GUTTER REMOVED</t>
  </si>
  <si>
    <t>9" ASPHALT CONCRETE BASE</t>
  </si>
  <si>
    <t xml:space="preserve"> AU * 9</t>
  </si>
  <si>
    <t>AU * 1.75</t>
  </si>
  <si>
    <t>AW * 9</t>
  </si>
  <si>
    <t>AW * 1.75</t>
  </si>
  <si>
    <t>AVERAGE EXISTING 
PAVEMENT WIDTH TO REMAIN 
C = (C1 + C2) / 2</t>
  </si>
  <si>
    <t>EXISTING
PAVEMENT AREA
AC = L x C</t>
  </si>
  <si>
    <t>STA-172-10.86</t>
  </si>
  <si>
    <t>END WIDENING PAVEMENT WIDTH
W2</t>
  </si>
  <si>
    <t>END UTILITY TRENCH WIDTH
U2</t>
  </si>
  <si>
    <t>TACK COAT
(NEW ASPHALT)
(AVE. RATE = 0.055 GAL/SY)
[BETWEEN AC BASE AND AC INT]</t>
  </si>
  <si>
    <t>TACK COAT
(NEW ASPHALT)
(AVE. RATE = 0.055 GAL/SY)
[BETWEEN AC INT AND AC SURF]</t>
  </si>
  <si>
    <t>TACK COAT
(MILLED ASPHALT)
(AVE. RATE = 0.085 GAL/SY)
[BETWEEN MILLED SURF AND AC SURF]</t>
  </si>
  <si>
    <t>(AW+AU)* 0.055</t>
  </si>
  <si>
    <t>Calc by:    RMS 12/18/20</t>
  </si>
  <si>
    <t>5" ASPHALT CONCRETE BASE</t>
  </si>
  <si>
    <t>AW * 5</t>
  </si>
  <si>
    <t>AW * 1.25</t>
  </si>
  <si>
    <t>CURB REPLACMENT</t>
  </si>
  <si>
    <t>CALCULATION ROW</t>
  </si>
  <si>
    <t xml:space="preserve">ODOT SPLIT </t>
  </si>
  <si>
    <t>CANTON SPLIT</t>
  </si>
  <si>
    <t>ODOT SPLIT</t>
  </si>
  <si>
    <t>12 x 27</t>
  </si>
  <si>
    <t>AW x 18</t>
  </si>
  <si>
    <t>AU x 18</t>
  </si>
  <si>
    <t>EXCAVATION
(CARRY TO CROSS SECTIONS)</t>
  </si>
  <si>
    <t>Check by:   RSW 1/6/21</t>
  </si>
  <si>
    <t>4" TRAFFIC ISLAND</t>
  </si>
  <si>
    <t>4" AGGREGATE BASE</t>
  </si>
  <si>
    <t>ISLAND * 4</t>
  </si>
  <si>
    <t>Note: Non-quantity columns are repeated on printed sheets for legibility.</t>
  </si>
  <si>
    <t>Pavement Quantity Calculations - Tracings</t>
  </si>
  <si>
    <t>1.25" ASPHALT CONCRETE 
SURFACE COURSE, TYPE 1, 
(448), AS PER PLAN, PG70-22M</t>
  </si>
  <si>
    <t>Update by:  RMS 7/14/21</t>
  </si>
  <si>
    <t>1.75" ASPHALT CONCRETE INTERMEDIATE COURSE, 
TYPE 2, (448),</t>
  </si>
  <si>
    <t xml:space="preserve">1.75" ASPHALT CONCRETE INTERMEDIATE COURSE,
 TYPE 2, (448), </t>
  </si>
  <si>
    <t>1.25" ASPHALT CONCRETE 
SURFACE COURSE, TYPE 1, 
(448), (DRIVEWAYS),
 AS PER PLAN, PG64-22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</si>
</sst>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\+00.00\ "/>
    <numFmt numFmtId="165" formatCode="0.0"/>
    <numFmt numFmtId="166" formatCode="0.00;;;"/>
    <numFmt numFmtId="167" formatCode="###\+00.00"/>
    <numFmt numFmtId="168" formatCode="0;;"/>
    <numFmt numFmtId="169" formatCode="0.00;;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2"/>
      <name val="Verdana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90" wrapText="1"/>
    </xf>
    <xf numFmtId="164" fontId="5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/>
    </xf>
    <xf numFmtId="168" fontId="13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9" fontId="6" fillId="0" borderId="12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wrapText="1"/>
    </xf>
    <xf numFmtId="169" fontId="6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 wrapText="1"/>
    </xf>
    <xf numFmtId="169" fontId="13" fillId="0" borderId="10" xfId="0" applyNumberFormat="1" applyFont="1" applyBorder="1" applyAlignment="1">
      <alignment horizontal="center" vertical="center"/>
    </xf>
    <xf numFmtId="169" fontId="13" fillId="0" borderId="4" xfId="0" applyNumberFormat="1" applyFont="1" applyBorder="1" applyAlignment="1">
      <alignment horizontal="center" vertical="center"/>
    </xf>
    <xf numFmtId="169" fontId="13" fillId="0" borderId="11" xfId="0" applyNumberFormat="1" applyFont="1" applyBorder="1" applyAlignment="1">
      <alignment horizontal="center" vertical="center"/>
    </xf>
    <xf numFmtId="169" fontId="13" fillId="0" borderId="6" xfId="0" applyNumberFormat="1" applyFont="1" applyBorder="1" applyAlignment="1">
      <alignment horizontal="center" vertical="center"/>
    </xf>
    <xf numFmtId="169" fontId="13" fillId="0" borderId="2" xfId="0" applyNumberFormat="1" applyFont="1" applyBorder="1" applyAlignment="1">
      <alignment horizontal="center" vertical="center"/>
    </xf>
    <xf numFmtId="169" fontId="13" fillId="0" borderId="7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169" fontId="6" fillId="0" borderId="21" xfId="0" applyNumberFormat="1" applyFont="1" applyBorder="1" applyAlignment="1">
      <alignment horizontal="center" vertical="center"/>
    </xf>
    <xf numFmtId="168" fontId="6" fillId="0" borderId="21" xfId="0" applyNumberFormat="1" applyFont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 vertical="center"/>
    </xf>
    <xf numFmtId="168" fontId="13" fillId="0" borderId="8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169" fontId="13" fillId="0" borderId="6" xfId="0" applyNumberFormat="1" applyFont="1" applyFill="1" applyBorder="1" applyAlignment="1">
      <alignment horizontal="center" vertical="center"/>
    </xf>
    <xf numFmtId="169" fontId="13" fillId="0" borderId="2" xfId="0" applyNumberFormat="1" applyFont="1" applyFill="1" applyBorder="1" applyAlignment="1">
      <alignment horizontal="center" vertical="center"/>
    </xf>
    <xf numFmtId="169" fontId="13" fillId="0" borderId="10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7" fontId="13" fillId="0" borderId="5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13" fillId="0" borderId="7" xfId="0" applyNumberFormat="1" applyFont="1" applyBorder="1" applyAlignment="1">
      <alignment horizontal="center" vertical="center"/>
    </xf>
    <xf numFmtId="167" fontId="13" fillId="0" borderId="4" xfId="0" applyNumberFormat="1" applyFont="1" applyBorder="1" applyAlignment="1">
      <alignment horizontal="center" vertical="center"/>
    </xf>
    <xf numFmtId="167" fontId="13" fillId="0" borderId="1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textRotation="90" wrapText="1"/>
    </xf>
    <xf numFmtId="0" fontId="14" fillId="0" borderId="39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3" fillId="0" borderId="41" xfId="0" applyFont="1" applyBorder="1" applyAlignment="1">
      <alignment horizontal="center" wrapText="1"/>
    </xf>
    <xf numFmtId="0" fontId="13" fillId="0" borderId="35" xfId="0" applyFont="1" applyBorder="1" applyAlignment="1">
      <alignment horizontal="center" vertical="center"/>
    </xf>
    <xf numFmtId="168" fontId="13" fillId="0" borderId="34" xfId="0" applyNumberFormat="1" applyFont="1" applyBorder="1" applyAlignment="1">
      <alignment horizontal="center" vertical="center"/>
    </xf>
    <xf numFmtId="169" fontId="13" fillId="0" borderId="23" xfId="0" applyNumberFormat="1" applyFont="1" applyBorder="1" applyAlignment="1">
      <alignment horizontal="center" vertical="center"/>
    </xf>
    <xf numFmtId="169" fontId="13" fillId="0" borderId="23" xfId="0" applyNumberFormat="1" applyFont="1" applyFill="1" applyBorder="1" applyAlignment="1">
      <alignment horizontal="center" vertical="center"/>
    </xf>
    <xf numFmtId="169" fontId="13" fillId="0" borderId="24" xfId="0" applyNumberFormat="1" applyFont="1" applyBorder="1" applyAlignment="1">
      <alignment horizontal="center" vertical="center"/>
    </xf>
    <xf numFmtId="169" fontId="6" fillId="0" borderId="35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/>
    </xf>
    <xf numFmtId="168" fontId="13" fillId="0" borderId="17" xfId="0" applyNumberFormat="1" applyFont="1" applyBorder="1" applyAlignment="1">
      <alignment horizontal="center" vertical="center"/>
    </xf>
    <xf numFmtId="169" fontId="13" fillId="0" borderId="3" xfId="0" applyNumberFormat="1" applyFont="1" applyBorder="1" applyAlignment="1">
      <alignment horizontal="center" vertical="center"/>
    </xf>
    <xf numFmtId="169" fontId="13" fillId="0" borderId="3" xfId="0" applyNumberFormat="1" applyFont="1" applyFill="1" applyBorder="1" applyAlignment="1">
      <alignment horizontal="center" vertical="center"/>
    </xf>
    <xf numFmtId="169" fontId="13" fillId="0" borderId="2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" fillId="0" borderId="0" xfId="0" applyNumberFormat="1" applyFont="1" applyAlignment="1">
      <alignment vertical="center" wrapText="1"/>
    </xf>
    <xf numFmtId="167" fontId="13" fillId="0" borderId="2" xfId="0" applyNumberFormat="1" applyFont="1" applyFill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167" fontId="13" fillId="0" borderId="2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6" fillId="0" borderId="1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7" fontId="13" fillId="0" borderId="1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8" fontId="6" fillId="0" borderId="3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</cellXfs>
  <cellStyles count="2">
    <cellStyle name="Normal" xfId="0" builtinId="0"/>
    <cellStyle name="Normal 2" xfId="1" xr:uid="{A86A43B0-D8C3-49F1-82F7-333D790AA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DF58-6571-43F5-9698-2DEB1116168B}">
  <sheetPr>
    <tabColor theme="9"/>
  </sheetPr>
  <dimension ref="B1:AU90"/>
  <sheetViews>
    <sheetView tabSelected="1" view="pageBreakPreview" zoomScale="40" zoomScaleNormal="85" zoomScaleSheetLayoutView="40" zoomScalePageLayoutView="70" workbookViewId="0">
      <pane xSplit="19" ySplit="13" topLeftCell="AH14" activePane="bottomRight" state="frozen"/>
      <selection pane="topRight" activeCell="T1" sqref="T1"/>
      <selection pane="bottomLeft" activeCell="A14" sqref="A14"/>
      <selection pane="bottomRight" activeCell="AT1" sqref="AT1:AU1048576"/>
    </sheetView>
  </sheetViews>
  <sheetFormatPr defaultColWidth="9.140625" defaultRowHeight="12.75" x14ac:dyDescent="0.2"/>
  <cols>
    <col min="1" max="1" width="9.140625" style="3" customWidth="1"/>
    <col min="2" max="2" width="5.7109375" style="6" customWidth="1"/>
    <col min="3" max="4" width="12.7109375" style="6" customWidth="1"/>
    <col min="5" max="5" width="6.7109375" style="6" customWidth="1"/>
    <col min="6" max="6" width="9.5703125" style="6" customWidth="1"/>
    <col min="7" max="20" width="8.7109375" style="6" customWidth="1"/>
    <col min="21" max="44" width="15.7109375" style="14" customWidth="1"/>
    <col min="45" max="47" width="14.42578125" style="3" customWidth="1"/>
    <col min="48" max="49" width="10.7109375" style="3" customWidth="1"/>
    <col min="50" max="16384" width="9.140625" style="3"/>
  </cols>
  <sheetData>
    <row r="1" spans="2:47" x14ac:dyDescent="0.2">
      <c r="B1" s="9"/>
      <c r="C1" s="9"/>
    </row>
    <row r="2" spans="2:47" x14ac:dyDescent="0.2">
      <c r="B2" s="11"/>
      <c r="C2" s="11" t="s">
        <v>63</v>
      </c>
      <c r="D2" s="10"/>
      <c r="O2" s="14"/>
      <c r="V2" s="15"/>
      <c r="W2" s="15"/>
      <c r="X2" s="15"/>
      <c r="Y2" s="15"/>
      <c r="Z2" s="15"/>
      <c r="AA2" s="15"/>
      <c r="AE2" s="15"/>
      <c r="AL2" s="15"/>
    </row>
    <row r="3" spans="2:47" x14ac:dyDescent="0.2">
      <c r="B3" s="10"/>
      <c r="C3" s="10" t="s">
        <v>20</v>
      </c>
      <c r="O3" s="15" t="s">
        <v>70</v>
      </c>
      <c r="V3" s="15"/>
      <c r="W3" s="15"/>
      <c r="X3" s="15"/>
      <c r="Y3" s="15"/>
      <c r="Z3" s="15"/>
      <c r="AA3" s="15"/>
      <c r="AE3" s="15"/>
      <c r="AL3" s="15"/>
    </row>
    <row r="4" spans="2:47" x14ac:dyDescent="0.2">
      <c r="B4" s="11"/>
      <c r="C4" s="11" t="s">
        <v>21</v>
      </c>
      <c r="O4" s="15" t="s">
        <v>83</v>
      </c>
      <c r="V4" s="15"/>
      <c r="W4" s="15"/>
      <c r="X4" s="15"/>
      <c r="Y4" s="15"/>
      <c r="Z4" s="15"/>
      <c r="AA4" s="15"/>
      <c r="AB4" s="29"/>
      <c r="AE4" s="15"/>
      <c r="AF4" s="29"/>
      <c r="AG4" s="29"/>
      <c r="AL4" s="15"/>
    </row>
    <row r="5" spans="2:47" x14ac:dyDescent="0.2">
      <c r="B5" s="11"/>
      <c r="C5" s="11" t="s">
        <v>88</v>
      </c>
      <c r="O5" s="15" t="s">
        <v>90</v>
      </c>
    </row>
    <row r="6" spans="2:47" s="1" customFormat="1" ht="20.100000000000001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21"/>
      <c r="V6" s="28"/>
      <c r="W6" s="28"/>
      <c r="X6" s="28"/>
      <c r="Y6" s="21"/>
      <c r="Z6" s="28"/>
      <c r="AA6" s="28"/>
      <c r="AB6" s="21"/>
      <c r="AC6" s="21"/>
      <c r="AD6" s="21"/>
      <c r="AE6" s="28"/>
      <c r="AF6" s="21"/>
      <c r="AG6" s="21"/>
      <c r="AH6" s="21"/>
      <c r="AI6" s="21"/>
      <c r="AJ6" s="21"/>
      <c r="AK6" s="21"/>
      <c r="AL6" s="28"/>
      <c r="AM6" s="21"/>
      <c r="AN6" s="21"/>
      <c r="AO6" s="21"/>
      <c r="AP6" s="21"/>
      <c r="AQ6" s="21"/>
      <c r="AR6" s="21"/>
    </row>
    <row r="7" spans="2:47" ht="20.100000000000001" customHeight="1" thickBot="1" x14ac:dyDescent="0.25">
      <c r="B7" s="19"/>
      <c r="C7" s="19" t="s">
        <v>87</v>
      </c>
      <c r="D7" s="20"/>
      <c r="E7" s="20"/>
      <c r="F7" s="20"/>
      <c r="G7" s="125"/>
      <c r="H7" s="125"/>
      <c r="I7" s="125"/>
      <c r="J7" s="125"/>
      <c r="K7" s="125"/>
      <c r="L7" s="125"/>
      <c r="M7" s="125"/>
      <c r="N7" s="20"/>
      <c r="O7" s="20"/>
      <c r="P7" s="20"/>
      <c r="Q7" s="20"/>
      <c r="R7" s="20"/>
      <c r="S7" s="20"/>
      <c r="T7" s="20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2:47" ht="20.100000000000001" customHeight="1" x14ac:dyDescent="0.2">
      <c r="B8" s="146" t="s">
        <v>75</v>
      </c>
      <c r="C8" s="134" t="s">
        <v>0</v>
      </c>
      <c r="D8" s="134"/>
      <c r="E8" s="131" t="s">
        <v>3</v>
      </c>
      <c r="F8" s="126" t="s">
        <v>13</v>
      </c>
      <c r="G8" s="126" t="s">
        <v>44</v>
      </c>
      <c r="H8" s="126" t="s">
        <v>45</v>
      </c>
      <c r="I8" s="126" t="s">
        <v>61</v>
      </c>
      <c r="J8" s="126" t="s">
        <v>62</v>
      </c>
      <c r="K8" s="126" t="s">
        <v>46</v>
      </c>
      <c r="L8" s="126" t="s">
        <v>64</v>
      </c>
      <c r="M8" s="126" t="s">
        <v>47</v>
      </c>
      <c r="N8" s="126" t="s">
        <v>30</v>
      </c>
      <c r="O8" s="126" t="s">
        <v>42</v>
      </c>
      <c r="P8" s="126" t="s">
        <v>65</v>
      </c>
      <c r="Q8" s="126" t="s">
        <v>43</v>
      </c>
      <c r="R8" s="126" t="s">
        <v>31</v>
      </c>
      <c r="S8" s="126" t="s">
        <v>54</v>
      </c>
      <c r="T8" s="129" t="s">
        <v>40</v>
      </c>
      <c r="U8" s="151" t="s">
        <v>78</v>
      </c>
      <c r="V8" s="152"/>
      <c r="W8" s="152"/>
      <c r="X8" s="152"/>
      <c r="Y8" s="152"/>
      <c r="Z8" s="152"/>
      <c r="AA8" s="153" t="s">
        <v>77</v>
      </c>
      <c r="AB8" s="154"/>
      <c r="AC8" s="154"/>
      <c r="AD8" s="154"/>
      <c r="AE8" s="155"/>
      <c r="AF8" s="149" t="s">
        <v>76</v>
      </c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50"/>
    </row>
    <row r="9" spans="2:47" s="1" customFormat="1" ht="12.75" customHeight="1" x14ac:dyDescent="0.2">
      <c r="B9" s="147"/>
      <c r="C9" s="135"/>
      <c r="D9" s="135"/>
      <c r="E9" s="132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30"/>
      <c r="U9" s="91">
        <v>202</v>
      </c>
      <c r="V9" s="92">
        <v>202</v>
      </c>
      <c r="W9" s="92">
        <v>202</v>
      </c>
      <c r="X9" s="93">
        <v>203</v>
      </c>
      <c r="Y9" s="92">
        <v>204</v>
      </c>
      <c r="Z9" s="95">
        <v>254</v>
      </c>
      <c r="AA9" s="91">
        <v>203</v>
      </c>
      <c r="AB9" s="93">
        <v>301</v>
      </c>
      <c r="AC9" s="93">
        <v>304</v>
      </c>
      <c r="AD9" s="93">
        <v>407</v>
      </c>
      <c r="AE9" s="94">
        <v>441</v>
      </c>
      <c r="AF9" s="144">
        <v>301</v>
      </c>
      <c r="AG9" s="142"/>
      <c r="AH9" s="156">
        <v>304</v>
      </c>
      <c r="AI9" s="144"/>
      <c r="AJ9" s="142">
        <v>407</v>
      </c>
      <c r="AK9" s="142"/>
      <c r="AL9" s="92">
        <v>441</v>
      </c>
      <c r="AM9" s="92">
        <v>441</v>
      </c>
      <c r="AN9" s="92">
        <v>441</v>
      </c>
      <c r="AO9" s="92">
        <v>608</v>
      </c>
      <c r="AP9" s="122">
        <v>609</v>
      </c>
      <c r="AQ9" s="92">
        <v>609</v>
      </c>
      <c r="AR9" s="94">
        <v>609</v>
      </c>
    </row>
    <row r="10" spans="2:47" s="8" customFormat="1" ht="156.75" customHeight="1" thickBot="1" x14ac:dyDescent="0.25">
      <c r="B10" s="147"/>
      <c r="C10" s="135"/>
      <c r="D10" s="135"/>
      <c r="E10" s="132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30"/>
      <c r="U10" s="44" t="s">
        <v>52</v>
      </c>
      <c r="V10" s="45" t="s">
        <v>19</v>
      </c>
      <c r="W10" s="45" t="s">
        <v>55</v>
      </c>
      <c r="X10" s="45" t="s">
        <v>82</v>
      </c>
      <c r="Y10" s="45" t="s">
        <v>5</v>
      </c>
      <c r="Z10" s="96" t="s">
        <v>32</v>
      </c>
      <c r="AA10" s="44" t="s">
        <v>82</v>
      </c>
      <c r="AB10" s="45" t="s">
        <v>56</v>
      </c>
      <c r="AC10" s="45" t="s">
        <v>14</v>
      </c>
      <c r="AD10" s="45" t="s">
        <v>66</v>
      </c>
      <c r="AE10" s="46" t="s">
        <v>91</v>
      </c>
      <c r="AF10" s="106" t="s">
        <v>56</v>
      </c>
      <c r="AG10" s="45" t="s">
        <v>71</v>
      </c>
      <c r="AH10" s="45" t="s">
        <v>14</v>
      </c>
      <c r="AI10" s="45" t="s">
        <v>85</v>
      </c>
      <c r="AJ10" s="45" t="s">
        <v>68</v>
      </c>
      <c r="AK10" s="45" t="s">
        <v>67</v>
      </c>
      <c r="AL10" s="45" t="s">
        <v>92</v>
      </c>
      <c r="AM10" s="45" t="s">
        <v>89</v>
      </c>
      <c r="AN10" s="45" t="s">
        <v>93</v>
      </c>
      <c r="AO10" s="45" t="s">
        <v>39</v>
      </c>
      <c r="AP10" s="45" t="s">
        <v>84</v>
      </c>
      <c r="AQ10" s="45" t="s">
        <v>37</v>
      </c>
      <c r="AR10" s="46" t="s">
        <v>38</v>
      </c>
    </row>
    <row r="11" spans="2:47" s="8" customFormat="1" ht="12.75" customHeight="1" x14ac:dyDescent="0.2">
      <c r="B11" s="147"/>
      <c r="C11" s="135"/>
      <c r="D11" s="135"/>
      <c r="E11" s="132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30"/>
      <c r="U11" s="51"/>
      <c r="V11" s="52"/>
      <c r="W11" s="52"/>
      <c r="X11" s="52"/>
      <c r="Y11" s="52"/>
      <c r="Z11" s="97"/>
      <c r="AA11" s="51"/>
      <c r="AB11" s="53"/>
      <c r="AC11" s="52"/>
      <c r="AD11" s="54"/>
      <c r="AE11" s="114"/>
      <c r="AF11" s="107"/>
      <c r="AG11" s="53"/>
      <c r="AH11" s="52"/>
      <c r="AI11" s="52"/>
      <c r="AJ11" s="54"/>
      <c r="AK11" s="54"/>
      <c r="AL11" s="52"/>
      <c r="AM11" s="55" t="s">
        <v>35</v>
      </c>
      <c r="AN11" s="55"/>
      <c r="AO11" s="55"/>
      <c r="AP11" s="55"/>
      <c r="AQ11" s="55"/>
      <c r="AR11" s="55"/>
    </row>
    <row r="12" spans="2:47" s="8" customFormat="1" ht="12.75" customHeight="1" x14ac:dyDescent="0.2">
      <c r="B12" s="147"/>
      <c r="C12" s="135"/>
      <c r="D12" s="135"/>
      <c r="E12" s="132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30"/>
      <c r="U12" s="56" t="s">
        <v>53</v>
      </c>
      <c r="V12" s="57" t="s">
        <v>18</v>
      </c>
      <c r="W12" s="57" t="s">
        <v>18</v>
      </c>
      <c r="X12" s="57" t="s">
        <v>80</v>
      </c>
      <c r="Y12" s="59" t="s">
        <v>34</v>
      </c>
      <c r="Z12" s="98" t="s">
        <v>17</v>
      </c>
      <c r="AA12" s="118" t="s">
        <v>81</v>
      </c>
      <c r="AB12" s="58" t="s">
        <v>57</v>
      </c>
      <c r="AC12" s="58" t="s">
        <v>48</v>
      </c>
      <c r="AD12" s="59" t="s">
        <v>50</v>
      </c>
      <c r="AE12" s="115" t="s">
        <v>58</v>
      </c>
      <c r="AF12" s="108" t="s">
        <v>59</v>
      </c>
      <c r="AG12" s="58" t="s">
        <v>72</v>
      </c>
      <c r="AH12" s="58" t="s">
        <v>49</v>
      </c>
      <c r="AI12" s="58" t="s">
        <v>86</v>
      </c>
      <c r="AJ12" s="59" t="s">
        <v>33</v>
      </c>
      <c r="AK12" s="59" t="s">
        <v>69</v>
      </c>
      <c r="AL12" s="57" t="s">
        <v>60</v>
      </c>
      <c r="AM12" s="59" t="s">
        <v>36</v>
      </c>
      <c r="AN12" s="59" t="s">
        <v>73</v>
      </c>
      <c r="AO12" s="59" t="s">
        <v>41</v>
      </c>
      <c r="AP12" s="59"/>
      <c r="AQ12" s="60" t="s">
        <v>18</v>
      </c>
      <c r="AR12" s="60" t="s">
        <v>18</v>
      </c>
    </row>
    <row r="13" spans="2:47" s="8" customFormat="1" ht="12.75" customHeight="1" thickBot="1" x14ac:dyDescent="0.25">
      <c r="B13" s="147"/>
      <c r="C13" s="135"/>
      <c r="D13" s="135"/>
      <c r="E13" s="132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30"/>
      <c r="U13" s="61"/>
      <c r="V13" s="62"/>
      <c r="W13" s="62"/>
      <c r="X13" s="62" t="s">
        <v>79</v>
      </c>
      <c r="Y13" s="63">
        <v>9</v>
      </c>
      <c r="Z13" s="99">
        <v>9</v>
      </c>
      <c r="AA13" s="116" t="s">
        <v>79</v>
      </c>
      <c r="AB13" s="62" t="s">
        <v>16</v>
      </c>
      <c r="AC13" s="62" t="s">
        <v>16</v>
      </c>
      <c r="AD13" s="63">
        <v>9</v>
      </c>
      <c r="AE13" s="117" t="s">
        <v>16</v>
      </c>
      <c r="AF13" s="33" t="s">
        <v>16</v>
      </c>
      <c r="AG13" s="62" t="s">
        <v>16</v>
      </c>
      <c r="AH13" s="62" t="s">
        <v>16</v>
      </c>
      <c r="AI13" s="62" t="s">
        <v>16</v>
      </c>
      <c r="AJ13" s="63">
        <v>9</v>
      </c>
      <c r="AK13" s="63">
        <v>9</v>
      </c>
      <c r="AL13" s="62" t="s">
        <v>16</v>
      </c>
      <c r="AM13" s="63" t="s">
        <v>16</v>
      </c>
      <c r="AN13" s="63" t="s">
        <v>16</v>
      </c>
      <c r="AO13" s="63"/>
      <c r="AP13" s="63"/>
      <c r="AQ13" s="63"/>
      <c r="AR13" s="63"/>
    </row>
    <row r="14" spans="2:47" s="2" customFormat="1" ht="12.75" customHeight="1" thickBot="1" x14ac:dyDescent="0.25">
      <c r="B14" s="148"/>
      <c r="C14" s="17" t="s">
        <v>1</v>
      </c>
      <c r="D14" s="17" t="s">
        <v>2</v>
      </c>
      <c r="E14" s="133"/>
      <c r="F14" s="17" t="s">
        <v>6</v>
      </c>
      <c r="G14" s="17" t="s">
        <v>6</v>
      </c>
      <c r="H14" s="17" t="s">
        <v>6</v>
      </c>
      <c r="I14" s="17" t="s">
        <v>6</v>
      </c>
      <c r="J14" s="17" t="s">
        <v>11</v>
      </c>
      <c r="K14" s="17" t="s">
        <v>6</v>
      </c>
      <c r="L14" s="17" t="s">
        <v>6</v>
      </c>
      <c r="M14" s="17" t="s">
        <v>6</v>
      </c>
      <c r="N14" s="17" t="s">
        <v>11</v>
      </c>
      <c r="O14" s="17" t="s">
        <v>6</v>
      </c>
      <c r="P14" s="17" t="s">
        <v>6</v>
      </c>
      <c r="Q14" s="17" t="s">
        <v>6</v>
      </c>
      <c r="R14" s="17" t="s">
        <v>11</v>
      </c>
      <c r="S14" s="17" t="s">
        <v>6</v>
      </c>
      <c r="T14" s="24" t="s">
        <v>6</v>
      </c>
      <c r="U14" s="43" t="s">
        <v>11</v>
      </c>
      <c r="V14" s="30" t="s">
        <v>6</v>
      </c>
      <c r="W14" s="30" t="s">
        <v>6</v>
      </c>
      <c r="X14" s="30"/>
      <c r="Y14" s="30" t="s">
        <v>10</v>
      </c>
      <c r="Z14" s="100" t="s">
        <v>10</v>
      </c>
      <c r="AA14" s="43" t="s">
        <v>9</v>
      </c>
      <c r="AB14" s="30" t="s">
        <v>9</v>
      </c>
      <c r="AC14" s="30" t="s">
        <v>9</v>
      </c>
      <c r="AD14" s="30" t="s">
        <v>8</v>
      </c>
      <c r="AE14" s="31" t="s">
        <v>9</v>
      </c>
      <c r="AF14" s="109" t="s">
        <v>9</v>
      </c>
      <c r="AG14" s="30" t="s">
        <v>9</v>
      </c>
      <c r="AH14" s="30" t="s">
        <v>9</v>
      </c>
      <c r="AI14" s="30"/>
      <c r="AJ14" s="30" t="s">
        <v>8</v>
      </c>
      <c r="AK14" s="30" t="s">
        <v>8</v>
      </c>
      <c r="AL14" s="30" t="s">
        <v>9</v>
      </c>
      <c r="AM14" s="30" t="s">
        <v>9</v>
      </c>
      <c r="AN14" s="30" t="s">
        <v>9</v>
      </c>
      <c r="AO14" s="30" t="s">
        <v>11</v>
      </c>
      <c r="AP14" s="30" t="s">
        <v>10</v>
      </c>
      <c r="AQ14" s="30" t="s">
        <v>6</v>
      </c>
      <c r="AR14" s="30" t="s">
        <v>6</v>
      </c>
    </row>
    <row r="15" spans="2:47" s="5" customFormat="1" ht="12.75" customHeight="1" x14ac:dyDescent="0.2">
      <c r="B15" s="81"/>
      <c r="C15" s="82"/>
      <c r="D15" s="82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5"/>
      <c r="U15" s="50"/>
      <c r="V15" s="22"/>
      <c r="W15" s="22"/>
      <c r="X15" s="22"/>
      <c r="Y15" s="22"/>
      <c r="Z15" s="101"/>
      <c r="AA15" s="50"/>
      <c r="AB15" s="22"/>
      <c r="AC15" s="22"/>
      <c r="AD15" s="22"/>
      <c r="AE15" s="23"/>
      <c r="AF15" s="110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4"/>
      <c r="AT15" s="4"/>
      <c r="AU15" s="4"/>
    </row>
    <row r="16" spans="2:47" s="5" customFormat="1" ht="12.75" customHeight="1" x14ac:dyDescent="0.2">
      <c r="B16" s="86"/>
      <c r="C16" s="128" t="s">
        <v>22</v>
      </c>
      <c r="D16" s="128"/>
      <c r="E16" s="7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40"/>
      <c r="V16" s="41"/>
      <c r="W16" s="41"/>
      <c r="X16" s="41"/>
      <c r="Y16" s="41"/>
      <c r="Z16" s="102"/>
      <c r="AA16" s="40"/>
      <c r="AB16" s="41"/>
      <c r="AC16" s="41"/>
      <c r="AD16" s="41"/>
      <c r="AE16" s="37"/>
      <c r="AF16" s="11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"/>
      <c r="AT16" s="4"/>
      <c r="AU16" s="4"/>
    </row>
    <row r="17" spans="2:47" s="5" customFormat="1" ht="12.75" customHeight="1" x14ac:dyDescent="0.2">
      <c r="B17" s="79">
        <v>1</v>
      </c>
      <c r="C17" s="75">
        <v>56700</v>
      </c>
      <c r="D17" s="75">
        <v>56750</v>
      </c>
      <c r="E17" s="75" t="s">
        <v>12</v>
      </c>
      <c r="F17" s="26">
        <f>D17-C17</f>
        <v>50</v>
      </c>
      <c r="G17" s="26">
        <v>63.34</v>
      </c>
      <c r="H17" s="26">
        <v>65.45</v>
      </c>
      <c r="I17" s="72">
        <f t="shared" ref="I17:I25" si="0">ROUNDUP((H17+G17)/2,2)</f>
        <v>64.400000000000006</v>
      </c>
      <c r="J17" s="26">
        <f>ROUNDUP(F17*I17,2)</f>
        <v>3220</v>
      </c>
      <c r="K17" s="26"/>
      <c r="L17" s="26"/>
      <c r="M17" s="26">
        <f>ROUNDUP((L17+K17)/2,2)</f>
        <v>0</v>
      </c>
      <c r="N17" s="26">
        <f>ROUNDUP(M17*F17,2)</f>
        <v>0</v>
      </c>
      <c r="O17" s="26"/>
      <c r="P17" s="26"/>
      <c r="Q17" s="26"/>
      <c r="R17" s="26">
        <f>ROUNDUP(F17*Q17,2)</f>
        <v>0</v>
      </c>
      <c r="S17" s="26"/>
      <c r="T17" s="27"/>
      <c r="U17" s="66"/>
      <c r="V17" s="67"/>
      <c r="W17" s="67"/>
      <c r="X17" s="67"/>
      <c r="Y17" s="67">
        <f t="shared" ref="Y17:Y47" si="1">ROUNDUP((R17+N17)/9,2)</f>
        <v>0</v>
      </c>
      <c r="Z17" s="103">
        <f t="shared" ref="Z17:Z47" si="2">ROUNDUP(J17/9,2)</f>
        <v>357.78</v>
      </c>
      <c r="AA17" s="66"/>
      <c r="AB17" s="67">
        <f t="shared" ref="AB17:AB47" si="3">(R17*9)/12/27</f>
        <v>0</v>
      </c>
      <c r="AC17" s="67">
        <f t="shared" ref="AC17:AC47" si="4">(R17*6)/12/27</f>
        <v>0</v>
      </c>
      <c r="AD17" s="67">
        <f t="shared" ref="AD17:AD47" si="5">ROUNDUP(R17*0.055/9,2)</f>
        <v>0</v>
      </c>
      <c r="AE17" s="68">
        <f t="shared" ref="AE17:AE47" si="6">(R17*1.75)/12/27</f>
        <v>0</v>
      </c>
      <c r="AF17" s="112">
        <f>(N17*9)/12/27</f>
        <v>0</v>
      </c>
      <c r="AG17" s="67">
        <f>(O17*9)/12/27</f>
        <v>0</v>
      </c>
      <c r="AH17" s="67">
        <f t="shared" ref="AH17:AH47" si="7">(N17*6)/12/27</f>
        <v>0</v>
      </c>
      <c r="AI17" s="67"/>
      <c r="AJ17" s="67">
        <f t="shared" ref="AJ17:AJ47" si="8">ROUNDUP(J17*0.085/9,2)</f>
        <v>30.42</v>
      </c>
      <c r="AK17" s="67">
        <f t="shared" ref="AK17:AK47" si="9">ROUNDUP((N17+R17)*0.055/9,2)</f>
        <v>0</v>
      </c>
      <c r="AL17" s="67">
        <f t="shared" ref="AL17:AL47" si="10">(N17*1.75)/12/27</f>
        <v>0</v>
      </c>
      <c r="AM17" s="67">
        <f>ROUNDUP((J17+N17+R17)*1.25/12/27,2)</f>
        <v>12.43</v>
      </c>
      <c r="AN17" s="67">
        <f>ROUNDUP((K17+O17+S17)*1.25/12/27,2)</f>
        <v>0</v>
      </c>
      <c r="AO17" s="67">
        <f t="shared" ref="AO17:AO47" si="11">T17*F17</f>
        <v>0</v>
      </c>
      <c r="AP17" s="67"/>
      <c r="AQ17" s="67"/>
      <c r="AR17" s="67"/>
      <c r="AS17" s="4"/>
      <c r="AT17" s="4"/>
      <c r="AU17" s="4"/>
    </row>
    <row r="18" spans="2:47" s="5" customFormat="1" ht="12.75" customHeight="1" x14ac:dyDescent="0.2">
      <c r="B18" s="79">
        <v>2</v>
      </c>
      <c r="C18" s="75">
        <v>56750</v>
      </c>
      <c r="D18" s="75">
        <v>56800</v>
      </c>
      <c r="E18" s="75" t="s">
        <v>12</v>
      </c>
      <c r="F18" s="26">
        <f t="shared" ref="F18:F25" si="12">D18-C18</f>
        <v>50</v>
      </c>
      <c r="G18" s="26">
        <f t="shared" ref="G18:G23" si="13">H17</f>
        <v>65.45</v>
      </c>
      <c r="H18" s="26">
        <v>67.73</v>
      </c>
      <c r="I18" s="26">
        <f t="shared" si="0"/>
        <v>66.59</v>
      </c>
      <c r="J18" s="26">
        <f t="shared" ref="J18:J25" si="14">ROUNDUP(F18*I18,2)</f>
        <v>3329.5</v>
      </c>
      <c r="K18" s="26"/>
      <c r="L18" s="26"/>
      <c r="M18" s="26">
        <f t="shared" ref="M18:M46" si="15">ROUNDUP((L18+K18)/2,2)</f>
        <v>0</v>
      </c>
      <c r="N18" s="26">
        <f t="shared" ref="N18:N25" si="16">ROUNDUP(M18*F18,2)</f>
        <v>0</v>
      </c>
      <c r="O18" s="26"/>
      <c r="P18" s="26"/>
      <c r="Q18" s="26"/>
      <c r="R18" s="26">
        <f t="shared" ref="R18:R25" si="17">ROUNDUP(F18*Q18,2)</f>
        <v>0</v>
      </c>
      <c r="S18" s="26"/>
      <c r="T18" s="27"/>
      <c r="U18" s="66"/>
      <c r="V18" s="67"/>
      <c r="W18" s="67"/>
      <c r="X18" s="67"/>
      <c r="Y18" s="67">
        <f t="shared" si="1"/>
        <v>0</v>
      </c>
      <c r="Z18" s="103">
        <f t="shared" si="2"/>
        <v>369.95</v>
      </c>
      <c r="AA18" s="66"/>
      <c r="AB18" s="67">
        <f t="shared" si="3"/>
        <v>0</v>
      </c>
      <c r="AC18" s="67">
        <f t="shared" si="4"/>
        <v>0</v>
      </c>
      <c r="AD18" s="67">
        <f t="shared" si="5"/>
        <v>0</v>
      </c>
      <c r="AE18" s="68">
        <f t="shared" si="6"/>
        <v>0</v>
      </c>
      <c r="AF18" s="112">
        <f t="shared" ref="AF18:AF47" si="18">(N18*9)/12/27</f>
        <v>0</v>
      </c>
      <c r="AG18" s="67"/>
      <c r="AH18" s="67">
        <f t="shared" si="7"/>
        <v>0</v>
      </c>
      <c r="AI18" s="67"/>
      <c r="AJ18" s="67">
        <f t="shared" si="8"/>
        <v>31.450000000000003</v>
      </c>
      <c r="AK18" s="67">
        <f t="shared" si="9"/>
        <v>0</v>
      </c>
      <c r="AL18" s="67">
        <f t="shared" si="10"/>
        <v>0</v>
      </c>
      <c r="AM18" s="67">
        <f>ROUNDUP((J18+N18+R18)*1.25/12/27,2)</f>
        <v>12.85</v>
      </c>
      <c r="AN18" s="67">
        <f>ROUNDUP((K18+O18+S18)*1.25/12/27,2)</f>
        <v>0</v>
      </c>
      <c r="AO18" s="67">
        <f t="shared" si="11"/>
        <v>0</v>
      </c>
      <c r="AP18" s="67"/>
      <c r="AQ18" s="67"/>
      <c r="AR18" s="67"/>
      <c r="AS18" s="4"/>
      <c r="AT18" s="4"/>
      <c r="AU18" s="4"/>
    </row>
    <row r="19" spans="2:47" s="5" customFormat="1" ht="12.75" customHeight="1" x14ac:dyDescent="0.2">
      <c r="B19" s="79">
        <v>3</v>
      </c>
      <c r="C19" s="75">
        <v>56800</v>
      </c>
      <c r="D19" s="75">
        <v>56850</v>
      </c>
      <c r="E19" s="75" t="s">
        <v>12</v>
      </c>
      <c r="F19" s="26">
        <f t="shared" si="12"/>
        <v>50</v>
      </c>
      <c r="G19" s="26">
        <f t="shared" si="13"/>
        <v>67.73</v>
      </c>
      <c r="H19" s="26">
        <v>69.400000000000006</v>
      </c>
      <c r="I19" s="26">
        <f t="shared" si="0"/>
        <v>68.570000000000007</v>
      </c>
      <c r="J19" s="26">
        <f t="shared" si="14"/>
        <v>3428.5</v>
      </c>
      <c r="K19" s="26"/>
      <c r="L19" s="26"/>
      <c r="M19" s="26">
        <f t="shared" si="15"/>
        <v>0</v>
      </c>
      <c r="N19" s="26">
        <f t="shared" si="16"/>
        <v>0</v>
      </c>
      <c r="O19" s="26"/>
      <c r="P19" s="26"/>
      <c r="Q19" s="26"/>
      <c r="R19" s="26">
        <f t="shared" si="17"/>
        <v>0</v>
      </c>
      <c r="S19" s="26"/>
      <c r="T19" s="27"/>
      <c r="U19" s="66"/>
      <c r="V19" s="67"/>
      <c r="W19" s="67"/>
      <c r="X19" s="67"/>
      <c r="Y19" s="67">
        <f t="shared" si="1"/>
        <v>0</v>
      </c>
      <c r="Z19" s="103">
        <f t="shared" si="2"/>
        <v>380.95</v>
      </c>
      <c r="AA19" s="66"/>
      <c r="AB19" s="67">
        <f t="shared" si="3"/>
        <v>0</v>
      </c>
      <c r="AC19" s="67">
        <f t="shared" si="4"/>
        <v>0</v>
      </c>
      <c r="AD19" s="67">
        <f t="shared" si="5"/>
        <v>0</v>
      </c>
      <c r="AE19" s="68">
        <f t="shared" si="6"/>
        <v>0</v>
      </c>
      <c r="AF19" s="112">
        <f t="shared" si="18"/>
        <v>0</v>
      </c>
      <c r="AG19" s="67"/>
      <c r="AH19" s="67">
        <f t="shared" si="7"/>
        <v>0</v>
      </c>
      <c r="AI19" s="67"/>
      <c r="AJ19" s="67">
        <f t="shared" si="8"/>
        <v>32.39</v>
      </c>
      <c r="AK19" s="67">
        <f t="shared" si="9"/>
        <v>0</v>
      </c>
      <c r="AL19" s="67">
        <f t="shared" si="10"/>
        <v>0</v>
      </c>
      <c r="AM19" s="67">
        <f t="shared" ref="AM19:AM47" si="19">ROUNDUP((J19+N19+R19)*1.25/12/27,2)</f>
        <v>13.23</v>
      </c>
      <c r="AN19" s="67"/>
      <c r="AO19" s="67">
        <f t="shared" si="11"/>
        <v>0</v>
      </c>
      <c r="AP19" s="67"/>
      <c r="AQ19" s="67"/>
      <c r="AR19" s="67"/>
      <c r="AS19" s="4"/>
      <c r="AT19" s="4"/>
      <c r="AU19" s="4"/>
    </row>
    <row r="20" spans="2:47" s="5" customFormat="1" ht="12.75" customHeight="1" x14ac:dyDescent="0.2">
      <c r="B20" s="80">
        <v>4</v>
      </c>
      <c r="C20" s="74">
        <v>56850</v>
      </c>
      <c r="D20" s="74">
        <v>56900</v>
      </c>
      <c r="E20" s="74" t="s">
        <v>12</v>
      </c>
      <c r="F20" s="64">
        <f t="shared" si="12"/>
        <v>50</v>
      </c>
      <c r="G20" s="64">
        <f t="shared" si="13"/>
        <v>69.400000000000006</v>
      </c>
      <c r="H20" s="64">
        <v>71.040000000000006</v>
      </c>
      <c r="I20" s="64">
        <f t="shared" si="0"/>
        <v>70.22</v>
      </c>
      <c r="J20" s="64">
        <f t="shared" si="14"/>
        <v>3511</v>
      </c>
      <c r="K20" s="64"/>
      <c r="L20" s="64"/>
      <c r="M20" s="64">
        <f t="shared" si="15"/>
        <v>0</v>
      </c>
      <c r="N20" s="64">
        <f t="shared" si="16"/>
        <v>0</v>
      </c>
      <c r="O20" s="64"/>
      <c r="P20" s="64"/>
      <c r="Q20" s="64"/>
      <c r="R20" s="64">
        <f t="shared" si="17"/>
        <v>0</v>
      </c>
      <c r="S20" s="64"/>
      <c r="T20" s="65"/>
      <c r="U20" s="66"/>
      <c r="V20" s="67"/>
      <c r="W20" s="67"/>
      <c r="X20" s="67"/>
      <c r="Y20" s="67">
        <f t="shared" si="1"/>
        <v>0</v>
      </c>
      <c r="Z20" s="103">
        <f t="shared" si="2"/>
        <v>390.12</v>
      </c>
      <c r="AA20" s="66"/>
      <c r="AB20" s="67">
        <f t="shared" si="3"/>
        <v>0</v>
      </c>
      <c r="AC20" s="67">
        <f t="shared" si="4"/>
        <v>0</v>
      </c>
      <c r="AD20" s="67">
        <f t="shared" si="5"/>
        <v>0</v>
      </c>
      <c r="AE20" s="68">
        <f t="shared" si="6"/>
        <v>0</v>
      </c>
      <c r="AF20" s="112">
        <f t="shared" si="18"/>
        <v>0</v>
      </c>
      <c r="AG20" s="67"/>
      <c r="AH20" s="67">
        <f t="shared" si="7"/>
        <v>0</v>
      </c>
      <c r="AI20" s="67"/>
      <c r="AJ20" s="67">
        <f t="shared" si="8"/>
        <v>33.159999999999997</v>
      </c>
      <c r="AK20" s="67">
        <f t="shared" si="9"/>
        <v>0</v>
      </c>
      <c r="AL20" s="67">
        <f t="shared" si="10"/>
        <v>0</v>
      </c>
      <c r="AM20" s="67">
        <f t="shared" si="19"/>
        <v>13.549999999999999</v>
      </c>
      <c r="AN20" s="67"/>
      <c r="AO20" s="67">
        <f t="shared" si="11"/>
        <v>0</v>
      </c>
      <c r="AP20" s="67"/>
      <c r="AQ20" s="67"/>
      <c r="AR20" s="67"/>
      <c r="AS20" s="4"/>
      <c r="AT20" s="4"/>
      <c r="AU20" s="4"/>
    </row>
    <row r="21" spans="2:47" s="5" customFormat="1" ht="12.75" customHeight="1" x14ac:dyDescent="0.2">
      <c r="B21" s="80">
        <v>5</v>
      </c>
      <c r="C21" s="74">
        <v>56900</v>
      </c>
      <c r="D21" s="74">
        <v>56950</v>
      </c>
      <c r="E21" s="74" t="s">
        <v>12</v>
      </c>
      <c r="F21" s="64">
        <f t="shared" si="12"/>
        <v>50</v>
      </c>
      <c r="G21" s="64">
        <f t="shared" si="13"/>
        <v>71.040000000000006</v>
      </c>
      <c r="H21" s="64">
        <v>71.55</v>
      </c>
      <c r="I21" s="64">
        <f t="shared" si="0"/>
        <v>71.300000000000011</v>
      </c>
      <c r="J21" s="64">
        <f t="shared" si="14"/>
        <v>3565</v>
      </c>
      <c r="K21" s="64"/>
      <c r="L21" s="64"/>
      <c r="M21" s="64">
        <f t="shared" si="15"/>
        <v>0</v>
      </c>
      <c r="N21" s="64">
        <f t="shared" si="16"/>
        <v>0</v>
      </c>
      <c r="O21" s="64"/>
      <c r="P21" s="64"/>
      <c r="Q21" s="64"/>
      <c r="R21" s="64">
        <f t="shared" si="17"/>
        <v>0</v>
      </c>
      <c r="S21" s="64"/>
      <c r="T21" s="65"/>
      <c r="U21" s="66"/>
      <c r="V21" s="67"/>
      <c r="W21" s="67"/>
      <c r="X21" s="67"/>
      <c r="Y21" s="67">
        <f t="shared" si="1"/>
        <v>0</v>
      </c>
      <c r="Z21" s="103">
        <f t="shared" si="2"/>
        <v>396.12</v>
      </c>
      <c r="AA21" s="66"/>
      <c r="AB21" s="67">
        <f t="shared" si="3"/>
        <v>0</v>
      </c>
      <c r="AC21" s="67">
        <f t="shared" si="4"/>
        <v>0</v>
      </c>
      <c r="AD21" s="67">
        <f t="shared" si="5"/>
        <v>0</v>
      </c>
      <c r="AE21" s="68">
        <f t="shared" si="6"/>
        <v>0</v>
      </c>
      <c r="AF21" s="112">
        <f t="shared" si="18"/>
        <v>0</v>
      </c>
      <c r="AG21" s="67"/>
      <c r="AH21" s="67">
        <f t="shared" si="7"/>
        <v>0</v>
      </c>
      <c r="AI21" s="67"/>
      <c r="AJ21" s="67">
        <f t="shared" si="8"/>
        <v>33.669999999999995</v>
      </c>
      <c r="AK21" s="67">
        <f t="shared" si="9"/>
        <v>0</v>
      </c>
      <c r="AL21" s="67">
        <f t="shared" si="10"/>
        <v>0</v>
      </c>
      <c r="AM21" s="67">
        <f t="shared" si="19"/>
        <v>13.76</v>
      </c>
      <c r="AN21" s="67"/>
      <c r="AO21" s="67">
        <f t="shared" si="11"/>
        <v>0</v>
      </c>
      <c r="AP21" s="67"/>
      <c r="AQ21" s="67"/>
      <c r="AR21" s="67"/>
      <c r="AS21" s="4"/>
      <c r="AT21" s="4"/>
      <c r="AU21" s="4"/>
    </row>
    <row r="22" spans="2:47" s="5" customFormat="1" ht="12.75" customHeight="1" x14ac:dyDescent="0.2">
      <c r="B22" s="80">
        <v>6</v>
      </c>
      <c r="C22" s="74">
        <v>56950</v>
      </c>
      <c r="D22" s="74">
        <v>57000</v>
      </c>
      <c r="E22" s="74" t="s">
        <v>12</v>
      </c>
      <c r="F22" s="64">
        <f t="shared" si="12"/>
        <v>50</v>
      </c>
      <c r="G22" s="64">
        <f t="shared" si="13"/>
        <v>71.55</v>
      </c>
      <c r="H22" s="64">
        <v>71.650000000000006</v>
      </c>
      <c r="I22" s="64">
        <f t="shared" si="0"/>
        <v>71.599999999999994</v>
      </c>
      <c r="J22" s="64">
        <f t="shared" si="14"/>
        <v>3580</v>
      </c>
      <c r="K22" s="64"/>
      <c r="L22" s="64"/>
      <c r="M22" s="64">
        <f t="shared" si="15"/>
        <v>0</v>
      </c>
      <c r="N22" s="64">
        <f t="shared" si="16"/>
        <v>0</v>
      </c>
      <c r="O22" s="64"/>
      <c r="P22" s="64"/>
      <c r="Q22" s="64"/>
      <c r="R22" s="64">
        <f t="shared" si="17"/>
        <v>0</v>
      </c>
      <c r="S22" s="64"/>
      <c r="T22" s="65"/>
      <c r="U22" s="66"/>
      <c r="V22" s="67"/>
      <c r="W22" s="67"/>
      <c r="X22" s="67"/>
      <c r="Y22" s="67">
        <f t="shared" si="1"/>
        <v>0</v>
      </c>
      <c r="Z22" s="103">
        <f t="shared" si="2"/>
        <v>397.78</v>
      </c>
      <c r="AA22" s="66"/>
      <c r="AB22" s="67">
        <f t="shared" si="3"/>
        <v>0</v>
      </c>
      <c r="AC22" s="67">
        <f t="shared" si="4"/>
        <v>0</v>
      </c>
      <c r="AD22" s="67">
        <f t="shared" si="5"/>
        <v>0</v>
      </c>
      <c r="AE22" s="68">
        <f t="shared" si="6"/>
        <v>0</v>
      </c>
      <c r="AF22" s="112">
        <f t="shared" si="18"/>
        <v>0</v>
      </c>
      <c r="AG22" s="67"/>
      <c r="AH22" s="67">
        <f t="shared" si="7"/>
        <v>0</v>
      </c>
      <c r="AI22" s="67"/>
      <c r="AJ22" s="67">
        <f t="shared" si="8"/>
        <v>33.82</v>
      </c>
      <c r="AK22" s="67">
        <f t="shared" si="9"/>
        <v>0</v>
      </c>
      <c r="AL22" s="67">
        <f t="shared" si="10"/>
        <v>0</v>
      </c>
      <c r="AM22" s="67">
        <f t="shared" si="19"/>
        <v>13.82</v>
      </c>
      <c r="AN22" s="67"/>
      <c r="AO22" s="67">
        <f t="shared" si="11"/>
        <v>0</v>
      </c>
      <c r="AP22" s="67"/>
      <c r="AQ22" s="67"/>
      <c r="AR22" s="67"/>
      <c r="AS22" s="4"/>
      <c r="AT22" s="4"/>
      <c r="AU22" s="4"/>
    </row>
    <row r="23" spans="2:47" s="5" customFormat="1" ht="12.75" customHeight="1" x14ac:dyDescent="0.2">
      <c r="B23" s="80">
        <v>7</v>
      </c>
      <c r="C23" s="74">
        <v>57000</v>
      </c>
      <c r="D23" s="74">
        <v>57053</v>
      </c>
      <c r="E23" s="74" t="s">
        <v>12</v>
      </c>
      <c r="F23" s="64">
        <f t="shared" si="12"/>
        <v>53</v>
      </c>
      <c r="G23" s="64">
        <f t="shared" si="13"/>
        <v>71.650000000000006</v>
      </c>
      <c r="H23" s="64">
        <v>71.47</v>
      </c>
      <c r="I23" s="64">
        <f t="shared" si="0"/>
        <v>71.56</v>
      </c>
      <c r="J23" s="64">
        <f t="shared" si="14"/>
        <v>3792.68</v>
      </c>
      <c r="K23" s="64"/>
      <c r="L23" s="64"/>
      <c r="M23" s="64">
        <f t="shared" si="15"/>
        <v>0</v>
      </c>
      <c r="N23" s="64">
        <f t="shared" si="16"/>
        <v>0</v>
      </c>
      <c r="O23" s="64"/>
      <c r="P23" s="64"/>
      <c r="Q23" s="64"/>
      <c r="R23" s="64">
        <f t="shared" si="17"/>
        <v>0</v>
      </c>
      <c r="S23" s="64"/>
      <c r="T23" s="65"/>
      <c r="U23" s="66"/>
      <c r="V23" s="67"/>
      <c r="W23" s="67"/>
      <c r="X23" s="67"/>
      <c r="Y23" s="67">
        <f t="shared" si="1"/>
        <v>0</v>
      </c>
      <c r="Z23" s="103">
        <f t="shared" si="2"/>
        <v>421.40999999999997</v>
      </c>
      <c r="AA23" s="66"/>
      <c r="AB23" s="67">
        <f t="shared" si="3"/>
        <v>0</v>
      </c>
      <c r="AC23" s="67">
        <f t="shared" si="4"/>
        <v>0</v>
      </c>
      <c r="AD23" s="67">
        <f t="shared" si="5"/>
        <v>0</v>
      </c>
      <c r="AE23" s="68">
        <f t="shared" si="6"/>
        <v>0</v>
      </c>
      <c r="AF23" s="112">
        <f t="shared" si="18"/>
        <v>0</v>
      </c>
      <c r="AG23" s="67"/>
      <c r="AH23" s="67">
        <f t="shared" si="7"/>
        <v>0</v>
      </c>
      <c r="AI23" s="67"/>
      <c r="AJ23" s="67">
        <f t="shared" si="8"/>
        <v>35.82</v>
      </c>
      <c r="AK23" s="67">
        <f t="shared" si="9"/>
        <v>0</v>
      </c>
      <c r="AL23" s="67">
        <f t="shared" si="10"/>
        <v>0</v>
      </c>
      <c r="AM23" s="67">
        <f t="shared" si="19"/>
        <v>14.64</v>
      </c>
      <c r="AN23" s="67"/>
      <c r="AO23" s="67">
        <f t="shared" si="11"/>
        <v>0</v>
      </c>
      <c r="AP23" s="67"/>
      <c r="AQ23" s="67"/>
      <c r="AR23" s="67"/>
      <c r="AS23" s="4"/>
      <c r="AT23" s="4"/>
      <c r="AU23" s="4"/>
    </row>
    <row r="24" spans="2:47" s="5" customFormat="1" ht="12.75" customHeight="1" x14ac:dyDescent="0.2">
      <c r="B24" s="80">
        <v>8</v>
      </c>
      <c r="C24" s="74">
        <v>57053</v>
      </c>
      <c r="D24" s="74">
        <v>57142.63</v>
      </c>
      <c r="E24" s="74" t="s">
        <v>24</v>
      </c>
      <c r="F24" s="64">
        <f t="shared" ref="F24" si="20">D24-C24</f>
        <v>89.629999999997381</v>
      </c>
      <c r="G24" s="64">
        <v>35.36</v>
      </c>
      <c r="H24" s="64">
        <v>35.380000000000003</v>
      </c>
      <c r="I24" s="64">
        <f t="shared" ref="I24" si="21">ROUNDUP((H24+G24)/2,2)</f>
        <v>35.369999999999997</v>
      </c>
      <c r="J24" s="64">
        <f t="shared" ref="J24" si="22">ROUNDUP(F24*I24,2)</f>
        <v>3170.2200000000003</v>
      </c>
      <c r="K24" s="64"/>
      <c r="L24" s="64"/>
      <c r="M24" s="64">
        <f t="shared" ref="M24" si="23">ROUNDUP((L24+K24)/2,2)</f>
        <v>0</v>
      </c>
      <c r="N24" s="64">
        <f t="shared" ref="N24" si="24">ROUNDUP(M24*F24,2)</f>
        <v>0</v>
      </c>
      <c r="O24" s="64"/>
      <c r="P24" s="64"/>
      <c r="Q24" s="64"/>
      <c r="R24" s="64">
        <f t="shared" ref="R24" si="25">ROUNDUP(F24*Q24,2)</f>
        <v>0</v>
      </c>
      <c r="S24" s="64"/>
      <c r="T24" s="65"/>
      <c r="U24" s="66"/>
      <c r="V24" s="67"/>
      <c r="W24" s="67"/>
      <c r="X24" s="67"/>
      <c r="Y24" s="67">
        <f t="shared" si="1"/>
        <v>0</v>
      </c>
      <c r="Z24" s="103">
        <f t="shared" si="2"/>
        <v>352.25</v>
      </c>
      <c r="AA24" s="66"/>
      <c r="AB24" s="67">
        <f t="shared" si="3"/>
        <v>0</v>
      </c>
      <c r="AC24" s="67">
        <f t="shared" si="4"/>
        <v>0</v>
      </c>
      <c r="AD24" s="67">
        <f t="shared" si="5"/>
        <v>0</v>
      </c>
      <c r="AE24" s="68">
        <f t="shared" si="6"/>
        <v>0</v>
      </c>
      <c r="AF24" s="112">
        <f t="shared" si="18"/>
        <v>0</v>
      </c>
      <c r="AG24" s="67"/>
      <c r="AH24" s="67">
        <f t="shared" si="7"/>
        <v>0</v>
      </c>
      <c r="AI24" s="67"/>
      <c r="AJ24" s="67">
        <f t="shared" si="8"/>
        <v>29.950000000000003</v>
      </c>
      <c r="AK24" s="67">
        <f t="shared" si="9"/>
        <v>0</v>
      </c>
      <c r="AL24" s="67">
        <f t="shared" si="10"/>
        <v>0</v>
      </c>
      <c r="AM24" s="67">
        <f t="shared" si="19"/>
        <v>12.24</v>
      </c>
      <c r="AN24" s="67"/>
      <c r="AO24" s="67">
        <f t="shared" si="11"/>
        <v>0</v>
      </c>
      <c r="AP24" s="67"/>
      <c r="AQ24" s="67"/>
      <c r="AR24" s="67"/>
      <c r="AS24" s="4"/>
      <c r="AT24" s="4"/>
      <c r="AU24" s="4"/>
    </row>
    <row r="25" spans="2:47" s="13" customFormat="1" ht="12.75" customHeight="1" x14ac:dyDescent="0.2">
      <c r="B25" s="80">
        <v>9</v>
      </c>
      <c r="C25" s="74">
        <v>57142.63</v>
      </c>
      <c r="D25" s="74">
        <v>57184.58</v>
      </c>
      <c r="E25" s="74" t="s">
        <v>24</v>
      </c>
      <c r="F25" s="64">
        <f t="shared" si="12"/>
        <v>41.950000000004366</v>
      </c>
      <c r="G25" s="64">
        <v>33.380000000000003</v>
      </c>
      <c r="H25" s="64">
        <v>33.26</v>
      </c>
      <c r="I25" s="64">
        <f t="shared" si="0"/>
        <v>33.32</v>
      </c>
      <c r="J25" s="64">
        <f t="shared" si="14"/>
        <v>1397.78</v>
      </c>
      <c r="K25" s="64">
        <v>2</v>
      </c>
      <c r="L25" s="64">
        <v>2</v>
      </c>
      <c r="M25" s="64">
        <f t="shared" si="15"/>
        <v>2</v>
      </c>
      <c r="N25" s="64">
        <f t="shared" si="16"/>
        <v>83.910000000000011</v>
      </c>
      <c r="O25" s="64"/>
      <c r="P25" s="64"/>
      <c r="Q25" s="64"/>
      <c r="R25" s="64">
        <f t="shared" si="17"/>
        <v>0</v>
      </c>
      <c r="S25" s="64"/>
      <c r="T25" s="65"/>
      <c r="U25" s="66"/>
      <c r="V25" s="67"/>
      <c r="W25" s="67">
        <f>F25</f>
        <v>41.950000000004366</v>
      </c>
      <c r="X25" s="67"/>
      <c r="Y25" s="67">
        <f t="shared" si="1"/>
        <v>9.33</v>
      </c>
      <c r="Z25" s="103">
        <f t="shared" si="2"/>
        <v>155.31</v>
      </c>
      <c r="AA25" s="66"/>
      <c r="AB25" s="67">
        <f t="shared" si="3"/>
        <v>0</v>
      </c>
      <c r="AC25" s="67">
        <f t="shared" si="4"/>
        <v>0</v>
      </c>
      <c r="AD25" s="67">
        <f t="shared" si="5"/>
        <v>0</v>
      </c>
      <c r="AE25" s="68">
        <f t="shared" si="6"/>
        <v>0</v>
      </c>
      <c r="AF25" s="112">
        <f t="shared" si="18"/>
        <v>2.3308333333333335</v>
      </c>
      <c r="AG25" s="67"/>
      <c r="AH25" s="67">
        <f t="shared" si="7"/>
        <v>1.5538888888888891</v>
      </c>
      <c r="AI25" s="67"/>
      <c r="AJ25" s="67">
        <f t="shared" si="8"/>
        <v>13.209999999999999</v>
      </c>
      <c r="AK25" s="67">
        <f t="shared" si="9"/>
        <v>0.52</v>
      </c>
      <c r="AL25" s="67">
        <f t="shared" si="10"/>
        <v>0.4532175925925927</v>
      </c>
      <c r="AM25" s="67">
        <f t="shared" si="19"/>
        <v>5.72</v>
      </c>
      <c r="AN25" s="67"/>
      <c r="AO25" s="67">
        <f t="shared" si="11"/>
        <v>0</v>
      </c>
      <c r="AP25" s="67"/>
      <c r="AQ25" s="67">
        <f>F25</f>
        <v>41.950000000004366</v>
      </c>
      <c r="AR25" s="67"/>
      <c r="AS25" s="12"/>
      <c r="AT25" s="12"/>
      <c r="AU25" s="12"/>
    </row>
    <row r="26" spans="2:47" s="13" customFormat="1" ht="12.75" customHeight="1" x14ac:dyDescent="0.2">
      <c r="B26" s="80"/>
      <c r="C26" s="74"/>
      <c r="D26" s="74"/>
      <c r="E26" s="7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5"/>
      <c r="U26" s="66"/>
      <c r="V26" s="67"/>
      <c r="W26" s="67"/>
      <c r="X26" s="67"/>
      <c r="Y26" s="67">
        <f t="shared" si="1"/>
        <v>0</v>
      </c>
      <c r="Z26" s="103">
        <f t="shared" si="2"/>
        <v>0</v>
      </c>
      <c r="AA26" s="66"/>
      <c r="AB26" s="67">
        <f t="shared" si="3"/>
        <v>0</v>
      </c>
      <c r="AC26" s="67">
        <f t="shared" si="4"/>
        <v>0</v>
      </c>
      <c r="AD26" s="67">
        <f t="shared" si="5"/>
        <v>0</v>
      </c>
      <c r="AE26" s="68">
        <f t="shared" si="6"/>
        <v>0</v>
      </c>
      <c r="AF26" s="112">
        <f t="shared" si="18"/>
        <v>0</v>
      </c>
      <c r="AG26" s="67"/>
      <c r="AH26" s="67">
        <f t="shared" si="7"/>
        <v>0</v>
      </c>
      <c r="AI26" s="67"/>
      <c r="AJ26" s="67">
        <f t="shared" si="8"/>
        <v>0</v>
      </c>
      <c r="AK26" s="67">
        <f t="shared" si="9"/>
        <v>0</v>
      </c>
      <c r="AL26" s="67">
        <f t="shared" si="10"/>
        <v>0</v>
      </c>
      <c r="AM26" s="67">
        <f t="shared" si="19"/>
        <v>0</v>
      </c>
      <c r="AN26" s="67"/>
      <c r="AO26" s="67">
        <f t="shared" si="11"/>
        <v>0</v>
      </c>
      <c r="AP26" s="67"/>
      <c r="AQ26" s="67"/>
      <c r="AR26" s="67"/>
      <c r="AS26" s="12"/>
      <c r="AT26" s="12"/>
      <c r="AU26" s="12"/>
    </row>
    <row r="27" spans="2:47" s="13" customFormat="1" ht="12.75" customHeight="1" x14ac:dyDescent="0.2">
      <c r="B27" s="80">
        <v>10</v>
      </c>
      <c r="C27" s="74">
        <v>57271.97</v>
      </c>
      <c r="D27" s="74">
        <v>57293</v>
      </c>
      <c r="E27" s="74" t="s">
        <v>15</v>
      </c>
      <c r="F27" s="73">
        <f>D27-C27</f>
        <v>21.029999999998836</v>
      </c>
      <c r="G27" s="64">
        <v>28.17</v>
      </c>
      <c r="H27" s="64">
        <v>28.17</v>
      </c>
      <c r="I27" s="64">
        <f>ROUNDUP((H27+G27)/2,2)</f>
        <v>28.17</v>
      </c>
      <c r="J27" s="64">
        <f>ROUNDUP(F27*I27,2)</f>
        <v>592.41999999999996</v>
      </c>
      <c r="K27" s="64"/>
      <c r="L27" s="64"/>
      <c r="M27" s="64">
        <f t="shared" si="15"/>
        <v>0</v>
      </c>
      <c r="N27" s="64">
        <f>ROUNDUP(M27*F27,2)</f>
        <v>0</v>
      </c>
      <c r="O27" s="64">
        <v>7.83</v>
      </c>
      <c r="P27" s="64">
        <v>7.83</v>
      </c>
      <c r="Q27" s="64">
        <f>ROUNDUP((P27+O27)/2,2)</f>
        <v>7.83</v>
      </c>
      <c r="R27" s="64">
        <f>ROUNDUP(F27*Q27,2)</f>
        <v>164.67</v>
      </c>
      <c r="S27" s="64">
        <v>11.8</v>
      </c>
      <c r="T27" s="65">
        <v>11.5</v>
      </c>
      <c r="U27" s="66">
        <f>ROUNDUP(F27*S27,2)</f>
        <v>248.16</v>
      </c>
      <c r="V27" s="67"/>
      <c r="W27" s="67">
        <f>F27</f>
        <v>21.029999999998836</v>
      </c>
      <c r="X27" s="67"/>
      <c r="Y27" s="67">
        <f t="shared" si="1"/>
        <v>18.3</v>
      </c>
      <c r="Z27" s="103">
        <f t="shared" si="2"/>
        <v>65.83</v>
      </c>
      <c r="AA27" s="66"/>
      <c r="AB27" s="67">
        <f t="shared" si="3"/>
        <v>4.5741666666666667</v>
      </c>
      <c r="AC27" s="67">
        <f t="shared" si="4"/>
        <v>3.0494444444444442</v>
      </c>
      <c r="AD27" s="67">
        <f t="shared" si="5"/>
        <v>1.01</v>
      </c>
      <c r="AE27" s="68">
        <f t="shared" si="6"/>
        <v>0.88942129629629618</v>
      </c>
      <c r="AF27" s="112">
        <f t="shared" si="18"/>
        <v>0</v>
      </c>
      <c r="AG27" s="67"/>
      <c r="AH27" s="67">
        <f t="shared" si="7"/>
        <v>0</v>
      </c>
      <c r="AI27" s="67"/>
      <c r="AJ27" s="67">
        <f t="shared" si="8"/>
        <v>5.6</v>
      </c>
      <c r="AK27" s="67">
        <f t="shared" si="9"/>
        <v>1.01</v>
      </c>
      <c r="AL27" s="67">
        <f t="shared" si="10"/>
        <v>0</v>
      </c>
      <c r="AM27" s="67">
        <f t="shared" si="19"/>
        <v>2.9299999999999997</v>
      </c>
      <c r="AN27" s="67"/>
      <c r="AO27" s="67">
        <f t="shared" si="11"/>
        <v>241.84499999998661</v>
      </c>
      <c r="AP27" s="67"/>
      <c r="AQ27" s="67">
        <f>F27</f>
        <v>21.029999999998836</v>
      </c>
      <c r="AR27" s="67"/>
      <c r="AS27" s="12"/>
      <c r="AT27" s="12"/>
      <c r="AU27" s="12"/>
    </row>
    <row r="28" spans="2:47" s="13" customFormat="1" ht="12.75" customHeight="1" x14ac:dyDescent="0.2">
      <c r="B28" s="80">
        <v>11</v>
      </c>
      <c r="C28" s="74">
        <v>57293</v>
      </c>
      <c r="D28" s="74">
        <v>57350</v>
      </c>
      <c r="E28" s="74" t="s">
        <v>15</v>
      </c>
      <c r="F28" s="64">
        <f>D28-C28</f>
        <v>57</v>
      </c>
      <c r="G28" s="64">
        <v>28.17</v>
      </c>
      <c r="H28" s="64">
        <v>28.17</v>
      </c>
      <c r="I28" s="64">
        <f>ROUNDUP((H28+G28)/2,2)</f>
        <v>28.17</v>
      </c>
      <c r="J28" s="64">
        <f>ROUNDUP(F28*I28,2)</f>
        <v>1605.69</v>
      </c>
      <c r="K28" s="64"/>
      <c r="L28" s="64"/>
      <c r="M28" s="64">
        <f t="shared" si="15"/>
        <v>0</v>
      </c>
      <c r="N28" s="64">
        <f>ROUNDUP(M28*F28,2)</f>
        <v>0</v>
      </c>
      <c r="O28" s="64">
        <f>P27</f>
        <v>7.83</v>
      </c>
      <c r="P28" s="64">
        <v>7.83</v>
      </c>
      <c r="Q28" s="64">
        <f>ROUNDUP((P28+O28)/2,2)</f>
        <v>7.83</v>
      </c>
      <c r="R28" s="64">
        <f>ROUNDUP(F28*Q28,2)</f>
        <v>446.31</v>
      </c>
      <c r="S28" s="64"/>
      <c r="T28" s="65"/>
      <c r="U28" s="66"/>
      <c r="V28" s="67"/>
      <c r="W28" s="67">
        <f>F28</f>
        <v>57</v>
      </c>
      <c r="X28" s="67"/>
      <c r="Y28" s="67">
        <f t="shared" si="1"/>
        <v>49.59</v>
      </c>
      <c r="Z28" s="103">
        <f t="shared" si="2"/>
        <v>178.41</v>
      </c>
      <c r="AA28" s="66"/>
      <c r="AB28" s="67">
        <f t="shared" si="3"/>
        <v>12.397500000000001</v>
      </c>
      <c r="AC28" s="67">
        <f t="shared" si="4"/>
        <v>8.2650000000000006</v>
      </c>
      <c r="AD28" s="67">
        <f t="shared" si="5"/>
        <v>2.73</v>
      </c>
      <c r="AE28" s="68">
        <f t="shared" si="6"/>
        <v>2.410625</v>
      </c>
      <c r="AF28" s="112">
        <f t="shared" si="18"/>
        <v>0</v>
      </c>
      <c r="AG28" s="67"/>
      <c r="AH28" s="67">
        <f t="shared" si="7"/>
        <v>0</v>
      </c>
      <c r="AI28" s="67"/>
      <c r="AJ28" s="67">
        <f t="shared" si="8"/>
        <v>15.17</v>
      </c>
      <c r="AK28" s="67">
        <f t="shared" si="9"/>
        <v>2.73</v>
      </c>
      <c r="AL28" s="67">
        <f t="shared" si="10"/>
        <v>0</v>
      </c>
      <c r="AM28" s="67">
        <f t="shared" si="19"/>
        <v>7.92</v>
      </c>
      <c r="AN28" s="67"/>
      <c r="AO28" s="67">
        <f t="shared" si="11"/>
        <v>0</v>
      </c>
      <c r="AP28" s="67"/>
      <c r="AQ28" s="67">
        <f>F28</f>
        <v>57</v>
      </c>
      <c r="AR28" s="67"/>
      <c r="AS28" s="12"/>
      <c r="AT28" s="12"/>
      <c r="AU28" s="12"/>
    </row>
    <row r="29" spans="2:47" s="13" customFormat="1" ht="12.75" customHeight="1" x14ac:dyDescent="0.2">
      <c r="B29" s="80">
        <v>12</v>
      </c>
      <c r="C29" s="74">
        <v>57350</v>
      </c>
      <c r="D29" s="74">
        <v>57400</v>
      </c>
      <c r="E29" s="74" t="s">
        <v>12</v>
      </c>
      <c r="F29" s="64">
        <f t="shared" ref="F29:F46" si="26">D29-C29</f>
        <v>50</v>
      </c>
      <c r="G29" s="64">
        <v>54.84</v>
      </c>
      <c r="H29" s="64">
        <v>54.84</v>
      </c>
      <c r="I29" s="64">
        <f t="shared" ref="I29:I43" si="27">ROUNDUP((H29+G29)/2,2)</f>
        <v>54.84</v>
      </c>
      <c r="J29" s="64">
        <f t="shared" ref="J29:J46" si="28">ROUNDUP(F29*I29,2)</f>
        <v>2742</v>
      </c>
      <c r="K29" s="64"/>
      <c r="L29" s="64"/>
      <c r="M29" s="64">
        <f t="shared" si="15"/>
        <v>0</v>
      </c>
      <c r="N29" s="64">
        <f t="shared" ref="N29:N46" si="29">ROUNDUP(M29*F29,2)</f>
        <v>0</v>
      </c>
      <c r="O29" s="64">
        <f>7.83+7.33</f>
        <v>15.16</v>
      </c>
      <c r="P29" s="64">
        <f>7.71+7.33</f>
        <v>15.04</v>
      </c>
      <c r="Q29" s="64">
        <f t="shared" ref="Q29:Q46" si="30">ROUNDUP((P29+O29)/2,2)</f>
        <v>15.1</v>
      </c>
      <c r="R29" s="64">
        <f t="shared" ref="R29:R46" si="31">ROUNDUP(F29*Q29,2)</f>
        <v>755</v>
      </c>
      <c r="S29" s="64"/>
      <c r="T29" s="65"/>
      <c r="U29" s="66"/>
      <c r="V29" s="67"/>
      <c r="W29" s="67"/>
      <c r="X29" s="67"/>
      <c r="Y29" s="67">
        <f t="shared" si="1"/>
        <v>83.89</v>
      </c>
      <c r="Z29" s="103">
        <f t="shared" si="2"/>
        <v>304.67</v>
      </c>
      <c r="AA29" s="66"/>
      <c r="AB29" s="67">
        <f t="shared" si="3"/>
        <v>20.972222222222221</v>
      </c>
      <c r="AC29" s="67">
        <f t="shared" si="4"/>
        <v>13.981481481481481</v>
      </c>
      <c r="AD29" s="67">
        <f t="shared" si="5"/>
        <v>4.62</v>
      </c>
      <c r="AE29" s="68">
        <f t="shared" si="6"/>
        <v>4.0779320987654319</v>
      </c>
      <c r="AF29" s="112">
        <f t="shared" si="18"/>
        <v>0</v>
      </c>
      <c r="AG29" s="67"/>
      <c r="AH29" s="67">
        <f t="shared" si="7"/>
        <v>0</v>
      </c>
      <c r="AI29" s="67"/>
      <c r="AJ29" s="67">
        <f t="shared" si="8"/>
        <v>25.900000000000002</v>
      </c>
      <c r="AK29" s="67">
        <f t="shared" si="9"/>
        <v>4.62</v>
      </c>
      <c r="AL29" s="67">
        <f t="shared" si="10"/>
        <v>0</v>
      </c>
      <c r="AM29" s="67">
        <f t="shared" si="19"/>
        <v>13.5</v>
      </c>
      <c r="AN29" s="67"/>
      <c r="AO29" s="67">
        <f t="shared" si="11"/>
        <v>0</v>
      </c>
      <c r="AP29" s="67"/>
      <c r="AQ29" s="67"/>
      <c r="AR29" s="67"/>
      <c r="AS29" s="12"/>
      <c r="AT29" s="12"/>
      <c r="AU29" s="12"/>
    </row>
    <row r="30" spans="2:47" s="13" customFormat="1" ht="12.75" customHeight="1" x14ac:dyDescent="0.2">
      <c r="B30" s="80">
        <v>13</v>
      </c>
      <c r="C30" s="74">
        <v>57400</v>
      </c>
      <c r="D30" s="74">
        <v>57450</v>
      </c>
      <c r="E30" s="74" t="s">
        <v>12</v>
      </c>
      <c r="F30" s="64">
        <f t="shared" si="26"/>
        <v>50</v>
      </c>
      <c r="G30" s="64">
        <f t="shared" ref="G30:G42" si="32">H29</f>
        <v>54.84</v>
      </c>
      <c r="H30" s="64">
        <v>54.84</v>
      </c>
      <c r="I30" s="64">
        <f t="shared" si="27"/>
        <v>54.84</v>
      </c>
      <c r="J30" s="64">
        <f t="shared" si="28"/>
        <v>2742</v>
      </c>
      <c r="K30" s="64"/>
      <c r="L30" s="64"/>
      <c r="M30" s="64">
        <f t="shared" si="15"/>
        <v>0</v>
      </c>
      <c r="N30" s="64">
        <f t="shared" si="29"/>
        <v>0</v>
      </c>
      <c r="O30" s="64">
        <f>P29</f>
        <v>15.04</v>
      </c>
      <c r="P30" s="64">
        <f>7.64+7.33</f>
        <v>14.969999999999999</v>
      </c>
      <c r="Q30" s="64">
        <f t="shared" si="30"/>
        <v>15.01</v>
      </c>
      <c r="R30" s="64">
        <f t="shared" si="31"/>
        <v>750.5</v>
      </c>
      <c r="S30" s="64"/>
      <c r="T30" s="65"/>
      <c r="U30" s="66"/>
      <c r="V30" s="67"/>
      <c r="W30" s="67"/>
      <c r="X30" s="67"/>
      <c r="Y30" s="67">
        <f t="shared" si="1"/>
        <v>83.39</v>
      </c>
      <c r="Z30" s="103">
        <f t="shared" si="2"/>
        <v>304.67</v>
      </c>
      <c r="AA30" s="66"/>
      <c r="AB30" s="67">
        <f t="shared" si="3"/>
        <v>20.847222222222221</v>
      </c>
      <c r="AC30" s="67">
        <f t="shared" si="4"/>
        <v>13.898148148148149</v>
      </c>
      <c r="AD30" s="67">
        <f t="shared" si="5"/>
        <v>4.59</v>
      </c>
      <c r="AE30" s="68">
        <f t="shared" si="6"/>
        <v>4.0536265432098766</v>
      </c>
      <c r="AF30" s="112">
        <f t="shared" si="18"/>
        <v>0</v>
      </c>
      <c r="AG30" s="67"/>
      <c r="AH30" s="67">
        <f t="shared" si="7"/>
        <v>0</v>
      </c>
      <c r="AI30" s="67"/>
      <c r="AJ30" s="67">
        <f t="shared" si="8"/>
        <v>25.900000000000002</v>
      </c>
      <c r="AK30" s="67">
        <f t="shared" si="9"/>
        <v>4.59</v>
      </c>
      <c r="AL30" s="67">
        <f t="shared" si="10"/>
        <v>0</v>
      </c>
      <c r="AM30" s="67">
        <f t="shared" si="19"/>
        <v>13.48</v>
      </c>
      <c r="AN30" s="67"/>
      <c r="AO30" s="67">
        <f t="shared" si="11"/>
        <v>0</v>
      </c>
      <c r="AP30" s="67"/>
      <c r="AQ30" s="67"/>
      <c r="AR30" s="67"/>
      <c r="AS30" s="12"/>
      <c r="AT30" s="12"/>
      <c r="AU30" s="12"/>
    </row>
    <row r="31" spans="2:47" s="13" customFormat="1" ht="12.75" customHeight="1" x14ac:dyDescent="0.2">
      <c r="B31" s="80">
        <v>14</v>
      </c>
      <c r="C31" s="74">
        <v>57450</v>
      </c>
      <c r="D31" s="74">
        <v>57500</v>
      </c>
      <c r="E31" s="74" t="s">
        <v>12</v>
      </c>
      <c r="F31" s="64">
        <f t="shared" si="26"/>
        <v>50</v>
      </c>
      <c r="G31" s="64">
        <f t="shared" si="32"/>
        <v>54.84</v>
      </c>
      <c r="H31" s="64">
        <v>54.84</v>
      </c>
      <c r="I31" s="64">
        <f t="shared" si="27"/>
        <v>54.84</v>
      </c>
      <c r="J31" s="64">
        <f t="shared" si="28"/>
        <v>2742</v>
      </c>
      <c r="K31" s="64"/>
      <c r="L31" s="64"/>
      <c r="M31" s="64">
        <f t="shared" si="15"/>
        <v>0</v>
      </c>
      <c r="N31" s="64">
        <f t="shared" si="29"/>
        <v>0</v>
      </c>
      <c r="O31" s="64">
        <f>P30</f>
        <v>14.969999999999999</v>
      </c>
      <c r="P31" s="64">
        <f>7.83+7.33</f>
        <v>15.16</v>
      </c>
      <c r="Q31" s="64">
        <f t="shared" si="30"/>
        <v>15.07</v>
      </c>
      <c r="R31" s="64">
        <f t="shared" si="31"/>
        <v>753.5</v>
      </c>
      <c r="S31" s="64"/>
      <c r="T31" s="65"/>
      <c r="U31" s="66"/>
      <c r="V31" s="67"/>
      <c r="W31" s="67"/>
      <c r="X31" s="67"/>
      <c r="Y31" s="67">
        <f t="shared" si="1"/>
        <v>83.73</v>
      </c>
      <c r="Z31" s="103">
        <f t="shared" si="2"/>
        <v>304.67</v>
      </c>
      <c r="AA31" s="66"/>
      <c r="AB31" s="67">
        <f t="shared" si="3"/>
        <v>20.930555555555557</v>
      </c>
      <c r="AC31" s="67">
        <f t="shared" si="4"/>
        <v>13.953703703703704</v>
      </c>
      <c r="AD31" s="67">
        <f t="shared" si="5"/>
        <v>4.6099999999999994</v>
      </c>
      <c r="AE31" s="68">
        <f t="shared" si="6"/>
        <v>4.0698302469135808</v>
      </c>
      <c r="AF31" s="112">
        <f t="shared" si="18"/>
        <v>0</v>
      </c>
      <c r="AG31" s="67"/>
      <c r="AH31" s="67">
        <f t="shared" si="7"/>
        <v>0</v>
      </c>
      <c r="AI31" s="67"/>
      <c r="AJ31" s="67">
        <f t="shared" si="8"/>
        <v>25.900000000000002</v>
      </c>
      <c r="AK31" s="67">
        <f t="shared" si="9"/>
        <v>4.6099999999999994</v>
      </c>
      <c r="AL31" s="67">
        <f t="shared" si="10"/>
        <v>0</v>
      </c>
      <c r="AM31" s="67">
        <f t="shared" si="19"/>
        <v>13.49</v>
      </c>
      <c r="AN31" s="67"/>
      <c r="AO31" s="67">
        <f t="shared" si="11"/>
        <v>0</v>
      </c>
      <c r="AP31" s="67"/>
      <c r="AQ31" s="67"/>
      <c r="AR31" s="67"/>
      <c r="AS31" s="12"/>
      <c r="AT31" s="12"/>
      <c r="AU31" s="12"/>
    </row>
    <row r="32" spans="2:47" s="13" customFormat="1" ht="12.75" customHeight="1" x14ac:dyDescent="0.2">
      <c r="B32" s="80">
        <v>15</v>
      </c>
      <c r="C32" s="74">
        <v>57500</v>
      </c>
      <c r="D32" s="74">
        <v>57550</v>
      </c>
      <c r="E32" s="74" t="s">
        <v>12</v>
      </c>
      <c r="F32" s="64">
        <f t="shared" si="26"/>
        <v>50</v>
      </c>
      <c r="G32" s="64">
        <f t="shared" si="32"/>
        <v>54.84</v>
      </c>
      <c r="H32" s="64">
        <v>54.84</v>
      </c>
      <c r="I32" s="64">
        <f t="shared" si="27"/>
        <v>54.84</v>
      </c>
      <c r="J32" s="64">
        <f t="shared" si="28"/>
        <v>2742</v>
      </c>
      <c r="K32" s="64"/>
      <c r="L32" s="64"/>
      <c r="M32" s="64">
        <f t="shared" si="15"/>
        <v>0</v>
      </c>
      <c r="N32" s="64">
        <f t="shared" si="29"/>
        <v>0</v>
      </c>
      <c r="O32" s="64">
        <f>P31</f>
        <v>15.16</v>
      </c>
      <c r="P32" s="64">
        <f>7.69+7.33</f>
        <v>15.02</v>
      </c>
      <c r="Q32" s="64">
        <f t="shared" si="30"/>
        <v>15.09</v>
      </c>
      <c r="R32" s="64">
        <f t="shared" si="31"/>
        <v>754.5</v>
      </c>
      <c r="S32" s="64"/>
      <c r="T32" s="65"/>
      <c r="U32" s="66"/>
      <c r="V32" s="67"/>
      <c r="W32" s="67"/>
      <c r="X32" s="67"/>
      <c r="Y32" s="67">
        <f t="shared" si="1"/>
        <v>83.84</v>
      </c>
      <c r="Z32" s="103">
        <f t="shared" si="2"/>
        <v>304.67</v>
      </c>
      <c r="AA32" s="66"/>
      <c r="AB32" s="67">
        <f t="shared" si="3"/>
        <v>20.958333333333332</v>
      </c>
      <c r="AC32" s="67">
        <f t="shared" si="4"/>
        <v>13.972222222222221</v>
      </c>
      <c r="AD32" s="67">
        <f t="shared" si="5"/>
        <v>4.62</v>
      </c>
      <c r="AE32" s="68">
        <f t="shared" si="6"/>
        <v>4.0752314814814818</v>
      </c>
      <c r="AF32" s="112">
        <f t="shared" si="18"/>
        <v>0</v>
      </c>
      <c r="AG32" s="67"/>
      <c r="AH32" s="67">
        <f t="shared" si="7"/>
        <v>0</v>
      </c>
      <c r="AI32" s="67"/>
      <c r="AJ32" s="67">
        <f t="shared" si="8"/>
        <v>25.900000000000002</v>
      </c>
      <c r="AK32" s="67">
        <f t="shared" si="9"/>
        <v>4.62</v>
      </c>
      <c r="AL32" s="67">
        <f t="shared" si="10"/>
        <v>0</v>
      </c>
      <c r="AM32" s="67">
        <f t="shared" si="19"/>
        <v>13.49</v>
      </c>
      <c r="AN32" s="67"/>
      <c r="AO32" s="67">
        <f t="shared" si="11"/>
        <v>0</v>
      </c>
      <c r="AP32" s="67"/>
      <c r="AQ32" s="67"/>
      <c r="AR32" s="67"/>
      <c r="AS32" s="12"/>
      <c r="AT32" s="12"/>
      <c r="AU32" s="12"/>
    </row>
    <row r="33" spans="2:47" s="13" customFormat="1" ht="12.75" customHeight="1" x14ac:dyDescent="0.2">
      <c r="B33" s="80">
        <v>16</v>
      </c>
      <c r="C33" s="74">
        <v>57550</v>
      </c>
      <c r="D33" s="74">
        <v>57600</v>
      </c>
      <c r="E33" s="74" t="s">
        <v>12</v>
      </c>
      <c r="F33" s="64">
        <f t="shared" si="26"/>
        <v>50</v>
      </c>
      <c r="G33" s="64">
        <f t="shared" si="32"/>
        <v>54.84</v>
      </c>
      <c r="H33" s="64">
        <v>54.84</v>
      </c>
      <c r="I33" s="64">
        <f t="shared" si="27"/>
        <v>54.84</v>
      </c>
      <c r="J33" s="64">
        <f t="shared" si="28"/>
        <v>2742</v>
      </c>
      <c r="K33" s="64"/>
      <c r="L33" s="64"/>
      <c r="M33" s="64">
        <f t="shared" si="15"/>
        <v>0</v>
      </c>
      <c r="N33" s="64">
        <f t="shared" si="29"/>
        <v>0</v>
      </c>
      <c r="O33" s="64">
        <f>P32</f>
        <v>15.02</v>
      </c>
      <c r="P33" s="64">
        <f>7.75+7.28</f>
        <v>15.030000000000001</v>
      </c>
      <c r="Q33" s="64">
        <f t="shared" si="30"/>
        <v>15.03</v>
      </c>
      <c r="R33" s="64">
        <f t="shared" si="31"/>
        <v>751.5</v>
      </c>
      <c r="S33" s="64"/>
      <c r="T33" s="65"/>
      <c r="U33" s="66"/>
      <c r="V33" s="67"/>
      <c r="W33" s="67"/>
      <c r="X33" s="67"/>
      <c r="Y33" s="67">
        <f t="shared" si="1"/>
        <v>83.5</v>
      </c>
      <c r="Z33" s="103">
        <f t="shared" si="2"/>
        <v>304.67</v>
      </c>
      <c r="AA33" s="66"/>
      <c r="AB33" s="67">
        <f t="shared" si="3"/>
        <v>20.875</v>
      </c>
      <c r="AC33" s="67">
        <f t="shared" si="4"/>
        <v>13.916666666666666</v>
      </c>
      <c r="AD33" s="67">
        <f t="shared" si="5"/>
        <v>4.5999999999999996</v>
      </c>
      <c r="AE33" s="68">
        <f t="shared" si="6"/>
        <v>4.0590277777777777</v>
      </c>
      <c r="AF33" s="112">
        <f t="shared" si="18"/>
        <v>0</v>
      </c>
      <c r="AG33" s="67"/>
      <c r="AH33" s="67">
        <f t="shared" si="7"/>
        <v>0</v>
      </c>
      <c r="AI33" s="67"/>
      <c r="AJ33" s="67">
        <f t="shared" si="8"/>
        <v>25.900000000000002</v>
      </c>
      <c r="AK33" s="67">
        <f t="shared" si="9"/>
        <v>4.5999999999999996</v>
      </c>
      <c r="AL33" s="67">
        <f t="shared" si="10"/>
        <v>0</v>
      </c>
      <c r="AM33" s="67">
        <f t="shared" si="19"/>
        <v>13.48</v>
      </c>
      <c r="AN33" s="67"/>
      <c r="AO33" s="67">
        <f t="shared" si="11"/>
        <v>0</v>
      </c>
      <c r="AP33" s="67"/>
      <c r="AQ33" s="67"/>
      <c r="AR33" s="67"/>
      <c r="AS33" s="12"/>
      <c r="AT33" s="12"/>
      <c r="AU33" s="12"/>
    </row>
    <row r="34" spans="2:47" s="13" customFormat="1" ht="12.75" customHeight="1" x14ac:dyDescent="0.2">
      <c r="B34" s="80">
        <v>17</v>
      </c>
      <c r="C34" s="74">
        <v>57600</v>
      </c>
      <c r="D34" s="74">
        <v>57650</v>
      </c>
      <c r="E34" s="74" t="s">
        <v>12</v>
      </c>
      <c r="F34" s="64">
        <f t="shared" si="26"/>
        <v>50</v>
      </c>
      <c r="G34" s="64">
        <f t="shared" si="32"/>
        <v>54.84</v>
      </c>
      <c r="H34" s="64">
        <v>54.84</v>
      </c>
      <c r="I34" s="64">
        <f t="shared" si="27"/>
        <v>54.84</v>
      </c>
      <c r="J34" s="64">
        <f t="shared" si="28"/>
        <v>2742</v>
      </c>
      <c r="K34" s="64"/>
      <c r="L34" s="64"/>
      <c r="M34" s="64">
        <f t="shared" si="15"/>
        <v>0</v>
      </c>
      <c r="N34" s="64">
        <f t="shared" si="29"/>
        <v>0</v>
      </c>
      <c r="O34" s="64">
        <f>P33</f>
        <v>15.030000000000001</v>
      </c>
      <c r="P34" s="64">
        <f>7.75+7.29</f>
        <v>15.04</v>
      </c>
      <c r="Q34" s="64">
        <f t="shared" si="30"/>
        <v>15.04</v>
      </c>
      <c r="R34" s="64">
        <f t="shared" si="31"/>
        <v>752</v>
      </c>
      <c r="S34" s="64"/>
      <c r="T34" s="65"/>
      <c r="U34" s="66"/>
      <c r="V34" s="67"/>
      <c r="W34" s="67"/>
      <c r="X34" s="67"/>
      <c r="Y34" s="67">
        <f t="shared" si="1"/>
        <v>83.56</v>
      </c>
      <c r="Z34" s="103">
        <f t="shared" si="2"/>
        <v>304.67</v>
      </c>
      <c r="AA34" s="66"/>
      <c r="AB34" s="67">
        <f t="shared" si="3"/>
        <v>20.888888888888889</v>
      </c>
      <c r="AC34" s="67">
        <f t="shared" si="4"/>
        <v>13.925925925925926</v>
      </c>
      <c r="AD34" s="67">
        <f t="shared" si="5"/>
        <v>4.5999999999999996</v>
      </c>
      <c r="AE34" s="68">
        <f t="shared" si="6"/>
        <v>4.0617283950617287</v>
      </c>
      <c r="AF34" s="112">
        <f t="shared" si="18"/>
        <v>0</v>
      </c>
      <c r="AG34" s="67"/>
      <c r="AH34" s="67">
        <f t="shared" si="7"/>
        <v>0</v>
      </c>
      <c r="AI34" s="67"/>
      <c r="AJ34" s="67">
        <f t="shared" si="8"/>
        <v>25.900000000000002</v>
      </c>
      <c r="AK34" s="67">
        <f t="shared" si="9"/>
        <v>4.5999999999999996</v>
      </c>
      <c r="AL34" s="67">
        <f t="shared" si="10"/>
        <v>0</v>
      </c>
      <c r="AM34" s="67">
        <f t="shared" si="19"/>
        <v>13.48</v>
      </c>
      <c r="AN34" s="67"/>
      <c r="AO34" s="67">
        <f t="shared" si="11"/>
        <v>0</v>
      </c>
      <c r="AP34" s="67"/>
      <c r="AQ34" s="67"/>
      <c r="AR34" s="67"/>
      <c r="AS34" s="12"/>
      <c r="AT34" s="12"/>
      <c r="AU34" s="12"/>
    </row>
    <row r="35" spans="2:47" s="13" customFormat="1" ht="12.75" customHeight="1" x14ac:dyDescent="0.2">
      <c r="B35" s="80">
        <v>18</v>
      </c>
      <c r="C35" s="74">
        <v>57650</v>
      </c>
      <c r="D35" s="74">
        <v>57700</v>
      </c>
      <c r="E35" s="74" t="s">
        <v>12</v>
      </c>
      <c r="F35" s="64">
        <f t="shared" si="26"/>
        <v>50</v>
      </c>
      <c r="G35" s="64">
        <f t="shared" si="32"/>
        <v>54.84</v>
      </c>
      <c r="H35" s="64">
        <v>54.84</v>
      </c>
      <c r="I35" s="64">
        <f t="shared" si="27"/>
        <v>54.84</v>
      </c>
      <c r="J35" s="64">
        <f t="shared" si="28"/>
        <v>2742</v>
      </c>
      <c r="K35" s="64"/>
      <c r="L35" s="64"/>
      <c r="M35" s="64">
        <f t="shared" si="15"/>
        <v>0</v>
      </c>
      <c r="N35" s="64">
        <f t="shared" si="29"/>
        <v>0</v>
      </c>
      <c r="O35" s="64">
        <f t="shared" ref="O35:O43" si="33">P34</f>
        <v>15.04</v>
      </c>
      <c r="P35" s="64">
        <f>7.87+7.26</f>
        <v>15.129999999999999</v>
      </c>
      <c r="Q35" s="64">
        <f t="shared" si="30"/>
        <v>15.09</v>
      </c>
      <c r="R35" s="64">
        <f t="shared" si="31"/>
        <v>754.5</v>
      </c>
      <c r="S35" s="64"/>
      <c r="T35" s="65"/>
      <c r="U35" s="66"/>
      <c r="V35" s="67"/>
      <c r="W35" s="67"/>
      <c r="X35" s="67"/>
      <c r="Y35" s="67">
        <f t="shared" si="1"/>
        <v>83.84</v>
      </c>
      <c r="Z35" s="103">
        <f t="shared" si="2"/>
        <v>304.67</v>
      </c>
      <c r="AA35" s="66"/>
      <c r="AB35" s="67">
        <f t="shared" si="3"/>
        <v>20.958333333333332</v>
      </c>
      <c r="AC35" s="67">
        <f t="shared" si="4"/>
        <v>13.972222222222221</v>
      </c>
      <c r="AD35" s="67">
        <f t="shared" si="5"/>
        <v>4.62</v>
      </c>
      <c r="AE35" s="68">
        <f t="shared" si="6"/>
        <v>4.0752314814814818</v>
      </c>
      <c r="AF35" s="112">
        <f t="shared" si="18"/>
        <v>0</v>
      </c>
      <c r="AG35" s="67"/>
      <c r="AH35" s="67">
        <f t="shared" si="7"/>
        <v>0</v>
      </c>
      <c r="AI35" s="67"/>
      <c r="AJ35" s="67">
        <f t="shared" si="8"/>
        <v>25.900000000000002</v>
      </c>
      <c r="AK35" s="67">
        <f t="shared" si="9"/>
        <v>4.62</v>
      </c>
      <c r="AL35" s="67">
        <f t="shared" si="10"/>
        <v>0</v>
      </c>
      <c r="AM35" s="67">
        <f t="shared" si="19"/>
        <v>13.49</v>
      </c>
      <c r="AN35" s="67"/>
      <c r="AO35" s="67">
        <f t="shared" si="11"/>
        <v>0</v>
      </c>
      <c r="AP35" s="67"/>
      <c r="AQ35" s="67"/>
      <c r="AR35" s="67"/>
      <c r="AS35" s="12"/>
      <c r="AT35" s="12"/>
      <c r="AU35" s="12"/>
    </row>
    <row r="36" spans="2:47" s="13" customFormat="1" ht="12.75" customHeight="1" x14ac:dyDescent="0.2">
      <c r="B36" s="80">
        <v>19</v>
      </c>
      <c r="C36" s="74">
        <v>57700</v>
      </c>
      <c r="D36" s="74">
        <v>57750</v>
      </c>
      <c r="E36" s="74" t="s">
        <v>12</v>
      </c>
      <c r="F36" s="64">
        <f t="shared" si="26"/>
        <v>50</v>
      </c>
      <c r="G36" s="64">
        <f t="shared" si="32"/>
        <v>54.84</v>
      </c>
      <c r="H36" s="64">
        <v>54.84</v>
      </c>
      <c r="I36" s="64">
        <f t="shared" si="27"/>
        <v>54.84</v>
      </c>
      <c r="J36" s="64">
        <f t="shared" si="28"/>
        <v>2742</v>
      </c>
      <c r="K36" s="64"/>
      <c r="L36" s="64"/>
      <c r="M36" s="64">
        <f t="shared" si="15"/>
        <v>0</v>
      </c>
      <c r="N36" s="64">
        <f t="shared" si="29"/>
        <v>0</v>
      </c>
      <c r="O36" s="64">
        <f t="shared" si="33"/>
        <v>15.129999999999999</v>
      </c>
      <c r="P36" s="64">
        <f>7.98+7.13</f>
        <v>15.11</v>
      </c>
      <c r="Q36" s="64">
        <f t="shared" si="30"/>
        <v>15.12</v>
      </c>
      <c r="R36" s="64">
        <f t="shared" si="31"/>
        <v>756</v>
      </c>
      <c r="S36" s="64"/>
      <c r="T36" s="65"/>
      <c r="U36" s="66"/>
      <c r="V36" s="67"/>
      <c r="W36" s="67"/>
      <c r="X36" s="67"/>
      <c r="Y36" s="67">
        <f t="shared" si="1"/>
        <v>84</v>
      </c>
      <c r="Z36" s="103">
        <f t="shared" si="2"/>
        <v>304.67</v>
      </c>
      <c r="AA36" s="66"/>
      <c r="AB36" s="67">
        <f>(R36*9)/12/27</f>
        <v>21</v>
      </c>
      <c r="AC36" s="67">
        <f t="shared" si="4"/>
        <v>14</v>
      </c>
      <c r="AD36" s="67">
        <f t="shared" si="5"/>
        <v>4.62</v>
      </c>
      <c r="AE36" s="68">
        <f t="shared" si="6"/>
        <v>4.083333333333333</v>
      </c>
      <c r="AF36" s="112">
        <f t="shared" si="18"/>
        <v>0</v>
      </c>
      <c r="AG36" s="67"/>
      <c r="AH36" s="67">
        <f t="shared" si="7"/>
        <v>0</v>
      </c>
      <c r="AI36" s="67"/>
      <c r="AJ36" s="67">
        <f t="shared" si="8"/>
        <v>25.900000000000002</v>
      </c>
      <c r="AK36" s="67">
        <f t="shared" si="9"/>
        <v>4.62</v>
      </c>
      <c r="AL36" s="67">
        <f t="shared" si="10"/>
        <v>0</v>
      </c>
      <c r="AM36" s="67">
        <f t="shared" si="19"/>
        <v>13.5</v>
      </c>
      <c r="AN36" s="67"/>
      <c r="AO36" s="67">
        <f t="shared" si="11"/>
        <v>0</v>
      </c>
      <c r="AP36" s="67"/>
      <c r="AQ36" s="67"/>
      <c r="AR36" s="67"/>
      <c r="AS36" s="12"/>
      <c r="AT36" s="12"/>
      <c r="AU36" s="12"/>
    </row>
    <row r="37" spans="2:47" s="13" customFormat="1" ht="12.75" customHeight="1" x14ac:dyDescent="0.2">
      <c r="B37" s="80">
        <v>20</v>
      </c>
      <c r="C37" s="74">
        <v>57750</v>
      </c>
      <c r="D37" s="74">
        <v>57800</v>
      </c>
      <c r="E37" s="74" t="s">
        <v>12</v>
      </c>
      <c r="F37" s="64">
        <f>D37-C37</f>
        <v>50</v>
      </c>
      <c r="G37" s="64">
        <f t="shared" si="32"/>
        <v>54.84</v>
      </c>
      <c r="H37" s="64">
        <v>54.84</v>
      </c>
      <c r="I37" s="64">
        <f t="shared" si="27"/>
        <v>54.84</v>
      </c>
      <c r="J37" s="64">
        <f t="shared" si="28"/>
        <v>2742</v>
      </c>
      <c r="K37" s="64"/>
      <c r="L37" s="64"/>
      <c r="M37" s="64">
        <f t="shared" si="15"/>
        <v>0</v>
      </c>
      <c r="N37" s="64">
        <f t="shared" si="29"/>
        <v>0</v>
      </c>
      <c r="O37" s="64">
        <f t="shared" si="33"/>
        <v>15.11</v>
      </c>
      <c r="P37" s="64">
        <f>8.14+7.01</f>
        <v>15.15</v>
      </c>
      <c r="Q37" s="64">
        <f t="shared" si="30"/>
        <v>15.13</v>
      </c>
      <c r="R37" s="64">
        <f t="shared" si="31"/>
        <v>756.5</v>
      </c>
      <c r="S37" s="64"/>
      <c r="T37" s="65"/>
      <c r="U37" s="66"/>
      <c r="V37" s="67"/>
      <c r="W37" s="67"/>
      <c r="X37" s="67"/>
      <c r="Y37" s="67">
        <f t="shared" si="1"/>
        <v>84.06</v>
      </c>
      <c r="Z37" s="103">
        <f t="shared" si="2"/>
        <v>304.67</v>
      </c>
      <c r="AA37" s="66"/>
      <c r="AB37" s="67">
        <f t="shared" si="3"/>
        <v>21.013888888888889</v>
      </c>
      <c r="AC37" s="67">
        <f t="shared" si="4"/>
        <v>14.00925925925926</v>
      </c>
      <c r="AD37" s="67">
        <f t="shared" si="5"/>
        <v>4.63</v>
      </c>
      <c r="AE37" s="68">
        <f t="shared" si="6"/>
        <v>4.086033950617284</v>
      </c>
      <c r="AF37" s="112">
        <f t="shared" si="18"/>
        <v>0</v>
      </c>
      <c r="AG37" s="67"/>
      <c r="AH37" s="67">
        <f t="shared" si="7"/>
        <v>0</v>
      </c>
      <c r="AI37" s="67"/>
      <c r="AJ37" s="67">
        <f t="shared" si="8"/>
        <v>25.900000000000002</v>
      </c>
      <c r="AK37" s="67">
        <f t="shared" si="9"/>
        <v>4.63</v>
      </c>
      <c r="AL37" s="67">
        <f t="shared" si="10"/>
        <v>0</v>
      </c>
      <c r="AM37" s="67">
        <f t="shared" si="19"/>
        <v>13.5</v>
      </c>
      <c r="AN37" s="67"/>
      <c r="AO37" s="67">
        <f t="shared" si="11"/>
        <v>0</v>
      </c>
      <c r="AP37" s="67"/>
      <c r="AQ37" s="67"/>
      <c r="AR37" s="67"/>
      <c r="AS37" s="12"/>
      <c r="AT37" s="12"/>
      <c r="AU37" s="12"/>
    </row>
    <row r="38" spans="2:47" s="13" customFormat="1" ht="12.75" customHeight="1" x14ac:dyDescent="0.2">
      <c r="B38" s="80">
        <v>21</v>
      </c>
      <c r="C38" s="74">
        <v>57800</v>
      </c>
      <c r="D38" s="74">
        <v>57850</v>
      </c>
      <c r="E38" s="74" t="s">
        <v>12</v>
      </c>
      <c r="F38" s="64">
        <f t="shared" si="26"/>
        <v>50</v>
      </c>
      <c r="G38" s="64">
        <f t="shared" si="32"/>
        <v>54.84</v>
      </c>
      <c r="H38" s="64">
        <v>54.84</v>
      </c>
      <c r="I38" s="64">
        <f t="shared" si="27"/>
        <v>54.84</v>
      </c>
      <c r="J38" s="64">
        <f t="shared" si="28"/>
        <v>2742</v>
      </c>
      <c r="K38" s="64"/>
      <c r="L38" s="64"/>
      <c r="M38" s="64">
        <f t="shared" si="15"/>
        <v>0</v>
      </c>
      <c r="N38" s="64">
        <f t="shared" si="29"/>
        <v>0</v>
      </c>
      <c r="O38" s="64">
        <f t="shared" si="33"/>
        <v>15.15</v>
      </c>
      <c r="P38" s="64">
        <f>8.21+6.94</f>
        <v>15.150000000000002</v>
      </c>
      <c r="Q38" s="64">
        <f t="shared" si="30"/>
        <v>15.15</v>
      </c>
      <c r="R38" s="64">
        <f t="shared" si="31"/>
        <v>757.5</v>
      </c>
      <c r="S38" s="64"/>
      <c r="T38" s="65"/>
      <c r="U38" s="66"/>
      <c r="V38" s="67"/>
      <c r="W38" s="67"/>
      <c r="X38" s="67"/>
      <c r="Y38" s="67">
        <f t="shared" si="1"/>
        <v>84.17</v>
      </c>
      <c r="Z38" s="103">
        <f t="shared" si="2"/>
        <v>304.67</v>
      </c>
      <c r="AA38" s="66"/>
      <c r="AB38" s="67">
        <f t="shared" si="3"/>
        <v>21.041666666666668</v>
      </c>
      <c r="AC38" s="67">
        <f t="shared" si="4"/>
        <v>14.027777777777779</v>
      </c>
      <c r="AD38" s="67">
        <f t="shared" si="5"/>
        <v>4.63</v>
      </c>
      <c r="AE38" s="68">
        <f t="shared" si="6"/>
        <v>4.0914351851851851</v>
      </c>
      <c r="AF38" s="112">
        <f t="shared" si="18"/>
        <v>0</v>
      </c>
      <c r="AG38" s="67"/>
      <c r="AH38" s="67">
        <f t="shared" si="7"/>
        <v>0</v>
      </c>
      <c r="AI38" s="67"/>
      <c r="AJ38" s="67">
        <f t="shared" si="8"/>
        <v>25.900000000000002</v>
      </c>
      <c r="AK38" s="67">
        <f t="shared" si="9"/>
        <v>4.63</v>
      </c>
      <c r="AL38" s="67">
        <f t="shared" si="10"/>
        <v>0</v>
      </c>
      <c r="AM38" s="67">
        <f t="shared" si="19"/>
        <v>13.51</v>
      </c>
      <c r="AN38" s="67"/>
      <c r="AO38" s="67">
        <f t="shared" si="11"/>
        <v>0</v>
      </c>
      <c r="AP38" s="67"/>
      <c r="AQ38" s="67"/>
      <c r="AR38" s="67"/>
      <c r="AS38" s="12"/>
      <c r="AT38" s="12"/>
      <c r="AU38" s="12"/>
    </row>
    <row r="39" spans="2:47" s="13" customFormat="1" ht="12.75" customHeight="1" x14ac:dyDescent="0.2">
      <c r="B39" s="80">
        <v>22</v>
      </c>
      <c r="C39" s="74">
        <v>57850</v>
      </c>
      <c r="D39" s="74">
        <v>57900</v>
      </c>
      <c r="E39" s="74" t="s">
        <v>12</v>
      </c>
      <c r="F39" s="64">
        <f t="shared" si="26"/>
        <v>50</v>
      </c>
      <c r="G39" s="64">
        <f t="shared" si="32"/>
        <v>54.84</v>
      </c>
      <c r="H39" s="64">
        <v>54.84</v>
      </c>
      <c r="I39" s="64">
        <f t="shared" si="27"/>
        <v>54.84</v>
      </c>
      <c r="J39" s="64">
        <f t="shared" si="28"/>
        <v>2742</v>
      </c>
      <c r="K39" s="64"/>
      <c r="L39" s="64"/>
      <c r="M39" s="64">
        <f t="shared" si="15"/>
        <v>0</v>
      </c>
      <c r="N39" s="64">
        <f t="shared" si="29"/>
        <v>0</v>
      </c>
      <c r="O39" s="64">
        <f t="shared" si="33"/>
        <v>15.150000000000002</v>
      </c>
      <c r="P39" s="64">
        <f>7.18+6.83</f>
        <v>14.01</v>
      </c>
      <c r="Q39" s="64">
        <f t="shared" si="30"/>
        <v>14.58</v>
      </c>
      <c r="R39" s="64">
        <f t="shared" si="31"/>
        <v>729</v>
      </c>
      <c r="S39" s="64"/>
      <c r="T39" s="65"/>
      <c r="U39" s="66"/>
      <c r="V39" s="67"/>
      <c r="W39" s="67"/>
      <c r="X39" s="67"/>
      <c r="Y39" s="67">
        <f t="shared" si="1"/>
        <v>81</v>
      </c>
      <c r="Z39" s="103">
        <f t="shared" si="2"/>
        <v>304.67</v>
      </c>
      <c r="AA39" s="66"/>
      <c r="AB39" s="67">
        <f t="shared" si="3"/>
        <v>20.25</v>
      </c>
      <c r="AC39" s="67">
        <f t="shared" si="4"/>
        <v>13.5</v>
      </c>
      <c r="AD39" s="67">
        <f t="shared" si="5"/>
        <v>4.46</v>
      </c>
      <c r="AE39" s="68">
        <f t="shared" si="6"/>
        <v>3.9375</v>
      </c>
      <c r="AF39" s="112">
        <f t="shared" si="18"/>
        <v>0</v>
      </c>
      <c r="AG39" s="67"/>
      <c r="AH39" s="67">
        <f t="shared" si="7"/>
        <v>0</v>
      </c>
      <c r="AI39" s="67"/>
      <c r="AJ39" s="67">
        <f t="shared" si="8"/>
        <v>25.900000000000002</v>
      </c>
      <c r="AK39" s="67">
        <f t="shared" si="9"/>
        <v>4.46</v>
      </c>
      <c r="AL39" s="67">
        <f t="shared" si="10"/>
        <v>0</v>
      </c>
      <c r="AM39" s="67">
        <f t="shared" si="19"/>
        <v>13.4</v>
      </c>
      <c r="AN39" s="67"/>
      <c r="AO39" s="67">
        <f t="shared" si="11"/>
        <v>0</v>
      </c>
      <c r="AP39" s="67"/>
      <c r="AQ39" s="67"/>
      <c r="AR39" s="67"/>
      <c r="AS39" s="12"/>
      <c r="AT39" s="12"/>
      <c r="AU39" s="12"/>
    </row>
    <row r="40" spans="2:47" s="13" customFormat="1" ht="12.75" customHeight="1" x14ac:dyDescent="0.2">
      <c r="B40" s="80">
        <v>23</v>
      </c>
      <c r="C40" s="74">
        <v>57900</v>
      </c>
      <c r="D40" s="74">
        <v>57950</v>
      </c>
      <c r="E40" s="74" t="s">
        <v>12</v>
      </c>
      <c r="F40" s="64">
        <f t="shared" si="26"/>
        <v>50</v>
      </c>
      <c r="G40" s="64">
        <f t="shared" si="32"/>
        <v>54.84</v>
      </c>
      <c r="H40" s="64">
        <v>54.84</v>
      </c>
      <c r="I40" s="64">
        <f t="shared" si="27"/>
        <v>54.84</v>
      </c>
      <c r="J40" s="64">
        <f t="shared" si="28"/>
        <v>2742</v>
      </c>
      <c r="K40" s="64"/>
      <c r="L40" s="64"/>
      <c r="M40" s="64">
        <f t="shared" si="15"/>
        <v>0</v>
      </c>
      <c r="N40" s="64">
        <f t="shared" si="29"/>
        <v>0</v>
      </c>
      <c r="O40" s="64">
        <f t="shared" si="33"/>
        <v>14.01</v>
      </c>
      <c r="P40" s="64">
        <f>7.02+6.68</f>
        <v>13.7</v>
      </c>
      <c r="Q40" s="64">
        <f t="shared" si="30"/>
        <v>13.86</v>
      </c>
      <c r="R40" s="64">
        <f t="shared" si="31"/>
        <v>693</v>
      </c>
      <c r="S40" s="64"/>
      <c r="T40" s="65"/>
      <c r="U40" s="66"/>
      <c r="V40" s="67"/>
      <c r="W40" s="67"/>
      <c r="X40" s="67"/>
      <c r="Y40" s="67">
        <f t="shared" si="1"/>
        <v>77</v>
      </c>
      <c r="Z40" s="103">
        <f t="shared" si="2"/>
        <v>304.67</v>
      </c>
      <c r="AA40" s="66"/>
      <c r="AB40" s="67">
        <f t="shared" si="3"/>
        <v>19.25</v>
      </c>
      <c r="AC40" s="67">
        <f t="shared" si="4"/>
        <v>12.833333333333334</v>
      </c>
      <c r="AD40" s="67">
        <f t="shared" si="5"/>
        <v>4.24</v>
      </c>
      <c r="AE40" s="68">
        <f t="shared" si="6"/>
        <v>3.7430555555555554</v>
      </c>
      <c r="AF40" s="112">
        <f t="shared" si="18"/>
        <v>0</v>
      </c>
      <c r="AG40" s="67"/>
      <c r="AH40" s="67">
        <f t="shared" si="7"/>
        <v>0</v>
      </c>
      <c r="AI40" s="67"/>
      <c r="AJ40" s="67">
        <f t="shared" si="8"/>
        <v>25.900000000000002</v>
      </c>
      <c r="AK40" s="67">
        <f t="shared" si="9"/>
        <v>4.24</v>
      </c>
      <c r="AL40" s="67">
        <f t="shared" si="10"/>
        <v>0</v>
      </c>
      <c r="AM40" s="67">
        <f t="shared" si="19"/>
        <v>13.26</v>
      </c>
      <c r="AN40" s="67"/>
      <c r="AO40" s="67">
        <f t="shared" si="11"/>
        <v>0</v>
      </c>
      <c r="AP40" s="67"/>
      <c r="AQ40" s="67"/>
      <c r="AR40" s="67"/>
      <c r="AS40" s="12"/>
      <c r="AT40" s="12"/>
      <c r="AU40" s="12"/>
    </row>
    <row r="41" spans="2:47" s="13" customFormat="1" ht="12.75" customHeight="1" x14ac:dyDescent="0.2">
      <c r="B41" s="80">
        <v>24</v>
      </c>
      <c r="C41" s="74">
        <v>57950</v>
      </c>
      <c r="D41" s="74">
        <v>58000</v>
      </c>
      <c r="E41" s="74" t="s">
        <v>12</v>
      </c>
      <c r="F41" s="64">
        <f t="shared" si="26"/>
        <v>50</v>
      </c>
      <c r="G41" s="64">
        <f t="shared" si="32"/>
        <v>54.84</v>
      </c>
      <c r="H41" s="64">
        <v>54.84</v>
      </c>
      <c r="I41" s="64">
        <f t="shared" si="27"/>
        <v>54.84</v>
      </c>
      <c r="J41" s="64">
        <f t="shared" si="28"/>
        <v>2742</v>
      </c>
      <c r="K41" s="64"/>
      <c r="L41" s="64"/>
      <c r="M41" s="64">
        <f t="shared" si="15"/>
        <v>0</v>
      </c>
      <c r="N41" s="64">
        <f t="shared" si="29"/>
        <v>0</v>
      </c>
      <c r="O41" s="64">
        <f t="shared" si="33"/>
        <v>13.7</v>
      </c>
      <c r="P41" s="64">
        <f>7.18+8.44</f>
        <v>15.62</v>
      </c>
      <c r="Q41" s="64">
        <f t="shared" si="30"/>
        <v>14.66</v>
      </c>
      <c r="R41" s="64">
        <f t="shared" si="31"/>
        <v>733</v>
      </c>
      <c r="S41" s="64"/>
      <c r="T41" s="65"/>
      <c r="U41" s="66"/>
      <c r="V41" s="67"/>
      <c r="W41" s="67"/>
      <c r="X41" s="67"/>
      <c r="Y41" s="67">
        <f t="shared" si="1"/>
        <v>81.45</v>
      </c>
      <c r="Z41" s="103">
        <f t="shared" si="2"/>
        <v>304.67</v>
      </c>
      <c r="AA41" s="66"/>
      <c r="AB41" s="67">
        <f t="shared" si="3"/>
        <v>20.361111111111111</v>
      </c>
      <c r="AC41" s="67">
        <f t="shared" si="4"/>
        <v>13.574074074074074</v>
      </c>
      <c r="AD41" s="67">
        <f t="shared" si="5"/>
        <v>4.4799999999999995</v>
      </c>
      <c r="AE41" s="68">
        <f t="shared" si="6"/>
        <v>3.9591049382716048</v>
      </c>
      <c r="AF41" s="112">
        <f t="shared" si="18"/>
        <v>0</v>
      </c>
      <c r="AG41" s="67"/>
      <c r="AH41" s="67">
        <f t="shared" si="7"/>
        <v>0</v>
      </c>
      <c r="AI41" s="67"/>
      <c r="AJ41" s="67">
        <f t="shared" si="8"/>
        <v>25.900000000000002</v>
      </c>
      <c r="AK41" s="67">
        <f t="shared" si="9"/>
        <v>4.4799999999999995</v>
      </c>
      <c r="AL41" s="67">
        <f t="shared" si="10"/>
        <v>0</v>
      </c>
      <c r="AM41" s="67">
        <f t="shared" si="19"/>
        <v>13.41</v>
      </c>
      <c r="AN41" s="67"/>
      <c r="AO41" s="67">
        <f t="shared" si="11"/>
        <v>0</v>
      </c>
      <c r="AP41" s="67"/>
      <c r="AQ41" s="67"/>
      <c r="AR41" s="67"/>
      <c r="AS41" s="12"/>
      <c r="AT41" s="12"/>
      <c r="AU41" s="12"/>
    </row>
    <row r="42" spans="2:47" s="13" customFormat="1" ht="12.75" customHeight="1" x14ac:dyDescent="0.2">
      <c r="B42" s="80">
        <v>25</v>
      </c>
      <c r="C42" s="74">
        <v>58000</v>
      </c>
      <c r="D42" s="74">
        <v>58050</v>
      </c>
      <c r="E42" s="74" t="s">
        <v>12</v>
      </c>
      <c r="F42" s="64">
        <f t="shared" si="26"/>
        <v>50</v>
      </c>
      <c r="G42" s="64">
        <f t="shared" si="32"/>
        <v>54.84</v>
      </c>
      <c r="H42" s="64">
        <v>54.84</v>
      </c>
      <c r="I42" s="64">
        <f t="shared" si="27"/>
        <v>54.84</v>
      </c>
      <c r="J42" s="64">
        <f t="shared" si="28"/>
        <v>2742</v>
      </c>
      <c r="K42" s="64"/>
      <c r="L42" s="64"/>
      <c r="M42" s="64">
        <f t="shared" si="15"/>
        <v>0</v>
      </c>
      <c r="N42" s="64">
        <f t="shared" si="29"/>
        <v>0</v>
      </c>
      <c r="O42" s="64">
        <f t="shared" si="33"/>
        <v>15.62</v>
      </c>
      <c r="P42" s="64">
        <f>7.47+8.22</f>
        <v>15.690000000000001</v>
      </c>
      <c r="Q42" s="64">
        <f t="shared" si="30"/>
        <v>15.66</v>
      </c>
      <c r="R42" s="64">
        <f t="shared" si="31"/>
        <v>783</v>
      </c>
      <c r="S42" s="64"/>
      <c r="T42" s="65"/>
      <c r="U42" s="66"/>
      <c r="V42" s="67"/>
      <c r="W42" s="67"/>
      <c r="X42" s="67"/>
      <c r="Y42" s="67">
        <f t="shared" si="1"/>
        <v>87</v>
      </c>
      <c r="Z42" s="103">
        <f t="shared" si="2"/>
        <v>304.67</v>
      </c>
      <c r="AA42" s="66"/>
      <c r="AB42" s="67">
        <f t="shared" si="3"/>
        <v>21.75</v>
      </c>
      <c r="AC42" s="67">
        <f t="shared" si="4"/>
        <v>14.5</v>
      </c>
      <c r="AD42" s="67">
        <f t="shared" si="5"/>
        <v>4.79</v>
      </c>
      <c r="AE42" s="68">
        <f t="shared" si="6"/>
        <v>4.229166666666667</v>
      </c>
      <c r="AF42" s="112">
        <f t="shared" si="18"/>
        <v>0</v>
      </c>
      <c r="AG42" s="67"/>
      <c r="AH42" s="67">
        <f t="shared" si="7"/>
        <v>0</v>
      </c>
      <c r="AI42" s="67"/>
      <c r="AJ42" s="67">
        <f t="shared" si="8"/>
        <v>25.900000000000002</v>
      </c>
      <c r="AK42" s="67">
        <f t="shared" si="9"/>
        <v>4.79</v>
      </c>
      <c r="AL42" s="67">
        <f t="shared" si="10"/>
        <v>0</v>
      </c>
      <c r="AM42" s="67">
        <f t="shared" si="19"/>
        <v>13.6</v>
      </c>
      <c r="AN42" s="67"/>
      <c r="AO42" s="67">
        <f t="shared" si="11"/>
        <v>0</v>
      </c>
      <c r="AP42" s="67"/>
      <c r="AQ42" s="67"/>
      <c r="AR42" s="67"/>
      <c r="AS42" s="12"/>
      <c r="AT42" s="12"/>
      <c r="AU42" s="12"/>
    </row>
    <row r="43" spans="2:47" s="13" customFormat="1" ht="12.75" customHeight="1" x14ac:dyDescent="0.2">
      <c r="B43" s="80">
        <v>26</v>
      </c>
      <c r="C43" s="123">
        <v>58050</v>
      </c>
      <c r="D43" s="123">
        <v>58077</v>
      </c>
      <c r="E43" s="123" t="s">
        <v>12</v>
      </c>
      <c r="F43" s="64">
        <f t="shared" si="26"/>
        <v>27</v>
      </c>
      <c r="G43" s="64">
        <f>H42</f>
        <v>54.84</v>
      </c>
      <c r="H43" s="64">
        <f>I42</f>
        <v>54.84</v>
      </c>
      <c r="I43" s="64">
        <f t="shared" si="27"/>
        <v>54.84</v>
      </c>
      <c r="J43" s="64">
        <f t="shared" si="28"/>
        <v>1480.68</v>
      </c>
      <c r="K43" s="64"/>
      <c r="L43" s="64"/>
      <c r="M43" s="64">
        <f t="shared" si="15"/>
        <v>0</v>
      </c>
      <c r="N43" s="64">
        <f t="shared" si="29"/>
        <v>0</v>
      </c>
      <c r="O43" s="64">
        <f t="shared" si="33"/>
        <v>15.690000000000001</v>
      </c>
      <c r="P43" s="64">
        <f>8.78+8.19</f>
        <v>16.97</v>
      </c>
      <c r="Q43" s="64">
        <f>ROUNDUP((P43+O43)/2,2)</f>
        <v>16.329999999999998</v>
      </c>
      <c r="R43" s="64">
        <f t="shared" si="31"/>
        <v>440.91</v>
      </c>
      <c r="S43" s="64"/>
      <c r="T43" s="65"/>
      <c r="U43" s="66"/>
      <c r="V43" s="67"/>
      <c r="W43" s="67"/>
      <c r="X43" s="67"/>
      <c r="Y43" s="67">
        <f t="shared" si="1"/>
        <v>48.99</v>
      </c>
      <c r="Z43" s="103">
        <f t="shared" si="2"/>
        <v>164.52</v>
      </c>
      <c r="AA43" s="66"/>
      <c r="AB43" s="67">
        <f t="shared" si="3"/>
        <v>12.2475</v>
      </c>
      <c r="AC43" s="67">
        <f t="shared" si="4"/>
        <v>8.1650000000000009</v>
      </c>
      <c r="AD43" s="67">
        <f t="shared" si="5"/>
        <v>2.6999999999999997</v>
      </c>
      <c r="AE43" s="68">
        <f t="shared" si="6"/>
        <v>2.3814583333333337</v>
      </c>
      <c r="AF43" s="112">
        <f t="shared" si="18"/>
        <v>0</v>
      </c>
      <c r="AG43" s="67"/>
      <c r="AH43" s="67">
        <f t="shared" si="7"/>
        <v>0</v>
      </c>
      <c r="AI43" s="67"/>
      <c r="AJ43" s="67">
        <f t="shared" si="8"/>
        <v>13.99</v>
      </c>
      <c r="AK43" s="67">
        <f t="shared" si="9"/>
        <v>2.6999999999999997</v>
      </c>
      <c r="AL43" s="67">
        <f t="shared" si="10"/>
        <v>0</v>
      </c>
      <c r="AM43" s="67">
        <f t="shared" si="19"/>
        <v>7.42</v>
      </c>
      <c r="AN43" s="67"/>
      <c r="AO43" s="67">
        <f t="shared" si="11"/>
        <v>0</v>
      </c>
      <c r="AP43" s="67"/>
      <c r="AQ43" s="67"/>
      <c r="AR43" s="67"/>
      <c r="AS43" s="12"/>
      <c r="AT43" s="12"/>
      <c r="AU43" s="12"/>
    </row>
    <row r="44" spans="2:47" s="13" customFormat="1" ht="12.75" customHeight="1" x14ac:dyDescent="0.2">
      <c r="B44" s="80">
        <v>27</v>
      </c>
      <c r="C44" s="123">
        <v>58077</v>
      </c>
      <c r="D44" s="123">
        <v>58079</v>
      </c>
      <c r="E44" s="123" t="s">
        <v>12</v>
      </c>
      <c r="F44" s="64">
        <f t="shared" ref="F44:F45" si="34">D44-C44</f>
        <v>2</v>
      </c>
      <c r="G44" s="64">
        <v>63.57</v>
      </c>
      <c r="H44" s="64">
        <v>63.72</v>
      </c>
      <c r="I44" s="64">
        <f t="shared" ref="I44" si="35">ROUNDUP((H44+G44)/2,2)</f>
        <v>63.65</v>
      </c>
      <c r="J44" s="64">
        <f t="shared" ref="J44:J45" si="36">ROUNDUP(F44*I44,2)</f>
        <v>127.3</v>
      </c>
      <c r="K44" s="64"/>
      <c r="L44" s="64"/>
      <c r="M44" s="64">
        <f t="shared" ref="M44:M45" si="37">ROUNDUP((L44+K44)/2,2)</f>
        <v>0</v>
      </c>
      <c r="N44" s="64">
        <f t="shared" ref="N44:N45" si="38">ROUNDUP(M44*F44,2)</f>
        <v>0</v>
      </c>
      <c r="O44" s="64">
        <v>8.19</v>
      </c>
      <c r="P44" s="64">
        <v>8.1999999999999993</v>
      </c>
      <c r="Q44" s="64">
        <f t="shared" ref="Q44:Q45" si="39">ROUNDUP((P44+O44)/2,2)</f>
        <v>8.1999999999999993</v>
      </c>
      <c r="R44" s="64">
        <f t="shared" ref="R44:R45" si="40">ROUNDUP(F44*Q44,2)</f>
        <v>16.399999999999999</v>
      </c>
      <c r="S44" s="64"/>
      <c r="T44" s="65"/>
      <c r="U44" s="66"/>
      <c r="V44" s="67"/>
      <c r="W44" s="67"/>
      <c r="X44" s="67"/>
      <c r="Y44" s="67">
        <f t="shared" si="1"/>
        <v>1.83</v>
      </c>
      <c r="Z44" s="103">
        <f t="shared" si="2"/>
        <v>14.15</v>
      </c>
      <c r="AA44" s="66"/>
      <c r="AB44" s="67">
        <f t="shared" si="3"/>
        <v>0.45555555555555549</v>
      </c>
      <c r="AC44" s="67">
        <f t="shared" si="4"/>
        <v>0.3037037037037037</v>
      </c>
      <c r="AD44" s="67">
        <f t="shared" si="5"/>
        <v>0.11</v>
      </c>
      <c r="AE44" s="68">
        <f t="shared" si="6"/>
        <v>8.8580246913580227E-2</v>
      </c>
      <c r="AF44" s="112">
        <f t="shared" si="18"/>
        <v>0</v>
      </c>
      <c r="AG44" s="67"/>
      <c r="AH44" s="67">
        <f t="shared" si="7"/>
        <v>0</v>
      </c>
      <c r="AI44" s="67"/>
      <c r="AJ44" s="67">
        <f t="shared" si="8"/>
        <v>1.21</v>
      </c>
      <c r="AK44" s="67">
        <f t="shared" si="9"/>
        <v>0.11</v>
      </c>
      <c r="AL44" s="67">
        <f t="shared" si="10"/>
        <v>0</v>
      </c>
      <c r="AM44" s="67">
        <f t="shared" si="19"/>
        <v>0.56000000000000005</v>
      </c>
      <c r="AN44" s="67"/>
      <c r="AO44" s="67">
        <f t="shared" si="11"/>
        <v>0</v>
      </c>
      <c r="AP44" s="67"/>
      <c r="AQ44" s="67"/>
      <c r="AR44" s="67"/>
      <c r="AS44" s="12"/>
      <c r="AT44" s="12"/>
      <c r="AU44" s="12"/>
    </row>
    <row r="45" spans="2:47" s="13" customFormat="1" ht="12.75" customHeight="1" x14ac:dyDescent="0.2">
      <c r="B45" s="80">
        <v>28</v>
      </c>
      <c r="C45" s="123">
        <v>58079</v>
      </c>
      <c r="D45" s="123">
        <v>58087.3</v>
      </c>
      <c r="E45" s="123" t="s">
        <v>12</v>
      </c>
      <c r="F45" s="64">
        <f t="shared" si="34"/>
        <v>8.3000000000029104</v>
      </c>
      <c r="G45" s="64">
        <f>H44</f>
        <v>63.72</v>
      </c>
      <c r="H45" s="64">
        <v>72.38</v>
      </c>
      <c r="I45" s="64">
        <f>ROUNDUP((H45+G45)/2,2)</f>
        <v>68.05</v>
      </c>
      <c r="J45" s="64">
        <f t="shared" si="36"/>
        <v>564.81999999999994</v>
      </c>
      <c r="K45" s="64"/>
      <c r="L45" s="64"/>
      <c r="M45" s="64">
        <f t="shared" si="37"/>
        <v>0</v>
      </c>
      <c r="N45" s="64">
        <f t="shared" si="38"/>
        <v>0</v>
      </c>
      <c r="O45" s="64">
        <v>8.1999999999999993</v>
      </c>
      <c r="P45" s="64">
        <v>0</v>
      </c>
      <c r="Q45" s="64">
        <f t="shared" si="39"/>
        <v>4.0999999999999996</v>
      </c>
      <c r="R45" s="64">
        <f t="shared" si="40"/>
        <v>34.04</v>
      </c>
      <c r="S45" s="64"/>
      <c r="T45" s="65"/>
      <c r="U45" s="66"/>
      <c r="V45" s="67"/>
      <c r="W45" s="67"/>
      <c r="X45" s="67"/>
      <c r="Y45" s="67">
        <f t="shared" si="1"/>
        <v>3.7899999999999996</v>
      </c>
      <c r="Z45" s="103">
        <f t="shared" si="2"/>
        <v>62.76</v>
      </c>
      <c r="AA45" s="66"/>
      <c r="AB45" s="67">
        <f t="shared" si="3"/>
        <v>0.94555555555555559</v>
      </c>
      <c r="AC45" s="67">
        <f t="shared" si="4"/>
        <v>0.63037037037037036</v>
      </c>
      <c r="AD45" s="67">
        <f t="shared" si="5"/>
        <v>0.21000000000000002</v>
      </c>
      <c r="AE45" s="68">
        <f t="shared" si="6"/>
        <v>0.18385802469135801</v>
      </c>
      <c r="AF45" s="112">
        <f t="shared" si="18"/>
        <v>0</v>
      </c>
      <c r="AG45" s="67"/>
      <c r="AH45" s="67">
        <f t="shared" si="7"/>
        <v>0</v>
      </c>
      <c r="AI45" s="67"/>
      <c r="AJ45" s="67">
        <f t="shared" si="8"/>
        <v>5.34</v>
      </c>
      <c r="AK45" s="67">
        <f t="shared" si="9"/>
        <v>0.21000000000000002</v>
      </c>
      <c r="AL45" s="67">
        <f t="shared" si="10"/>
        <v>0</v>
      </c>
      <c r="AM45" s="67">
        <f t="shared" si="19"/>
        <v>2.3199999999999998</v>
      </c>
      <c r="AN45" s="67"/>
      <c r="AO45" s="67">
        <f t="shared" si="11"/>
        <v>0</v>
      </c>
      <c r="AP45" s="67"/>
      <c r="AQ45" s="67"/>
      <c r="AR45" s="67"/>
      <c r="AS45" s="12"/>
      <c r="AT45" s="12"/>
      <c r="AU45" s="12"/>
    </row>
    <row r="46" spans="2:47" s="13" customFormat="1" ht="12.75" customHeight="1" x14ac:dyDescent="0.2">
      <c r="B46" s="80">
        <v>29</v>
      </c>
      <c r="C46" s="123">
        <v>58087.3</v>
      </c>
      <c r="D46" s="123">
        <v>58100</v>
      </c>
      <c r="E46" s="123" t="s">
        <v>12</v>
      </c>
      <c r="F46" s="64">
        <f t="shared" si="26"/>
        <v>12.69999999999709</v>
      </c>
      <c r="G46" s="64">
        <f>H45</f>
        <v>72.38</v>
      </c>
      <c r="H46" s="64">
        <v>72.400000000000006</v>
      </c>
      <c r="I46" s="64">
        <f>ROUNDUP((H46+G46)/2,2)</f>
        <v>72.39</v>
      </c>
      <c r="J46" s="64">
        <f t="shared" si="28"/>
        <v>919.36</v>
      </c>
      <c r="K46" s="64"/>
      <c r="L46" s="64"/>
      <c r="M46" s="64">
        <f t="shared" si="15"/>
        <v>0</v>
      </c>
      <c r="N46" s="64">
        <f t="shared" si="29"/>
        <v>0</v>
      </c>
      <c r="O46" s="64">
        <v>0</v>
      </c>
      <c r="P46" s="64">
        <v>0</v>
      </c>
      <c r="Q46" s="64">
        <f t="shared" si="30"/>
        <v>0</v>
      </c>
      <c r="R46" s="64">
        <f t="shared" si="31"/>
        <v>0</v>
      </c>
      <c r="S46" s="64"/>
      <c r="T46" s="65"/>
      <c r="U46" s="66"/>
      <c r="V46" s="67"/>
      <c r="W46" s="67"/>
      <c r="X46" s="67"/>
      <c r="Y46" s="67">
        <f t="shared" si="1"/>
        <v>0</v>
      </c>
      <c r="Z46" s="103">
        <f t="shared" si="2"/>
        <v>102.16000000000001</v>
      </c>
      <c r="AA46" s="66"/>
      <c r="AB46" s="67">
        <f t="shared" si="3"/>
        <v>0</v>
      </c>
      <c r="AC46" s="67">
        <f t="shared" si="4"/>
        <v>0</v>
      </c>
      <c r="AD46" s="67">
        <f t="shared" si="5"/>
        <v>0</v>
      </c>
      <c r="AE46" s="68">
        <f t="shared" si="6"/>
        <v>0</v>
      </c>
      <c r="AF46" s="112">
        <f t="shared" si="18"/>
        <v>0</v>
      </c>
      <c r="AG46" s="67"/>
      <c r="AH46" s="67">
        <f t="shared" si="7"/>
        <v>0</v>
      </c>
      <c r="AI46" s="67"/>
      <c r="AJ46" s="67">
        <f t="shared" si="8"/>
        <v>8.69</v>
      </c>
      <c r="AK46" s="67">
        <f t="shared" si="9"/>
        <v>0</v>
      </c>
      <c r="AL46" s="67">
        <f t="shared" si="10"/>
        <v>0</v>
      </c>
      <c r="AM46" s="67">
        <f t="shared" si="19"/>
        <v>3.55</v>
      </c>
      <c r="AN46" s="67"/>
      <c r="AO46" s="67">
        <f t="shared" si="11"/>
        <v>0</v>
      </c>
      <c r="AP46" s="67"/>
      <c r="AQ46" s="67"/>
      <c r="AR46" s="67"/>
      <c r="AS46" s="12"/>
      <c r="AT46" s="12"/>
      <c r="AU46" s="12"/>
    </row>
    <row r="47" spans="2:47" s="13" customFormat="1" ht="12.75" customHeight="1" x14ac:dyDescent="0.2">
      <c r="B47" s="80"/>
      <c r="C47" s="74"/>
      <c r="D47" s="74"/>
      <c r="E47" s="7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5"/>
      <c r="U47" s="66"/>
      <c r="V47" s="67"/>
      <c r="W47" s="67"/>
      <c r="X47" s="67"/>
      <c r="Y47" s="67">
        <f t="shared" si="1"/>
        <v>0</v>
      </c>
      <c r="Z47" s="103">
        <f t="shared" si="2"/>
        <v>0</v>
      </c>
      <c r="AA47" s="66"/>
      <c r="AB47" s="67">
        <f t="shared" si="3"/>
        <v>0</v>
      </c>
      <c r="AC47" s="67">
        <f t="shared" si="4"/>
        <v>0</v>
      </c>
      <c r="AD47" s="67">
        <f t="shared" si="5"/>
        <v>0</v>
      </c>
      <c r="AE47" s="68">
        <f t="shared" si="6"/>
        <v>0</v>
      </c>
      <c r="AF47" s="112">
        <f t="shared" si="18"/>
        <v>0</v>
      </c>
      <c r="AG47" s="67"/>
      <c r="AH47" s="67">
        <f t="shared" si="7"/>
        <v>0</v>
      </c>
      <c r="AI47" s="67"/>
      <c r="AJ47" s="67">
        <f t="shared" si="8"/>
        <v>0</v>
      </c>
      <c r="AK47" s="67">
        <f t="shared" si="9"/>
        <v>0</v>
      </c>
      <c r="AL47" s="67">
        <f t="shared" si="10"/>
        <v>0</v>
      </c>
      <c r="AM47" s="67">
        <f t="shared" si="19"/>
        <v>0</v>
      </c>
      <c r="AN47" s="67"/>
      <c r="AO47" s="67">
        <f t="shared" si="11"/>
        <v>0</v>
      </c>
      <c r="AP47" s="67"/>
      <c r="AQ47" s="67"/>
      <c r="AR47" s="67"/>
      <c r="AS47" s="12"/>
      <c r="AT47" s="12"/>
      <c r="AU47" s="12"/>
    </row>
    <row r="48" spans="2:47" s="13" customFormat="1" ht="12.75" customHeight="1" x14ac:dyDescent="0.2">
      <c r="B48" s="87"/>
      <c r="C48" s="139" t="s">
        <v>74</v>
      </c>
      <c r="D48" s="139"/>
      <c r="E48" s="7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/>
      <c r="U48" s="66"/>
      <c r="V48" s="67"/>
      <c r="W48" s="67"/>
      <c r="X48" s="67"/>
      <c r="Y48" s="67"/>
      <c r="Z48" s="103"/>
      <c r="AA48" s="66"/>
      <c r="AB48" s="67"/>
      <c r="AC48" s="67"/>
      <c r="AD48" s="67"/>
      <c r="AE48" s="68"/>
      <c r="AF48" s="112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12"/>
      <c r="AT48" s="12"/>
      <c r="AU48" s="12"/>
    </row>
    <row r="49" spans="2:47" s="13" customFormat="1" ht="12.75" customHeight="1" x14ac:dyDescent="0.2">
      <c r="B49" s="80">
        <v>30</v>
      </c>
      <c r="C49" s="74">
        <v>57350</v>
      </c>
      <c r="D49" s="74">
        <v>57395</v>
      </c>
      <c r="E49" s="74" t="s">
        <v>15</v>
      </c>
      <c r="F49" s="64">
        <f t="shared" ref="F49:F55" si="41">D49-C49</f>
        <v>45</v>
      </c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>
        <v>6</v>
      </c>
      <c r="T49" s="65">
        <v>6</v>
      </c>
      <c r="U49" s="66">
        <f>ROUNDUP(F49*S49,2)</f>
        <v>270</v>
      </c>
      <c r="V49" s="67"/>
      <c r="W49" s="67">
        <f t="shared" ref="W49:W55" si="42">F49</f>
        <v>45</v>
      </c>
      <c r="X49" s="67"/>
      <c r="Y49" s="67"/>
      <c r="Z49" s="103"/>
      <c r="AA49" s="66"/>
      <c r="AB49" s="67"/>
      <c r="AC49" s="67"/>
      <c r="AD49" s="67"/>
      <c r="AE49" s="68"/>
      <c r="AF49" s="112"/>
      <c r="AG49" s="67"/>
      <c r="AH49" s="67"/>
      <c r="AI49" s="67"/>
      <c r="AJ49" s="67"/>
      <c r="AK49" s="67"/>
      <c r="AL49" s="67"/>
      <c r="AM49" s="67"/>
      <c r="AN49" s="67"/>
      <c r="AO49" s="67">
        <f>T49*F49</f>
        <v>270</v>
      </c>
      <c r="AP49" s="67"/>
      <c r="AQ49" s="67">
        <f t="shared" ref="AQ49:AQ56" si="43">F49</f>
        <v>45</v>
      </c>
      <c r="AR49" s="67"/>
      <c r="AS49" s="12"/>
      <c r="AT49" s="12"/>
      <c r="AU49" s="12"/>
    </row>
    <row r="50" spans="2:47" s="13" customFormat="1" ht="12.75" customHeight="1" x14ac:dyDescent="0.2">
      <c r="B50" s="80">
        <v>31</v>
      </c>
      <c r="C50" s="74">
        <v>57350</v>
      </c>
      <c r="D50" s="74">
        <v>57482.5</v>
      </c>
      <c r="E50" s="74" t="s">
        <v>24</v>
      </c>
      <c r="F50" s="64">
        <f t="shared" si="41"/>
        <v>132.5</v>
      </c>
      <c r="G50" s="64"/>
      <c r="H50" s="64"/>
      <c r="I50" s="64"/>
      <c r="J50" s="64"/>
      <c r="K50" s="64"/>
      <c r="L50" s="64"/>
      <c r="M50" s="64"/>
      <c r="N50" s="64">
        <f t="shared" ref="N50:N53" si="44">ROUNDUP(M50*F50,2)</f>
        <v>0</v>
      </c>
      <c r="O50" s="64"/>
      <c r="P50" s="64"/>
      <c r="Q50" s="64"/>
      <c r="R50" s="64"/>
      <c r="S50" s="64">
        <v>6</v>
      </c>
      <c r="T50" s="65">
        <v>6</v>
      </c>
      <c r="U50" s="66">
        <f>ROUNDUP(F50*S50,2)</f>
        <v>795</v>
      </c>
      <c r="V50" s="67"/>
      <c r="W50" s="67">
        <f t="shared" si="42"/>
        <v>132.5</v>
      </c>
      <c r="X50" s="67"/>
      <c r="Y50" s="67"/>
      <c r="Z50" s="103"/>
      <c r="AA50" s="66"/>
      <c r="AB50" s="67"/>
      <c r="AC50" s="67"/>
      <c r="AD50" s="67"/>
      <c r="AE50" s="68"/>
      <c r="AF50" s="112"/>
      <c r="AG50" s="67">
        <f>N50*5/12/27</f>
        <v>0</v>
      </c>
      <c r="AH50" s="67"/>
      <c r="AI50" s="67"/>
      <c r="AJ50" s="67"/>
      <c r="AK50" s="67"/>
      <c r="AL50" s="67"/>
      <c r="AM50" s="67"/>
      <c r="AN50" s="67">
        <f>N50*1.25/12/27</f>
        <v>0</v>
      </c>
      <c r="AO50" s="67">
        <f>T50*F50</f>
        <v>795</v>
      </c>
      <c r="AP50" s="67"/>
      <c r="AQ50" s="67">
        <f t="shared" si="43"/>
        <v>132.5</v>
      </c>
      <c r="AR50" s="67"/>
      <c r="AS50" s="12"/>
      <c r="AT50" s="12"/>
      <c r="AU50" s="12"/>
    </row>
    <row r="51" spans="2:47" s="13" customFormat="1" ht="12.75" customHeight="1" x14ac:dyDescent="0.2">
      <c r="B51" s="80">
        <v>32</v>
      </c>
      <c r="C51" s="74">
        <v>57482.5</v>
      </c>
      <c r="D51" s="74">
        <v>57580.78</v>
      </c>
      <c r="E51" s="74" t="s">
        <v>24</v>
      </c>
      <c r="F51" s="64">
        <f t="shared" ref="F51" si="45">D51-C51</f>
        <v>98.279999999998836</v>
      </c>
      <c r="G51" s="64"/>
      <c r="H51" s="64"/>
      <c r="I51" s="64"/>
      <c r="J51" s="64"/>
      <c r="K51" s="64"/>
      <c r="L51" s="64"/>
      <c r="M51" s="64"/>
      <c r="N51" s="64">
        <f t="shared" ref="N51" si="46">ROUNDUP(M51*F51,2)</f>
        <v>0</v>
      </c>
      <c r="O51" s="64"/>
      <c r="P51" s="64"/>
      <c r="Q51" s="64"/>
      <c r="R51" s="64"/>
      <c r="S51" s="64"/>
      <c r="T51" s="65"/>
      <c r="U51" s="66">
        <f>ROUNDUP(F51*S51,2)</f>
        <v>0</v>
      </c>
      <c r="V51" s="67"/>
      <c r="W51" s="67">
        <f t="shared" si="42"/>
        <v>98.279999999998836</v>
      </c>
      <c r="X51" s="67"/>
      <c r="Y51" s="67"/>
      <c r="Z51" s="103"/>
      <c r="AA51" s="66"/>
      <c r="AB51" s="67"/>
      <c r="AC51" s="67"/>
      <c r="AD51" s="67"/>
      <c r="AE51" s="68"/>
      <c r="AF51" s="112"/>
      <c r="AG51" s="67">
        <f>N51*5/12/27</f>
        <v>0</v>
      </c>
      <c r="AH51" s="67"/>
      <c r="AI51" s="67"/>
      <c r="AJ51" s="67"/>
      <c r="AK51" s="67"/>
      <c r="AL51" s="67"/>
      <c r="AM51" s="67"/>
      <c r="AN51" s="67">
        <f>N51*1.25/12/27</f>
        <v>0</v>
      </c>
      <c r="AO51" s="67">
        <f>T51*F51</f>
        <v>0</v>
      </c>
      <c r="AP51" s="67"/>
      <c r="AQ51" s="67">
        <f t="shared" si="43"/>
        <v>98.279999999998836</v>
      </c>
      <c r="AR51" s="67"/>
      <c r="AS51" s="12"/>
      <c r="AT51" s="12"/>
      <c r="AU51" s="12"/>
    </row>
    <row r="52" spans="2:47" s="13" customFormat="1" ht="12.75" customHeight="1" x14ac:dyDescent="0.2">
      <c r="B52" s="80">
        <v>33</v>
      </c>
      <c r="C52" s="74">
        <v>57580.78</v>
      </c>
      <c r="D52" s="74">
        <v>57590.29</v>
      </c>
      <c r="E52" s="74" t="s">
        <v>24</v>
      </c>
      <c r="F52" s="64">
        <f t="shared" si="41"/>
        <v>9.5100000000020373</v>
      </c>
      <c r="G52" s="64"/>
      <c r="H52" s="64"/>
      <c r="I52" s="64"/>
      <c r="J52" s="64"/>
      <c r="K52" s="64"/>
      <c r="L52" s="64"/>
      <c r="M52" s="64">
        <v>6</v>
      </c>
      <c r="N52" s="64">
        <f t="shared" si="44"/>
        <v>57.07</v>
      </c>
      <c r="O52" s="64"/>
      <c r="P52" s="64"/>
      <c r="Q52" s="64"/>
      <c r="R52" s="64"/>
      <c r="S52" s="64"/>
      <c r="T52" s="65"/>
      <c r="U52" s="66"/>
      <c r="V52" s="67"/>
      <c r="W52" s="67">
        <f t="shared" si="42"/>
        <v>9.5100000000020373</v>
      </c>
      <c r="X52" s="67"/>
      <c r="Y52" s="67"/>
      <c r="Z52" s="103"/>
      <c r="AA52" s="66"/>
      <c r="AB52" s="67"/>
      <c r="AC52" s="67"/>
      <c r="AD52" s="67"/>
      <c r="AE52" s="68"/>
      <c r="AF52" s="112"/>
      <c r="AG52" s="67">
        <f>N52*5/12/27</f>
        <v>0.88070987654320998</v>
      </c>
      <c r="AH52" s="67"/>
      <c r="AI52" s="67"/>
      <c r="AJ52" s="67"/>
      <c r="AK52" s="67"/>
      <c r="AL52" s="67"/>
      <c r="AM52" s="67"/>
      <c r="AN52" s="67">
        <f>N52*1.25/12/27</f>
        <v>0.22017746913580249</v>
      </c>
      <c r="AO52" s="67"/>
      <c r="AP52" s="67"/>
      <c r="AQ52" s="67">
        <f t="shared" si="43"/>
        <v>9.5100000000020373</v>
      </c>
      <c r="AR52" s="67"/>
      <c r="AS52" s="12"/>
      <c r="AT52" s="12"/>
      <c r="AU52" s="12"/>
    </row>
    <row r="53" spans="2:47" s="13" customFormat="1" ht="12.75" customHeight="1" x14ac:dyDescent="0.2">
      <c r="B53" s="80">
        <v>34</v>
      </c>
      <c r="C53" s="74">
        <v>57743</v>
      </c>
      <c r="D53" s="74">
        <v>57757</v>
      </c>
      <c r="E53" s="74" t="s">
        <v>24</v>
      </c>
      <c r="F53" s="64">
        <f t="shared" si="41"/>
        <v>14</v>
      </c>
      <c r="G53" s="64"/>
      <c r="H53" s="64"/>
      <c r="I53" s="64"/>
      <c r="J53" s="64"/>
      <c r="K53" s="64"/>
      <c r="L53" s="64"/>
      <c r="M53" s="64">
        <v>6</v>
      </c>
      <c r="N53" s="64">
        <f t="shared" si="44"/>
        <v>84</v>
      </c>
      <c r="O53" s="64"/>
      <c r="P53" s="64"/>
      <c r="Q53" s="64"/>
      <c r="R53" s="64"/>
      <c r="S53" s="64"/>
      <c r="T53" s="65"/>
      <c r="U53" s="66"/>
      <c r="V53" s="67"/>
      <c r="W53" s="67">
        <f t="shared" si="42"/>
        <v>14</v>
      </c>
      <c r="X53" s="67"/>
      <c r="Y53" s="67"/>
      <c r="Z53" s="103"/>
      <c r="AA53" s="66"/>
      <c r="AB53" s="67"/>
      <c r="AC53" s="67"/>
      <c r="AD53" s="67"/>
      <c r="AE53" s="68"/>
      <c r="AF53" s="112"/>
      <c r="AG53" s="67">
        <f>N53*5/12/27</f>
        <v>1.2962962962962963</v>
      </c>
      <c r="AH53" s="67"/>
      <c r="AI53" s="67"/>
      <c r="AJ53" s="67"/>
      <c r="AK53" s="67"/>
      <c r="AL53" s="67"/>
      <c r="AM53" s="67"/>
      <c r="AN53" s="67">
        <f>N53*1.25/12/27</f>
        <v>0.32407407407407407</v>
      </c>
      <c r="AO53" s="67"/>
      <c r="AP53" s="67"/>
      <c r="AQ53" s="67">
        <f t="shared" si="43"/>
        <v>14</v>
      </c>
      <c r="AR53" s="67"/>
      <c r="AS53" s="12"/>
      <c r="AT53" s="12"/>
      <c r="AU53" s="12"/>
    </row>
    <row r="54" spans="2:47" s="13" customFormat="1" ht="12.75" customHeight="1" x14ac:dyDescent="0.2">
      <c r="B54" s="80">
        <v>35</v>
      </c>
      <c r="C54" s="74">
        <v>57852.800000000003</v>
      </c>
      <c r="D54" s="74">
        <v>57950</v>
      </c>
      <c r="E54" s="74" t="s">
        <v>24</v>
      </c>
      <c r="F54" s="64">
        <f t="shared" si="41"/>
        <v>97.19999999999709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5"/>
      <c r="U54" s="66"/>
      <c r="V54" s="67"/>
      <c r="W54" s="67">
        <f t="shared" si="42"/>
        <v>97.19999999999709</v>
      </c>
      <c r="X54" s="67"/>
      <c r="Y54" s="67"/>
      <c r="Z54" s="103"/>
      <c r="AA54" s="66"/>
      <c r="AB54" s="67"/>
      <c r="AC54" s="67"/>
      <c r="AD54" s="67"/>
      <c r="AE54" s="68"/>
      <c r="AF54" s="112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>
        <f t="shared" si="43"/>
        <v>97.19999999999709</v>
      </c>
      <c r="AR54" s="67"/>
      <c r="AS54" s="12"/>
      <c r="AT54" s="12"/>
      <c r="AU54" s="12"/>
    </row>
    <row r="55" spans="2:47" s="13" customFormat="1" ht="12.75" customHeight="1" x14ac:dyDescent="0.2">
      <c r="B55" s="80">
        <v>36</v>
      </c>
      <c r="C55" s="74">
        <v>57950</v>
      </c>
      <c r="D55" s="74">
        <v>57980</v>
      </c>
      <c r="E55" s="74" t="s">
        <v>24</v>
      </c>
      <c r="F55" s="64">
        <f t="shared" si="41"/>
        <v>30</v>
      </c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5"/>
      <c r="U55" s="66"/>
      <c r="V55" s="67"/>
      <c r="W55" s="67">
        <f t="shared" si="42"/>
        <v>30</v>
      </c>
      <c r="X55" s="67"/>
      <c r="Y55" s="67"/>
      <c r="Z55" s="103"/>
      <c r="AA55" s="66"/>
      <c r="AB55" s="67"/>
      <c r="AC55" s="67"/>
      <c r="AD55" s="67"/>
      <c r="AE55" s="68"/>
      <c r="AF55" s="112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>
        <f t="shared" si="43"/>
        <v>30</v>
      </c>
      <c r="AR55" s="67"/>
      <c r="AS55" s="12"/>
      <c r="AT55" s="12"/>
      <c r="AU55" s="12"/>
    </row>
    <row r="56" spans="2:47" s="13" customFormat="1" ht="12.75" customHeight="1" x14ac:dyDescent="0.2">
      <c r="B56" s="80"/>
      <c r="C56" s="74"/>
      <c r="D56" s="74"/>
      <c r="E56" s="7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5"/>
      <c r="U56" s="66"/>
      <c r="V56" s="67"/>
      <c r="W56" s="67"/>
      <c r="X56" s="67"/>
      <c r="Y56" s="67"/>
      <c r="Z56" s="103"/>
      <c r="AA56" s="66"/>
      <c r="AB56" s="67"/>
      <c r="AC56" s="67"/>
      <c r="AD56" s="67"/>
      <c r="AE56" s="68"/>
      <c r="AF56" s="112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>
        <f t="shared" si="43"/>
        <v>0</v>
      </c>
      <c r="AR56" s="67"/>
      <c r="AS56" s="12"/>
      <c r="AT56" s="12"/>
      <c r="AU56" s="12"/>
    </row>
    <row r="57" spans="2:47" s="5" customFormat="1" ht="12.75" customHeight="1" x14ac:dyDescent="0.2">
      <c r="B57" s="86"/>
      <c r="C57" s="139" t="s">
        <v>23</v>
      </c>
      <c r="D57" s="139"/>
      <c r="E57" s="7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5"/>
      <c r="U57" s="66"/>
      <c r="V57" s="67"/>
      <c r="W57" s="67"/>
      <c r="X57" s="67"/>
      <c r="Y57" s="67">
        <f t="shared" ref="Y57:Y83" si="47">ROUNDUP((R57+N57)/9,2)</f>
        <v>0</v>
      </c>
      <c r="Z57" s="103">
        <f t="shared" ref="Z57:Z83" si="48">ROUNDUP(J57/9,2)</f>
        <v>0</v>
      </c>
      <c r="AA57" s="66"/>
      <c r="AB57" s="67">
        <f t="shared" ref="AB57:AB83" si="49">(R57*9)/12/27</f>
        <v>0</v>
      </c>
      <c r="AC57" s="67">
        <f t="shared" ref="AC57:AC83" si="50">(R57*6)/12/27</f>
        <v>0</v>
      </c>
      <c r="AD57" s="67">
        <f t="shared" ref="AD57:AD83" si="51">ROUNDUP(R57*0.055/9,2)</f>
        <v>0</v>
      </c>
      <c r="AE57" s="68">
        <f t="shared" ref="AE57:AE83" si="52">(R57*1.75)/12/27</f>
        <v>0</v>
      </c>
      <c r="AF57" s="112">
        <f t="shared" ref="AF57:AF83" si="53">(N57*9)/12/27</f>
        <v>0</v>
      </c>
      <c r="AG57" s="67"/>
      <c r="AH57" s="67">
        <f t="shared" ref="AH57:AH83" si="54">(N57*6)/12/27</f>
        <v>0</v>
      </c>
      <c r="AI57" s="67"/>
      <c r="AJ57" s="67">
        <f t="shared" ref="AJ57:AJ83" si="55">ROUNDUP(J57*0.085/9,2)</f>
        <v>0</v>
      </c>
      <c r="AK57" s="67">
        <f t="shared" ref="AK57:AK85" si="56">ROUNDUP((N57+R57)*0.055/9,2)</f>
        <v>0</v>
      </c>
      <c r="AL57" s="67">
        <f t="shared" ref="AL57:AL83" si="57">(N57*1.75)/12/27</f>
        <v>0</v>
      </c>
      <c r="AM57" s="67">
        <f t="shared" ref="AM57:AM83" si="58">ROUNDUP((J57+N57+R57)*1.25/12/27,2)</f>
        <v>0</v>
      </c>
      <c r="AN57" s="67"/>
      <c r="AO57" s="67">
        <f>T57*F57</f>
        <v>0</v>
      </c>
      <c r="AP57" s="67"/>
      <c r="AQ57" s="67"/>
      <c r="AR57" s="67"/>
      <c r="AS57" s="4"/>
      <c r="AT57" s="4"/>
      <c r="AU57" s="4"/>
    </row>
    <row r="58" spans="2:47" s="13" customFormat="1" ht="12.75" customHeight="1" x14ac:dyDescent="0.2">
      <c r="B58" s="80">
        <v>37</v>
      </c>
      <c r="C58" s="74">
        <v>1562</v>
      </c>
      <c r="D58" s="74">
        <v>1577</v>
      </c>
      <c r="E58" s="74" t="s">
        <v>24</v>
      </c>
      <c r="F58" s="64">
        <f>D58-C58</f>
        <v>15</v>
      </c>
      <c r="G58" s="64">
        <v>13.5</v>
      </c>
      <c r="H58" s="64">
        <v>13.96</v>
      </c>
      <c r="I58" s="64">
        <f t="shared" ref="I58:I66" si="59">ROUNDUP((H58+G58)/2,2)</f>
        <v>13.73</v>
      </c>
      <c r="J58" s="64">
        <f t="shared" ref="J58:J65" si="60">ROUNDUP(F58*I58,2)</f>
        <v>205.95</v>
      </c>
      <c r="K58" s="64">
        <f>1+0.5</f>
        <v>1.5</v>
      </c>
      <c r="L58" s="64">
        <v>6.04</v>
      </c>
      <c r="M58" s="64">
        <f t="shared" ref="M58:M73" si="61">ROUNDUP((L58+K58)/2,2)</f>
        <v>3.77</v>
      </c>
      <c r="N58" s="64">
        <f>ROUNDUP(M58*F58,2)</f>
        <v>56.55</v>
      </c>
      <c r="O58" s="64">
        <v>0.5</v>
      </c>
      <c r="P58" s="64">
        <v>0</v>
      </c>
      <c r="Q58" s="64">
        <f t="shared" ref="Q58:Q65" si="62">ROUNDUP((P58+O58)/2,2)</f>
        <v>0.25</v>
      </c>
      <c r="R58" s="64">
        <f t="shared" ref="R58:R73" si="63">ROUNDUP(F58*Q58,2)</f>
        <v>3.75</v>
      </c>
      <c r="S58" s="64">
        <v>5</v>
      </c>
      <c r="T58" s="65">
        <v>5</v>
      </c>
      <c r="U58" s="66">
        <f t="shared" ref="U58:U59" si="64">ROUNDUP(F58*S58,2)</f>
        <v>75</v>
      </c>
      <c r="V58" s="67">
        <f t="shared" ref="V58:V66" si="65">F58</f>
        <v>15</v>
      </c>
      <c r="W58" s="67"/>
      <c r="X58" s="67"/>
      <c r="Y58" s="67">
        <f t="shared" si="47"/>
        <v>6.7</v>
      </c>
      <c r="Z58" s="103">
        <f t="shared" si="48"/>
        <v>22.89</v>
      </c>
      <c r="AA58" s="66"/>
      <c r="AB58" s="67">
        <f t="shared" si="49"/>
        <v>0.10416666666666667</v>
      </c>
      <c r="AC58" s="67">
        <f t="shared" si="50"/>
        <v>6.9444444444444448E-2</v>
      </c>
      <c r="AD58" s="67">
        <f t="shared" si="51"/>
        <v>0.03</v>
      </c>
      <c r="AE58" s="68">
        <f t="shared" si="52"/>
        <v>2.0254629629629629E-2</v>
      </c>
      <c r="AF58" s="112">
        <f t="shared" si="53"/>
        <v>1.5708333333333333</v>
      </c>
      <c r="AG58" s="67"/>
      <c r="AH58" s="67">
        <f t="shared" si="54"/>
        <v>1.0472222222222221</v>
      </c>
      <c r="AI58" s="67"/>
      <c r="AJ58" s="67">
        <f t="shared" si="55"/>
        <v>1.95</v>
      </c>
      <c r="AK58" s="67">
        <f t="shared" si="56"/>
        <v>0.37</v>
      </c>
      <c r="AL58" s="67">
        <f t="shared" si="57"/>
        <v>0.3054398148148148</v>
      </c>
      <c r="AM58" s="67">
        <f t="shared" si="58"/>
        <v>1.03</v>
      </c>
      <c r="AN58" s="67"/>
      <c r="AO58" s="67">
        <f>T58*F58</f>
        <v>75</v>
      </c>
      <c r="AP58" s="67"/>
      <c r="AQ58" s="67"/>
      <c r="AR58" s="67"/>
      <c r="AS58" s="12"/>
      <c r="AT58" s="12"/>
      <c r="AU58" s="12"/>
    </row>
    <row r="59" spans="2:47" s="13" customFormat="1" ht="12.75" customHeight="1" x14ac:dyDescent="0.2">
      <c r="B59" s="80">
        <v>38</v>
      </c>
      <c r="C59" s="120">
        <v>1577</v>
      </c>
      <c r="D59" s="120">
        <v>1586.01</v>
      </c>
      <c r="E59" s="120" t="s">
        <v>24</v>
      </c>
      <c r="F59" s="64">
        <f t="shared" ref="F59:F72" si="66">D59-C59</f>
        <v>9.0099999999999909</v>
      </c>
      <c r="G59" s="64">
        <f>H58</f>
        <v>13.96</v>
      </c>
      <c r="H59" s="73">
        <v>13.92</v>
      </c>
      <c r="I59" s="64">
        <f t="shared" si="59"/>
        <v>13.94</v>
      </c>
      <c r="J59" s="64">
        <f t="shared" si="60"/>
        <v>125.60000000000001</v>
      </c>
      <c r="K59" s="64">
        <f t="shared" ref="K59:K66" si="67">L58</f>
        <v>6.04</v>
      </c>
      <c r="L59" s="64">
        <v>6.08</v>
      </c>
      <c r="M59" s="64">
        <f t="shared" si="61"/>
        <v>6.06</v>
      </c>
      <c r="N59" s="64">
        <f t="shared" ref="N59:N65" si="68">ROUNDUP(M59*F59,2)</f>
        <v>54.61</v>
      </c>
      <c r="O59" s="64"/>
      <c r="P59" s="64"/>
      <c r="Q59" s="64">
        <f t="shared" si="62"/>
        <v>0</v>
      </c>
      <c r="R59" s="64">
        <f t="shared" si="63"/>
        <v>0</v>
      </c>
      <c r="S59" s="64">
        <v>5</v>
      </c>
      <c r="T59" s="65">
        <v>5</v>
      </c>
      <c r="U59" s="66">
        <f t="shared" si="64"/>
        <v>45.05</v>
      </c>
      <c r="V59" s="67">
        <f t="shared" si="65"/>
        <v>9.0099999999999909</v>
      </c>
      <c r="W59" s="67"/>
      <c r="X59" s="67"/>
      <c r="Y59" s="67">
        <f t="shared" si="47"/>
        <v>6.0699999999999994</v>
      </c>
      <c r="Z59" s="103">
        <f t="shared" si="48"/>
        <v>13.959999999999999</v>
      </c>
      <c r="AA59" s="66"/>
      <c r="AB59" s="67">
        <f t="shared" si="49"/>
        <v>0</v>
      </c>
      <c r="AC59" s="67">
        <f t="shared" si="50"/>
        <v>0</v>
      </c>
      <c r="AD59" s="67">
        <f t="shared" si="51"/>
        <v>0</v>
      </c>
      <c r="AE59" s="68">
        <f t="shared" si="52"/>
        <v>0</v>
      </c>
      <c r="AF59" s="112">
        <f t="shared" si="53"/>
        <v>1.5169444444444447</v>
      </c>
      <c r="AG59" s="67"/>
      <c r="AH59" s="67">
        <f t="shared" si="54"/>
        <v>1.0112962962962961</v>
      </c>
      <c r="AI59" s="67"/>
      <c r="AJ59" s="67">
        <f t="shared" si="55"/>
        <v>1.19</v>
      </c>
      <c r="AK59" s="67">
        <f t="shared" si="56"/>
        <v>0.34</v>
      </c>
      <c r="AL59" s="67">
        <f t="shared" si="57"/>
        <v>0.29496141975308643</v>
      </c>
      <c r="AM59" s="67">
        <f t="shared" si="58"/>
        <v>0.7</v>
      </c>
      <c r="AN59" s="67"/>
      <c r="AO59" s="67">
        <f>T59*F59</f>
        <v>45.049999999999955</v>
      </c>
      <c r="AP59" s="67"/>
      <c r="AQ59" s="67"/>
      <c r="AR59" s="67">
        <f t="shared" ref="AR59:AR66" si="69">F59</f>
        <v>9.0099999999999909</v>
      </c>
      <c r="AS59" s="12"/>
      <c r="AT59" s="12"/>
      <c r="AU59" s="12"/>
    </row>
    <row r="60" spans="2:47" s="13" customFormat="1" ht="12.75" customHeight="1" x14ac:dyDescent="0.2">
      <c r="B60" s="80">
        <v>39</v>
      </c>
      <c r="C60" s="120">
        <v>1586.01</v>
      </c>
      <c r="D60" s="120">
        <v>1625</v>
      </c>
      <c r="E60" s="120" t="s">
        <v>24</v>
      </c>
      <c r="F60" s="64">
        <f t="shared" ref="F60" si="70">D60-C60</f>
        <v>38.990000000000009</v>
      </c>
      <c r="G60" s="64">
        <f t="shared" ref="G60:G66" si="71">H59</f>
        <v>13.92</v>
      </c>
      <c r="H60" s="73">
        <v>13.94</v>
      </c>
      <c r="I60" s="64">
        <v>13.94</v>
      </c>
      <c r="J60" s="64">
        <f t="shared" ref="J60" si="72">ROUNDUP(F60*I60,2)</f>
        <v>543.53</v>
      </c>
      <c r="K60" s="64">
        <f t="shared" si="67"/>
        <v>6.08</v>
      </c>
      <c r="L60" s="64">
        <v>6.06</v>
      </c>
      <c r="M60" s="64">
        <f t="shared" ref="M60" si="73">ROUNDUP((L60+K60)/2,2)</f>
        <v>6.07</v>
      </c>
      <c r="N60" s="64">
        <f t="shared" ref="N60" si="74">ROUNDUP(M60*F60,2)</f>
        <v>236.67</v>
      </c>
      <c r="O60" s="64"/>
      <c r="P60" s="64"/>
      <c r="Q60" s="64">
        <f t="shared" ref="Q60" si="75">ROUNDUP((P60+O60)/2,2)</f>
        <v>0</v>
      </c>
      <c r="R60" s="64">
        <f t="shared" ref="R60" si="76">ROUNDUP(F60*Q60,2)</f>
        <v>0</v>
      </c>
      <c r="S60" s="64">
        <v>0</v>
      </c>
      <c r="T60" s="65">
        <v>0</v>
      </c>
      <c r="U60" s="66">
        <f t="shared" ref="U60" si="77">ROUNDUP(F60*S60,2)</f>
        <v>0</v>
      </c>
      <c r="V60" s="67">
        <f t="shared" si="65"/>
        <v>38.990000000000009</v>
      </c>
      <c r="W60" s="67"/>
      <c r="X60" s="67"/>
      <c r="Y60" s="67">
        <f t="shared" si="47"/>
        <v>26.3</v>
      </c>
      <c r="Z60" s="103">
        <f t="shared" si="48"/>
        <v>60.4</v>
      </c>
      <c r="AA60" s="66"/>
      <c r="AB60" s="67">
        <f t="shared" si="49"/>
        <v>0</v>
      </c>
      <c r="AC60" s="67">
        <f t="shared" si="50"/>
        <v>0</v>
      </c>
      <c r="AD60" s="67">
        <f t="shared" si="51"/>
        <v>0</v>
      </c>
      <c r="AE60" s="68">
        <f t="shared" si="52"/>
        <v>0</v>
      </c>
      <c r="AF60" s="112">
        <f t="shared" si="53"/>
        <v>6.5741666666666658</v>
      </c>
      <c r="AG60" s="67"/>
      <c r="AH60" s="67">
        <f t="shared" si="54"/>
        <v>4.3827777777777772</v>
      </c>
      <c r="AI60" s="67"/>
      <c r="AJ60" s="67">
        <f t="shared" si="55"/>
        <v>5.14</v>
      </c>
      <c r="AK60" s="67">
        <f t="shared" si="56"/>
        <v>1.45</v>
      </c>
      <c r="AL60" s="67">
        <f t="shared" si="57"/>
        <v>1.278310185185185</v>
      </c>
      <c r="AM60" s="67">
        <f t="shared" si="58"/>
        <v>3.0199999999999996</v>
      </c>
      <c r="AN60" s="67"/>
      <c r="AO60" s="67">
        <f>T60*F60</f>
        <v>0</v>
      </c>
      <c r="AP60" s="67"/>
      <c r="AQ60" s="67"/>
      <c r="AR60" s="67">
        <f t="shared" si="69"/>
        <v>38.990000000000009</v>
      </c>
      <c r="AS60" s="12"/>
      <c r="AT60" s="12"/>
      <c r="AU60" s="12"/>
    </row>
    <row r="61" spans="2:47" s="13" customFormat="1" ht="12.75" customHeight="1" x14ac:dyDescent="0.2">
      <c r="B61" s="80">
        <v>40</v>
      </c>
      <c r="C61" s="120">
        <v>1625</v>
      </c>
      <c r="D61" s="120">
        <v>1646.42</v>
      </c>
      <c r="E61" s="120" t="s">
        <v>24</v>
      </c>
      <c r="F61" s="64">
        <f t="shared" si="66"/>
        <v>21.420000000000073</v>
      </c>
      <c r="G61" s="73">
        <f t="shared" si="71"/>
        <v>13.94</v>
      </c>
      <c r="H61" s="64">
        <v>14.14</v>
      </c>
      <c r="I61" s="64">
        <f t="shared" si="59"/>
        <v>14.04</v>
      </c>
      <c r="J61" s="64">
        <f t="shared" si="60"/>
        <v>300.74</v>
      </c>
      <c r="K61" s="64">
        <f t="shared" si="67"/>
        <v>6.06</v>
      </c>
      <c r="L61" s="64">
        <v>5.86</v>
      </c>
      <c r="M61" s="64">
        <f t="shared" si="61"/>
        <v>5.96</v>
      </c>
      <c r="N61" s="64">
        <f t="shared" si="68"/>
        <v>127.67</v>
      </c>
      <c r="O61" s="64"/>
      <c r="P61" s="64"/>
      <c r="Q61" s="64">
        <f t="shared" si="62"/>
        <v>0</v>
      </c>
      <c r="R61" s="64">
        <f t="shared" si="63"/>
        <v>0</v>
      </c>
      <c r="S61" s="64">
        <v>0</v>
      </c>
      <c r="T61" s="65">
        <v>0</v>
      </c>
      <c r="U61" s="66">
        <f>ROUNDUP(F61*S61,2)</f>
        <v>0</v>
      </c>
      <c r="V61" s="67">
        <f t="shared" si="65"/>
        <v>21.420000000000073</v>
      </c>
      <c r="W61" s="67"/>
      <c r="X61" s="67"/>
      <c r="Y61" s="67">
        <f t="shared" si="47"/>
        <v>14.19</v>
      </c>
      <c r="Z61" s="103">
        <f t="shared" si="48"/>
        <v>33.419999999999995</v>
      </c>
      <c r="AA61" s="66"/>
      <c r="AB61" s="67">
        <f t="shared" si="49"/>
        <v>0</v>
      </c>
      <c r="AC61" s="67">
        <f t="shared" si="50"/>
        <v>0</v>
      </c>
      <c r="AD61" s="67">
        <f t="shared" si="51"/>
        <v>0</v>
      </c>
      <c r="AE61" s="68">
        <f t="shared" si="52"/>
        <v>0</v>
      </c>
      <c r="AF61" s="112">
        <f t="shared" si="53"/>
        <v>3.5463888888888886</v>
      </c>
      <c r="AG61" s="67"/>
      <c r="AH61" s="67">
        <f t="shared" si="54"/>
        <v>2.3642592592592595</v>
      </c>
      <c r="AI61" s="67"/>
      <c r="AJ61" s="67">
        <f t="shared" si="55"/>
        <v>2.8499999999999996</v>
      </c>
      <c r="AK61" s="67">
        <f t="shared" si="56"/>
        <v>0.79</v>
      </c>
      <c r="AL61" s="67">
        <f t="shared" si="57"/>
        <v>0.68957561728395067</v>
      </c>
      <c r="AM61" s="67">
        <f t="shared" si="58"/>
        <v>1.66</v>
      </c>
      <c r="AN61" s="67"/>
      <c r="AO61" s="67">
        <f>T61*(F61-1645.08+C61)</f>
        <v>0</v>
      </c>
      <c r="AP61" s="67"/>
      <c r="AQ61" s="67"/>
      <c r="AR61" s="67">
        <f t="shared" si="69"/>
        <v>21.420000000000073</v>
      </c>
      <c r="AS61" s="12"/>
      <c r="AT61" s="12"/>
      <c r="AU61" s="12"/>
    </row>
    <row r="62" spans="2:47" s="13" customFormat="1" ht="12.75" customHeight="1" x14ac:dyDescent="0.2">
      <c r="B62" s="80">
        <v>41</v>
      </c>
      <c r="C62" s="120">
        <v>1646.42</v>
      </c>
      <c r="D62" s="120">
        <v>1720</v>
      </c>
      <c r="E62" s="120" t="s">
        <v>24</v>
      </c>
      <c r="F62" s="64">
        <f>D62-C62</f>
        <v>73.579999999999927</v>
      </c>
      <c r="G62" s="73">
        <f>H61</f>
        <v>14.14</v>
      </c>
      <c r="H62" s="64">
        <v>15.71</v>
      </c>
      <c r="I62" s="64">
        <f>ROUNDUP((H62+G62)/2,2)</f>
        <v>14.93</v>
      </c>
      <c r="J62" s="64">
        <f>ROUNDUP(F62*I62,2)</f>
        <v>1098.55</v>
      </c>
      <c r="K62" s="64">
        <f>L61</f>
        <v>5.86</v>
      </c>
      <c r="L62" s="64">
        <v>4.29</v>
      </c>
      <c r="M62" s="64">
        <f>ROUNDUP((L62+K62)/2,2)</f>
        <v>5.08</v>
      </c>
      <c r="N62" s="64">
        <f>ROUNDUP(M62*F62,2)</f>
        <v>373.78999999999996</v>
      </c>
      <c r="O62" s="64"/>
      <c r="P62" s="64"/>
      <c r="Q62" s="64">
        <f>ROUNDUP((P62+O62)/2,2)</f>
        <v>0</v>
      </c>
      <c r="R62" s="64">
        <f>ROUNDUP(F62*Q62,2)</f>
        <v>0</v>
      </c>
      <c r="S62" s="64">
        <v>5</v>
      </c>
      <c r="T62" s="65">
        <v>5</v>
      </c>
      <c r="U62" s="66">
        <f>ROUNDUP(F62*S62,2)</f>
        <v>367.9</v>
      </c>
      <c r="V62" s="67">
        <f>F62</f>
        <v>73.579999999999927</v>
      </c>
      <c r="W62" s="67"/>
      <c r="X62" s="67"/>
      <c r="Y62" s="67">
        <f t="shared" si="47"/>
        <v>41.54</v>
      </c>
      <c r="Z62" s="103">
        <f t="shared" si="48"/>
        <v>122.07000000000001</v>
      </c>
      <c r="AA62" s="66"/>
      <c r="AB62" s="67">
        <f t="shared" si="49"/>
        <v>0</v>
      </c>
      <c r="AC62" s="67">
        <f t="shared" si="50"/>
        <v>0</v>
      </c>
      <c r="AD62" s="67">
        <f t="shared" si="51"/>
        <v>0</v>
      </c>
      <c r="AE62" s="68">
        <f t="shared" si="52"/>
        <v>0</v>
      </c>
      <c r="AF62" s="112">
        <f t="shared" si="53"/>
        <v>10.383055555555554</v>
      </c>
      <c r="AG62" s="67"/>
      <c r="AH62" s="67">
        <f t="shared" si="54"/>
        <v>6.9220370370370361</v>
      </c>
      <c r="AI62" s="67"/>
      <c r="AJ62" s="67">
        <f t="shared" si="55"/>
        <v>10.379999999999999</v>
      </c>
      <c r="AK62" s="67">
        <f t="shared" si="56"/>
        <v>2.2899999999999996</v>
      </c>
      <c r="AL62" s="67">
        <f t="shared" si="57"/>
        <v>2.0189274691358023</v>
      </c>
      <c r="AM62" s="67">
        <f t="shared" si="58"/>
        <v>5.6899999999999995</v>
      </c>
      <c r="AN62" s="67"/>
      <c r="AO62" s="67">
        <f>T62*(F62-1645.08+C62)</f>
        <v>374.60000000000036</v>
      </c>
      <c r="AP62" s="67"/>
      <c r="AQ62" s="67"/>
      <c r="AR62" s="67">
        <f t="shared" si="69"/>
        <v>73.579999999999927</v>
      </c>
      <c r="AS62" s="12"/>
      <c r="AT62" s="12"/>
      <c r="AU62" s="12"/>
    </row>
    <row r="63" spans="2:47" s="13" customFormat="1" ht="12.75" customHeight="1" x14ac:dyDescent="0.2">
      <c r="B63" s="80">
        <v>41</v>
      </c>
      <c r="C63" s="120">
        <v>1720</v>
      </c>
      <c r="D63" s="120">
        <v>1758</v>
      </c>
      <c r="E63" s="120" t="s">
        <v>24</v>
      </c>
      <c r="F63" s="64">
        <f>D63-C63</f>
        <v>38</v>
      </c>
      <c r="G63" s="73">
        <f>H62</f>
        <v>15.71</v>
      </c>
      <c r="H63" s="64">
        <v>16.559999999999999</v>
      </c>
      <c r="I63" s="64">
        <f>ROUNDUP((H63+G63)/2,2)</f>
        <v>16.14</v>
      </c>
      <c r="J63" s="64">
        <f>ROUNDUP(F63*I63,2)</f>
        <v>613.32000000000005</v>
      </c>
      <c r="K63" s="64">
        <f>L62</f>
        <v>4.29</v>
      </c>
      <c r="L63" s="64">
        <v>3.44</v>
      </c>
      <c r="M63" s="64">
        <f>ROUNDUP((L63+K63)/2,2)</f>
        <v>3.8699999999999997</v>
      </c>
      <c r="N63" s="64">
        <f>ROUNDUP(M63*F63,2)</f>
        <v>147.06</v>
      </c>
      <c r="O63" s="64"/>
      <c r="P63" s="64"/>
      <c r="Q63" s="64">
        <f>ROUNDUP((P63+O63)/2,2)</f>
        <v>0</v>
      </c>
      <c r="R63" s="64">
        <f>ROUNDUP(F63*Q63,2)</f>
        <v>0</v>
      </c>
      <c r="S63" s="64">
        <v>5</v>
      </c>
      <c r="T63" s="65">
        <v>5</v>
      </c>
      <c r="U63" s="66">
        <f>ROUNDUP(F63*S63,2)</f>
        <v>190</v>
      </c>
      <c r="V63" s="67">
        <f>F63</f>
        <v>38</v>
      </c>
      <c r="W63" s="67"/>
      <c r="X63" s="67"/>
      <c r="Y63" s="67">
        <f t="shared" si="47"/>
        <v>16.34</v>
      </c>
      <c r="Z63" s="103">
        <f t="shared" si="48"/>
        <v>68.150000000000006</v>
      </c>
      <c r="AA63" s="66"/>
      <c r="AB63" s="67">
        <f t="shared" si="49"/>
        <v>0</v>
      </c>
      <c r="AC63" s="67">
        <f t="shared" si="50"/>
        <v>0</v>
      </c>
      <c r="AD63" s="67">
        <f t="shared" si="51"/>
        <v>0</v>
      </c>
      <c r="AE63" s="68">
        <f t="shared" si="52"/>
        <v>0</v>
      </c>
      <c r="AF63" s="112">
        <f t="shared" si="53"/>
        <v>4.085</v>
      </c>
      <c r="AG63" s="67"/>
      <c r="AH63" s="67">
        <f t="shared" si="54"/>
        <v>2.7233333333333332</v>
      </c>
      <c r="AI63" s="67"/>
      <c r="AJ63" s="67">
        <f t="shared" si="55"/>
        <v>5.8</v>
      </c>
      <c r="AK63" s="67">
        <f t="shared" si="56"/>
        <v>0.9</v>
      </c>
      <c r="AL63" s="67">
        <f t="shared" si="57"/>
        <v>0.79430555555555571</v>
      </c>
      <c r="AM63" s="67">
        <f t="shared" si="58"/>
        <v>2.94</v>
      </c>
      <c r="AN63" s="67"/>
      <c r="AO63" s="67">
        <f>T63*(F63-1645.08+C63)</f>
        <v>564.60000000000036</v>
      </c>
      <c r="AP63" s="67"/>
      <c r="AQ63" s="67"/>
      <c r="AR63" s="67">
        <f t="shared" si="69"/>
        <v>38</v>
      </c>
      <c r="AS63" s="12"/>
      <c r="AT63" s="12"/>
      <c r="AU63" s="12"/>
    </row>
    <row r="64" spans="2:47" s="13" customFormat="1" ht="12.75" customHeight="1" x14ac:dyDescent="0.2">
      <c r="B64" s="80">
        <v>42</v>
      </c>
      <c r="C64" s="120">
        <v>1758</v>
      </c>
      <c r="D64" s="120">
        <v>1807.01</v>
      </c>
      <c r="E64" s="120" t="s">
        <v>24</v>
      </c>
      <c r="F64" s="64">
        <f t="shared" si="66"/>
        <v>49.009999999999991</v>
      </c>
      <c r="G64" s="64">
        <f>H63</f>
        <v>16.559999999999999</v>
      </c>
      <c r="H64" s="64">
        <v>16.98</v>
      </c>
      <c r="I64" s="64">
        <f t="shared" si="59"/>
        <v>16.77</v>
      </c>
      <c r="J64" s="64">
        <f t="shared" si="60"/>
        <v>821.9</v>
      </c>
      <c r="K64" s="64">
        <f>L63</f>
        <v>3.44</v>
      </c>
      <c r="L64" s="64">
        <v>3.02</v>
      </c>
      <c r="M64" s="64">
        <f t="shared" si="61"/>
        <v>3.23</v>
      </c>
      <c r="N64" s="64">
        <f t="shared" si="68"/>
        <v>158.31</v>
      </c>
      <c r="O64" s="64"/>
      <c r="P64" s="64"/>
      <c r="Q64" s="64">
        <f t="shared" si="62"/>
        <v>0</v>
      </c>
      <c r="R64" s="64">
        <f t="shared" si="63"/>
        <v>0</v>
      </c>
      <c r="S64" s="64">
        <v>5</v>
      </c>
      <c r="T64" s="65">
        <v>5</v>
      </c>
      <c r="U64" s="66">
        <f>ROUNDUP(S64*(F64-(1851.54-1807.08)),2)</f>
        <v>22.75</v>
      </c>
      <c r="V64" s="67">
        <f t="shared" si="65"/>
        <v>49.009999999999991</v>
      </c>
      <c r="W64" s="67"/>
      <c r="X64" s="67"/>
      <c r="Y64" s="67">
        <f t="shared" si="47"/>
        <v>17.59</v>
      </c>
      <c r="Z64" s="103">
        <f t="shared" si="48"/>
        <v>91.33</v>
      </c>
      <c r="AA64" s="66"/>
      <c r="AB64" s="67">
        <f t="shared" si="49"/>
        <v>0</v>
      </c>
      <c r="AC64" s="67">
        <f t="shared" si="50"/>
        <v>0</v>
      </c>
      <c r="AD64" s="67">
        <f t="shared" si="51"/>
        <v>0</v>
      </c>
      <c r="AE64" s="68">
        <f t="shared" si="52"/>
        <v>0</v>
      </c>
      <c r="AF64" s="112">
        <f t="shared" si="53"/>
        <v>4.3975</v>
      </c>
      <c r="AG64" s="67"/>
      <c r="AH64" s="67">
        <f t="shared" si="54"/>
        <v>2.9316666666666666</v>
      </c>
      <c r="AI64" s="67"/>
      <c r="AJ64" s="67">
        <f t="shared" si="55"/>
        <v>7.77</v>
      </c>
      <c r="AK64" s="67">
        <f t="shared" si="56"/>
        <v>0.97</v>
      </c>
      <c r="AL64" s="67">
        <f t="shared" si="57"/>
        <v>0.85506944444444455</v>
      </c>
      <c r="AM64" s="67">
        <f t="shared" si="58"/>
        <v>3.7899999999999996</v>
      </c>
      <c r="AN64" s="67"/>
      <c r="AO64" s="67">
        <f>T64*(F64-(1851.54-1807.08))</f>
        <v>22.749999999999773</v>
      </c>
      <c r="AP64" s="67"/>
      <c r="AQ64" s="67"/>
      <c r="AR64" s="67">
        <f t="shared" si="69"/>
        <v>49.009999999999991</v>
      </c>
      <c r="AS64" s="12"/>
      <c r="AT64" s="12"/>
      <c r="AU64" s="12"/>
    </row>
    <row r="65" spans="2:47" s="13" customFormat="1" ht="12.75" customHeight="1" x14ac:dyDescent="0.2">
      <c r="B65" s="80">
        <v>43</v>
      </c>
      <c r="C65" s="120">
        <v>1807.01</v>
      </c>
      <c r="D65" s="120">
        <v>1851.48</v>
      </c>
      <c r="E65" s="120" t="s">
        <v>24</v>
      </c>
      <c r="F65" s="64">
        <f t="shared" si="66"/>
        <v>44.470000000000027</v>
      </c>
      <c r="G65" s="64">
        <f t="shared" si="71"/>
        <v>16.98</v>
      </c>
      <c r="H65" s="64">
        <v>17.29</v>
      </c>
      <c r="I65" s="64">
        <f t="shared" si="59"/>
        <v>17.14</v>
      </c>
      <c r="J65" s="64">
        <f t="shared" si="60"/>
        <v>762.22</v>
      </c>
      <c r="K65" s="64">
        <f t="shared" si="67"/>
        <v>3.02</v>
      </c>
      <c r="L65" s="64">
        <v>2.71</v>
      </c>
      <c r="M65" s="64">
        <f t="shared" si="61"/>
        <v>2.8699999999999997</v>
      </c>
      <c r="N65" s="64">
        <f t="shared" si="68"/>
        <v>127.63000000000001</v>
      </c>
      <c r="O65" s="64"/>
      <c r="P65" s="64"/>
      <c r="Q65" s="64">
        <f t="shared" si="62"/>
        <v>0</v>
      </c>
      <c r="R65" s="64">
        <f t="shared" si="63"/>
        <v>0</v>
      </c>
      <c r="S65" s="64">
        <v>0</v>
      </c>
      <c r="T65" s="65">
        <v>0</v>
      </c>
      <c r="U65" s="66">
        <f>ROUNDUP(S65*(F65-(1851.54-1807.08)),2)</f>
        <v>0</v>
      </c>
      <c r="V65" s="67">
        <f t="shared" si="65"/>
        <v>44.470000000000027</v>
      </c>
      <c r="W65" s="67"/>
      <c r="X65" s="67"/>
      <c r="Y65" s="67">
        <f t="shared" si="47"/>
        <v>14.19</v>
      </c>
      <c r="Z65" s="103">
        <f t="shared" si="48"/>
        <v>84.7</v>
      </c>
      <c r="AA65" s="66"/>
      <c r="AB65" s="67">
        <f t="shared" si="49"/>
        <v>0</v>
      </c>
      <c r="AC65" s="67">
        <f t="shared" si="50"/>
        <v>0</v>
      </c>
      <c r="AD65" s="67">
        <f t="shared" si="51"/>
        <v>0</v>
      </c>
      <c r="AE65" s="68">
        <f t="shared" si="52"/>
        <v>0</v>
      </c>
      <c r="AF65" s="112">
        <f t="shared" si="53"/>
        <v>3.5452777777777782</v>
      </c>
      <c r="AG65" s="67"/>
      <c r="AH65" s="67">
        <f t="shared" si="54"/>
        <v>2.3635185185185188</v>
      </c>
      <c r="AI65" s="67"/>
      <c r="AJ65" s="67">
        <f t="shared" si="55"/>
        <v>7.2</v>
      </c>
      <c r="AK65" s="67">
        <f t="shared" si="56"/>
        <v>0.78</v>
      </c>
      <c r="AL65" s="67">
        <f t="shared" si="57"/>
        <v>0.68935956790123454</v>
      </c>
      <c r="AM65" s="67">
        <f t="shared" si="58"/>
        <v>3.44</v>
      </c>
      <c r="AN65" s="67"/>
      <c r="AO65" s="67">
        <f>T65*(F65-(1851.54-1807.08))</f>
        <v>0</v>
      </c>
      <c r="AP65" s="67"/>
      <c r="AQ65" s="67"/>
      <c r="AR65" s="67">
        <f t="shared" si="69"/>
        <v>44.470000000000027</v>
      </c>
      <c r="AS65" s="12"/>
      <c r="AT65" s="12"/>
      <c r="AU65" s="12"/>
    </row>
    <row r="66" spans="2:47" s="13" customFormat="1" ht="12.75" customHeight="1" x14ac:dyDescent="0.2">
      <c r="B66" s="80">
        <v>44</v>
      </c>
      <c r="C66" s="120">
        <v>1851.48</v>
      </c>
      <c r="D66" s="120">
        <v>1854.8</v>
      </c>
      <c r="E66" s="120" t="s">
        <v>24</v>
      </c>
      <c r="F66" s="64">
        <f t="shared" ref="F66" si="78">D66-C66</f>
        <v>3.3199999999999363</v>
      </c>
      <c r="G66" s="64">
        <f t="shared" si="71"/>
        <v>17.29</v>
      </c>
      <c r="H66" s="64">
        <v>17.3</v>
      </c>
      <c r="I66" s="64">
        <f t="shared" si="59"/>
        <v>17.3</v>
      </c>
      <c r="J66" s="64">
        <f t="shared" ref="J66" si="79">ROUNDUP(F66*I66,2)</f>
        <v>57.44</v>
      </c>
      <c r="K66" s="64">
        <f t="shared" si="67"/>
        <v>2.71</v>
      </c>
      <c r="L66" s="64">
        <v>2.7</v>
      </c>
      <c r="M66" s="64">
        <f t="shared" ref="M66" si="80">ROUNDUP((L66+K66)/2,2)</f>
        <v>2.71</v>
      </c>
      <c r="N66" s="64">
        <f t="shared" ref="N66" si="81">ROUNDUP(M66*F66,2)</f>
        <v>9</v>
      </c>
      <c r="O66" s="64"/>
      <c r="P66" s="64"/>
      <c r="Q66" s="64">
        <f t="shared" ref="Q66" si="82">ROUNDUP((P66+O66)/2,2)</f>
        <v>0</v>
      </c>
      <c r="R66" s="64">
        <f t="shared" ref="R66" si="83">ROUNDUP(F66*Q66,2)</f>
        <v>0</v>
      </c>
      <c r="S66" s="64">
        <v>5</v>
      </c>
      <c r="T66" s="65">
        <v>5</v>
      </c>
      <c r="U66" s="66">
        <f>ROUNDUP(S66*(F66-(1851.54-1807.08)),2)</f>
        <v>-205.70999999999998</v>
      </c>
      <c r="V66" s="67">
        <f t="shared" si="65"/>
        <v>3.3199999999999363</v>
      </c>
      <c r="W66" s="67"/>
      <c r="X66" s="67"/>
      <c r="Y66" s="67">
        <f t="shared" si="47"/>
        <v>1</v>
      </c>
      <c r="Z66" s="103">
        <f t="shared" si="48"/>
        <v>6.39</v>
      </c>
      <c r="AA66" s="66"/>
      <c r="AB66" s="67">
        <f t="shared" si="49"/>
        <v>0</v>
      </c>
      <c r="AC66" s="67">
        <f t="shared" si="50"/>
        <v>0</v>
      </c>
      <c r="AD66" s="67">
        <f t="shared" si="51"/>
        <v>0</v>
      </c>
      <c r="AE66" s="68">
        <f t="shared" si="52"/>
        <v>0</v>
      </c>
      <c r="AF66" s="112">
        <f t="shared" si="53"/>
        <v>0.25</v>
      </c>
      <c r="AG66" s="67"/>
      <c r="AH66" s="67">
        <f t="shared" si="54"/>
        <v>0.16666666666666666</v>
      </c>
      <c r="AI66" s="67"/>
      <c r="AJ66" s="67">
        <f t="shared" si="55"/>
        <v>0.55000000000000004</v>
      </c>
      <c r="AK66" s="67">
        <f t="shared" si="56"/>
        <v>6.0000000000000005E-2</v>
      </c>
      <c r="AL66" s="67">
        <f t="shared" si="57"/>
        <v>4.8611111111111112E-2</v>
      </c>
      <c r="AM66" s="67">
        <f t="shared" si="58"/>
        <v>0.26</v>
      </c>
      <c r="AN66" s="67"/>
      <c r="AO66" s="67">
        <f>T66*(F66-(1851.54-1807.08))</f>
        <v>-205.7000000000005</v>
      </c>
      <c r="AP66" s="67"/>
      <c r="AQ66" s="67"/>
      <c r="AR66" s="67">
        <f t="shared" si="69"/>
        <v>3.3199999999999363</v>
      </c>
      <c r="AS66" s="12"/>
      <c r="AT66" s="12"/>
      <c r="AU66" s="12"/>
    </row>
    <row r="67" spans="2:47" s="13" customFormat="1" ht="12.75" customHeight="1" x14ac:dyDescent="0.2">
      <c r="B67" s="80"/>
      <c r="C67" s="74"/>
      <c r="D67" s="74"/>
      <c r="E67" s="7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5"/>
      <c r="U67" s="66"/>
      <c r="V67" s="67"/>
      <c r="W67" s="67"/>
      <c r="X67" s="67"/>
      <c r="Y67" s="67">
        <f t="shared" si="47"/>
        <v>0</v>
      </c>
      <c r="Z67" s="103">
        <f t="shared" si="48"/>
        <v>0</v>
      </c>
      <c r="AA67" s="66"/>
      <c r="AB67" s="67">
        <f t="shared" si="49"/>
        <v>0</v>
      </c>
      <c r="AC67" s="67">
        <f t="shared" si="50"/>
        <v>0</v>
      </c>
      <c r="AD67" s="67">
        <f t="shared" si="51"/>
        <v>0</v>
      </c>
      <c r="AE67" s="68">
        <f t="shared" si="52"/>
        <v>0</v>
      </c>
      <c r="AF67" s="112">
        <f t="shared" si="53"/>
        <v>0</v>
      </c>
      <c r="AG67" s="67"/>
      <c r="AH67" s="67">
        <f t="shared" si="54"/>
        <v>0</v>
      </c>
      <c r="AI67" s="67"/>
      <c r="AJ67" s="67">
        <f t="shared" si="55"/>
        <v>0</v>
      </c>
      <c r="AK67" s="67">
        <f t="shared" si="56"/>
        <v>0</v>
      </c>
      <c r="AL67" s="67">
        <f t="shared" si="57"/>
        <v>0</v>
      </c>
      <c r="AM67" s="67">
        <f t="shared" si="58"/>
        <v>0</v>
      </c>
      <c r="AN67" s="67"/>
      <c r="AO67" s="67">
        <f t="shared" ref="AO67:AO76" si="84">T67*F67</f>
        <v>0</v>
      </c>
      <c r="AP67" s="67"/>
      <c r="AQ67" s="67"/>
      <c r="AR67" s="67"/>
      <c r="AS67" s="12"/>
      <c r="AT67" s="12"/>
      <c r="AU67" s="12"/>
    </row>
    <row r="68" spans="2:47" s="13" customFormat="1" ht="12.75" customHeight="1" x14ac:dyDescent="0.2">
      <c r="B68" s="80">
        <v>45</v>
      </c>
      <c r="C68" s="124">
        <v>1562</v>
      </c>
      <c r="D68" s="124">
        <v>1577</v>
      </c>
      <c r="E68" s="124" t="s">
        <v>15</v>
      </c>
      <c r="F68" s="64">
        <f t="shared" si="66"/>
        <v>15</v>
      </c>
      <c r="G68" s="64">
        <v>9.7200000000000006</v>
      </c>
      <c r="H68" s="64">
        <f>7.67+1.57</f>
        <v>9.24</v>
      </c>
      <c r="I68" s="64">
        <f t="shared" ref="I68:I73" si="85">ROUNDUP((H68+G68)/2,2)</f>
        <v>9.48</v>
      </c>
      <c r="J68" s="64">
        <f>ROUNDUP(F68*I68,2)</f>
        <v>142.19999999999999</v>
      </c>
      <c r="K68" s="64"/>
      <c r="L68" s="64"/>
      <c r="M68" s="64">
        <f t="shared" si="61"/>
        <v>0</v>
      </c>
      <c r="N68" s="64">
        <f>ROUNDUP(M68*F68,2)</f>
        <v>0</v>
      </c>
      <c r="O68" s="64">
        <v>5.5</v>
      </c>
      <c r="P68" s="64">
        <v>6</v>
      </c>
      <c r="Q68" s="64">
        <f t="shared" ref="Q68:Q73" si="86">ROUNDUP((P68+O68)/2,2)</f>
        <v>5.75</v>
      </c>
      <c r="R68" s="64">
        <f t="shared" si="63"/>
        <v>86.25</v>
      </c>
      <c r="S68" s="64"/>
      <c r="T68" s="65"/>
      <c r="U68" s="66"/>
      <c r="V68" s="67"/>
      <c r="W68" s="67"/>
      <c r="X68" s="67"/>
      <c r="Y68" s="67">
        <f t="shared" si="47"/>
        <v>9.59</v>
      </c>
      <c r="Z68" s="103">
        <f t="shared" si="48"/>
        <v>15.8</v>
      </c>
      <c r="AA68" s="66"/>
      <c r="AB68" s="67">
        <f t="shared" si="49"/>
        <v>2.3958333333333335</v>
      </c>
      <c r="AC68" s="67">
        <f t="shared" si="50"/>
        <v>1.5972222222222223</v>
      </c>
      <c r="AD68" s="67">
        <f t="shared" si="51"/>
        <v>0.53</v>
      </c>
      <c r="AE68" s="68">
        <f t="shared" si="52"/>
        <v>0.46585648148148145</v>
      </c>
      <c r="AF68" s="112">
        <f t="shared" si="53"/>
        <v>0</v>
      </c>
      <c r="AG68" s="67"/>
      <c r="AH68" s="67">
        <f t="shared" si="54"/>
        <v>0</v>
      </c>
      <c r="AI68" s="67"/>
      <c r="AJ68" s="67">
        <f t="shared" si="55"/>
        <v>1.35</v>
      </c>
      <c r="AK68" s="67">
        <f t="shared" si="56"/>
        <v>0.53</v>
      </c>
      <c r="AL68" s="67">
        <f t="shared" si="57"/>
        <v>0</v>
      </c>
      <c r="AM68" s="67">
        <f t="shared" si="58"/>
        <v>0.89</v>
      </c>
      <c r="AN68" s="67"/>
      <c r="AO68" s="67">
        <f t="shared" si="84"/>
        <v>0</v>
      </c>
      <c r="AP68" s="67"/>
      <c r="AQ68" s="67"/>
      <c r="AR68" s="67"/>
      <c r="AS68" s="12"/>
      <c r="AT68" s="12"/>
      <c r="AU68" s="12"/>
    </row>
    <row r="69" spans="2:47" s="13" customFormat="1" ht="12.75" customHeight="1" x14ac:dyDescent="0.2">
      <c r="B69" s="80">
        <v>46</v>
      </c>
      <c r="C69" s="124">
        <v>1577</v>
      </c>
      <c r="D69" s="124">
        <v>1662</v>
      </c>
      <c r="E69" s="124" t="s">
        <v>15</v>
      </c>
      <c r="F69" s="64">
        <f t="shared" si="66"/>
        <v>85</v>
      </c>
      <c r="G69" s="64">
        <v>7.67</v>
      </c>
      <c r="H69" s="64">
        <v>7.67</v>
      </c>
      <c r="I69" s="64">
        <f t="shared" si="85"/>
        <v>7.67</v>
      </c>
      <c r="J69" s="64">
        <f t="shared" ref="J69:J73" si="87">ROUNDUP(F69*I69,2)</f>
        <v>651.95000000000005</v>
      </c>
      <c r="K69" s="64"/>
      <c r="L69" s="64"/>
      <c r="M69" s="64">
        <f t="shared" si="61"/>
        <v>0</v>
      </c>
      <c r="N69" s="64">
        <f t="shared" ref="N69:N72" si="88">ROUNDUP(M69*F69,2)</f>
        <v>0</v>
      </c>
      <c r="O69" s="64">
        <v>7.58</v>
      </c>
      <c r="P69" s="64">
        <v>7.58</v>
      </c>
      <c r="Q69" s="64">
        <f t="shared" si="86"/>
        <v>7.58</v>
      </c>
      <c r="R69" s="64">
        <f t="shared" si="63"/>
        <v>644.29999999999995</v>
      </c>
      <c r="S69" s="64"/>
      <c r="T69" s="65"/>
      <c r="U69" s="66"/>
      <c r="V69" s="67">
        <f>F69</f>
        <v>85</v>
      </c>
      <c r="W69" s="67"/>
      <c r="X69" s="67"/>
      <c r="Y69" s="67">
        <f t="shared" si="47"/>
        <v>71.59</v>
      </c>
      <c r="Z69" s="103">
        <f t="shared" si="48"/>
        <v>72.440000000000012</v>
      </c>
      <c r="AA69" s="66"/>
      <c r="AB69" s="67">
        <f t="shared" si="49"/>
        <v>17.897222222222222</v>
      </c>
      <c r="AC69" s="67">
        <f t="shared" si="50"/>
        <v>11.93148148148148</v>
      </c>
      <c r="AD69" s="67">
        <f t="shared" si="51"/>
        <v>3.94</v>
      </c>
      <c r="AE69" s="68">
        <f t="shared" si="52"/>
        <v>3.4800154320987651</v>
      </c>
      <c r="AF69" s="112">
        <f t="shared" si="53"/>
        <v>0</v>
      </c>
      <c r="AG69" s="67"/>
      <c r="AH69" s="67">
        <f t="shared" si="54"/>
        <v>0</v>
      </c>
      <c r="AI69" s="67"/>
      <c r="AJ69" s="67">
        <f t="shared" si="55"/>
        <v>6.16</v>
      </c>
      <c r="AK69" s="67">
        <f t="shared" si="56"/>
        <v>3.94</v>
      </c>
      <c r="AL69" s="67">
        <f t="shared" si="57"/>
        <v>0</v>
      </c>
      <c r="AM69" s="67">
        <f t="shared" si="58"/>
        <v>5.01</v>
      </c>
      <c r="AN69" s="67"/>
      <c r="AO69" s="67">
        <f t="shared" si="84"/>
        <v>0</v>
      </c>
      <c r="AP69" s="67"/>
      <c r="AQ69" s="67"/>
      <c r="AR69" s="67">
        <f>F69</f>
        <v>85</v>
      </c>
      <c r="AS69" s="12"/>
      <c r="AT69" s="12"/>
      <c r="AU69" s="12"/>
    </row>
    <row r="70" spans="2:47" s="13" customFormat="1" ht="12.75" customHeight="1" x14ac:dyDescent="0.2">
      <c r="B70" s="80">
        <v>47</v>
      </c>
      <c r="C70" s="124">
        <v>1662</v>
      </c>
      <c r="D70" s="124">
        <v>1720</v>
      </c>
      <c r="E70" s="124" t="s">
        <v>15</v>
      </c>
      <c r="F70" s="64">
        <f t="shared" si="66"/>
        <v>58</v>
      </c>
      <c r="G70" s="64">
        <f>H69</f>
        <v>7.67</v>
      </c>
      <c r="H70" s="64">
        <v>7.67</v>
      </c>
      <c r="I70" s="64">
        <f t="shared" si="85"/>
        <v>7.67</v>
      </c>
      <c r="J70" s="64">
        <f t="shared" si="87"/>
        <v>444.86</v>
      </c>
      <c r="K70" s="64"/>
      <c r="L70" s="64"/>
      <c r="M70" s="64">
        <f t="shared" si="61"/>
        <v>0</v>
      </c>
      <c r="N70" s="64">
        <f t="shared" si="88"/>
        <v>0</v>
      </c>
      <c r="O70" s="64">
        <f>P69</f>
        <v>7.58</v>
      </c>
      <c r="P70" s="64">
        <v>9.33</v>
      </c>
      <c r="Q70" s="64">
        <f t="shared" si="86"/>
        <v>8.4599999999999991</v>
      </c>
      <c r="R70" s="64">
        <f t="shared" si="63"/>
        <v>490.68</v>
      </c>
      <c r="S70" s="64"/>
      <c r="T70" s="65"/>
      <c r="U70" s="66"/>
      <c r="V70" s="67">
        <f>F70</f>
        <v>58</v>
      </c>
      <c r="W70" s="67"/>
      <c r="X70" s="67"/>
      <c r="Y70" s="67">
        <f t="shared" si="47"/>
        <v>54.52</v>
      </c>
      <c r="Z70" s="103">
        <f t="shared" si="48"/>
        <v>49.43</v>
      </c>
      <c r="AA70" s="66"/>
      <c r="AB70" s="67">
        <f t="shared" si="49"/>
        <v>13.629999999999999</v>
      </c>
      <c r="AC70" s="67">
        <f t="shared" si="50"/>
        <v>9.086666666666666</v>
      </c>
      <c r="AD70" s="67">
        <f t="shared" si="51"/>
        <v>3</v>
      </c>
      <c r="AE70" s="68">
        <f t="shared" si="52"/>
        <v>2.6502777777777777</v>
      </c>
      <c r="AF70" s="112">
        <f t="shared" si="53"/>
        <v>0</v>
      </c>
      <c r="AG70" s="67"/>
      <c r="AH70" s="67">
        <f t="shared" si="54"/>
        <v>0</v>
      </c>
      <c r="AI70" s="67"/>
      <c r="AJ70" s="67">
        <f t="shared" si="55"/>
        <v>4.21</v>
      </c>
      <c r="AK70" s="67">
        <f t="shared" si="56"/>
        <v>3</v>
      </c>
      <c r="AL70" s="67">
        <f t="shared" si="57"/>
        <v>0</v>
      </c>
      <c r="AM70" s="67">
        <f t="shared" si="58"/>
        <v>3.61</v>
      </c>
      <c r="AN70" s="67"/>
      <c r="AO70" s="67">
        <f t="shared" si="84"/>
        <v>0</v>
      </c>
      <c r="AP70" s="67"/>
      <c r="AQ70" s="67"/>
      <c r="AR70" s="67">
        <f>F70</f>
        <v>58</v>
      </c>
      <c r="AS70" s="12"/>
      <c r="AT70" s="12"/>
      <c r="AU70" s="12"/>
    </row>
    <row r="71" spans="2:47" s="13" customFormat="1" ht="12.75" customHeight="1" x14ac:dyDescent="0.2">
      <c r="B71" s="80">
        <v>48</v>
      </c>
      <c r="C71" s="124">
        <v>1720</v>
      </c>
      <c r="D71" s="124">
        <v>1745</v>
      </c>
      <c r="E71" s="124" t="s">
        <v>15</v>
      </c>
      <c r="F71" s="64">
        <f t="shared" ref="F71" si="89">D71-C71</f>
        <v>25</v>
      </c>
      <c r="G71" s="64">
        <f>H69</f>
        <v>7.67</v>
      </c>
      <c r="H71" s="64">
        <v>7.67</v>
      </c>
      <c r="I71" s="64">
        <f t="shared" si="85"/>
        <v>7.67</v>
      </c>
      <c r="J71" s="64">
        <f t="shared" ref="J71" si="90">ROUNDUP(F71*I71,2)</f>
        <v>191.75</v>
      </c>
      <c r="K71" s="64">
        <v>0</v>
      </c>
      <c r="L71" s="64">
        <v>5.04</v>
      </c>
      <c r="M71" s="64">
        <f t="shared" ref="M71" si="91">ROUNDUP((L71+K71)/2,2)</f>
        <v>2.52</v>
      </c>
      <c r="N71" s="64">
        <f t="shared" ref="N71" si="92">ROUNDUP(M71*F71,2)</f>
        <v>63</v>
      </c>
      <c r="O71" s="64">
        <f>P70</f>
        <v>9.33</v>
      </c>
      <c r="P71" s="64">
        <v>10.210000000000001</v>
      </c>
      <c r="Q71" s="64">
        <f t="shared" ref="Q71" si="93">ROUNDUP((P71+O71)/2,2)</f>
        <v>9.77</v>
      </c>
      <c r="R71" s="64">
        <f t="shared" ref="R71" si="94">ROUNDUP(F71*Q71,2)</f>
        <v>244.25</v>
      </c>
      <c r="S71" s="64"/>
      <c r="T71" s="65"/>
      <c r="U71" s="66">
        <f>ROUNDUP(S71*F71,2)</f>
        <v>0</v>
      </c>
      <c r="V71" s="67">
        <f>F71</f>
        <v>25</v>
      </c>
      <c r="W71" s="67"/>
      <c r="X71" s="67"/>
      <c r="Y71" s="67">
        <f t="shared" ref="Y71" si="95">ROUNDUP((R71+N71)/9,2)</f>
        <v>34.14</v>
      </c>
      <c r="Z71" s="103">
        <f t="shared" ref="Z71" si="96">ROUNDUP(J71/9,2)</f>
        <v>21.310000000000002</v>
      </c>
      <c r="AA71" s="66"/>
      <c r="AB71" s="67">
        <f t="shared" ref="AB71" si="97">(R71*9)/12/27</f>
        <v>6.7847222222222223</v>
      </c>
      <c r="AC71" s="67">
        <f t="shared" ref="AC71" si="98">(R71*6)/12/27</f>
        <v>4.5231481481481479</v>
      </c>
      <c r="AD71" s="67">
        <f t="shared" ref="AD71" si="99">ROUNDUP(R71*0.055/9,2)</f>
        <v>1.5</v>
      </c>
      <c r="AE71" s="68">
        <f t="shared" ref="AE71" si="100">(R71*1.75)/12/27</f>
        <v>1.3192515432098764</v>
      </c>
      <c r="AF71" s="112">
        <f t="shared" ref="AF71" si="101">(N71*9)/12/27</f>
        <v>1.75</v>
      </c>
      <c r="AG71" s="67"/>
      <c r="AH71" s="67">
        <f t="shared" ref="AH71" si="102">(N71*6)/12/27</f>
        <v>1.1666666666666667</v>
      </c>
      <c r="AI71" s="67"/>
      <c r="AJ71" s="67">
        <f t="shared" ref="AJ71" si="103">ROUNDUP(J71*0.085/9,2)</f>
        <v>1.82</v>
      </c>
      <c r="AK71" s="67">
        <f t="shared" ref="AK71" si="104">ROUNDUP((N71+R71)*0.055/9,2)</f>
        <v>1.8800000000000001</v>
      </c>
      <c r="AL71" s="67">
        <f t="shared" ref="AL71" si="105">(N71*1.75)/12/27</f>
        <v>0.34027777777777779</v>
      </c>
      <c r="AM71" s="67">
        <f t="shared" ref="AM71" si="106">ROUNDUP((J71+N71+R71)*1.25/12/27,2)</f>
        <v>1.93</v>
      </c>
      <c r="AN71" s="67"/>
      <c r="AO71" s="67">
        <f t="shared" ref="AO71" si="107">T71*F71</f>
        <v>0</v>
      </c>
      <c r="AP71" s="67"/>
      <c r="AQ71" s="67"/>
      <c r="AR71" s="67">
        <f>F71</f>
        <v>25</v>
      </c>
      <c r="AS71" s="12"/>
      <c r="AT71" s="12"/>
      <c r="AU71" s="12"/>
    </row>
    <row r="72" spans="2:47" s="13" customFormat="1" ht="12.75" customHeight="1" x14ac:dyDescent="0.2">
      <c r="B72" s="80">
        <v>49</v>
      </c>
      <c r="C72" s="124">
        <v>1745</v>
      </c>
      <c r="D72" s="124">
        <v>1758</v>
      </c>
      <c r="E72" s="124" t="s">
        <v>15</v>
      </c>
      <c r="F72" s="64">
        <f t="shared" si="66"/>
        <v>13</v>
      </c>
      <c r="G72" s="64">
        <f>H70</f>
        <v>7.67</v>
      </c>
      <c r="H72" s="64">
        <v>12.67</v>
      </c>
      <c r="I72" s="64">
        <f t="shared" si="85"/>
        <v>10.17</v>
      </c>
      <c r="J72" s="64">
        <f t="shared" si="87"/>
        <v>132.21</v>
      </c>
      <c r="K72" s="64">
        <f>L71</f>
        <v>5.04</v>
      </c>
      <c r="L72" s="64">
        <v>7.78</v>
      </c>
      <c r="M72" s="64">
        <f t="shared" si="61"/>
        <v>6.41</v>
      </c>
      <c r="N72" s="64">
        <f t="shared" si="88"/>
        <v>83.33</v>
      </c>
      <c r="O72" s="64">
        <f>P71</f>
        <v>10.210000000000001</v>
      </c>
      <c r="P72" s="64">
        <v>5.55</v>
      </c>
      <c r="Q72" s="64">
        <f t="shared" si="86"/>
        <v>7.88</v>
      </c>
      <c r="R72" s="64">
        <f t="shared" si="63"/>
        <v>102.44</v>
      </c>
      <c r="S72" s="64"/>
      <c r="T72" s="65"/>
      <c r="U72" s="66">
        <f>ROUNDUP(S72*F72,2)</f>
        <v>0</v>
      </c>
      <c r="V72" s="67">
        <f>F72</f>
        <v>13</v>
      </c>
      <c r="W72" s="67"/>
      <c r="X72" s="67"/>
      <c r="Y72" s="67">
        <f t="shared" si="47"/>
        <v>20.650000000000002</v>
      </c>
      <c r="Z72" s="103">
        <f t="shared" si="48"/>
        <v>14.69</v>
      </c>
      <c r="AA72" s="66"/>
      <c r="AB72" s="67">
        <f t="shared" si="49"/>
        <v>2.8455555555555554</v>
      </c>
      <c r="AC72" s="67">
        <f t="shared" si="50"/>
        <v>1.8970370370370371</v>
      </c>
      <c r="AD72" s="67">
        <f t="shared" si="51"/>
        <v>0.63</v>
      </c>
      <c r="AE72" s="68">
        <f t="shared" si="52"/>
        <v>0.55330246913580239</v>
      </c>
      <c r="AF72" s="112">
        <f t="shared" si="53"/>
        <v>2.3147222222222221</v>
      </c>
      <c r="AG72" s="67"/>
      <c r="AH72" s="67">
        <f t="shared" si="54"/>
        <v>1.5431481481481482</v>
      </c>
      <c r="AI72" s="67"/>
      <c r="AJ72" s="67">
        <f t="shared" si="55"/>
        <v>1.25</v>
      </c>
      <c r="AK72" s="67">
        <f t="shared" si="56"/>
        <v>1.1399999999999999</v>
      </c>
      <c r="AL72" s="67">
        <f t="shared" si="57"/>
        <v>0.45008487654320983</v>
      </c>
      <c r="AM72" s="67">
        <f t="shared" si="58"/>
        <v>1.23</v>
      </c>
      <c r="AN72" s="67"/>
      <c r="AO72" s="67">
        <f t="shared" si="84"/>
        <v>0</v>
      </c>
      <c r="AP72" s="67"/>
      <c r="AQ72" s="67"/>
      <c r="AR72" s="67">
        <f>F72</f>
        <v>13</v>
      </c>
      <c r="AS72" s="12"/>
      <c r="AT72" s="12"/>
      <c r="AU72" s="12"/>
    </row>
    <row r="73" spans="2:47" s="13" customFormat="1" ht="12.75" customHeight="1" x14ac:dyDescent="0.2">
      <c r="B73" s="80">
        <v>50</v>
      </c>
      <c r="C73" s="74">
        <v>1758</v>
      </c>
      <c r="D73" s="74">
        <v>1941.35</v>
      </c>
      <c r="E73" s="74" t="s">
        <v>15</v>
      </c>
      <c r="F73" s="64">
        <f>D73-C73</f>
        <v>183.34999999999991</v>
      </c>
      <c r="G73" s="64">
        <f>H72</f>
        <v>12.67</v>
      </c>
      <c r="H73" s="64">
        <v>12.67</v>
      </c>
      <c r="I73" s="64">
        <f t="shared" si="85"/>
        <v>12.67</v>
      </c>
      <c r="J73" s="64">
        <f t="shared" si="87"/>
        <v>2323.0500000000002</v>
      </c>
      <c r="K73" s="64">
        <f>L72</f>
        <v>7.78</v>
      </c>
      <c r="L73" s="64">
        <v>6.48</v>
      </c>
      <c r="M73" s="64">
        <f t="shared" si="61"/>
        <v>7.13</v>
      </c>
      <c r="N73" s="64">
        <f>ROUNDUP(M73*F73,2)</f>
        <v>1307.29</v>
      </c>
      <c r="O73" s="64">
        <f>P72</f>
        <v>5.55</v>
      </c>
      <c r="P73" s="64">
        <v>6.85</v>
      </c>
      <c r="Q73" s="64">
        <f t="shared" si="86"/>
        <v>6.2</v>
      </c>
      <c r="R73" s="64">
        <f t="shared" si="63"/>
        <v>1136.77</v>
      </c>
      <c r="S73" s="64"/>
      <c r="T73" s="65"/>
      <c r="U73" s="66">
        <f>ROUNDUP(S73*F73,2)</f>
        <v>0</v>
      </c>
      <c r="V73" s="67">
        <f>F73</f>
        <v>183.34999999999991</v>
      </c>
      <c r="W73" s="67"/>
      <c r="X73" s="67"/>
      <c r="Y73" s="67">
        <f t="shared" si="47"/>
        <v>271.57</v>
      </c>
      <c r="Z73" s="103">
        <f t="shared" si="48"/>
        <v>258.12</v>
      </c>
      <c r="AA73" s="66"/>
      <c r="AB73" s="67">
        <f t="shared" si="49"/>
        <v>31.576944444444443</v>
      </c>
      <c r="AC73" s="67">
        <f t="shared" si="50"/>
        <v>21.051296296296297</v>
      </c>
      <c r="AD73" s="67">
        <f t="shared" si="51"/>
        <v>6.95</v>
      </c>
      <c r="AE73" s="68">
        <f t="shared" si="52"/>
        <v>6.1399614197530861</v>
      </c>
      <c r="AF73" s="112">
        <f t="shared" si="53"/>
        <v>36.313611111111115</v>
      </c>
      <c r="AG73" s="67"/>
      <c r="AH73" s="67">
        <f t="shared" si="54"/>
        <v>24.209074074074074</v>
      </c>
      <c r="AI73" s="67"/>
      <c r="AJ73" s="67">
        <f t="shared" si="55"/>
        <v>21.94</v>
      </c>
      <c r="AK73" s="67">
        <f t="shared" si="56"/>
        <v>14.94</v>
      </c>
      <c r="AL73" s="67">
        <f t="shared" si="57"/>
        <v>7.0609799382716041</v>
      </c>
      <c r="AM73" s="67">
        <f t="shared" si="58"/>
        <v>18.400000000000002</v>
      </c>
      <c r="AN73" s="67"/>
      <c r="AO73" s="67">
        <f t="shared" si="84"/>
        <v>0</v>
      </c>
      <c r="AP73" s="67"/>
      <c r="AQ73" s="67"/>
      <c r="AR73" s="67">
        <f>F73</f>
        <v>183.34999999999991</v>
      </c>
      <c r="AS73" s="12"/>
      <c r="AT73" s="12"/>
      <c r="AU73" s="12"/>
    </row>
    <row r="74" spans="2:47" s="5" customFormat="1" ht="12.75" customHeight="1" x14ac:dyDescent="0.2">
      <c r="B74" s="80"/>
      <c r="C74" s="74"/>
      <c r="D74" s="74"/>
      <c r="E74" s="7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9"/>
      <c r="S74" s="69"/>
      <c r="T74" s="70"/>
      <c r="U74" s="66"/>
      <c r="V74" s="67"/>
      <c r="W74" s="67"/>
      <c r="X74" s="67"/>
      <c r="Y74" s="67">
        <f t="shared" si="47"/>
        <v>0</v>
      </c>
      <c r="Z74" s="103">
        <f t="shared" si="48"/>
        <v>0</v>
      </c>
      <c r="AA74" s="66"/>
      <c r="AB74" s="67">
        <f t="shared" si="49"/>
        <v>0</v>
      </c>
      <c r="AC74" s="67">
        <f t="shared" si="50"/>
        <v>0</v>
      </c>
      <c r="AD74" s="67">
        <f t="shared" si="51"/>
        <v>0</v>
      </c>
      <c r="AE74" s="68">
        <f t="shared" si="52"/>
        <v>0</v>
      </c>
      <c r="AF74" s="112">
        <f t="shared" si="53"/>
        <v>0</v>
      </c>
      <c r="AG74" s="67"/>
      <c r="AH74" s="67">
        <f t="shared" si="54"/>
        <v>0</v>
      </c>
      <c r="AI74" s="67"/>
      <c r="AJ74" s="67">
        <f t="shared" si="55"/>
        <v>0</v>
      </c>
      <c r="AK74" s="67">
        <f t="shared" si="56"/>
        <v>0</v>
      </c>
      <c r="AL74" s="67">
        <f t="shared" si="57"/>
        <v>0</v>
      </c>
      <c r="AM74" s="67">
        <f t="shared" si="58"/>
        <v>0</v>
      </c>
      <c r="AN74" s="67"/>
      <c r="AO74" s="67">
        <f t="shared" si="84"/>
        <v>0</v>
      </c>
      <c r="AP74" s="67"/>
      <c r="AQ74" s="67"/>
      <c r="AR74" s="67"/>
      <c r="AS74" s="4"/>
      <c r="AT74" s="4"/>
      <c r="AU74" s="4"/>
    </row>
    <row r="75" spans="2:47" s="5" customFormat="1" ht="12.75" customHeight="1" x14ac:dyDescent="0.2">
      <c r="B75" s="86"/>
      <c r="C75" s="139" t="s">
        <v>51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43"/>
      <c r="U75" s="66"/>
      <c r="V75" s="67"/>
      <c r="W75" s="67"/>
      <c r="X75" s="67"/>
      <c r="Y75" s="67">
        <f t="shared" si="47"/>
        <v>0</v>
      </c>
      <c r="Z75" s="103">
        <f t="shared" si="48"/>
        <v>0</v>
      </c>
      <c r="AA75" s="66"/>
      <c r="AB75" s="67">
        <f t="shared" si="49"/>
        <v>0</v>
      </c>
      <c r="AC75" s="67">
        <f t="shared" si="50"/>
        <v>0</v>
      </c>
      <c r="AD75" s="67">
        <f t="shared" si="51"/>
        <v>0</v>
      </c>
      <c r="AE75" s="68">
        <f t="shared" si="52"/>
        <v>0</v>
      </c>
      <c r="AF75" s="112">
        <f t="shared" si="53"/>
        <v>0</v>
      </c>
      <c r="AG75" s="67"/>
      <c r="AH75" s="67">
        <f t="shared" si="54"/>
        <v>0</v>
      </c>
      <c r="AI75" s="67"/>
      <c r="AJ75" s="67">
        <f t="shared" si="55"/>
        <v>0</v>
      </c>
      <c r="AK75" s="67">
        <f t="shared" si="56"/>
        <v>0</v>
      </c>
      <c r="AL75" s="67">
        <f t="shared" si="57"/>
        <v>0</v>
      </c>
      <c r="AM75" s="67">
        <f t="shared" si="58"/>
        <v>0</v>
      </c>
      <c r="AN75" s="67"/>
      <c r="AO75" s="67">
        <f t="shared" si="84"/>
        <v>0</v>
      </c>
      <c r="AP75" s="67"/>
      <c r="AQ75" s="67"/>
      <c r="AR75" s="67"/>
      <c r="AS75" s="4"/>
      <c r="AT75" s="4"/>
      <c r="AU75" s="4"/>
    </row>
    <row r="76" spans="2:47" s="5" customFormat="1" ht="12.75" customHeight="1" x14ac:dyDescent="0.2">
      <c r="B76" s="86"/>
      <c r="C76" s="139" t="s">
        <v>25</v>
      </c>
      <c r="D76" s="139"/>
      <c r="E76" s="7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9"/>
      <c r="S76" s="69"/>
      <c r="T76" s="70"/>
      <c r="U76" s="66"/>
      <c r="V76" s="67"/>
      <c r="W76" s="67"/>
      <c r="X76" s="67"/>
      <c r="Y76" s="67">
        <f t="shared" si="47"/>
        <v>0</v>
      </c>
      <c r="Z76" s="103">
        <f t="shared" si="48"/>
        <v>0</v>
      </c>
      <c r="AA76" s="66"/>
      <c r="AB76" s="67">
        <f t="shared" si="49"/>
        <v>0</v>
      </c>
      <c r="AC76" s="67">
        <f t="shared" si="50"/>
        <v>0</v>
      </c>
      <c r="AD76" s="67">
        <f t="shared" si="51"/>
        <v>0</v>
      </c>
      <c r="AE76" s="68">
        <f t="shared" si="52"/>
        <v>0</v>
      </c>
      <c r="AF76" s="112">
        <f t="shared" si="53"/>
        <v>0</v>
      </c>
      <c r="AG76" s="67"/>
      <c r="AH76" s="67">
        <f t="shared" si="54"/>
        <v>0</v>
      </c>
      <c r="AI76" s="67"/>
      <c r="AJ76" s="67">
        <f t="shared" si="55"/>
        <v>0</v>
      </c>
      <c r="AK76" s="67">
        <f t="shared" si="56"/>
        <v>0</v>
      </c>
      <c r="AL76" s="67">
        <f t="shared" si="57"/>
        <v>0</v>
      </c>
      <c r="AM76" s="67">
        <f t="shared" si="58"/>
        <v>0</v>
      </c>
      <c r="AN76" s="67"/>
      <c r="AO76" s="67">
        <f t="shared" si="84"/>
        <v>0</v>
      </c>
      <c r="AP76" s="67"/>
      <c r="AQ76" s="67"/>
      <c r="AR76" s="67"/>
      <c r="AS76" s="4"/>
      <c r="AT76" s="4"/>
      <c r="AU76" s="4"/>
    </row>
    <row r="77" spans="2:47" s="13" customFormat="1" ht="12.75" customHeight="1" x14ac:dyDescent="0.2">
      <c r="B77" s="80">
        <v>51</v>
      </c>
      <c r="C77" s="74">
        <v>57053</v>
      </c>
      <c r="D77" s="74">
        <v>1854.8</v>
      </c>
      <c r="E77" s="74" t="s">
        <v>26</v>
      </c>
      <c r="F77" s="64"/>
      <c r="G77" s="64"/>
      <c r="H77" s="64"/>
      <c r="I77" s="64"/>
      <c r="J77" s="64">
        <v>7594</v>
      </c>
      <c r="K77" s="64"/>
      <c r="L77" s="64"/>
      <c r="M77" s="64"/>
      <c r="N77" s="64">
        <v>1908</v>
      </c>
      <c r="O77" s="64"/>
      <c r="P77" s="64"/>
      <c r="Q77" s="64"/>
      <c r="R77" s="69"/>
      <c r="S77" s="69"/>
      <c r="T77" s="70"/>
      <c r="U77" s="66">
        <v>1482</v>
      </c>
      <c r="V77" s="67">
        <v>40</v>
      </c>
      <c r="W77" s="67">
        <v>164</v>
      </c>
      <c r="X77" s="67">
        <f>ROUNDUP(N77*18/12/27,2)</f>
        <v>106</v>
      </c>
      <c r="Y77" s="67">
        <f t="shared" si="47"/>
        <v>212</v>
      </c>
      <c r="Z77" s="103">
        <f t="shared" si="48"/>
        <v>843.78</v>
      </c>
      <c r="AA77" s="66">
        <f>ROUNDUP(R77*18/12/27,2)</f>
        <v>0</v>
      </c>
      <c r="AB77" s="67">
        <f t="shared" si="49"/>
        <v>0</v>
      </c>
      <c r="AC77" s="67">
        <f t="shared" si="50"/>
        <v>0</v>
      </c>
      <c r="AD77" s="67">
        <f t="shared" si="51"/>
        <v>0</v>
      </c>
      <c r="AE77" s="68">
        <f t="shared" si="52"/>
        <v>0</v>
      </c>
      <c r="AF77" s="112">
        <f t="shared" si="53"/>
        <v>53</v>
      </c>
      <c r="AG77" s="67"/>
      <c r="AH77" s="67">
        <f t="shared" si="54"/>
        <v>35.333333333333336</v>
      </c>
      <c r="AI77" s="67">
        <f>AP77*4/12/27</f>
        <v>0.42249657064471874</v>
      </c>
      <c r="AJ77" s="67">
        <f t="shared" si="55"/>
        <v>71.73</v>
      </c>
      <c r="AK77" s="67">
        <f t="shared" si="56"/>
        <v>11.66</v>
      </c>
      <c r="AL77" s="67">
        <f t="shared" si="57"/>
        <v>10.305555555555555</v>
      </c>
      <c r="AM77" s="67">
        <f t="shared" si="58"/>
        <v>36.659999999999997</v>
      </c>
      <c r="AN77" s="67"/>
      <c r="AO77" s="67">
        <f>388+510</f>
        <v>898</v>
      </c>
      <c r="AP77" s="67">
        <f>308/9</f>
        <v>34.222222222222221</v>
      </c>
      <c r="AQ77" s="67">
        <v>133</v>
      </c>
      <c r="AR77" s="67">
        <f>35+59</f>
        <v>94</v>
      </c>
      <c r="AS77" s="12"/>
      <c r="AT77" s="12"/>
      <c r="AU77" s="12"/>
    </row>
    <row r="78" spans="2:47" s="13" customFormat="1" ht="12.75" customHeight="1" x14ac:dyDescent="0.2">
      <c r="B78" s="80"/>
      <c r="C78" s="74"/>
      <c r="D78" s="74"/>
      <c r="E78" s="7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9"/>
      <c r="S78" s="69"/>
      <c r="T78" s="70"/>
      <c r="U78" s="66">
        <f t="shared" ref="U78:U86" si="108">ROUNDUP((O78+K78)/9,2)</f>
        <v>0</v>
      </c>
      <c r="V78" s="67"/>
      <c r="W78" s="67"/>
      <c r="X78" s="67"/>
      <c r="Y78" s="67">
        <f t="shared" si="47"/>
        <v>0</v>
      </c>
      <c r="Z78" s="103">
        <f t="shared" si="48"/>
        <v>0</v>
      </c>
      <c r="AA78" s="66"/>
      <c r="AB78" s="67">
        <f t="shared" si="49"/>
        <v>0</v>
      </c>
      <c r="AC78" s="67">
        <f t="shared" si="50"/>
        <v>0</v>
      </c>
      <c r="AD78" s="67">
        <f t="shared" si="51"/>
        <v>0</v>
      </c>
      <c r="AE78" s="68">
        <f t="shared" si="52"/>
        <v>0</v>
      </c>
      <c r="AF78" s="112">
        <f t="shared" si="53"/>
        <v>0</v>
      </c>
      <c r="AG78" s="67"/>
      <c r="AH78" s="67">
        <f t="shared" si="54"/>
        <v>0</v>
      </c>
      <c r="AI78" s="67"/>
      <c r="AJ78" s="67">
        <f t="shared" si="55"/>
        <v>0</v>
      </c>
      <c r="AK78" s="67">
        <f t="shared" si="56"/>
        <v>0</v>
      </c>
      <c r="AL78" s="67">
        <f t="shared" si="57"/>
        <v>0</v>
      </c>
      <c r="AM78" s="67">
        <f t="shared" si="58"/>
        <v>0</v>
      </c>
      <c r="AN78" s="67"/>
      <c r="AO78" s="67">
        <f>T78*F78</f>
        <v>0</v>
      </c>
      <c r="AP78" s="67"/>
      <c r="AQ78" s="67"/>
      <c r="AR78" s="67"/>
      <c r="AS78" s="12"/>
      <c r="AT78" s="12"/>
      <c r="AU78" s="12"/>
    </row>
    <row r="79" spans="2:47" s="13" customFormat="1" ht="12.75" customHeight="1" x14ac:dyDescent="0.2">
      <c r="B79" s="87"/>
      <c r="C79" s="139" t="s">
        <v>27</v>
      </c>
      <c r="D79" s="139"/>
      <c r="E79" s="7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70"/>
      <c r="U79" s="66">
        <f t="shared" si="108"/>
        <v>0</v>
      </c>
      <c r="V79" s="67"/>
      <c r="W79" s="67"/>
      <c r="X79" s="67"/>
      <c r="Y79" s="67">
        <f t="shared" si="47"/>
        <v>0</v>
      </c>
      <c r="Z79" s="103">
        <f t="shared" si="48"/>
        <v>0</v>
      </c>
      <c r="AA79" s="66"/>
      <c r="AB79" s="67">
        <f t="shared" si="49"/>
        <v>0</v>
      </c>
      <c r="AC79" s="67">
        <f t="shared" si="50"/>
        <v>0</v>
      </c>
      <c r="AD79" s="67">
        <f t="shared" si="51"/>
        <v>0</v>
      </c>
      <c r="AE79" s="68">
        <f t="shared" si="52"/>
        <v>0</v>
      </c>
      <c r="AF79" s="112">
        <f t="shared" si="53"/>
        <v>0</v>
      </c>
      <c r="AG79" s="67"/>
      <c r="AH79" s="67">
        <f t="shared" si="54"/>
        <v>0</v>
      </c>
      <c r="AI79" s="67"/>
      <c r="AJ79" s="67">
        <f t="shared" si="55"/>
        <v>0</v>
      </c>
      <c r="AK79" s="67">
        <f t="shared" si="56"/>
        <v>0</v>
      </c>
      <c r="AL79" s="67">
        <f t="shared" si="57"/>
        <v>0</v>
      </c>
      <c r="AM79" s="67">
        <f t="shared" si="58"/>
        <v>0</v>
      </c>
      <c r="AN79" s="67"/>
      <c r="AO79" s="67">
        <f>T79*F79</f>
        <v>0</v>
      </c>
      <c r="AP79" s="67"/>
      <c r="AQ79" s="67"/>
      <c r="AR79" s="67"/>
      <c r="AS79" s="12"/>
      <c r="AT79" s="12"/>
      <c r="AU79" s="12"/>
    </row>
    <row r="80" spans="2:47" s="13" customFormat="1" ht="12.75" customHeight="1" x14ac:dyDescent="0.2">
      <c r="B80" s="80">
        <v>52</v>
      </c>
      <c r="C80" s="74">
        <v>1941.35</v>
      </c>
      <c r="D80" s="74">
        <v>57271.97</v>
      </c>
      <c r="E80" s="74" t="s">
        <v>15</v>
      </c>
      <c r="F80" s="64"/>
      <c r="G80" s="64"/>
      <c r="H80" s="64"/>
      <c r="I80" s="64"/>
      <c r="J80" s="64">
        <f>770+1055</f>
        <v>1825</v>
      </c>
      <c r="K80" s="64"/>
      <c r="L80" s="64"/>
      <c r="M80" s="64"/>
      <c r="N80" s="64">
        <v>225</v>
      </c>
      <c r="O80" s="64"/>
      <c r="P80" s="64"/>
      <c r="Q80" s="64"/>
      <c r="R80" s="64">
        <v>758</v>
      </c>
      <c r="S80" s="64"/>
      <c r="T80" s="70"/>
      <c r="U80" s="66">
        <v>518</v>
      </c>
      <c r="V80" s="67">
        <v>9</v>
      </c>
      <c r="W80" s="67">
        <v>54</v>
      </c>
      <c r="X80" s="67">
        <f>ROUNDUP(N80*18/12/27,2)</f>
        <v>12.5</v>
      </c>
      <c r="Y80" s="67">
        <f t="shared" si="47"/>
        <v>109.23</v>
      </c>
      <c r="Z80" s="103">
        <f t="shared" si="48"/>
        <v>202.78</v>
      </c>
      <c r="AA80" s="66">
        <f>ROUNDUP(R80*18/12/27,2)</f>
        <v>42.12</v>
      </c>
      <c r="AB80" s="67">
        <f t="shared" si="49"/>
        <v>21.055555555555557</v>
      </c>
      <c r="AC80" s="67">
        <f t="shared" si="50"/>
        <v>14.037037037037036</v>
      </c>
      <c r="AD80" s="67">
        <f t="shared" si="51"/>
        <v>4.6399999999999997</v>
      </c>
      <c r="AE80" s="68">
        <f t="shared" si="52"/>
        <v>4.0941358024691361</v>
      </c>
      <c r="AF80" s="112">
        <f t="shared" si="53"/>
        <v>6.25</v>
      </c>
      <c r="AG80" s="67"/>
      <c r="AH80" s="67">
        <f t="shared" si="54"/>
        <v>4.166666666666667</v>
      </c>
      <c r="AI80" s="67"/>
      <c r="AJ80" s="67">
        <f t="shared" si="55"/>
        <v>17.240000000000002</v>
      </c>
      <c r="AK80" s="67">
        <f t="shared" si="56"/>
        <v>6.01</v>
      </c>
      <c r="AL80" s="67">
        <f t="shared" si="57"/>
        <v>1.2152777777777777</v>
      </c>
      <c r="AM80" s="67">
        <f t="shared" si="58"/>
        <v>10.84</v>
      </c>
      <c r="AN80" s="67"/>
      <c r="AO80" s="67">
        <f>63+271+38</f>
        <v>372</v>
      </c>
      <c r="AP80" s="67"/>
      <c r="AQ80" s="67">
        <v>31</v>
      </c>
      <c r="AR80" s="67"/>
      <c r="AS80" s="12"/>
      <c r="AT80" s="12"/>
      <c r="AU80" s="12"/>
    </row>
    <row r="81" spans="2:47" s="13" customFormat="1" ht="12.75" customHeight="1" x14ac:dyDescent="0.2">
      <c r="B81" s="80"/>
      <c r="C81" s="74"/>
      <c r="D81" s="74"/>
      <c r="E81" s="7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70"/>
      <c r="U81" s="66">
        <f t="shared" si="108"/>
        <v>0</v>
      </c>
      <c r="V81" s="67"/>
      <c r="W81" s="67"/>
      <c r="X81" s="67"/>
      <c r="Y81" s="67">
        <f t="shared" si="47"/>
        <v>0</v>
      </c>
      <c r="Z81" s="103">
        <f t="shared" si="48"/>
        <v>0</v>
      </c>
      <c r="AA81" s="66"/>
      <c r="AB81" s="67">
        <f t="shared" si="49"/>
        <v>0</v>
      </c>
      <c r="AC81" s="67">
        <f t="shared" si="50"/>
        <v>0</v>
      </c>
      <c r="AD81" s="67">
        <f t="shared" si="51"/>
        <v>0</v>
      </c>
      <c r="AE81" s="68">
        <f t="shared" si="52"/>
        <v>0</v>
      </c>
      <c r="AF81" s="112">
        <f t="shared" si="53"/>
        <v>0</v>
      </c>
      <c r="AG81" s="67"/>
      <c r="AH81" s="67">
        <f t="shared" si="54"/>
        <v>0</v>
      </c>
      <c r="AI81" s="67"/>
      <c r="AJ81" s="67">
        <f t="shared" si="55"/>
        <v>0</v>
      </c>
      <c r="AK81" s="67">
        <f t="shared" si="56"/>
        <v>0</v>
      </c>
      <c r="AL81" s="67">
        <f t="shared" si="57"/>
        <v>0</v>
      </c>
      <c r="AM81" s="67">
        <f t="shared" si="58"/>
        <v>0</v>
      </c>
      <c r="AN81" s="67"/>
      <c r="AO81" s="67">
        <f>T81*F81</f>
        <v>0</v>
      </c>
      <c r="AP81" s="67"/>
      <c r="AQ81" s="67"/>
      <c r="AR81" s="67"/>
      <c r="AS81" s="12"/>
      <c r="AT81" s="12"/>
      <c r="AU81" s="12"/>
    </row>
    <row r="82" spans="2:47" s="13" customFormat="1" ht="12.75" customHeight="1" x14ac:dyDescent="0.2">
      <c r="B82" s="87"/>
      <c r="C82" s="139" t="s">
        <v>28</v>
      </c>
      <c r="D82" s="139"/>
      <c r="E82" s="7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70"/>
      <c r="U82" s="66">
        <f t="shared" si="108"/>
        <v>0</v>
      </c>
      <c r="V82" s="67"/>
      <c r="W82" s="67"/>
      <c r="X82" s="67"/>
      <c r="Y82" s="67">
        <f t="shared" si="47"/>
        <v>0</v>
      </c>
      <c r="Z82" s="103">
        <f t="shared" si="48"/>
        <v>0</v>
      </c>
      <c r="AA82" s="66"/>
      <c r="AB82" s="67">
        <f t="shared" si="49"/>
        <v>0</v>
      </c>
      <c r="AC82" s="67">
        <f t="shared" si="50"/>
        <v>0</v>
      </c>
      <c r="AD82" s="67">
        <f t="shared" si="51"/>
        <v>0</v>
      </c>
      <c r="AE82" s="68">
        <f t="shared" si="52"/>
        <v>0</v>
      </c>
      <c r="AF82" s="112">
        <f t="shared" si="53"/>
        <v>0</v>
      </c>
      <c r="AG82" s="67"/>
      <c r="AH82" s="67">
        <f t="shared" si="54"/>
        <v>0</v>
      </c>
      <c r="AI82" s="67"/>
      <c r="AJ82" s="67">
        <f t="shared" si="55"/>
        <v>0</v>
      </c>
      <c r="AK82" s="67">
        <f t="shared" si="56"/>
        <v>0</v>
      </c>
      <c r="AL82" s="67">
        <f t="shared" si="57"/>
        <v>0</v>
      </c>
      <c r="AM82" s="67">
        <f t="shared" si="58"/>
        <v>0</v>
      </c>
      <c r="AN82" s="67"/>
      <c r="AO82" s="67">
        <f>T82*F82</f>
        <v>0</v>
      </c>
      <c r="AP82" s="67"/>
      <c r="AQ82" s="67"/>
      <c r="AR82" s="67"/>
      <c r="AS82" s="12"/>
      <c r="AT82" s="12"/>
      <c r="AU82" s="12"/>
    </row>
    <row r="83" spans="2:47" s="13" customFormat="1" ht="12.75" customHeight="1" x14ac:dyDescent="0.2">
      <c r="B83" s="80">
        <v>53</v>
      </c>
      <c r="C83" s="74">
        <v>2114</v>
      </c>
      <c r="D83" s="74">
        <v>57350</v>
      </c>
      <c r="E83" s="74" t="s">
        <v>26</v>
      </c>
      <c r="F83" s="64"/>
      <c r="G83" s="64"/>
      <c r="H83" s="64"/>
      <c r="I83" s="64"/>
      <c r="J83" s="64">
        <f>2667+1213</f>
        <v>3880</v>
      </c>
      <c r="K83" s="64"/>
      <c r="L83" s="64"/>
      <c r="M83" s="64"/>
      <c r="N83" s="64">
        <v>1437</v>
      </c>
      <c r="O83" s="64"/>
      <c r="P83" s="64"/>
      <c r="Q83" s="64"/>
      <c r="R83" s="64">
        <f>469+113+298</f>
        <v>880</v>
      </c>
      <c r="S83" s="64"/>
      <c r="T83" s="70"/>
      <c r="U83" s="66">
        <v>1224</v>
      </c>
      <c r="V83" s="67"/>
      <c r="W83" s="67">
        <v>107</v>
      </c>
      <c r="X83" s="67">
        <f>ROUNDUP(N83*18/12/27,2)</f>
        <v>79.84</v>
      </c>
      <c r="Y83" s="67">
        <f t="shared" si="47"/>
        <v>257.45</v>
      </c>
      <c r="Z83" s="103">
        <f t="shared" si="48"/>
        <v>431.12</v>
      </c>
      <c r="AA83" s="66">
        <f>ROUNDUP(R83*18/12/27,2)</f>
        <v>48.89</v>
      </c>
      <c r="AB83" s="67">
        <f t="shared" si="49"/>
        <v>24.444444444444443</v>
      </c>
      <c r="AC83" s="67">
        <f t="shared" si="50"/>
        <v>16.296296296296298</v>
      </c>
      <c r="AD83" s="67">
        <f t="shared" si="51"/>
        <v>5.38</v>
      </c>
      <c r="AE83" s="68">
        <f t="shared" si="52"/>
        <v>4.7530864197530871</v>
      </c>
      <c r="AF83" s="112">
        <f t="shared" si="53"/>
        <v>39.916666666666664</v>
      </c>
      <c r="AG83" s="67"/>
      <c r="AH83" s="67">
        <f t="shared" si="54"/>
        <v>26.611111111111111</v>
      </c>
      <c r="AI83" s="67">
        <f>AP83*4/12/27</f>
        <v>0.59807956104252402</v>
      </c>
      <c r="AJ83" s="67">
        <f t="shared" si="55"/>
        <v>36.65</v>
      </c>
      <c r="AK83" s="67">
        <f t="shared" si="56"/>
        <v>14.16</v>
      </c>
      <c r="AL83" s="67">
        <f t="shared" si="57"/>
        <v>7.7615740740740744</v>
      </c>
      <c r="AM83" s="67">
        <f t="shared" si="58"/>
        <v>23.91</v>
      </c>
      <c r="AN83" s="67"/>
      <c r="AO83" s="67">
        <f>542</f>
        <v>542</v>
      </c>
      <c r="AP83" s="67">
        <f>436/9</f>
        <v>48.444444444444443</v>
      </c>
      <c r="AQ83" s="67">
        <v>108</v>
      </c>
      <c r="AR83" s="67">
        <v>76</v>
      </c>
      <c r="AS83" s="12"/>
      <c r="AT83" s="12"/>
      <c r="AU83" s="12"/>
    </row>
    <row r="84" spans="2:47" s="13" customFormat="1" ht="12.75" customHeight="1" x14ac:dyDescent="0.2">
      <c r="B84" s="80"/>
      <c r="C84" s="74"/>
      <c r="D84" s="74"/>
      <c r="E84" s="7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70"/>
      <c r="U84" s="66"/>
      <c r="V84" s="67"/>
      <c r="W84" s="67"/>
      <c r="X84" s="67"/>
      <c r="Y84" s="67"/>
      <c r="Z84" s="103"/>
      <c r="AA84" s="66"/>
      <c r="AB84" s="67"/>
      <c r="AC84" s="67"/>
      <c r="AD84" s="67"/>
      <c r="AE84" s="68"/>
      <c r="AF84" s="112"/>
      <c r="AG84" s="67"/>
      <c r="AH84" s="67"/>
      <c r="AI84" s="67"/>
      <c r="AJ84" s="67"/>
      <c r="AK84" s="67">
        <f t="shared" si="56"/>
        <v>0</v>
      </c>
      <c r="AL84" s="67"/>
      <c r="AM84" s="67"/>
      <c r="AN84" s="67"/>
      <c r="AO84" s="67"/>
      <c r="AP84" s="67"/>
      <c r="AQ84" s="67"/>
      <c r="AR84" s="67"/>
      <c r="AS84" s="12"/>
      <c r="AT84" s="12"/>
      <c r="AU84" s="12"/>
    </row>
    <row r="85" spans="2:47" s="13" customFormat="1" ht="12.75" customHeight="1" x14ac:dyDescent="0.2">
      <c r="B85" s="87"/>
      <c r="C85" s="139" t="s">
        <v>29</v>
      </c>
      <c r="D85" s="139"/>
      <c r="E85" s="7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70"/>
      <c r="U85" s="66">
        <f t="shared" si="108"/>
        <v>0</v>
      </c>
      <c r="V85" s="67">
        <f>ROUNDUP(G85/9,2)</f>
        <v>0</v>
      </c>
      <c r="W85" s="67"/>
      <c r="X85" s="67"/>
      <c r="Y85" s="67">
        <f>ROUNDUP((R85+N85)/9,2)</f>
        <v>0</v>
      </c>
      <c r="Z85" s="103">
        <f>ROUNDUP(J85/9,2)</f>
        <v>0</v>
      </c>
      <c r="AA85" s="66"/>
      <c r="AB85" s="67">
        <f>(R85*9)/12/27</f>
        <v>0</v>
      </c>
      <c r="AC85" s="67">
        <f>(R85*6)/12/27</f>
        <v>0</v>
      </c>
      <c r="AD85" s="67">
        <f>ROUNDUP(R85*0.055/9,2)</f>
        <v>0</v>
      </c>
      <c r="AE85" s="68">
        <f>(R85*1.75)/12/27</f>
        <v>0</v>
      </c>
      <c r="AF85" s="112">
        <f>(N85*9)/12/27</f>
        <v>0</v>
      </c>
      <c r="AG85" s="67">
        <f>(O85*9)/12/27</f>
        <v>0</v>
      </c>
      <c r="AH85" s="67">
        <f>(N85*6)/12/27</f>
        <v>0</v>
      </c>
      <c r="AI85" s="67"/>
      <c r="AJ85" s="67">
        <f>ROUNDUP(J85*0.085/9,2)</f>
        <v>0</v>
      </c>
      <c r="AK85" s="67">
        <f t="shared" si="56"/>
        <v>0</v>
      </c>
      <c r="AL85" s="67">
        <f>(N85*1.75)/12/27</f>
        <v>0</v>
      </c>
      <c r="AM85" s="67">
        <f>ROUNDUP((J85+N85+R85)*1.25/12/27,2)</f>
        <v>0</v>
      </c>
      <c r="AN85" s="67"/>
      <c r="AO85" s="67">
        <f>T85*F85</f>
        <v>0</v>
      </c>
      <c r="AP85" s="67"/>
      <c r="AQ85" s="67"/>
      <c r="AR85" s="67"/>
      <c r="AS85" s="12"/>
      <c r="AT85" s="12"/>
      <c r="AU85" s="12"/>
    </row>
    <row r="86" spans="2:47" s="13" customFormat="1" ht="12.75" customHeight="1" x14ac:dyDescent="0.2">
      <c r="B86" s="80">
        <v>54</v>
      </c>
      <c r="C86" s="74">
        <v>57184.58</v>
      </c>
      <c r="D86" s="74">
        <v>2114</v>
      </c>
      <c r="E86" s="74" t="s">
        <v>24</v>
      </c>
      <c r="F86" s="64"/>
      <c r="G86" s="64"/>
      <c r="H86" s="64"/>
      <c r="I86" s="64"/>
      <c r="J86" s="64">
        <v>3166</v>
      </c>
      <c r="K86" s="64"/>
      <c r="L86" s="64"/>
      <c r="M86" s="64"/>
      <c r="N86" s="64"/>
      <c r="O86" s="64"/>
      <c r="P86" s="64"/>
      <c r="Q86" s="64"/>
      <c r="R86" s="69"/>
      <c r="S86" s="69"/>
      <c r="T86" s="70"/>
      <c r="U86" s="66">
        <f t="shared" si="108"/>
        <v>0</v>
      </c>
      <c r="V86" s="67">
        <f>ROUNDUP(G86/9,2)</f>
        <v>0</v>
      </c>
      <c r="W86" s="67"/>
      <c r="X86" s="67"/>
      <c r="Y86" s="67">
        <f>ROUNDUP((R86+N86)/9,2)</f>
        <v>0</v>
      </c>
      <c r="Z86" s="103">
        <f>ROUNDUP(J86/9,2)</f>
        <v>351.78</v>
      </c>
      <c r="AA86" s="66">
        <f>ROUNDUP(R86*18/12/27,2)</f>
        <v>0</v>
      </c>
      <c r="AB86" s="67">
        <f>(R86*9)/12/27</f>
        <v>0</v>
      </c>
      <c r="AC86" s="67">
        <f>(R86*6)/12/27</f>
        <v>0</v>
      </c>
      <c r="AD86" s="67">
        <f>ROUNDUP(R86*0.055/9,2)</f>
        <v>0</v>
      </c>
      <c r="AE86" s="68">
        <f>(R86*1.75)/12/27</f>
        <v>0</v>
      </c>
      <c r="AF86" s="112">
        <f>(N86*9)/12/27</f>
        <v>0</v>
      </c>
      <c r="AG86" s="67">
        <f>(O86*9)/12/27</f>
        <v>0</v>
      </c>
      <c r="AH86" s="67">
        <f>(N86*6)/12/27</f>
        <v>0</v>
      </c>
      <c r="AI86" s="67"/>
      <c r="AJ86" s="67">
        <f>ROUNDUP(J86*0.085/9,2)</f>
        <v>29.91</v>
      </c>
      <c r="AK86" s="67">
        <f>ROUNDUP(N86*0.055/9,2)</f>
        <v>0</v>
      </c>
      <c r="AL86" s="67">
        <f>(N86*1.75)/12/27</f>
        <v>0</v>
      </c>
      <c r="AM86" s="67">
        <f>ROUNDUP((J86+N86+R86)*1.25/12/27,2)</f>
        <v>12.22</v>
      </c>
      <c r="AN86" s="67"/>
      <c r="AO86" s="67">
        <f>T86*F86</f>
        <v>0</v>
      </c>
      <c r="AP86" s="67"/>
      <c r="AQ86" s="67"/>
      <c r="AR86" s="67"/>
      <c r="AS86" s="12"/>
      <c r="AT86" s="12"/>
      <c r="AU86" s="12"/>
    </row>
    <row r="87" spans="2:47" s="13" customFormat="1" ht="12.75" customHeight="1" thickBot="1" x14ac:dyDescent="0.25">
      <c r="B87" s="88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90"/>
      <c r="U87" s="42"/>
      <c r="V87" s="38"/>
      <c r="W87" s="38"/>
      <c r="X87" s="38"/>
      <c r="Y87" s="38"/>
      <c r="Z87" s="104"/>
      <c r="AA87" s="42"/>
      <c r="AB87" s="38"/>
      <c r="AC87" s="38"/>
      <c r="AD87" s="38">
        <f>ROUNDUP(R87*0.055/9,2)</f>
        <v>0</v>
      </c>
      <c r="AE87" s="39">
        <f>(R87*1.75)/12/27</f>
        <v>0</v>
      </c>
      <c r="AF87" s="113"/>
      <c r="AG87" s="38"/>
      <c r="AH87" s="38"/>
      <c r="AI87" s="38"/>
      <c r="AJ87" s="38"/>
      <c r="AK87" s="38"/>
      <c r="AL87" s="38">
        <f>(W87*1.75)/12/27</f>
        <v>0</v>
      </c>
      <c r="AM87" s="38"/>
      <c r="AN87" s="38"/>
      <c r="AO87" s="38"/>
      <c r="AP87" s="38"/>
      <c r="AQ87" s="38"/>
      <c r="AR87" s="38"/>
      <c r="AS87" s="12"/>
      <c r="AT87" s="12"/>
      <c r="AU87" s="12"/>
    </row>
    <row r="88" spans="2:47" s="5" customFormat="1" ht="25.5" customHeight="1" thickBot="1" x14ac:dyDescent="0.25">
      <c r="B88" s="136" t="s">
        <v>7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8"/>
      <c r="U88" s="47">
        <f t="shared" ref="U88:AR88" si="109">SUM(U15:U87)</f>
        <v>5032.1499999999996</v>
      </c>
      <c r="V88" s="25">
        <f t="shared" si="109"/>
        <v>706.14999999999986</v>
      </c>
      <c r="W88" s="25">
        <f t="shared" si="109"/>
        <v>871.47000000000116</v>
      </c>
      <c r="X88" s="25">
        <f t="shared" si="109"/>
        <v>198.34</v>
      </c>
      <c r="Y88" s="25">
        <f t="shared" si="109"/>
        <v>2480.9199999999996</v>
      </c>
      <c r="Z88" s="105">
        <f t="shared" si="109"/>
        <v>10839.440000000002</v>
      </c>
      <c r="AA88" s="47">
        <f t="shared" si="109"/>
        <v>91.009999999999991</v>
      </c>
      <c r="AB88" s="25">
        <f t="shared" si="109"/>
        <v>442.45194444444445</v>
      </c>
      <c r="AC88" s="25">
        <f t="shared" si="109"/>
        <v>294.96796296296293</v>
      </c>
      <c r="AD88" s="25">
        <f t="shared" si="109"/>
        <v>97.47</v>
      </c>
      <c r="AE88" s="32">
        <f t="shared" si="109"/>
        <v>86.032322530864207</v>
      </c>
      <c r="AF88" s="34">
        <f t="shared" si="109"/>
        <v>177.74499999999998</v>
      </c>
      <c r="AG88" s="25">
        <f t="shared" si="109"/>
        <v>2.1770061728395063</v>
      </c>
      <c r="AH88" s="25">
        <f t="shared" si="109"/>
        <v>118.49666666666668</v>
      </c>
      <c r="AI88" s="25">
        <f t="shared" si="109"/>
        <v>1.0205761316872428</v>
      </c>
      <c r="AJ88" s="25">
        <f t="shared" si="109"/>
        <v>921.58</v>
      </c>
      <c r="AK88" s="25">
        <f t="shared" si="109"/>
        <v>136.60000000000002</v>
      </c>
      <c r="AL88" s="25">
        <f t="shared" si="109"/>
        <v>34.561527777777776</v>
      </c>
      <c r="AM88" s="25">
        <f t="shared" si="109"/>
        <v>462.7600000000001</v>
      </c>
      <c r="AN88" s="25">
        <f t="shared" si="109"/>
        <v>0.54425154320987656</v>
      </c>
      <c r="AO88" s="25">
        <f t="shared" si="109"/>
        <v>3995.1449999999868</v>
      </c>
      <c r="AP88" s="25">
        <f t="shared" si="109"/>
        <v>82.666666666666657</v>
      </c>
      <c r="AQ88" s="25">
        <f t="shared" si="109"/>
        <v>818.47000000000116</v>
      </c>
      <c r="AR88" s="25">
        <f t="shared" si="109"/>
        <v>812.14999999999986</v>
      </c>
      <c r="AS88" s="4"/>
      <c r="AT88" s="4"/>
      <c r="AU88" s="4"/>
    </row>
    <row r="89" spans="2:47" s="7" customFormat="1" ht="25.5" customHeight="1" thickBot="1" x14ac:dyDescent="0.3">
      <c r="B89" s="136" t="s">
        <v>4</v>
      </c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8"/>
      <c r="U89" s="48">
        <f t="shared" ref="U89" si="110">ROUNDUP(U88,0)</f>
        <v>5033</v>
      </c>
      <c r="V89" s="71">
        <f>ROUNDUP(V88,0)</f>
        <v>707</v>
      </c>
      <c r="W89" s="71">
        <f>ROUNDUP(W88,0)</f>
        <v>872</v>
      </c>
      <c r="X89" s="78">
        <f>ROUNDUP(X88,0)</f>
        <v>199</v>
      </c>
      <c r="Y89" s="71">
        <f t="shared" ref="Y89:AR89" si="111">ROUNDUP(Y88,0)</f>
        <v>2481</v>
      </c>
      <c r="Z89" s="77">
        <f>ROUNDUP(Z88,0)</f>
        <v>10840</v>
      </c>
      <c r="AA89" s="48">
        <f>ROUNDUP(AA88,0)</f>
        <v>92</v>
      </c>
      <c r="AB89" s="78">
        <f t="shared" ref="AB89:AC89" si="112">ROUNDUP(AB88,0)</f>
        <v>443</v>
      </c>
      <c r="AC89" s="78">
        <f t="shared" si="112"/>
        <v>295</v>
      </c>
      <c r="AD89" s="78">
        <f>ROUNDUP(AD88,0)</f>
        <v>98</v>
      </c>
      <c r="AE89" s="49">
        <f>ROUNDUP(AE88,0)</f>
        <v>87</v>
      </c>
      <c r="AF89" s="145">
        <f>ROUNDUP(SUM(AF88:AG88),0)</f>
        <v>180</v>
      </c>
      <c r="AG89" s="141"/>
      <c r="AH89" s="140">
        <f>ROUNDUP(AH88+AI88,0)</f>
        <v>120</v>
      </c>
      <c r="AI89" s="141"/>
      <c r="AJ89" s="140">
        <f>ROUNDUP(SUM(AJ88:AK88),0)</f>
        <v>1059</v>
      </c>
      <c r="AK89" s="141"/>
      <c r="AL89" s="71">
        <f>ROUNDUP(AL88,0)</f>
        <v>35</v>
      </c>
      <c r="AM89" s="71">
        <f t="shared" si="111"/>
        <v>463</v>
      </c>
      <c r="AN89" s="76">
        <f t="shared" ref="AN89" si="113">ROUNDUP(AN88,0)</f>
        <v>1</v>
      </c>
      <c r="AO89" s="71">
        <f t="shared" si="111"/>
        <v>3996</v>
      </c>
      <c r="AP89" s="121">
        <f t="shared" ref="AP89" si="114">ROUNDUP(AP88,0)</f>
        <v>83</v>
      </c>
      <c r="AQ89" s="71">
        <f t="shared" si="111"/>
        <v>819</v>
      </c>
      <c r="AR89" s="71">
        <f t="shared" si="111"/>
        <v>813</v>
      </c>
    </row>
    <row r="90" spans="2:47" x14ac:dyDescent="0.2">
      <c r="J90" s="119">
        <f>SUM(J76:J86,J16:J74)</f>
        <v>97553.22000000003</v>
      </c>
      <c r="N90" s="119">
        <f>SUM(N76:N86,N16:N74)</f>
        <v>6539.8900000000012</v>
      </c>
      <c r="R90" s="119">
        <f>SUM(R76:R86,R16:R74)</f>
        <v>15928.27</v>
      </c>
    </row>
  </sheetData>
  <mergeCells count="37">
    <mergeCell ref="AF8:AR8"/>
    <mergeCell ref="U8:Z8"/>
    <mergeCell ref="AA8:AE8"/>
    <mergeCell ref="F8:F13"/>
    <mergeCell ref="C16:D16"/>
    <mergeCell ref="E8:E14"/>
    <mergeCell ref="C8:D13"/>
    <mergeCell ref="AH9:AI9"/>
    <mergeCell ref="R8:R13"/>
    <mergeCell ref="L8:L13"/>
    <mergeCell ref="B8:B14"/>
    <mergeCell ref="Q8:Q13"/>
    <mergeCell ref="P8:P13"/>
    <mergeCell ref="O8:O13"/>
    <mergeCell ref="N8:N13"/>
    <mergeCell ref="M8:M13"/>
    <mergeCell ref="K8:K13"/>
    <mergeCell ref="J8:J13"/>
    <mergeCell ref="I8:I13"/>
    <mergeCell ref="H8:H13"/>
    <mergeCell ref="G8:G13"/>
    <mergeCell ref="AH89:AI89"/>
    <mergeCell ref="AJ89:AK89"/>
    <mergeCell ref="AJ9:AK9"/>
    <mergeCell ref="C57:D57"/>
    <mergeCell ref="C75:T75"/>
    <mergeCell ref="C76:D76"/>
    <mergeCell ref="C79:D79"/>
    <mergeCell ref="C82:D82"/>
    <mergeCell ref="C85:D85"/>
    <mergeCell ref="C48:D48"/>
    <mergeCell ref="AF9:AG9"/>
    <mergeCell ref="AF89:AG89"/>
    <mergeCell ref="B88:T88"/>
    <mergeCell ref="B89:T89"/>
    <mergeCell ref="T8:T13"/>
    <mergeCell ref="S8:S13"/>
  </mergeCells>
  <printOptions horizontalCentered="1"/>
  <pageMargins left="0.25" right="0.25" top="0.75" bottom="0.75" header="0.3" footer="0.3"/>
  <pageSetup paperSize="3" scale="50" fitToWidth="0" fitToHeight="0" orientation="landscape" r:id="rId1"/>
  <headerFooter alignWithMargins="0">
    <oddFooter>&amp;L&amp;F&amp;R&amp;P of &amp;N</oddFooter>
  </headerFooter>
  <colBreaks count="1" manualBreakCount="1">
    <brk id="31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Stage 3</vt:lpstr>
      <vt:lpstr>'Stage 3'!Print_Area</vt:lpstr>
      <vt:lpstr>'Stage 3'!Print_Titles</vt:lpstr>
      <vt:lpstr>'Stage 3'!Spanner_Auto_Select</vt:lpstr>
    </vt:vector>
  </TitlesOfParts>
  <Company>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Thompson</dc:creator>
  <cp:lastModifiedBy>Robert Sabol</cp:lastModifiedBy>
  <cp:lastPrinted>2021-04-15T11:43:51Z</cp:lastPrinted>
  <dcterms:created xsi:type="dcterms:W3CDTF">2000-07-26T18:06:19Z</dcterms:created>
  <dcterms:modified xsi:type="dcterms:W3CDTF">2021-07-28T13:57:07Z</dcterms:modified>
</cp:coreProperties>
</file>