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32760" windowWidth="8025" windowHeight="2880" tabRatio="786" activeTab="0"/>
  </bookViews>
  <sheets>
    <sheet name="PVMT Pg 2" sheetId="1" r:id="rId1"/>
    <sheet name="PVMT Pg 3" sheetId="2" r:id="rId2"/>
    <sheet name="PVMT Pg 4" sheetId="3" r:id="rId3"/>
    <sheet name="PVMT Pg 5" sheetId="4" r:id="rId4"/>
    <sheet name="PVMT Pg 6" sheetId="5" r:id="rId5"/>
    <sheet name="PVMT Pg 7" sheetId="6" r:id="rId6"/>
    <sheet name="PVMT Pg 8" sheetId="7" r:id="rId7"/>
    <sheet name="PVMT Pg 9" sheetId="8" r:id="rId8"/>
    <sheet name="PVMT Pg 10" sheetId="9" r:id="rId9"/>
    <sheet name="PVMT Pg 11" sheetId="10" r:id="rId10"/>
    <sheet name="PVMT Pg 12" sheetId="11" r:id="rId11"/>
    <sheet name="PVMT Pg 13" sheetId="12" r:id="rId12"/>
    <sheet name="PVMT Pg 14" sheetId="13" r:id="rId13"/>
    <sheet name="PVMT Pg 15" sheetId="14" r:id="rId14"/>
  </sheets>
  <definedNames>
    <definedName name="_xlfn._FV" hidden="1">#NAME?</definedName>
    <definedName name="_xlnm.Print_Area" localSheetId="8">'PVMT Pg 10'!$B$3:$AG$68</definedName>
    <definedName name="_xlnm.Print_Area" localSheetId="9">'PVMT Pg 11'!$B$3:$AG$68</definedName>
    <definedName name="_xlnm.Print_Area" localSheetId="10">'PVMT Pg 12'!$B$3:$AG$68</definedName>
    <definedName name="_xlnm.Print_Area" localSheetId="11">'PVMT Pg 13'!$B$3:$AG$68</definedName>
    <definedName name="_xlnm.Print_Area" localSheetId="12">'PVMT Pg 14'!$B$3:$AG$68</definedName>
    <definedName name="_xlnm.Print_Area" localSheetId="13">'PVMT Pg 15'!$B$3:$AG$68</definedName>
    <definedName name="_xlnm.Print_Area" localSheetId="0">'PVMT Pg 2'!$B$3:$AG$68</definedName>
    <definedName name="_xlnm.Print_Area" localSheetId="1">'PVMT Pg 3'!$B$3:$AG$68</definedName>
    <definedName name="_xlnm.Print_Area" localSheetId="2">'PVMT Pg 4'!$B$3:$AG$68</definedName>
    <definedName name="_xlnm.Print_Area" localSheetId="3">'PVMT Pg 5'!$B$3:$AG$68</definedName>
    <definedName name="_xlnm.Print_Area" localSheetId="4">'PVMT Pg 6'!$B$3:$AG$68</definedName>
    <definedName name="_xlnm.Print_Area" localSheetId="5">'PVMT Pg 7'!$B$3:$AG$68</definedName>
    <definedName name="_xlnm.Print_Area" localSheetId="6">'PVMT Pg 8'!$B$3:$AG$68</definedName>
    <definedName name="_xlnm.Print_Area" localSheetId="7">'PVMT Pg 9'!$B$3:$AG$68</definedName>
  </definedNames>
  <calcPr fullCalcOnLoad="1"/>
</workbook>
</file>

<file path=xl/comments14.xml><?xml version="1.0" encoding="utf-8"?>
<comments xmlns="http://schemas.openxmlformats.org/spreadsheetml/2006/main">
  <authors>
    <author>Cox, Casey</author>
  </authors>
  <commentList>
    <comment ref="F47" authorId="0">
      <text>
        <r>
          <rPr>
            <b/>
            <sz val="20"/>
            <rFont val="Tahoma"/>
            <family val="2"/>
          </rPr>
          <t>Cox, Casey:</t>
        </r>
        <r>
          <rPr>
            <sz val="20"/>
            <rFont val="Tahoma"/>
            <family val="2"/>
          </rPr>
          <t xml:space="preserve">
What about C1 barrier and foundations?</t>
        </r>
      </text>
    </comment>
  </commentList>
</comments>
</file>

<file path=xl/comments7.xml><?xml version="1.0" encoding="utf-8"?>
<comments xmlns="http://schemas.openxmlformats.org/spreadsheetml/2006/main">
  <authors>
    <author>Cox, Casey</author>
  </authors>
  <commentList>
    <comment ref="J49" authorId="0">
      <text>
        <r>
          <rPr>
            <b/>
            <sz val="18"/>
            <rFont val="Tahoma"/>
            <family val="2"/>
          </rPr>
          <t>Cox, Casey:</t>
        </r>
        <r>
          <rPr>
            <sz val="18"/>
            <rFont val="Tahoma"/>
            <family val="2"/>
          </rPr>
          <t xml:space="preserve">
to match C1</t>
        </r>
      </text>
    </comment>
  </commentList>
</comments>
</file>

<file path=xl/sharedStrings.xml><?xml version="1.0" encoding="utf-8"?>
<sst xmlns="http://schemas.openxmlformats.org/spreadsheetml/2006/main" count="1264" uniqueCount="98">
  <si>
    <t>STATION</t>
  </si>
  <si>
    <t>FROM</t>
  </si>
  <si>
    <t>TO</t>
  </si>
  <si>
    <t>SIDE</t>
  </si>
  <si>
    <t>LENGTH (L)</t>
  </si>
  <si>
    <t>AVERAGE WIDTH (W)</t>
  </si>
  <si>
    <t>SURFACE AREA (A=LxW)</t>
  </si>
  <si>
    <t>FT</t>
  </si>
  <si>
    <t>TOTALS CARRIED TO PAVEMENT SUBSUMMARY</t>
  </si>
  <si>
    <t>SF</t>
  </si>
  <si>
    <t>CADD AREA</t>
  </si>
  <si>
    <t>CALCULATED                            
LRK</t>
  </si>
  <si>
    <t>CURVE CORRECTION RATIO</t>
  </si>
  <si>
    <t>CHECKED                       
PJF</t>
  </si>
  <si>
    <t>TABLE 1</t>
  </si>
  <si>
    <t>AREA FOR 4" EXTENSION</t>
  </si>
  <si>
    <t>AREA FOR 6" EXTENSION</t>
  </si>
  <si>
    <t>AREA FOR 10" EXTENSION</t>
  </si>
  <si>
    <t>AREA FOR 16" EXTENSION</t>
  </si>
  <si>
    <t>AREA FOR 18" EXTENSION</t>
  </si>
  <si>
    <t>AREA FOR 20" EXTENSION</t>
  </si>
  <si>
    <t>AREA FOR 22" EXTENSION</t>
  </si>
  <si>
    <t>8" ASPHALT CONCRETE BASE, PG64-22</t>
  </si>
  <si>
    <t>ANTI-SEGREGATION EQUIPMENT</t>
  </si>
  <si>
    <t>CY</t>
  </si>
  <si>
    <t>GAL</t>
  </si>
  <si>
    <t>NORTHBOUND I.R. 77 CL</t>
  </si>
  <si>
    <t>FULL DEPTH LANES</t>
  </si>
  <si>
    <t>RT</t>
  </si>
  <si>
    <t>RT/IN</t>
  </si>
  <si>
    <t>RT/OUT</t>
  </si>
  <si>
    <t>CADD</t>
  </si>
  <si>
    <t>NORTHBOUND I.R. 77 BL</t>
  </si>
  <si>
    <t>LT</t>
  </si>
  <si>
    <t>REFERENCE CELLS FOR FORMULA CONSTANTS (DO NOT PRINT THIS ROW)</t>
  </si>
  <si>
    <t>FULL DEPTH SHOULDER</t>
  </si>
  <si>
    <t>FULL DEPTH SHOULDER CONTD.</t>
  </si>
  <si>
    <t>SOUTHBOUND I.R. 77 BL</t>
  </si>
  <si>
    <t>RAMP A</t>
  </si>
  <si>
    <t>SOUTHBOUND I.R. 77 CL</t>
  </si>
  <si>
    <t>LT/OUT</t>
  </si>
  <si>
    <t>LT/IN</t>
  </si>
  <si>
    <t>GORE AREAS</t>
  </si>
  <si>
    <t>NORTHBOUND I.R. 77/ARLINGTON RD. RAMP D</t>
  </si>
  <si>
    <t>NORTHBOUND I.R. 77/RAMP C</t>
  </si>
  <si>
    <t>NORTHBOUND I.R. 77/RAMP B-2</t>
  </si>
  <si>
    <t>NORTHBOUND I.R. 77/RAMP C-1</t>
  </si>
  <si>
    <t>NORTHBOUND I.R. 77/RAMP D</t>
  </si>
  <si>
    <t>SOUTHBOUND I.R. 77/RAMP A</t>
  </si>
  <si>
    <t>RAMP C/RAMP C-2</t>
  </si>
  <si>
    <t>EASTBOUND I.R. 277/U.S. 224/RAMP A</t>
  </si>
  <si>
    <t>EASTBOUND I.R. 277/U.S. 224/RAMP C-1</t>
  </si>
  <si>
    <t>EASTBOUND I.R. 277/U.S. 224/RAMP C</t>
  </si>
  <si>
    <t>WESTBOUND I.R. 277/U.S. 224/RAMP B-2</t>
  </si>
  <si>
    <t>WESTBOUND I.R. 277/U.S. 224/RAMP B-1</t>
  </si>
  <si>
    <t>WESTBOUND I.R. 277/U.S. 224/RAMP D</t>
  </si>
  <si>
    <t>RAMP B-2/RAMP B</t>
  </si>
  <si>
    <t>ARLINGTON RD. RAMP D</t>
  </si>
  <si>
    <t>RAMP B</t>
  </si>
  <si>
    <t>RAMP B-1</t>
  </si>
  <si>
    <t>RAMP B-2</t>
  </si>
  <si>
    <t>237+00.00 (I.R. 277)</t>
  </si>
  <si>
    <t>237+37.85 (I.R. 277)</t>
  </si>
  <si>
    <t>RAMP C</t>
  </si>
  <si>
    <t>277+50.00 (I.R. 277)</t>
  </si>
  <si>
    <t>277+72.76 (I.R. 277)</t>
  </si>
  <si>
    <t>279+50.00 (I.R. 277)</t>
  </si>
  <si>
    <t>277+80.00 (I.R. 277)</t>
  </si>
  <si>
    <t>RAMP C-1</t>
  </si>
  <si>
    <t>RAMP C-2</t>
  </si>
  <si>
    <t>RAMP D</t>
  </si>
  <si>
    <t>272+95.00 (I.R. 277)</t>
  </si>
  <si>
    <t>273+25.00 (I.R. 277)</t>
  </si>
  <si>
    <t>269+40.00 (I.R. 277)</t>
  </si>
  <si>
    <t>NORTHBOUND I.R. 77 CL CONTD.</t>
  </si>
  <si>
    <t>SOUTHBOUND I.R. 77 CL CONTD.</t>
  </si>
  <si>
    <t>NORTHBOUND I.R. 77 BL CONTD.</t>
  </si>
  <si>
    <t>SOUTHBOUND I.R. 77 BL CONTD.</t>
  </si>
  <si>
    <t>RAMP B-2 CONTD.</t>
  </si>
  <si>
    <t>RAMP C CONTD.</t>
  </si>
  <si>
    <t>RAMP C-1 CONTD.</t>
  </si>
  <si>
    <t>PAVEMENT CALCULATIONS (FLEXIBLE)</t>
  </si>
  <si>
    <t>NON-TRACKING TACK COAT
(0.055 GAL/SY - 3 APPLICATIONS)</t>
  </si>
  <si>
    <t>1 1/2" ASPHALT CONCRETE 
SURFACE COURSE, 12.5 MM, 
TYPE A (447), AS PER PLAN</t>
  </si>
  <si>
    <t>AREA FOR 22.875" EXTENSION</t>
  </si>
  <si>
    <t>MILE</t>
  </si>
  <si>
    <t>RUMBLE STRIPS</t>
  </si>
  <si>
    <t>RUMBLE STRIPS CONTD.</t>
  </si>
  <si>
    <t>EASTBOUND/WESTBOUND I.R. 277 CL</t>
  </si>
  <si>
    <t>RUMBLE STRIPS, SHOULDER (ASPHALT CONCRETE)</t>
  </si>
  <si>
    <t>LT/RT</t>
  </si>
  <si>
    <t>NORTHBOUND/SOUTHBOUND I.R. 77 CL</t>
  </si>
  <si>
    <t>BARRIER DEDUCTIONS</t>
  </si>
  <si>
    <t>SUM-77/277/224 VARIOUS</t>
  </si>
  <si>
    <t>EDGE EXT. CURVE CORRECTION RATIO</t>
  </si>
  <si>
    <t>CURB, TYPE 4-C, AS PER PLAN</t>
  </si>
  <si>
    <t>6" AGGREGATE BASE</t>
  </si>
  <si>
    <t>1 3/4" ASPHALT CONCRETE 
INTERMEDIATE COURSE, 
19 MM, TYPE A (446),
AS PER PLAN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</si>
</sst>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+##.##"/>
    <numFmt numFmtId="165" formatCode="00######"/>
    <numFmt numFmtId="166" formatCode="0######"/>
    <numFmt numFmtId="167" formatCode="mmmm\ d\,\ yyyy"/>
    <numFmt numFmtId="168" formatCode="&quot;$&quot;#,##0.00"/>
    <numFmt numFmtId="169" formatCode="&quot;$&quot;#,##0.000"/>
    <numFmt numFmtId="170" formatCode="&quot;$&quot;#,##0.0"/>
    <numFmt numFmtId="171" formatCode="&quot;$&quot;#,##0"/>
    <numFmt numFmtId="172" formatCode="&quot;$&quot;#,##0.0000"/>
    <numFmt numFmtId="173" formatCode="0.0000"/>
    <numFmt numFmtId="174" formatCode="0.000"/>
    <numFmt numFmtId="175" formatCode="0.0"/>
    <numFmt numFmtId="176" formatCode="0.00000"/>
    <numFmt numFmtId="177" formatCode="0.000000"/>
    <numFmt numFmtId="178" formatCode="0.0000000"/>
    <numFmt numFmtId="179" formatCode="##\+##"/>
    <numFmt numFmtId="180" formatCode="0\+00.00"/>
    <numFmt numFmtId="181" formatCode="0.0000000000000"/>
    <numFmt numFmtId="182" formatCode="00\+00.00"/>
    <numFmt numFmtId="183" formatCode="##\+##.####"/>
    <numFmt numFmtId="184" formatCode="0\+00"/>
    <numFmt numFmtId="185" formatCode="000\+00"/>
    <numFmt numFmtId="186" formatCode="000\+00.00"/>
    <numFmt numFmtId="187" formatCode="0.000000000000"/>
    <numFmt numFmtId="188" formatCode="0.0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00000"/>
    <numFmt numFmtId="194" formatCode="0.000000000000000"/>
    <numFmt numFmtId="195" formatCode="0.0000000000"/>
    <numFmt numFmtId="196" formatCode="0.000000000"/>
    <numFmt numFmtId="197" formatCode="0.00000000"/>
    <numFmt numFmtId="198" formatCode="0000\+00.00"/>
    <numFmt numFmtId="199" formatCode="###\+##.00\ \(\I.\R.\ \7\7\)"/>
    <numFmt numFmtId="200" formatCode="###\+##.00\ &quot;(I.R. 224/277)&quot;"/>
    <numFmt numFmtId="201" formatCode="###\+##.00\ &quot;(I.R. 277/224)&quot;"/>
    <numFmt numFmtId="202" formatCode="###\+##.00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6"/>
      <color indexed="10"/>
      <name val="Arial"/>
      <family val="2"/>
    </font>
    <font>
      <b/>
      <sz val="2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sz val="2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FF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60">
      <alignment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0" xfId="60" applyFont="1">
      <alignment/>
      <protection/>
    </xf>
    <xf numFmtId="0" fontId="3" fillId="0" borderId="0" xfId="60" applyFont="1">
      <alignment/>
      <protection/>
    </xf>
    <xf numFmtId="0" fontId="0" fillId="0" borderId="0" xfId="60" applyBorder="1">
      <alignment/>
      <protection/>
    </xf>
    <xf numFmtId="0" fontId="3" fillId="0" borderId="12" xfId="60" applyFont="1" applyBorder="1">
      <alignment/>
      <protection/>
    </xf>
    <xf numFmtId="0" fontId="1" fillId="0" borderId="0" xfId="60" applyFont="1" applyAlignment="1">
      <alignment wrapText="1"/>
      <protection/>
    </xf>
    <xf numFmtId="0" fontId="3" fillId="0" borderId="0" xfId="60" applyFont="1" applyBorder="1">
      <alignment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53" fillId="0" borderId="0" xfId="60" applyFont="1" applyAlignment="1">
      <alignment horizontal="center" vertical="center"/>
      <protection/>
    </xf>
    <xf numFmtId="180" fontId="3" fillId="0" borderId="15" xfId="60" applyNumberFormat="1" applyFont="1" applyFill="1" applyBorder="1" applyAlignment="1">
      <alignment horizontal="center" vertical="center"/>
      <protection/>
    </xf>
    <xf numFmtId="180" fontId="3" fillId="0" borderId="16" xfId="60" applyNumberFormat="1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2" fontId="3" fillId="0" borderId="16" xfId="60" applyNumberFormat="1" applyFont="1" applyFill="1" applyBorder="1" applyAlignment="1">
      <alignment horizontal="center" vertical="center"/>
      <protection/>
    </xf>
    <xf numFmtId="2" fontId="3" fillId="0" borderId="17" xfId="60" applyNumberFormat="1" applyFont="1" applyFill="1" applyBorder="1" applyAlignment="1">
      <alignment horizontal="center" vertical="center"/>
      <protection/>
    </xf>
    <xf numFmtId="173" fontId="3" fillId="0" borderId="16" xfId="60" applyNumberFormat="1" applyFont="1" applyFill="1" applyBorder="1" applyAlignment="1">
      <alignment horizontal="center" vertical="center"/>
      <protection/>
    </xf>
    <xf numFmtId="180" fontId="2" fillId="0" borderId="15" xfId="60" applyNumberFormat="1" applyFont="1" applyFill="1" applyBorder="1" applyAlignment="1">
      <alignment horizontal="left" vertical="center"/>
      <protection/>
    </xf>
    <xf numFmtId="180" fontId="2" fillId="0" borderId="17" xfId="60" applyNumberFormat="1" applyFont="1" applyFill="1" applyBorder="1" applyAlignment="1">
      <alignment horizontal="left" vertical="center"/>
      <protection/>
    </xf>
    <xf numFmtId="180" fontId="3" fillId="0" borderId="18" xfId="60" applyNumberFormat="1" applyFont="1" applyFill="1" applyBorder="1" applyAlignment="1">
      <alignment horizontal="center" vertical="center"/>
      <protection/>
    </xf>
    <xf numFmtId="2" fontId="3" fillId="0" borderId="19" xfId="60" applyNumberFormat="1" applyFont="1" applyFill="1" applyBorder="1" applyAlignment="1">
      <alignment horizontal="center" vertical="center"/>
      <protection/>
    </xf>
    <xf numFmtId="0" fontId="53" fillId="0" borderId="0" xfId="60" applyFont="1" applyFill="1">
      <alignment/>
      <protection/>
    </xf>
    <xf numFmtId="175" fontId="3" fillId="0" borderId="0" xfId="60" applyNumberFormat="1" applyFont="1">
      <alignment/>
      <protection/>
    </xf>
    <xf numFmtId="0" fontId="2" fillId="0" borderId="0" xfId="60" applyFont="1">
      <alignment/>
      <protection/>
    </xf>
    <xf numFmtId="0" fontId="0" fillId="0" borderId="20" xfId="60" applyBorder="1">
      <alignment/>
      <protection/>
    </xf>
    <xf numFmtId="0" fontId="0" fillId="0" borderId="0" xfId="60" applyFill="1">
      <alignment/>
      <protection/>
    </xf>
    <xf numFmtId="0" fontId="0" fillId="0" borderId="21" xfId="60" applyBorder="1">
      <alignment/>
      <protection/>
    </xf>
    <xf numFmtId="0" fontId="4" fillId="0" borderId="0" xfId="60" applyFont="1" applyFill="1" applyBorder="1">
      <alignment/>
      <protection/>
    </xf>
    <xf numFmtId="0" fontId="53" fillId="0" borderId="0" xfId="60" applyFont="1" applyFill="1" applyBorder="1">
      <alignment/>
      <protection/>
    </xf>
    <xf numFmtId="0" fontId="10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54" fillId="0" borderId="0" xfId="60" applyFont="1" applyAlignment="1">
      <alignment horizontal="center" vertical="center"/>
      <protection/>
    </xf>
    <xf numFmtId="0" fontId="54" fillId="0" borderId="0" xfId="60" applyFont="1" applyFill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center" vertical="center"/>
      <protection/>
    </xf>
    <xf numFmtId="180" fontId="3" fillId="0" borderId="17" xfId="60" applyNumberFormat="1" applyFont="1" applyFill="1" applyBorder="1" applyAlignment="1">
      <alignment horizontal="center" vertical="center"/>
      <protection/>
    </xf>
    <xf numFmtId="2" fontId="3" fillId="0" borderId="16" xfId="60" applyNumberFormat="1" applyFont="1" applyFill="1" applyBorder="1" applyAlignment="1">
      <alignment horizontal="left" vertical="center"/>
      <protection/>
    </xf>
    <xf numFmtId="180" fontId="3" fillId="0" borderId="25" xfId="60" applyNumberFormat="1" applyFont="1" applyFill="1" applyBorder="1" applyAlignment="1">
      <alignment horizontal="center" vertical="center"/>
      <protection/>
    </xf>
    <xf numFmtId="2" fontId="3" fillId="0" borderId="25" xfId="60" applyNumberFormat="1" applyFont="1" applyFill="1" applyBorder="1" applyAlignment="1">
      <alignment horizontal="center" vertical="center"/>
      <protection/>
    </xf>
    <xf numFmtId="0" fontId="12" fillId="0" borderId="0" xfId="60" applyFont="1" applyFill="1" applyAlignment="1">
      <alignment vertical="center"/>
      <protection/>
    </xf>
    <xf numFmtId="2" fontId="12" fillId="0" borderId="0" xfId="60" applyNumberFormat="1" applyFont="1" applyFill="1" applyAlignment="1">
      <alignment vertical="center"/>
      <protection/>
    </xf>
    <xf numFmtId="174" fontId="12" fillId="0" borderId="0" xfId="60" applyNumberFormat="1" applyFont="1" applyFill="1" applyAlignment="1">
      <alignment vertical="center"/>
      <protection/>
    </xf>
    <xf numFmtId="2" fontId="0" fillId="0" borderId="0" xfId="60" applyNumberFormat="1" applyFill="1">
      <alignment/>
      <protection/>
    </xf>
    <xf numFmtId="2" fontId="0" fillId="0" borderId="0" xfId="60" applyNumberFormat="1">
      <alignment/>
      <protection/>
    </xf>
    <xf numFmtId="0" fontId="4" fillId="0" borderId="0" xfId="60" applyFont="1" applyBorder="1" applyAlignment="1">
      <alignment horizontal="center"/>
      <protection/>
    </xf>
    <xf numFmtId="0" fontId="4" fillId="0" borderId="0" xfId="60" applyNumberFormat="1" applyFont="1" applyAlignment="1">
      <alignment horizontal="center" vertical="center"/>
      <protection/>
    </xf>
    <xf numFmtId="2" fontId="4" fillId="0" borderId="0" xfId="60" applyNumberFormat="1" applyFont="1" applyAlignment="1">
      <alignment horizontal="center" vertical="center"/>
      <protection/>
    </xf>
    <xf numFmtId="0" fontId="54" fillId="0" borderId="26" xfId="60" applyFont="1" applyFill="1" applyBorder="1" applyAlignment="1">
      <alignment vertical="center"/>
      <protection/>
    </xf>
    <xf numFmtId="0" fontId="4" fillId="0" borderId="26" xfId="60" applyFont="1" applyBorder="1" applyAlignment="1">
      <alignment horizontal="center"/>
      <protection/>
    </xf>
    <xf numFmtId="2" fontId="3" fillId="0" borderId="17" xfId="60" applyNumberFormat="1" applyFont="1" applyFill="1" applyBorder="1" applyAlignment="1">
      <alignment vertical="center"/>
      <protection/>
    </xf>
    <xf numFmtId="2" fontId="3" fillId="0" borderId="19" xfId="60" applyNumberFormat="1" applyFont="1" applyFill="1" applyBorder="1" applyAlignment="1">
      <alignment vertical="center"/>
      <protection/>
    </xf>
    <xf numFmtId="2" fontId="3" fillId="0" borderId="15" xfId="60" applyNumberFormat="1" applyFont="1" applyFill="1" applyBorder="1" applyAlignment="1">
      <alignment vertical="center"/>
      <protection/>
    </xf>
    <xf numFmtId="0" fontId="13" fillId="0" borderId="19" xfId="60" applyFont="1" applyFill="1" applyBorder="1" applyAlignment="1">
      <alignment vertical="center"/>
      <protection/>
    </xf>
    <xf numFmtId="0" fontId="13" fillId="0" borderId="17" xfId="60" applyFont="1" applyFill="1" applyBorder="1" applyAlignment="1">
      <alignment vertical="center"/>
      <protection/>
    </xf>
    <xf numFmtId="2" fontId="53" fillId="0" borderId="16" xfId="60" applyNumberFormat="1" applyFont="1" applyFill="1" applyBorder="1" applyAlignment="1">
      <alignment horizontal="left" vertical="center"/>
      <protection/>
    </xf>
    <xf numFmtId="180" fontId="2" fillId="0" borderId="16" xfId="60" applyNumberFormat="1" applyFont="1" applyFill="1" applyBorder="1" applyAlignment="1">
      <alignment horizontal="left" vertical="center"/>
      <protection/>
    </xf>
    <xf numFmtId="174" fontId="3" fillId="0" borderId="16" xfId="60" applyNumberFormat="1" applyFont="1" applyFill="1" applyBorder="1" applyAlignment="1">
      <alignment horizontal="center" vertical="center"/>
      <protection/>
    </xf>
    <xf numFmtId="0" fontId="2" fillId="0" borderId="0" xfId="60" applyFont="1" applyFill="1" applyAlignment="1">
      <alignment horizontal="center"/>
      <protection/>
    </xf>
    <xf numFmtId="0" fontId="3" fillId="0" borderId="0" xfId="60" applyFont="1" applyFill="1" applyAlignment="1">
      <alignment horizontal="center"/>
      <protection/>
    </xf>
    <xf numFmtId="0" fontId="0" fillId="0" borderId="0" xfId="60" applyFill="1" applyAlignment="1">
      <alignment horizontal="center"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Fill="1" applyBorder="1" applyAlignment="1">
      <alignment horizontal="center"/>
      <protection/>
    </xf>
    <xf numFmtId="173" fontId="53" fillId="0" borderId="16" xfId="60" applyNumberFormat="1" applyFont="1" applyFill="1" applyBorder="1" applyAlignment="1">
      <alignment horizontal="center" vertical="center"/>
      <protection/>
    </xf>
    <xf numFmtId="0" fontId="0" fillId="0" borderId="0" xfId="60" applyFill="1" applyBorder="1">
      <alignment/>
      <protection/>
    </xf>
    <xf numFmtId="2" fontId="0" fillId="0" borderId="0" xfId="60" applyNumberFormat="1" applyFill="1" applyBorder="1">
      <alignment/>
      <protection/>
    </xf>
    <xf numFmtId="180" fontId="3" fillId="0" borderId="0" xfId="60" applyNumberFormat="1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2" fontId="3" fillId="0" borderId="0" xfId="60" applyNumberFormat="1" applyFont="1" applyFill="1" applyBorder="1" applyAlignment="1">
      <alignment horizontal="center" vertical="center"/>
      <protection/>
    </xf>
    <xf numFmtId="2" fontId="53" fillId="0" borderId="0" xfId="60" applyNumberFormat="1" applyFont="1" applyFill="1" applyBorder="1" applyAlignment="1">
      <alignment horizontal="center" vertical="center"/>
      <protection/>
    </xf>
    <xf numFmtId="173" fontId="3" fillId="0" borderId="0" xfId="60" applyNumberFormat="1" applyFont="1" applyFill="1" applyBorder="1" applyAlignment="1">
      <alignment horizontal="center" vertical="center"/>
      <protection/>
    </xf>
    <xf numFmtId="180" fontId="3" fillId="0" borderId="27" xfId="60" applyNumberFormat="1" applyFont="1" applyFill="1" applyBorder="1" applyAlignment="1">
      <alignment horizontal="center" vertical="center"/>
      <protection/>
    </xf>
    <xf numFmtId="202" fontId="3" fillId="0" borderId="28" xfId="0" applyNumberFormat="1" applyFont="1" applyFill="1" applyBorder="1" applyAlignment="1">
      <alignment horizontal="center" vertical="center"/>
    </xf>
    <xf numFmtId="186" fontId="3" fillId="0" borderId="18" xfId="60" applyNumberFormat="1" applyFont="1" applyFill="1" applyBorder="1" applyAlignment="1">
      <alignment horizontal="center" vertical="center"/>
      <protection/>
    </xf>
    <xf numFmtId="186" fontId="3" fillId="0" borderId="16" xfId="60" applyNumberFormat="1" applyFont="1" applyFill="1" applyBorder="1" applyAlignment="1">
      <alignment horizontal="center" vertical="center"/>
      <protection/>
    </xf>
    <xf numFmtId="0" fontId="13" fillId="0" borderId="15" xfId="60" applyFont="1" applyFill="1" applyBorder="1" applyAlignment="1">
      <alignment horizontal="center" vertical="center"/>
      <protection/>
    </xf>
    <xf numFmtId="0" fontId="13" fillId="0" borderId="19" xfId="60" applyFont="1" applyFill="1" applyBorder="1" applyAlignment="1">
      <alignment horizontal="center" vertical="center"/>
      <protection/>
    </xf>
    <xf numFmtId="0" fontId="13" fillId="0" borderId="17" xfId="60" applyFont="1" applyFill="1" applyBorder="1" applyAlignment="1">
      <alignment horizontal="center" vertical="center"/>
      <protection/>
    </xf>
    <xf numFmtId="2" fontId="3" fillId="0" borderId="15" xfId="60" applyNumberFormat="1" applyFont="1" applyFill="1" applyBorder="1" applyAlignment="1">
      <alignment horizontal="center" vertical="center"/>
      <protection/>
    </xf>
    <xf numFmtId="2" fontId="3" fillId="0" borderId="19" xfId="60" applyNumberFormat="1" applyFont="1" applyFill="1" applyBorder="1" applyAlignment="1">
      <alignment horizontal="center" vertical="center"/>
      <protection/>
    </xf>
    <xf numFmtId="2" fontId="3" fillId="0" borderId="17" xfId="60" applyNumberFormat="1" applyFont="1" applyFill="1" applyBorder="1" applyAlignment="1">
      <alignment horizontal="center" vertical="center"/>
      <protection/>
    </xf>
    <xf numFmtId="0" fontId="2" fillId="0" borderId="29" xfId="60" applyFont="1" applyFill="1" applyBorder="1" applyAlignment="1">
      <alignment horizontal="center" vertical="center" textRotation="90" wrapText="1"/>
      <protection/>
    </xf>
    <xf numFmtId="0" fontId="2" fillId="0" borderId="12" xfId="60" applyFont="1" applyFill="1" applyBorder="1" applyAlignment="1">
      <alignment horizontal="center" vertical="center" textRotation="90" wrapText="1"/>
      <protection/>
    </xf>
    <xf numFmtId="0" fontId="2" fillId="0" borderId="27" xfId="60" applyFont="1" applyFill="1" applyBorder="1" applyAlignment="1">
      <alignment horizontal="center" vertical="center" textRotation="90" wrapText="1"/>
      <protection/>
    </xf>
    <xf numFmtId="0" fontId="2" fillId="0" borderId="30" xfId="60" applyFont="1" applyFill="1" applyBorder="1" applyAlignment="1">
      <alignment horizontal="center" vertical="center" textRotation="90" wrapText="1"/>
      <protection/>
    </xf>
    <xf numFmtId="0" fontId="2" fillId="0" borderId="31" xfId="60" applyFont="1" applyFill="1" applyBorder="1" applyAlignment="1">
      <alignment horizontal="center" vertical="center" textRotation="90" wrapText="1"/>
      <protection/>
    </xf>
    <xf numFmtId="0" fontId="2" fillId="0" borderId="18" xfId="60" applyFont="1" applyFill="1" applyBorder="1" applyAlignment="1">
      <alignment horizontal="center" vertical="center" textRotation="90" wrapText="1"/>
      <protection/>
    </xf>
    <xf numFmtId="0" fontId="9" fillId="0" borderId="30" xfId="60" applyFont="1" applyFill="1" applyBorder="1" applyAlignment="1">
      <alignment horizontal="center" vertical="center" textRotation="90" wrapText="1"/>
      <protection/>
    </xf>
    <xf numFmtId="0" fontId="9" fillId="0" borderId="31" xfId="60" applyFont="1" applyFill="1" applyBorder="1" applyAlignment="1">
      <alignment horizontal="center" vertical="center" textRotation="90" wrapText="1"/>
      <protection/>
    </xf>
    <xf numFmtId="0" fontId="9" fillId="0" borderId="18" xfId="60" applyFont="1" applyFill="1" applyBorder="1" applyAlignment="1">
      <alignment horizontal="center" vertical="center" textRotation="90" wrapText="1"/>
      <protection/>
    </xf>
    <xf numFmtId="0" fontId="0" fillId="0" borderId="0" xfId="60" applyFont="1" applyFill="1" applyBorder="1" applyAlignment="1">
      <alignment horizontal="center"/>
      <protection/>
    </xf>
    <xf numFmtId="0" fontId="9" fillId="0" borderId="32" xfId="60" applyFont="1" applyFill="1" applyBorder="1" applyAlignment="1">
      <alignment horizontal="center" vertical="center" wrapText="1"/>
      <protection/>
    </xf>
    <xf numFmtId="0" fontId="9" fillId="0" borderId="33" xfId="60" applyFont="1" applyFill="1" applyBorder="1" applyAlignment="1">
      <alignment horizontal="center" vertical="center" wrapText="1"/>
      <protection/>
    </xf>
    <xf numFmtId="0" fontId="9" fillId="0" borderId="34" xfId="60" applyFont="1" applyFill="1" applyBorder="1" applyAlignment="1">
      <alignment horizontal="center" vertical="center" wrapText="1"/>
      <protection/>
    </xf>
    <xf numFmtId="0" fontId="9" fillId="0" borderId="35" xfId="60" applyFont="1" applyFill="1" applyBorder="1" applyAlignment="1">
      <alignment horizontal="center" vertical="center" wrapText="1"/>
      <protection/>
    </xf>
    <xf numFmtId="0" fontId="9" fillId="0" borderId="26" xfId="60" applyFont="1" applyFill="1" applyBorder="1" applyAlignment="1">
      <alignment horizontal="center" vertical="center" wrapText="1"/>
      <protection/>
    </xf>
    <xf numFmtId="0" fontId="9" fillId="0" borderId="36" xfId="60" applyFont="1" applyFill="1" applyBorder="1" applyAlignment="1">
      <alignment horizontal="center" vertical="center" wrapText="1"/>
      <protection/>
    </xf>
    <xf numFmtId="0" fontId="9" fillId="0" borderId="12" xfId="60" applyFont="1" applyFill="1" applyBorder="1" applyAlignment="1">
      <alignment horizontal="center" vertical="center" wrapText="1"/>
      <protection/>
    </xf>
    <xf numFmtId="0" fontId="9" fillId="0" borderId="37" xfId="60" applyFont="1" applyFill="1" applyBorder="1" applyAlignment="1">
      <alignment horizontal="center" vertical="center" wrapText="1"/>
      <protection/>
    </xf>
    <xf numFmtId="0" fontId="9" fillId="0" borderId="27" xfId="60" applyFont="1" applyFill="1" applyBorder="1" applyAlignment="1">
      <alignment horizontal="center" vertical="center" wrapText="1"/>
      <protection/>
    </xf>
    <xf numFmtId="0" fontId="9" fillId="0" borderId="38" xfId="60" applyFont="1" applyFill="1" applyBorder="1" applyAlignment="1">
      <alignment horizontal="center" vertical="center" wrapText="1"/>
      <protection/>
    </xf>
    <xf numFmtId="43" fontId="11" fillId="0" borderId="32" xfId="44" applyFont="1" applyFill="1" applyBorder="1" applyAlignment="1">
      <alignment horizontal="center" vertical="center" textRotation="90"/>
    </xf>
    <xf numFmtId="43" fontId="11" fillId="0" borderId="34" xfId="44" applyFont="1" applyFill="1" applyBorder="1" applyAlignment="1">
      <alignment horizontal="center" vertical="center" textRotation="90"/>
    </xf>
    <xf numFmtId="43" fontId="11" fillId="0" borderId="12" xfId="44" applyFont="1" applyFill="1" applyBorder="1" applyAlignment="1">
      <alignment horizontal="center" vertical="center" textRotation="90"/>
    </xf>
    <xf numFmtId="43" fontId="11" fillId="0" borderId="37" xfId="44" applyFont="1" applyFill="1" applyBorder="1" applyAlignment="1">
      <alignment horizontal="center" vertical="center" textRotation="90"/>
    </xf>
    <xf numFmtId="43" fontId="11" fillId="0" borderId="35" xfId="44" applyFont="1" applyFill="1" applyBorder="1" applyAlignment="1">
      <alignment horizontal="center" vertical="center" textRotation="90"/>
    </xf>
    <xf numFmtId="43" fontId="11" fillId="0" borderId="36" xfId="44" applyFont="1" applyFill="1" applyBorder="1" applyAlignment="1">
      <alignment horizontal="center" vertical="center" textRotation="90"/>
    </xf>
    <xf numFmtId="0" fontId="2" fillId="0" borderId="25" xfId="60" applyFont="1" applyFill="1" applyBorder="1" applyAlignment="1">
      <alignment horizontal="center" vertical="center" textRotation="90" wrapText="1"/>
      <protection/>
    </xf>
    <xf numFmtId="1" fontId="2" fillId="0" borderId="30" xfId="60" applyNumberFormat="1" applyFont="1" applyFill="1" applyBorder="1" applyAlignment="1">
      <alignment horizontal="center" vertical="center"/>
      <protection/>
    </xf>
    <xf numFmtId="1" fontId="0" fillId="0" borderId="13" xfId="60" applyNumberFormat="1" applyFill="1" applyBorder="1" applyAlignment="1">
      <alignment horizontal="center" vertical="center"/>
      <protection/>
    </xf>
    <xf numFmtId="43" fontId="11" fillId="0" borderId="0" xfId="44" applyFont="1" applyFill="1" applyBorder="1" applyAlignment="1">
      <alignment horizontal="center" vertical="center" textRotation="90"/>
    </xf>
    <xf numFmtId="43" fontId="11" fillId="0" borderId="26" xfId="44" applyFont="1" applyFill="1" applyBorder="1" applyAlignment="1">
      <alignment horizontal="center" vertical="center" textRotation="90"/>
    </xf>
    <xf numFmtId="0" fontId="6" fillId="0" borderId="24" xfId="60" applyFont="1" applyFill="1" applyBorder="1" applyAlignment="1">
      <alignment horizontal="center" vertical="top"/>
      <protection/>
    </xf>
    <xf numFmtId="0" fontId="6" fillId="0" borderId="39" xfId="60" applyFont="1" applyFill="1" applyBorder="1" applyAlignment="1">
      <alignment horizontal="center" vertical="top"/>
      <protection/>
    </xf>
    <xf numFmtId="0" fontId="5" fillId="0" borderId="30" xfId="60" applyFont="1" applyFill="1" applyBorder="1" applyAlignment="1">
      <alignment horizontal="center" vertical="center" textRotation="90" wrapText="1"/>
      <protection/>
    </xf>
    <xf numFmtId="0" fontId="5" fillId="0" borderId="31" xfId="60" applyFont="1" applyFill="1" applyBorder="1" applyAlignment="1">
      <alignment horizontal="center" vertical="center" textRotation="90" wrapText="1"/>
      <protection/>
    </xf>
    <xf numFmtId="0" fontId="5" fillId="0" borderId="13" xfId="60" applyFont="1" applyFill="1" applyBorder="1" applyAlignment="1">
      <alignment horizontal="center" vertical="center" textRotation="90" wrapText="1"/>
      <protection/>
    </xf>
    <xf numFmtId="0" fontId="0" fillId="0" borderId="31" xfId="60" applyFill="1" applyBorder="1" applyAlignment="1">
      <alignment horizontal="center" vertical="center" textRotation="90"/>
      <protection/>
    </xf>
    <xf numFmtId="0" fontId="6" fillId="0" borderId="27" xfId="60" applyFont="1" applyFill="1" applyBorder="1" applyAlignment="1">
      <alignment horizontal="center"/>
      <protection/>
    </xf>
    <xf numFmtId="0" fontId="6" fillId="0" borderId="38" xfId="60" applyFont="1" applyFill="1" applyBorder="1" applyAlignment="1">
      <alignment horizontal="center"/>
      <protection/>
    </xf>
    <xf numFmtId="0" fontId="0" fillId="0" borderId="31" xfId="60" applyFill="1" applyBorder="1" applyAlignment="1">
      <alignment horizontal="center" vertical="center"/>
      <protection/>
    </xf>
    <xf numFmtId="0" fontId="0" fillId="0" borderId="18" xfId="60" applyFill="1" applyBorder="1" applyAlignment="1">
      <alignment horizontal="center" vertical="center"/>
      <protection/>
    </xf>
    <xf numFmtId="0" fontId="0" fillId="0" borderId="0" xfId="60" applyFill="1" applyBorder="1" applyAlignment="1">
      <alignment horizontal="center"/>
      <protection/>
    </xf>
    <xf numFmtId="2" fontId="3" fillId="0" borderId="0" xfId="60" applyNumberFormat="1" applyFont="1" applyFill="1" applyBorder="1" applyAlignment="1">
      <alignment horizontal="center" vertical="center"/>
      <protection/>
    </xf>
    <xf numFmtId="0" fontId="2" fillId="0" borderId="0" xfId="60" applyFont="1" applyFill="1" applyAlignment="1">
      <alignment horizontal="center"/>
      <protection/>
    </xf>
    <xf numFmtId="0" fontId="3" fillId="0" borderId="0" xfId="60" applyFont="1" applyFill="1" applyAlignment="1">
      <alignment horizontal="center"/>
      <protection/>
    </xf>
    <xf numFmtId="0" fontId="0" fillId="0" borderId="0" xfId="60" applyFill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66675</xdr:colOff>
      <xdr:row>66</xdr:row>
      <xdr:rowOff>190500</xdr:rowOff>
    </xdr:from>
    <xdr:ext cx="762000" cy="828675"/>
    <xdr:sp>
      <xdr:nvSpPr>
        <xdr:cNvPr id="1" name="Oval 1"/>
        <xdr:cNvSpPr>
          <a:spLocks noChangeAspect="1"/>
        </xdr:cNvSpPr>
      </xdr:nvSpPr>
      <xdr:spPr>
        <a:xfrm>
          <a:off x="34347150" y="19097625"/>
          <a:ext cx="762000" cy="82867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76200</xdr:colOff>
      <xdr:row>66</xdr:row>
      <xdr:rowOff>190500</xdr:rowOff>
    </xdr:from>
    <xdr:ext cx="742950" cy="838200"/>
    <xdr:sp>
      <xdr:nvSpPr>
        <xdr:cNvPr id="1" name="Oval 1"/>
        <xdr:cNvSpPr>
          <a:spLocks noChangeAspect="1"/>
        </xdr:cNvSpPr>
      </xdr:nvSpPr>
      <xdr:spPr>
        <a:xfrm>
          <a:off x="34356675" y="19097625"/>
          <a:ext cx="742950" cy="8382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76200</xdr:colOff>
      <xdr:row>66</xdr:row>
      <xdr:rowOff>190500</xdr:rowOff>
    </xdr:from>
    <xdr:ext cx="742950" cy="838200"/>
    <xdr:sp>
      <xdr:nvSpPr>
        <xdr:cNvPr id="1" name="Oval 1"/>
        <xdr:cNvSpPr>
          <a:spLocks noChangeAspect="1"/>
        </xdr:cNvSpPr>
      </xdr:nvSpPr>
      <xdr:spPr>
        <a:xfrm>
          <a:off x="34356675" y="19097625"/>
          <a:ext cx="742950" cy="8382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95250</xdr:colOff>
      <xdr:row>66</xdr:row>
      <xdr:rowOff>190500</xdr:rowOff>
    </xdr:from>
    <xdr:ext cx="742950" cy="838200"/>
    <xdr:sp>
      <xdr:nvSpPr>
        <xdr:cNvPr id="1" name="Oval 1"/>
        <xdr:cNvSpPr>
          <a:spLocks noChangeAspect="1"/>
        </xdr:cNvSpPr>
      </xdr:nvSpPr>
      <xdr:spPr>
        <a:xfrm>
          <a:off x="34375725" y="19097625"/>
          <a:ext cx="742950" cy="8382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95250</xdr:colOff>
      <xdr:row>66</xdr:row>
      <xdr:rowOff>190500</xdr:rowOff>
    </xdr:from>
    <xdr:ext cx="742950" cy="838200"/>
    <xdr:sp>
      <xdr:nvSpPr>
        <xdr:cNvPr id="1" name="Oval 1"/>
        <xdr:cNvSpPr>
          <a:spLocks noChangeAspect="1"/>
        </xdr:cNvSpPr>
      </xdr:nvSpPr>
      <xdr:spPr>
        <a:xfrm>
          <a:off x="34375725" y="19097625"/>
          <a:ext cx="742950" cy="8382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66675</xdr:colOff>
      <xdr:row>66</xdr:row>
      <xdr:rowOff>171450</xdr:rowOff>
    </xdr:from>
    <xdr:ext cx="762000" cy="838200"/>
    <xdr:sp>
      <xdr:nvSpPr>
        <xdr:cNvPr id="1" name="Oval 1"/>
        <xdr:cNvSpPr>
          <a:spLocks noChangeAspect="1"/>
        </xdr:cNvSpPr>
      </xdr:nvSpPr>
      <xdr:spPr>
        <a:xfrm>
          <a:off x="34347150" y="19078575"/>
          <a:ext cx="762000" cy="8382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66675</xdr:colOff>
      <xdr:row>66</xdr:row>
      <xdr:rowOff>200025</xdr:rowOff>
    </xdr:from>
    <xdr:ext cx="752475" cy="819150"/>
    <xdr:sp>
      <xdr:nvSpPr>
        <xdr:cNvPr id="1" name="Oval 1"/>
        <xdr:cNvSpPr>
          <a:spLocks noChangeAspect="1"/>
        </xdr:cNvSpPr>
      </xdr:nvSpPr>
      <xdr:spPr>
        <a:xfrm>
          <a:off x="34347150" y="19107150"/>
          <a:ext cx="752475" cy="81915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76200</xdr:colOff>
      <xdr:row>66</xdr:row>
      <xdr:rowOff>190500</xdr:rowOff>
    </xdr:from>
    <xdr:ext cx="752475" cy="819150"/>
    <xdr:sp>
      <xdr:nvSpPr>
        <xdr:cNvPr id="1" name="Oval 1"/>
        <xdr:cNvSpPr>
          <a:spLocks noChangeAspect="1"/>
        </xdr:cNvSpPr>
      </xdr:nvSpPr>
      <xdr:spPr>
        <a:xfrm>
          <a:off x="34356675" y="19097625"/>
          <a:ext cx="752475" cy="81915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95250</xdr:colOff>
      <xdr:row>66</xdr:row>
      <xdr:rowOff>190500</xdr:rowOff>
    </xdr:from>
    <xdr:ext cx="742950" cy="828675"/>
    <xdr:sp>
      <xdr:nvSpPr>
        <xdr:cNvPr id="1" name="Oval 1"/>
        <xdr:cNvSpPr>
          <a:spLocks noChangeAspect="1"/>
        </xdr:cNvSpPr>
      </xdr:nvSpPr>
      <xdr:spPr>
        <a:xfrm>
          <a:off x="34375725" y="19097625"/>
          <a:ext cx="742950" cy="82867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76200</xdr:colOff>
      <xdr:row>66</xdr:row>
      <xdr:rowOff>190500</xdr:rowOff>
    </xdr:from>
    <xdr:ext cx="752475" cy="838200"/>
    <xdr:sp>
      <xdr:nvSpPr>
        <xdr:cNvPr id="1" name="Oval 1"/>
        <xdr:cNvSpPr>
          <a:spLocks noChangeAspect="1"/>
        </xdr:cNvSpPr>
      </xdr:nvSpPr>
      <xdr:spPr>
        <a:xfrm>
          <a:off x="34356675" y="19097625"/>
          <a:ext cx="752475" cy="8382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95250</xdr:colOff>
      <xdr:row>66</xdr:row>
      <xdr:rowOff>190500</xdr:rowOff>
    </xdr:from>
    <xdr:ext cx="742950" cy="828675"/>
    <xdr:sp>
      <xdr:nvSpPr>
        <xdr:cNvPr id="1" name="Oval 1"/>
        <xdr:cNvSpPr>
          <a:spLocks noChangeAspect="1"/>
        </xdr:cNvSpPr>
      </xdr:nvSpPr>
      <xdr:spPr>
        <a:xfrm>
          <a:off x="34375725" y="19097625"/>
          <a:ext cx="742950" cy="82867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76200</xdr:colOff>
      <xdr:row>66</xdr:row>
      <xdr:rowOff>190500</xdr:rowOff>
    </xdr:from>
    <xdr:ext cx="742950" cy="828675"/>
    <xdr:sp>
      <xdr:nvSpPr>
        <xdr:cNvPr id="1" name="Oval 1"/>
        <xdr:cNvSpPr>
          <a:spLocks noChangeAspect="1"/>
        </xdr:cNvSpPr>
      </xdr:nvSpPr>
      <xdr:spPr>
        <a:xfrm>
          <a:off x="34356675" y="19097625"/>
          <a:ext cx="742950" cy="82867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76200</xdr:colOff>
      <xdr:row>66</xdr:row>
      <xdr:rowOff>190500</xdr:rowOff>
    </xdr:from>
    <xdr:ext cx="742950" cy="838200"/>
    <xdr:sp>
      <xdr:nvSpPr>
        <xdr:cNvPr id="1" name="Oval 1"/>
        <xdr:cNvSpPr>
          <a:spLocks noChangeAspect="1"/>
        </xdr:cNvSpPr>
      </xdr:nvSpPr>
      <xdr:spPr>
        <a:xfrm>
          <a:off x="34356675" y="19097625"/>
          <a:ext cx="742950" cy="8382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95250</xdr:colOff>
      <xdr:row>66</xdr:row>
      <xdr:rowOff>190500</xdr:rowOff>
    </xdr:from>
    <xdr:ext cx="742950" cy="838200"/>
    <xdr:sp>
      <xdr:nvSpPr>
        <xdr:cNvPr id="1" name="Oval 1"/>
        <xdr:cNvSpPr>
          <a:spLocks noChangeAspect="1"/>
        </xdr:cNvSpPr>
      </xdr:nvSpPr>
      <xdr:spPr>
        <a:xfrm>
          <a:off x="34375725" y="19097625"/>
          <a:ext cx="742950" cy="8382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tabSelected="1" view="pageBreakPreview" zoomScale="50" zoomScaleNormal="25" zoomScaleSheetLayoutView="50" workbookViewId="0" topLeftCell="A1">
      <selection activeCell="L25" sqref="L25"/>
    </sheetView>
  </sheetViews>
  <sheetFormatPr defaultColWidth="9.140625" defaultRowHeight="12.75"/>
  <cols>
    <col min="1" max="3" width="24.7109375" style="1" customWidth="1"/>
    <col min="4" max="22" width="15.7109375" style="1" customWidth="1"/>
    <col min="23" max="23" width="15.7109375" style="46" customWidth="1"/>
    <col min="24" max="31" width="15.7109375" style="1" customWidth="1"/>
    <col min="32" max="34" width="6.7109375" style="1" customWidth="1"/>
    <col min="35" max="16384" width="9.140625" style="1" customWidth="1"/>
  </cols>
  <sheetData>
    <row r="1" spans="19:31" ht="12.75">
      <c r="S1" s="48"/>
      <c r="T1" s="48"/>
      <c r="U1" s="48"/>
      <c r="V1" s="48"/>
      <c r="W1" s="49"/>
      <c r="X1" s="48"/>
      <c r="Z1" s="48"/>
      <c r="AA1" s="48"/>
      <c r="AE1" s="48"/>
    </row>
    <row r="2" spans="1:34" s="4" customFormat="1" ht="36" customHeight="1" thickBot="1">
      <c r="A2" s="2"/>
      <c r="B2" s="31" t="s">
        <v>14</v>
      </c>
      <c r="C2" s="32"/>
      <c r="D2" s="33"/>
      <c r="E2" s="33"/>
      <c r="F2" s="33"/>
      <c r="G2" s="33"/>
      <c r="I2" s="34"/>
      <c r="J2" s="33"/>
      <c r="K2" s="33"/>
      <c r="L2" s="33"/>
      <c r="M2" s="33"/>
      <c r="N2" s="33"/>
      <c r="O2" s="33"/>
      <c r="P2" s="33"/>
      <c r="Q2" s="34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47"/>
      <c r="AE2" s="50"/>
      <c r="AH2" s="3"/>
    </row>
    <row r="3" spans="2:34" s="5" customFormat="1" ht="21.75" customHeight="1">
      <c r="B3" s="93" t="s">
        <v>0</v>
      </c>
      <c r="C3" s="95"/>
      <c r="D3" s="89" t="s">
        <v>3</v>
      </c>
      <c r="E3" s="89" t="s">
        <v>4</v>
      </c>
      <c r="F3" s="89" t="s">
        <v>5</v>
      </c>
      <c r="G3" s="86" t="s">
        <v>12</v>
      </c>
      <c r="H3" s="86" t="s">
        <v>94</v>
      </c>
      <c r="I3" s="89" t="s">
        <v>6</v>
      </c>
      <c r="J3" s="86" t="s">
        <v>10</v>
      </c>
      <c r="K3" s="86" t="s">
        <v>15</v>
      </c>
      <c r="L3" s="86" t="s">
        <v>16</v>
      </c>
      <c r="M3" s="86" t="s">
        <v>17</v>
      </c>
      <c r="N3" s="86" t="s">
        <v>18</v>
      </c>
      <c r="O3" s="86" t="s">
        <v>19</v>
      </c>
      <c r="P3" s="86" t="s">
        <v>20</v>
      </c>
      <c r="Q3" s="86" t="s">
        <v>21</v>
      </c>
      <c r="R3" s="86" t="s">
        <v>84</v>
      </c>
      <c r="S3" s="35"/>
      <c r="T3" s="35">
        <v>302</v>
      </c>
      <c r="U3" s="35">
        <v>304</v>
      </c>
      <c r="V3" s="35"/>
      <c r="W3" s="35">
        <v>407</v>
      </c>
      <c r="X3" s="35"/>
      <c r="Y3" s="35"/>
      <c r="Z3" s="35">
        <v>442</v>
      </c>
      <c r="AA3" s="35">
        <v>442</v>
      </c>
      <c r="AB3" s="35">
        <v>442</v>
      </c>
      <c r="AC3" s="35"/>
      <c r="AD3" s="36">
        <v>609</v>
      </c>
      <c r="AE3" s="36"/>
      <c r="AF3" s="116" t="s">
        <v>11</v>
      </c>
      <c r="AG3" s="116" t="s">
        <v>13</v>
      </c>
      <c r="AH3" s="6"/>
    </row>
    <row r="4" spans="2:34" s="5" customFormat="1" ht="27.75" customHeight="1">
      <c r="B4" s="99"/>
      <c r="C4" s="100"/>
      <c r="D4" s="90"/>
      <c r="E4" s="90"/>
      <c r="F4" s="90"/>
      <c r="G4" s="87"/>
      <c r="H4" s="87"/>
      <c r="I4" s="90"/>
      <c r="J4" s="87"/>
      <c r="K4" s="87"/>
      <c r="L4" s="87"/>
      <c r="M4" s="87"/>
      <c r="N4" s="87"/>
      <c r="O4" s="87"/>
      <c r="P4" s="87"/>
      <c r="Q4" s="87"/>
      <c r="R4" s="87"/>
      <c r="S4" s="83"/>
      <c r="T4" s="83" t="s">
        <v>22</v>
      </c>
      <c r="U4" s="83" t="s">
        <v>96</v>
      </c>
      <c r="V4" s="83"/>
      <c r="W4" s="83" t="s">
        <v>82</v>
      </c>
      <c r="X4" s="83"/>
      <c r="Y4" s="109"/>
      <c r="Z4" s="83" t="s">
        <v>83</v>
      </c>
      <c r="AA4" s="109" t="s">
        <v>97</v>
      </c>
      <c r="AB4" s="109" t="s">
        <v>23</v>
      </c>
      <c r="AC4" s="83"/>
      <c r="AD4" s="109" t="s">
        <v>95</v>
      </c>
      <c r="AE4" s="109"/>
      <c r="AF4" s="117"/>
      <c r="AG4" s="119"/>
      <c r="AH4" s="7"/>
    </row>
    <row r="5" spans="2:33" s="5" customFormat="1" ht="27.75" customHeight="1" thickBot="1">
      <c r="B5" s="99"/>
      <c r="C5" s="100"/>
      <c r="D5" s="90"/>
      <c r="E5" s="90"/>
      <c r="F5" s="90"/>
      <c r="G5" s="87"/>
      <c r="H5" s="87"/>
      <c r="I5" s="90"/>
      <c r="J5" s="87"/>
      <c r="K5" s="87"/>
      <c r="L5" s="87"/>
      <c r="M5" s="87"/>
      <c r="N5" s="87"/>
      <c r="O5" s="87"/>
      <c r="P5" s="87"/>
      <c r="Q5" s="87"/>
      <c r="R5" s="87"/>
      <c r="S5" s="84"/>
      <c r="T5" s="84"/>
      <c r="U5" s="84"/>
      <c r="V5" s="84"/>
      <c r="W5" s="84"/>
      <c r="X5" s="84"/>
      <c r="Y5" s="87"/>
      <c r="Z5" s="84"/>
      <c r="AA5" s="87"/>
      <c r="AB5" s="87"/>
      <c r="AC5" s="84"/>
      <c r="AD5" s="87"/>
      <c r="AE5" s="87"/>
      <c r="AF5" s="118"/>
      <c r="AG5" s="119"/>
    </row>
    <row r="6" spans="2:33" s="5" customFormat="1" ht="27.75" customHeight="1">
      <c r="B6" s="99"/>
      <c r="C6" s="100"/>
      <c r="D6" s="90"/>
      <c r="E6" s="90"/>
      <c r="F6" s="90"/>
      <c r="G6" s="87"/>
      <c r="H6" s="87"/>
      <c r="I6" s="90"/>
      <c r="J6" s="87"/>
      <c r="K6" s="87"/>
      <c r="L6" s="87"/>
      <c r="M6" s="87"/>
      <c r="N6" s="87"/>
      <c r="O6" s="87"/>
      <c r="P6" s="87"/>
      <c r="Q6" s="87"/>
      <c r="R6" s="87"/>
      <c r="S6" s="84"/>
      <c r="T6" s="84"/>
      <c r="U6" s="84"/>
      <c r="V6" s="84"/>
      <c r="W6" s="84"/>
      <c r="X6" s="84"/>
      <c r="Y6" s="87"/>
      <c r="Z6" s="84"/>
      <c r="AA6" s="87"/>
      <c r="AB6" s="87"/>
      <c r="AC6" s="84"/>
      <c r="AD6" s="87"/>
      <c r="AE6" s="87"/>
      <c r="AF6" s="103" t="s">
        <v>81</v>
      </c>
      <c r="AG6" s="104"/>
    </row>
    <row r="7" spans="2:33" s="5" customFormat="1" ht="27.75" customHeight="1">
      <c r="B7" s="99"/>
      <c r="C7" s="100"/>
      <c r="D7" s="90"/>
      <c r="E7" s="90"/>
      <c r="F7" s="90"/>
      <c r="G7" s="87"/>
      <c r="H7" s="87"/>
      <c r="I7" s="90"/>
      <c r="J7" s="87"/>
      <c r="K7" s="87"/>
      <c r="L7" s="87"/>
      <c r="M7" s="87"/>
      <c r="N7" s="87"/>
      <c r="O7" s="87"/>
      <c r="P7" s="87"/>
      <c r="Q7" s="87"/>
      <c r="R7" s="87"/>
      <c r="S7" s="84"/>
      <c r="T7" s="84"/>
      <c r="U7" s="84"/>
      <c r="V7" s="84"/>
      <c r="W7" s="84"/>
      <c r="X7" s="84"/>
      <c r="Y7" s="87"/>
      <c r="Z7" s="84"/>
      <c r="AA7" s="87"/>
      <c r="AB7" s="87"/>
      <c r="AC7" s="84"/>
      <c r="AD7" s="87"/>
      <c r="AE7" s="87"/>
      <c r="AF7" s="105"/>
      <c r="AG7" s="106"/>
    </row>
    <row r="8" spans="2:33" s="5" customFormat="1" ht="27.75" customHeight="1">
      <c r="B8" s="99"/>
      <c r="C8" s="100"/>
      <c r="D8" s="90"/>
      <c r="E8" s="90"/>
      <c r="F8" s="90"/>
      <c r="G8" s="87"/>
      <c r="H8" s="87"/>
      <c r="I8" s="90"/>
      <c r="J8" s="87"/>
      <c r="K8" s="87"/>
      <c r="L8" s="87"/>
      <c r="M8" s="87"/>
      <c r="N8" s="87"/>
      <c r="O8" s="87"/>
      <c r="P8" s="87"/>
      <c r="Q8" s="87"/>
      <c r="R8" s="87"/>
      <c r="S8" s="84"/>
      <c r="T8" s="84"/>
      <c r="U8" s="84"/>
      <c r="V8" s="84"/>
      <c r="W8" s="84"/>
      <c r="X8" s="84"/>
      <c r="Y8" s="87"/>
      <c r="Z8" s="84"/>
      <c r="AA8" s="87"/>
      <c r="AB8" s="87"/>
      <c r="AC8" s="84"/>
      <c r="AD8" s="87"/>
      <c r="AE8" s="87"/>
      <c r="AF8" s="105"/>
      <c r="AG8" s="106"/>
    </row>
    <row r="9" spans="2:33" s="5" customFormat="1" ht="27.75" customHeight="1">
      <c r="B9" s="99"/>
      <c r="C9" s="100"/>
      <c r="D9" s="90"/>
      <c r="E9" s="90"/>
      <c r="F9" s="90"/>
      <c r="G9" s="87"/>
      <c r="H9" s="87"/>
      <c r="I9" s="90"/>
      <c r="J9" s="87"/>
      <c r="K9" s="87"/>
      <c r="L9" s="87"/>
      <c r="M9" s="87"/>
      <c r="N9" s="87"/>
      <c r="O9" s="87"/>
      <c r="P9" s="87"/>
      <c r="Q9" s="87"/>
      <c r="R9" s="87"/>
      <c r="S9" s="84"/>
      <c r="T9" s="84"/>
      <c r="U9" s="84"/>
      <c r="V9" s="84"/>
      <c r="W9" s="84"/>
      <c r="X9" s="84"/>
      <c r="Y9" s="87"/>
      <c r="Z9" s="84"/>
      <c r="AA9" s="87"/>
      <c r="AB9" s="87"/>
      <c r="AC9" s="84"/>
      <c r="AD9" s="87"/>
      <c r="AE9" s="87"/>
      <c r="AF9" s="105"/>
      <c r="AG9" s="106"/>
    </row>
    <row r="10" spans="2:33" s="5" customFormat="1" ht="27.75" customHeight="1">
      <c r="B10" s="99"/>
      <c r="C10" s="100"/>
      <c r="D10" s="90"/>
      <c r="E10" s="90"/>
      <c r="F10" s="90"/>
      <c r="G10" s="87"/>
      <c r="H10" s="87"/>
      <c r="I10" s="90"/>
      <c r="J10" s="87"/>
      <c r="K10" s="87"/>
      <c r="L10" s="87"/>
      <c r="M10" s="87"/>
      <c r="N10" s="87"/>
      <c r="O10" s="87"/>
      <c r="P10" s="87"/>
      <c r="Q10" s="87"/>
      <c r="R10" s="87"/>
      <c r="S10" s="84"/>
      <c r="T10" s="84"/>
      <c r="U10" s="84"/>
      <c r="V10" s="84"/>
      <c r="W10" s="84"/>
      <c r="X10" s="84"/>
      <c r="Y10" s="87"/>
      <c r="Z10" s="84"/>
      <c r="AA10" s="87"/>
      <c r="AB10" s="87"/>
      <c r="AC10" s="84"/>
      <c r="AD10" s="87"/>
      <c r="AE10" s="87"/>
      <c r="AF10" s="105"/>
      <c r="AG10" s="106"/>
    </row>
    <row r="11" spans="2:33" s="8" customFormat="1" ht="27.75" customHeight="1">
      <c r="B11" s="101"/>
      <c r="C11" s="102"/>
      <c r="D11" s="91"/>
      <c r="E11" s="91"/>
      <c r="F11" s="91"/>
      <c r="G11" s="88"/>
      <c r="H11" s="88"/>
      <c r="I11" s="91"/>
      <c r="J11" s="88"/>
      <c r="K11" s="88"/>
      <c r="L11" s="88"/>
      <c r="M11" s="88"/>
      <c r="N11" s="88"/>
      <c r="O11" s="88"/>
      <c r="P11" s="88"/>
      <c r="Q11" s="88"/>
      <c r="R11" s="88"/>
      <c r="S11" s="85"/>
      <c r="T11" s="85"/>
      <c r="U11" s="85"/>
      <c r="V11" s="85"/>
      <c r="W11" s="85"/>
      <c r="X11" s="85"/>
      <c r="Y11" s="88"/>
      <c r="Z11" s="85"/>
      <c r="AA11" s="88"/>
      <c r="AB11" s="88"/>
      <c r="AC11" s="85"/>
      <c r="AD11" s="88"/>
      <c r="AE11" s="88"/>
      <c r="AF11" s="105"/>
      <c r="AG11" s="106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11"/>
      <c r="I12" s="11" t="s">
        <v>9</v>
      </c>
      <c r="J12" s="11" t="s">
        <v>9</v>
      </c>
      <c r="K12" s="11" t="s">
        <v>9</v>
      </c>
      <c r="L12" s="11" t="s">
        <v>9</v>
      </c>
      <c r="M12" s="11" t="s">
        <v>9</v>
      </c>
      <c r="N12" s="11" t="s">
        <v>9</v>
      </c>
      <c r="O12" s="11" t="s">
        <v>9</v>
      </c>
      <c r="P12" s="11" t="s">
        <v>9</v>
      </c>
      <c r="Q12" s="11" t="s">
        <v>9</v>
      </c>
      <c r="R12" s="11" t="s">
        <v>9</v>
      </c>
      <c r="S12" s="37"/>
      <c r="T12" s="37" t="s">
        <v>24</v>
      </c>
      <c r="U12" s="37" t="s">
        <v>24</v>
      </c>
      <c r="V12" s="37"/>
      <c r="W12" s="37" t="s">
        <v>25</v>
      </c>
      <c r="X12" s="37"/>
      <c r="Y12" s="37"/>
      <c r="Z12" s="37" t="s">
        <v>24</v>
      </c>
      <c r="AA12" s="37" t="s">
        <v>24</v>
      </c>
      <c r="AB12" s="37" t="s">
        <v>24</v>
      </c>
      <c r="AC12" s="37"/>
      <c r="AD12" s="11" t="s">
        <v>7</v>
      </c>
      <c r="AE12" s="11"/>
      <c r="AF12" s="105"/>
      <c r="AG12" s="106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05"/>
      <c r="AG13" s="106"/>
    </row>
    <row r="14" spans="1:33" s="5" customFormat="1" ht="21.75" customHeight="1">
      <c r="A14" s="12">
        <f>A13+1</f>
        <v>2</v>
      </c>
      <c r="B14" s="77" t="s">
        <v>26</v>
      </c>
      <c r="C14" s="78"/>
      <c r="D14" s="78"/>
      <c r="E14" s="78"/>
      <c r="F14" s="78"/>
      <c r="G14" s="78"/>
      <c r="H14" s="78"/>
      <c r="I14" s="79"/>
      <c r="J14" s="16"/>
      <c r="K14" s="16"/>
      <c r="L14" s="15"/>
      <c r="M14" s="15"/>
      <c r="N14" s="15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05"/>
      <c r="AG14" s="106"/>
    </row>
    <row r="15" spans="1:33" s="5" customFormat="1" ht="21.75" customHeight="1">
      <c r="A15" s="12">
        <f>A14+1</f>
        <v>3</v>
      </c>
      <c r="B15" s="19" t="s">
        <v>27</v>
      </c>
      <c r="C15" s="20"/>
      <c r="D15" s="15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05"/>
      <c r="AG15" s="106"/>
    </row>
    <row r="16" spans="1:33" s="5" customFormat="1" ht="21.75" customHeight="1">
      <c r="A16" s="12">
        <f aca="true" t="shared" si="0" ref="A16:A66">A15+1</f>
        <v>4</v>
      </c>
      <c r="B16" s="73">
        <v>37150</v>
      </c>
      <c r="C16" s="21">
        <v>37477.72</v>
      </c>
      <c r="D16" s="15" t="s">
        <v>28</v>
      </c>
      <c r="E16" s="16">
        <f aca="true" t="shared" si="1" ref="E16:E22">C16-B16</f>
        <v>327.72000000000116</v>
      </c>
      <c r="F16" s="17">
        <f>ROUND((48.683+48)/2,2)</f>
        <v>48.34</v>
      </c>
      <c r="G16" s="18">
        <f>ROUND((3900.5-((20.314+17.723)/2)-($F16/2))/3900.5,4)</f>
        <v>0.9889</v>
      </c>
      <c r="H16" s="16"/>
      <c r="I16" s="16">
        <f>IF($G16=0,ROUND($E16*$F16,2),ROUND($E16*$F16*$G16,2))</f>
        <v>15666.14</v>
      </c>
      <c r="J16" s="16"/>
      <c r="K16" s="16"/>
      <c r="L16" s="15"/>
      <c r="M16" s="15"/>
      <c r="N16" s="15"/>
      <c r="O16" s="15"/>
      <c r="P16" s="16"/>
      <c r="Q16" s="16"/>
      <c r="R16" s="16"/>
      <c r="S16" s="16"/>
      <c r="T16" s="16">
        <f>ROUND(((($I16+$J16)*(T$72/12))/27),2)</f>
        <v>386.82</v>
      </c>
      <c r="U16" s="16">
        <f>ROUND(((($I16+$J16+$N16+$O16+$P16+$Q16)*(U$72/12))/27),2)</f>
        <v>290.11</v>
      </c>
      <c r="V16" s="16"/>
      <c r="W16" s="16">
        <f>ROUND((((($I16+$J16)/9)*W$72)*3),2)</f>
        <v>287.21</v>
      </c>
      <c r="X16" s="16"/>
      <c r="Y16" s="16"/>
      <c r="Z16" s="16">
        <f>ROUND(((($I16+$J16)*(Z$72/12))/27),2)</f>
        <v>72.53</v>
      </c>
      <c r="AA16" s="16">
        <f>ROUND(((($I16+$J16)*(AA$72/12))/27),2)</f>
        <v>84.62</v>
      </c>
      <c r="AB16" s="16">
        <f>$AA16+$Z16</f>
        <v>157.15</v>
      </c>
      <c r="AC16" s="16"/>
      <c r="AD16" s="16"/>
      <c r="AE16" s="16"/>
      <c r="AF16" s="105"/>
      <c r="AG16" s="106"/>
    </row>
    <row r="17" spans="1:33" s="5" customFormat="1" ht="21.75" customHeight="1">
      <c r="A17" s="12">
        <f t="shared" si="0"/>
        <v>5</v>
      </c>
      <c r="B17" s="13">
        <f aca="true" t="shared" si="2" ref="B17:B22">C16</f>
        <v>37477.72</v>
      </c>
      <c r="C17" s="14">
        <v>38824.9</v>
      </c>
      <c r="D17" s="15" t="s">
        <v>28</v>
      </c>
      <c r="E17" s="16">
        <f t="shared" si="1"/>
        <v>1347.1800000000003</v>
      </c>
      <c r="F17" s="17">
        <v>48</v>
      </c>
      <c r="G17" s="18"/>
      <c r="H17" s="16"/>
      <c r="I17" s="16">
        <f>IF($G17=0,ROUND($E17*$F17,2),ROUND($E17*$F17*$G17,2))</f>
        <v>64664.64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f>ROUND(((($I17+$J17)*(T$72/12))/27),2)</f>
        <v>1596.66</v>
      </c>
      <c r="U17" s="16">
        <f>ROUND(((($I17+$J17+$N17+$O17+$P17+$Q17)*(U$72/12))/27),2)</f>
        <v>1197.49</v>
      </c>
      <c r="V17" s="16"/>
      <c r="W17" s="16">
        <f aca="true" t="shared" si="3" ref="W17:W29">ROUND((((($I17+$J17)/9)*W$72)*3),2)</f>
        <v>1185.52</v>
      </c>
      <c r="X17" s="16"/>
      <c r="Y17" s="16"/>
      <c r="Z17" s="16">
        <f aca="true" t="shared" si="4" ref="Z17:AA30">ROUND(((($I17+$J17)*(Z$72/12))/27),2)</f>
        <v>299.37</v>
      </c>
      <c r="AA17" s="16">
        <f t="shared" si="4"/>
        <v>349.27</v>
      </c>
      <c r="AB17" s="16">
        <f aca="true" t="shared" si="5" ref="AB17:AB30">$AA17+$Z17</f>
        <v>648.64</v>
      </c>
      <c r="AC17" s="16"/>
      <c r="AD17" s="16"/>
      <c r="AE17" s="16"/>
      <c r="AF17" s="105"/>
      <c r="AG17" s="106"/>
    </row>
    <row r="18" spans="1:33" s="5" customFormat="1" ht="21.75" customHeight="1">
      <c r="A18" s="12">
        <f t="shared" si="0"/>
        <v>6</v>
      </c>
      <c r="B18" s="13">
        <f t="shared" si="2"/>
        <v>38824.9</v>
      </c>
      <c r="C18" s="14">
        <v>39137.36</v>
      </c>
      <c r="D18" s="15" t="s">
        <v>28</v>
      </c>
      <c r="E18" s="16">
        <f t="shared" si="1"/>
        <v>312.4599999999991</v>
      </c>
      <c r="F18" s="17">
        <v>60</v>
      </c>
      <c r="G18" s="18"/>
      <c r="H18" s="16"/>
      <c r="I18" s="16">
        <f>IF($G18=0,ROUND($E18*$F18,2),ROUND($E18*$F18*$G18,2))</f>
        <v>18747.6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>ROUND(((($I18+$J18)*(T$72/12))/27),2)</f>
        <v>462.9</v>
      </c>
      <c r="U18" s="16">
        <f>ROUND(((($I18+$J18+$N18+$O18+$P18+$Q18)*(U$72/12))/27),2)</f>
        <v>347.18</v>
      </c>
      <c r="V18" s="16"/>
      <c r="W18" s="16">
        <f t="shared" si="3"/>
        <v>343.71</v>
      </c>
      <c r="X18" s="16"/>
      <c r="Y18" s="16"/>
      <c r="Z18" s="16">
        <f t="shared" si="4"/>
        <v>86.79</v>
      </c>
      <c r="AA18" s="16">
        <f t="shared" si="4"/>
        <v>101.26</v>
      </c>
      <c r="AB18" s="16">
        <f t="shared" si="5"/>
        <v>188.05</v>
      </c>
      <c r="AC18" s="16"/>
      <c r="AD18" s="16"/>
      <c r="AE18" s="16"/>
      <c r="AF18" s="105"/>
      <c r="AG18" s="106"/>
    </row>
    <row r="19" spans="1:33" s="5" customFormat="1" ht="21.75" customHeight="1">
      <c r="A19" s="12">
        <f t="shared" si="0"/>
        <v>7</v>
      </c>
      <c r="B19" s="13">
        <f t="shared" si="2"/>
        <v>39137.36</v>
      </c>
      <c r="C19" s="14">
        <v>40459.11</v>
      </c>
      <c r="D19" s="15" t="s">
        <v>28</v>
      </c>
      <c r="E19" s="16">
        <f t="shared" si="1"/>
        <v>1321.75</v>
      </c>
      <c r="F19" s="17">
        <v>60</v>
      </c>
      <c r="G19" s="18">
        <f>ROUND((21630.9102+12+($F19/2))/21630.9102,4)</f>
        <v>1.0019</v>
      </c>
      <c r="H19" s="16"/>
      <c r="I19" s="16">
        <f>IF($G19=0,ROUND($E19*$F19,2),ROUND($E19*$F19*$G19,2))</f>
        <v>79455.68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aca="true" t="shared" si="6" ref="T19:T30">ROUND(((($I19+$J19)*(T$72/12))/27),2)</f>
        <v>1961.87</v>
      </c>
      <c r="U19" s="16">
        <f aca="true" t="shared" si="7" ref="U19:U30">ROUND(((($I19+$J19+$N19+$O19+$P19+$Q19)*(U$72/12))/27),2)</f>
        <v>1471.4</v>
      </c>
      <c r="V19" s="16"/>
      <c r="W19" s="16">
        <f t="shared" si="3"/>
        <v>1456.69</v>
      </c>
      <c r="X19" s="16"/>
      <c r="Y19" s="16"/>
      <c r="Z19" s="16">
        <f t="shared" si="4"/>
        <v>367.85</v>
      </c>
      <c r="AA19" s="16">
        <f t="shared" si="4"/>
        <v>429.16</v>
      </c>
      <c r="AB19" s="16">
        <f t="shared" si="5"/>
        <v>797.01</v>
      </c>
      <c r="AC19" s="16"/>
      <c r="AD19" s="16"/>
      <c r="AE19" s="16"/>
      <c r="AF19" s="105"/>
      <c r="AG19" s="106"/>
    </row>
    <row r="20" spans="1:33" s="5" customFormat="1" ht="21.75" customHeight="1">
      <c r="A20" s="12">
        <f t="shared" si="0"/>
        <v>8</v>
      </c>
      <c r="B20" s="13">
        <f t="shared" si="2"/>
        <v>40459.11</v>
      </c>
      <c r="C20" s="14">
        <v>41560</v>
      </c>
      <c r="D20" s="15" t="s">
        <v>28</v>
      </c>
      <c r="E20" s="16">
        <f t="shared" si="1"/>
        <v>1100.8899999999994</v>
      </c>
      <c r="F20" s="17">
        <v>60</v>
      </c>
      <c r="G20" s="15"/>
      <c r="H20" s="16"/>
      <c r="I20" s="16">
        <f>IF($G20=0,ROUND($E20*$F20,2),ROUND($E20*$F20*$G20,2))</f>
        <v>66053.4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6"/>
        <v>1630.95</v>
      </c>
      <c r="U20" s="16">
        <f t="shared" si="7"/>
        <v>1223.21</v>
      </c>
      <c r="V20" s="16"/>
      <c r="W20" s="16">
        <f t="shared" si="3"/>
        <v>1210.98</v>
      </c>
      <c r="X20" s="16"/>
      <c r="Y20" s="16"/>
      <c r="Z20" s="16">
        <f t="shared" si="4"/>
        <v>305.8</v>
      </c>
      <c r="AA20" s="16">
        <f t="shared" si="4"/>
        <v>356.77</v>
      </c>
      <c r="AB20" s="16">
        <f t="shared" si="5"/>
        <v>662.5699999999999</v>
      </c>
      <c r="AC20" s="16"/>
      <c r="AD20" s="16"/>
      <c r="AE20" s="16"/>
      <c r="AF20" s="105"/>
      <c r="AG20" s="106"/>
    </row>
    <row r="21" spans="1:33" s="5" customFormat="1" ht="21.75" customHeight="1">
      <c r="A21" s="12">
        <f t="shared" si="0"/>
        <v>9</v>
      </c>
      <c r="B21" s="13">
        <f t="shared" si="2"/>
        <v>41560</v>
      </c>
      <c r="C21" s="14">
        <v>42400</v>
      </c>
      <c r="D21" s="15" t="s">
        <v>28</v>
      </c>
      <c r="E21" s="16">
        <f t="shared" si="1"/>
        <v>840</v>
      </c>
      <c r="F21" s="17">
        <f>ROUND(AVERAGE(60,48),2)</f>
        <v>54</v>
      </c>
      <c r="G21" s="18"/>
      <c r="H21" s="16"/>
      <c r="I21" s="16">
        <f>IF(G21=0,ROUND($E21*$F21,2),ROUND($E21*$F21*$G21,2))</f>
        <v>45360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f t="shared" si="6"/>
        <v>1120</v>
      </c>
      <c r="U21" s="16">
        <f t="shared" si="7"/>
        <v>840</v>
      </c>
      <c r="V21" s="16"/>
      <c r="W21" s="16">
        <f t="shared" si="3"/>
        <v>831.6</v>
      </c>
      <c r="X21" s="16"/>
      <c r="Y21" s="16"/>
      <c r="Z21" s="16">
        <f t="shared" si="4"/>
        <v>210</v>
      </c>
      <c r="AA21" s="16">
        <f t="shared" si="4"/>
        <v>245</v>
      </c>
      <c r="AB21" s="16">
        <f t="shared" si="5"/>
        <v>455</v>
      </c>
      <c r="AC21" s="16"/>
      <c r="AD21" s="16"/>
      <c r="AE21" s="16"/>
      <c r="AF21" s="105"/>
      <c r="AG21" s="106"/>
    </row>
    <row r="22" spans="1:33" s="5" customFormat="1" ht="21.75" customHeight="1">
      <c r="A22" s="12">
        <f t="shared" si="0"/>
        <v>10</v>
      </c>
      <c r="B22" s="13">
        <f t="shared" si="2"/>
        <v>42400</v>
      </c>
      <c r="C22" s="14">
        <v>42494.2</v>
      </c>
      <c r="D22" s="15" t="s">
        <v>28</v>
      </c>
      <c r="E22" s="16">
        <f t="shared" si="1"/>
        <v>94.19999999999709</v>
      </c>
      <c r="F22" s="17">
        <v>48</v>
      </c>
      <c r="G22" s="18"/>
      <c r="H22" s="16"/>
      <c r="I22" s="16">
        <f>IF(G22=0,ROUND($E22*$F22,2),ROUND($E22*$F22*$G22,2))</f>
        <v>4521.6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6"/>
        <v>111.64</v>
      </c>
      <c r="U22" s="16">
        <f t="shared" si="7"/>
        <v>83.73</v>
      </c>
      <c r="V22" s="16"/>
      <c r="W22" s="16">
        <f t="shared" si="3"/>
        <v>82.9</v>
      </c>
      <c r="X22" s="16"/>
      <c r="Y22" s="16"/>
      <c r="Z22" s="16">
        <f t="shared" si="4"/>
        <v>20.93</v>
      </c>
      <c r="AA22" s="16">
        <f t="shared" si="4"/>
        <v>24.42</v>
      </c>
      <c r="AB22" s="16">
        <f t="shared" si="5"/>
        <v>45.35</v>
      </c>
      <c r="AC22" s="16"/>
      <c r="AD22" s="16"/>
      <c r="AE22" s="16"/>
      <c r="AF22" s="105"/>
      <c r="AG22" s="106"/>
    </row>
    <row r="23" spans="1:33" s="5" customFormat="1" ht="21.75" customHeight="1">
      <c r="A23" s="12">
        <f t="shared" si="0"/>
        <v>11</v>
      </c>
      <c r="B23" s="13"/>
      <c r="C23" s="14"/>
      <c r="D23" s="15"/>
      <c r="E23" s="16"/>
      <c r="F23" s="17"/>
      <c r="G23" s="1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05"/>
      <c r="AG23" s="106"/>
    </row>
    <row r="24" spans="1:33" s="5" customFormat="1" ht="21.75" customHeight="1">
      <c r="A24" s="12">
        <f t="shared" si="0"/>
        <v>12</v>
      </c>
      <c r="B24" s="13">
        <v>42699.77</v>
      </c>
      <c r="C24" s="14">
        <v>42841.24</v>
      </c>
      <c r="D24" s="15" t="s">
        <v>28</v>
      </c>
      <c r="E24" s="16">
        <f>C24-B24</f>
        <v>141.47000000000116</v>
      </c>
      <c r="F24" s="17">
        <v>48</v>
      </c>
      <c r="G24" s="18"/>
      <c r="H24" s="16"/>
      <c r="I24" s="16">
        <f>IF(G24=0,ROUND($E24*$F24,2),ROUND($E24*$F24*$G24,2))</f>
        <v>6790.56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6"/>
        <v>167.67</v>
      </c>
      <c r="U24" s="16">
        <f t="shared" si="7"/>
        <v>125.75</v>
      </c>
      <c r="V24" s="16"/>
      <c r="W24" s="16">
        <f t="shared" si="3"/>
        <v>124.49</v>
      </c>
      <c r="X24" s="16"/>
      <c r="Y24" s="16"/>
      <c r="Z24" s="16">
        <f t="shared" si="4"/>
        <v>31.44</v>
      </c>
      <c r="AA24" s="16">
        <f t="shared" si="4"/>
        <v>36.68</v>
      </c>
      <c r="AB24" s="16">
        <f t="shared" si="5"/>
        <v>68.12</v>
      </c>
      <c r="AC24" s="16"/>
      <c r="AD24" s="16"/>
      <c r="AE24" s="16"/>
      <c r="AF24" s="105"/>
      <c r="AG24" s="106"/>
    </row>
    <row r="25" spans="1:33" s="5" customFormat="1" ht="21.75" customHeight="1">
      <c r="A25" s="12">
        <f t="shared" si="0"/>
        <v>13</v>
      </c>
      <c r="B25" s="13">
        <f>C24</f>
        <v>42841.24</v>
      </c>
      <c r="C25" s="14">
        <v>42893.61</v>
      </c>
      <c r="D25" s="15" t="s">
        <v>28</v>
      </c>
      <c r="E25" s="16">
        <f>C25-B25</f>
        <v>52.37000000000262</v>
      </c>
      <c r="F25" s="17">
        <v>48</v>
      </c>
      <c r="G25" s="18">
        <f>ROUND((14228.5617+12+($F25/2))/14228.5617,4)</f>
        <v>1.0025</v>
      </c>
      <c r="H25" s="16"/>
      <c r="I25" s="16">
        <f>IF(G25=0,ROUND($E25*$F25,2),ROUND($E25*$F25*$G25,2))</f>
        <v>2520.04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6"/>
        <v>62.22</v>
      </c>
      <c r="U25" s="16">
        <f t="shared" si="7"/>
        <v>46.67</v>
      </c>
      <c r="V25" s="16"/>
      <c r="W25" s="16">
        <f t="shared" si="3"/>
        <v>46.2</v>
      </c>
      <c r="X25" s="16"/>
      <c r="Y25" s="16"/>
      <c r="Z25" s="16">
        <f t="shared" si="4"/>
        <v>11.67</v>
      </c>
      <c r="AA25" s="16">
        <f t="shared" si="4"/>
        <v>13.61</v>
      </c>
      <c r="AB25" s="16">
        <f t="shared" si="5"/>
        <v>25.28</v>
      </c>
      <c r="AC25" s="16"/>
      <c r="AD25" s="16"/>
      <c r="AE25" s="16"/>
      <c r="AF25" s="105"/>
      <c r="AG25" s="106"/>
    </row>
    <row r="26" spans="1:33" s="5" customFormat="1" ht="21.75" customHeight="1">
      <c r="A26" s="12">
        <f t="shared" si="0"/>
        <v>14</v>
      </c>
      <c r="B26" s="13"/>
      <c r="C26" s="14"/>
      <c r="D26" s="15"/>
      <c r="E26" s="16"/>
      <c r="F26" s="17"/>
      <c r="G26" s="1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05"/>
      <c r="AG26" s="106"/>
    </row>
    <row r="27" spans="1:33" s="5" customFormat="1" ht="21.75" customHeight="1">
      <c r="A27" s="12">
        <f t="shared" si="0"/>
        <v>15</v>
      </c>
      <c r="B27" s="13">
        <v>43107.76</v>
      </c>
      <c r="C27" s="14">
        <v>44823.91</v>
      </c>
      <c r="D27" s="15" t="s">
        <v>28</v>
      </c>
      <c r="E27" s="16">
        <f>C27-B27</f>
        <v>1716.1500000000015</v>
      </c>
      <c r="F27" s="17">
        <v>48</v>
      </c>
      <c r="G27" s="18">
        <f>ROUND((14228.5617+12+($F27/2))/14228.5617,4)</f>
        <v>1.0025</v>
      </c>
      <c r="H27" s="16"/>
      <c r="I27" s="16">
        <f>IF(G27=0,ROUND($E27*$F27,2),ROUND($E27*$F27*$G27,2))</f>
        <v>82581.14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6"/>
        <v>2039.04</v>
      </c>
      <c r="U27" s="16">
        <f t="shared" si="7"/>
        <v>1529.28</v>
      </c>
      <c r="V27" s="16"/>
      <c r="W27" s="16">
        <f t="shared" si="3"/>
        <v>1513.99</v>
      </c>
      <c r="X27" s="16"/>
      <c r="Y27" s="16"/>
      <c r="Z27" s="16">
        <f t="shared" si="4"/>
        <v>382.32</v>
      </c>
      <c r="AA27" s="16">
        <f t="shared" si="4"/>
        <v>446.04</v>
      </c>
      <c r="AB27" s="16">
        <f t="shared" si="5"/>
        <v>828.36</v>
      </c>
      <c r="AC27" s="16"/>
      <c r="AD27" s="16"/>
      <c r="AE27" s="16"/>
      <c r="AF27" s="105"/>
      <c r="AG27" s="106"/>
    </row>
    <row r="28" spans="1:33" s="5" customFormat="1" ht="21.75" customHeight="1">
      <c r="A28" s="12">
        <f t="shared" si="0"/>
        <v>16</v>
      </c>
      <c r="B28" s="13">
        <f>C27</f>
        <v>44823.91</v>
      </c>
      <c r="C28" s="14">
        <v>45950</v>
      </c>
      <c r="D28" s="15" t="s">
        <v>28</v>
      </c>
      <c r="E28" s="16">
        <f>C28-B28</f>
        <v>1126.0899999999965</v>
      </c>
      <c r="F28" s="17">
        <v>48</v>
      </c>
      <c r="G28" s="18"/>
      <c r="H28" s="16"/>
      <c r="I28" s="16">
        <f>IF(G28=0,ROUND($E28*$F28,2),ROUND($E28*$F28*$G28,2))</f>
        <v>54052.32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f t="shared" si="6"/>
        <v>1334.63</v>
      </c>
      <c r="U28" s="16">
        <f t="shared" si="7"/>
        <v>1000.97</v>
      </c>
      <c r="V28" s="16"/>
      <c r="W28" s="16">
        <f t="shared" si="3"/>
        <v>990.96</v>
      </c>
      <c r="X28" s="16"/>
      <c r="Y28" s="16"/>
      <c r="Z28" s="16">
        <f t="shared" si="4"/>
        <v>250.24</v>
      </c>
      <c r="AA28" s="16">
        <f t="shared" si="4"/>
        <v>291.95</v>
      </c>
      <c r="AB28" s="16">
        <f t="shared" si="5"/>
        <v>542.19</v>
      </c>
      <c r="AC28" s="16"/>
      <c r="AD28" s="16"/>
      <c r="AE28" s="16"/>
      <c r="AF28" s="105"/>
      <c r="AG28" s="106"/>
    </row>
    <row r="29" spans="1:33" s="5" customFormat="1" ht="21.75" customHeight="1">
      <c r="A29" s="12">
        <f t="shared" si="0"/>
        <v>17</v>
      </c>
      <c r="B29" s="13">
        <f>C28</f>
        <v>45950</v>
      </c>
      <c r="C29" s="14">
        <v>46050</v>
      </c>
      <c r="D29" s="15" t="s">
        <v>28</v>
      </c>
      <c r="E29" s="16">
        <f>C29-B29</f>
        <v>100</v>
      </c>
      <c r="F29" s="17">
        <f>ROUND(AVERAGE(48,60),2)</f>
        <v>54</v>
      </c>
      <c r="G29" s="18"/>
      <c r="H29" s="16"/>
      <c r="I29" s="16">
        <f>IF(G29=0,ROUND($E29*$F29,2),ROUND($E29*$F29*$G29,2))</f>
        <v>5400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>
        <f t="shared" si="6"/>
        <v>133.33</v>
      </c>
      <c r="U29" s="16">
        <f t="shared" si="7"/>
        <v>100</v>
      </c>
      <c r="V29" s="16"/>
      <c r="W29" s="16">
        <f t="shared" si="3"/>
        <v>99</v>
      </c>
      <c r="X29" s="16"/>
      <c r="Y29" s="16"/>
      <c r="Z29" s="16">
        <f t="shared" si="4"/>
        <v>25</v>
      </c>
      <c r="AA29" s="16">
        <f t="shared" si="4"/>
        <v>29.17</v>
      </c>
      <c r="AB29" s="16">
        <f t="shared" si="5"/>
        <v>54.17</v>
      </c>
      <c r="AC29" s="16"/>
      <c r="AD29" s="16"/>
      <c r="AE29" s="16"/>
      <c r="AF29" s="105"/>
      <c r="AG29" s="106"/>
    </row>
    <row r="30" spans="1:33" s="5" customFormat="1" ht="21.75" customHeight="1">
      <c r="A30" s="12">
        <f t="shared" si="0"/>
        <v>18</v>
      </c>
      <c r="B30" s="13">
        <f>C29</f>
        <v>46050</v>
      </c>
      <c r="C30" s="14">
        <v>46946.33</v>
      </c>
      <c r="D30" s="15" t="s">
        <v>28</v>
      </c>
      <c r="E30" s="16">
        <f>C30-B30</f>
        <v>896.3300000000017</v>
      </c>
      <c r="F30" s="17">
        <v>60</v>
      </c>
      <c r="G30" s="18"/>
      <c r="H30" s="16"/>
      <c r="I30" s="16">
        <f>IF(G30=0,ROUND($E30*$F30,2),ROUND($E30*$F30*$G30,2))</f>
        <v>53779.8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>
        <f t="shared" si="6"/>
        <v>1327.9</v>
      </c>
      <c r="U30" s="16">
        <f t="shared" si="7"/>
        <v>995.92</v>
      </c>
      <c r="V30" s="16"/>
      <c r="W30" s="16">
        <f>ROUND((((($I30+$J30)/9)*W$72)*3),2)</f>
        <v>985.96</v>
      </c>
      <c r="X30" s="16"/>
      <c r="Y30" s="16"/>
      <c r="Z30" s="16">
        <f t="shared" si="4"/>
        <v>248.98</v>
      </c>
      <c r="AA30" s="16">
        <f t="shared" si="4"/>
        <v>290.48</v>
      </c>
      <c r="AB30" s="16">
        <f t="shared" si="5"/>
        <v>539.46</v>
      </c>
      <c r="AC30" s="16"/>
      <c r="AD30" s="16"/>
      <c r="AE30" s="16"/>
      <c r="AF30" s="105"/>
      <c r="AG30" s="106"/>
    </row>
    <row r="31" spans="1:33" s="5" customFormat="1" ht="21.75" customHeight="1">
      <c r="A31" s="12">
        <f t="shared" si="0"/>
        <v>19</v>
      </c>
      <c r="B31" s="13"/>
      <c r="C31" s="14"/>
      <c r="D31" s="15"/>
      <c r="E31" s="16"/>
      <c r="F31" s="17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05"/>
      <c r="AG31" s="106"/>
    </row>
    <row r="32" spans="1:33" s="5" customFormat="1" ht="21.75" customHeight="1">
      <c r="A32" s="12">
        <f t="shared" si="0"/>
        <v>20</v>
      </c>
      <c r="B32" s="19" t="s">
        <v>35</v>
      </c>
      <c r="C32" s="38"/>
      <c r="D32" s="15"/>
      <c r="E32" s="16"/>
      <c r="F32" s="17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05"/>
      <c r="AG32" s="106"/>
    </row>
    <row r="33" spans="1:33" s="5" customFormat="1" ht="21.75" customHeight="1">
      <c r="A33" s="12">
        <f t="shared" si="0"/>
        <v>21</v>
      </c>
      <c r="B33" s="13">
        <v>37150</v>
      </c>
      <c r="C33" s="14">
        <v>37167.11</v>
      </c>
      <c r="D33" s="15" t="s">
        <v>30</v>
      </c>
      <c r="E33" s="16">
        <f>C33-B33</f>
        <v>17.110000000000582</v>
      </c>
      <c r="F33" s="17">
        <f>ROUND(AVERAGE(11.855,12),2)</f>
        <v>11.93</v>
      </c>
      <c r="G33" s="18">
        <f>ROUND((3900.5-((68.998+68.827)/2)-($F33/2))/3900.5,4)</f>
        <v>0.9808</v>
      </c>
      <c r="H33" s="18">
        <f>ROUND((3900.5-((68.998+68.827)/2)-($F33))/3900.5,4)</f>
        <v>0.9793</v>
      </c>
      <c r="I33" s="16">
        <f>IF(G33=0,ROUND($E33*$F33,2),ROUND($E33*$F33*$G33,2))</f>
        <v>200.2</v>
      </c>
      <c r="J33" s="16"/>
      <c r="K33" s="16">
        <f>IF($H33=0,ROUND($E33*(K$72/12),2),ROUND($E33*(K$72/12)*$H33,2))</f>
        <v>5.59</v>
      </c>
      <c r="L33" s="16"/>
      <c r="M33" s="16">
        <f>IF($H33=0,ROUND($E33*(M$72/12),2),ROUND($E33*(M$72/12)*$H33,2))</f>
        <v>13.96</v>
      </c>
      <c r="N33" s="16">
        <f>IF($H33=0,ROUND($E33*(N$72/12),2),ROUND($E33*(N$72/12)*$H33,2))</f>
        <v>22.34</v>
      </c>
      <c r="O33" s="16"/>
      <c r="P33" s="16"/>
      <c r="Q33" s="16"/>
      <c r="R33" s="16"/>
      <c r="S33" s="16"/>
      <c r="T33" s="16">
        <f aca="true" t="shared" si="8" ref="T33:T45">ROUND(((($I33+$J33)*(T$72/12)+($K33)*(T$73/12)+($M33)*(T$73/12))/27),2)</f>
        <v>5.18</v>
      </c>
      <c r="U33" s="16">
        <f>ROUND(((($I33+$J33+$N33+$O33+$P33+$Q33)*(U$72/12))/27),2)</f>
        <v>4.12</v>
      </c>
      <c r="V33" s="16"/>
      <c r="W33" s="16">
        <f>ROUND(((($I33+$J33)/9)*$W$72)+((($I33+$J33+$K33)/9)*$W$72)+((($I33+$J33+$M33)/9)*$W$72),2)</f>
        <v>3.79</v>
      </c>
      <c r="X33" s="16"/>
      <c r="Y33" s="16"/>
      <c r="Z33" s="16">
        <f>ROUND(((($I33+$J33)*(Z$72/12))/27),2)</f>
        <v>0.93</v>
      </c>
      <c r="AA33" s="16">
        <f>ROUND(((($I33+$J33)*(AA$72/12))/27),2)</f>
        <v>1.08</v>
      </c>
      <c r="AB33" s="16"/>
      <c r="AC33" s="16"/>
      <c r="AD33" s="16"/>
      <c r="AE33" s="16"/>
      <c r="AF33" s="105"/>
      <c r="AG33" s="106"/>
    </row>
    <row r="34" spans="1:33" s="5" customFormat="1" ht="21.75" customHeight="1">
      <c r="A34" s="12">
        <f t="shared" si="0"/>
        <v>22</v>
      </c>
      <c r="B34" s="14"/>
      <c r="C34" s="38"/>
      <c r="D34" s="15"/>
      <c r="E34" s="16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05"/>
      <c r="AG34" s="106"/>
    </row>
    <row r="35" spans="1:33" s="5" customFormat="1" ht="21.75" customHeight="1">
      <c r="A35" s="12">
        <f t="shared" si="0"/>
        <v>23</v>
      </c>
      <c r="B35" s="13">
        <v>38824.9</v>
      </c>
      <c r="C35" s="14">
        <v>39137.36</v>
      </c>
      <c r="D35" s="15" t="s">
        <v>30</v>
      </c>
      <c r="E35" s="16">
        <f aca="true" t="shared" si="9" ref="E35:E45">C35-B35</f>
        <v>312.4599999999991</v>
      </c>
      <c r="F35" s="22">
        <v>10</v>
      </c>
      <c r="G35" s="18"/>
      <c r="H35" s="18"/>
      <c r="I35" s="16">
        <f aca="true" t="shared" si="10" ref="I35:I44">IF(G35=0,ROUND($E35*$F35,2),ROUND($E35*$F35*$G35,2))</f>
        <v>3124.6</v>
      </c>
      <c r="J35" s="16"/>
      <c r="K35" s="16">
        <f>IF($H35=0,ROUND($E35*(K$72/12),2),ROUND($E35*(K$72/12)*$H35,2))</f>
        <v>104.15</v>
      </c>
      <c r="L35" s="16"/>
      <c r="M35" s="16">
        <f aca="true" t="shared" si="11" ref="M35:N38">IF($H35=0,ROUND($E35*(M$72/12),2),ROUND($E35*(M$72/12)*$H35,2))</f>
        <v>260.38</v>
      </c>
      <c r="N35" s="16">
        <f t="shared" si="11"/>
        <v>416.61</v>
      </c>
      <c r="O35" s="16"/>
      <c r="P35" s="16"/>
      <c r="Q35" s="16"/>
      <c r="R35" s="16"/>
      <c r="S35" s="16"/>
      <c r="T35" s="16">
        <f>ROUND(((($I35+$J35)*(T$72/12)+($K35)*(T$73/12)+($M35)*(T$73/12))/27),2)</f>
        <v>81.65</v>
      </c>
      <c r="U35" s="16">
        <f>ROUND(((($I35+$J35+$N35+$O35+$P35+$Q35)*(U$72/12))/27),2)</f>
        <v>65.58</v>
      </c>
      <c r="V35" s="16"/>
      <c r="W35" s="16">
        <f>ROUND(((($I35+$J35)/9)*$W$72)+((($I35+$J35+$K35)/9)*$W$72)+((($I35+$J35+$M35)/9)*$W$72),2)</f>
        <v>59.51</v>
      </c>
      <c r="X35" s="16"/>
      <c r="Y35" s="16"/>
      <c r="Z35" s="16">
        <f aca="true" t="shared" si="12" ref="Z35:AA57">ROUND(((($I35+$J35)*(Z$72/12))/27),2)</f>
        <v>14.47</v>
      </c>
      <c r="AA35" s="16">
        <f t="shared" si="12"/>
        <v>16.88</v>
      </c>
      <c r="AB35" s="16"/>
      <c r="AC35" s="16"/>
      <c r="AD35" s="16"/>
      <c r="AE35" s="16"/>
      <c r="AF35" s="105"/>
      <c r="AG35" s="106"/>
    </row>
    <row r="36" spans="1:33" s="5" customFormat="1" ht="21.75" customHeight="1">
      <c r="A36" s="12">
        <f t="shared" si="0"/>
        <v>24</v>
      </c>
      <c r="B36" s="13">
        <f aca="true" t="shared" si="13" ref="B36:B41">C35</f>
        <v>39137.36</v>
      </c>
      <c r="C36" s="14">
        <v>39212.5</v>
      </c>
      <c r="D36" s="15" t="s">
        <v>30</v>
      </c>
      <c r="E36" s="16">
        <f t="shared" si="9"/>
        <v>75.13999999999942</v>
      </c>
      <c r="F36" s="22">
        <v>10</v>
      </c>
      <c r="G36" s="18">
        <f>ROUND((21630.9102+12+60+($F36/2))/21630.9102,4)</f>
        <v>1.0036</v>
      </c>
      <c r="H36" s="18">
        <f aca="true" t="shared" si="14" ref="H36:H42">ROUND((21630.9102+12+60+($F36))/21630.9102,4)</f>
        <v>1.0038</v>
      </c>
      <c r="I36" s="16">
        <f t="shared" si="10"/>
        <v>754.11</v>
      </c>
      <c r="J36" s="16"/>
      <c r="K36" s="16">
        <f>IF($H36=0,ROUND($E36*(K$72/12),2),ROUND($E36*(K$72/12)*$H36,2))</f>
        <v>25.14</v>
      </c>
      <c r="L36" s="16"/>
      <c r="M36" s="16">
        <f t="shared" si="11"/>
        <v>62.85</v>
      </c>
      <c r="N36" s="16">
        <f t="shared" si="11"/>
        <v>100.57</v>
      </c>
      <c r="O36" s="16"/>
      <c r="P36" s="16"/>
      <c r="Q36" s="16"/>
      <c r="R36" s="16"/>
      <c r="S36" s="16"/>
      <c r="T36" s="16">
        <f t="shared" si="8"/>
        <v>19.71</v>
      </c>
      <c r="U36" s="16">
        <f>ROUND(((($I36+$J36+$N36+$O36+$P36+$Q36)*(U$72/12))/27),2)</f>
        <v>15.83</v>
      </c>
      <c r="V36" s="16"/>
      <c r="W36" s="16">
        <f>ROUND(((($I36+$J36)/9)*$W$72)+((($I36+$J36+$K36)/9)*$W$72)+((($I36+$J36+$M36)/9)*$W$72),2)</f>
        <v>14.36</v>
      </c>
      <c r="X36" s="16"/>
      <c r="Y36" s="16"/>
      <c r="Z36" s="16">
        <f t="shared" si="12"/>
        <v>3.49</v>
      </c>
      <c r="AA36" s="16">
        <f t="shared" si="12"/>
        <v>4.07</v>
      </c>
      <c r="AB36" s="16"/>
      <c r="AC36" s="16"/>
      <c r="AD36" s="16"/>
      <c r="AE36" s="16"/>
      <c r="AF36" s="105"/>
      <c r="AG36" s="106"/>
    </row>
    <row r="37" spans="1:33" s="5" customFormat="1" ht="21.75" customHeight="1">
      <c r="A37" s="12">
        <f t="shared" si="0"/>
        <v>25</v>
      </c>
      <c r="B37" s="13">
        <f t="shared" si="13"/>
        <v>39212.5</v>
      </c>
      <c r="C37" s="14">
        <v>39325</v>
      </c>
      <c r="D37" s="15" t="s">
        <v>30</v>
      </c>
      <c r="E37" s="16">
        <f t="shared" si="9"/>
        <v>112.5</v>
      </c>
      <c r="F37" s="17">
        <f>ROUND(AVERAGE(10,5.5),2)</f>
        <v>7.75</v>
      </c>
      <c r="G37" s="18">
        <f aca="true" t="shared" si="15" ref="G37:G42">ROUND((21630.9102+12+60+($F37/2))/21630.9102,4)</f>
        <v>1.0035</v>
      </c>
      <c r="H37" s="18">
        <f t="shared" si="14"/>
        <v>1.0037</v>
      </c>
      <c r="I37" s="16">
        <f t="shared" si="10"/>
        <v>874.93</v>
      </c>
      <c r="J37" s="16"/>
      <c r="K37" s="16">
        <f>IF($H37=0,ROUND($E37*(K$72/12),2),ROUND($E37*(K$72/12)*$H37,2))</f>
        <v>37.64</v>
      </c>
      <c r="L37" s="16"/>
      <c r="M37" s="16">
        <f t="shared" si="11"/>
        <v>94.1</v>
      </c>
      <c r="N37" s="16">
        <f t="shared" si="11"/>
        <v>150.56</v>
      </c>
      <c r="O37" s="16"/>
      <c r="P37" s="16"/>
      <c r="Q37" s="16"/>
      <c r="R37" s="16"/>
      <c r="S37" s="16"/>
      <c r="T37" s="16">
        <f t="shared" si="8"/>
        <v>23.23</v>
      </c>
      <c r="U37" s="16">
        <f>ROUND(((($I37+$J37+$N37+$O37+$P37+$Q37)*(U$72/12))/27),2)</f>
        <v>18.99</v>
      </c>
      <c r="V37" s="16"/>
      <c r="W37" s="16">
        <f>ROUND(((($I37+$J37)/9)*$W$72)+((($I37+$J37+$K37)/9)*$W$72)+((($I37+$J37+$M37)/9)*$W$72),2)</f>
        <v>16.85</v>
      </c>
      <c r="X37" s="16"/>
      <c r="Y37" s="16"/>
      <c r="Z37" s="16">
        <f t="shared" si="12"/>
        <v>4.05</v>
      </c>
      <c r="AA37" s="16">
        <f t="shared" si="12"/>
        <v>4.73</v>
      </c>
      <c r="AB37" s="16"/>
      <c r="AC37" s="16"/>
      <c r="AD37" s="16"/>
      <c r="AE37" s="16"/>
      <c r="AF37" s="105"/>
      <c r="AG37" s="106"/>
    </row>
    <row r="38" spans="1:33" s="5" customFormat="1" ht="21.75" customHeight="1">
      <c r="A38" s="12">
        <f t="shared" si="0"/>
        <v>26</v>
      </c>
      <c r="B38" s="13">
        <f t="shared" si="13"/>
        <v>39325</v>
      </c>
      <c r="C38" s="14">
        <v>39356.92</v>
      </c>
      <c r="D38" s="15" t="s">
        <v>30</v>
      </c>
      <c r="E38" s="16">
        <f t="shared" si="9"/>
        <v>31.919999999998254</v>
      </c>
      <c r="F38" s="17">
        <v>5.5</v>
      </c>
      <c r="G38" s="18">
        <f t="shared" si="15"/>
        <v>1.0035</v>
      </c>
      <c r="H38" s="18">
        <f t="shared" si="14"/>
        <v>1.0036</v>
      </c>
      <c r="I38" s="16">
        <f t="shared" si="10"/>
        <v>176.17</v>
      </c>
      <c r="J38" s="16"/>
      <c r="K38" s="16">
        <f>IF($H38=0,ROUND($E38*(K$72/12),2),ROUND($E38*(K$72/12)*$H38,2))</f>
        <v>10.68</v>
      </c>
      <c r="L38" s="16"/>
      <c r="M38" s="16">
        <f t="shared" si="11"/>
        <v>26.7</v>
      </c>
      <c r="N38" s="16">
        <f t="shared" si="11"/>
        <v>42.71</v>
      </c>
      <c r="O38" s="16"/>
      <c r="P38" s="16"/>
      <c r="Q38" s="16"/>
      <c r="R38" s="16"/>
      <c r="S38" s="16"/>
      <c r="T38" s="16">
        <f t="shared" si="8"/>
        <v>4.81</v>
      </c>
      <c r="U38" s="16">
        <f>ROUND(((($I38+$J38+$N38+$O38+$P38+$Q38)*(U$72/12))/27),2)</f>
        <v>4.05</v>
      </c>
      <c r="V38" s="16"/>
      <c r="W38" s="16">
        <f>ROUND(((($I38+$J38)/9)*$W$72)+((($I38+$J38+$K38)/9)*$W$72)+((($I38+$J38+$M38)/9)*$W$72),2)</f>
        <v>3.46</v>
      </c>
      <c r="X38" s="16"/>
      <c r="Y38" s="16"/>
      <c r="Z38" s="16">
        <f t="shared" si="12"/>
        <v>0.82</v>
      </c>
      <c r="AA38" s="16">
        <f t="shared" si="12"/>
        <v>0.95</v>
      </c>
      <c r="AB38" s="16"/>
      <c r="AC38" s="16"/>
      <c r="AD38" s="16"/>
      <c r="AE38" s="16"/>
      <c r="AF38" s="105"/>
      <c r="AG38" s="106"/>
    </row>
    <row r="39" spans="1:33" s="5" customFormat="1" ht="21.75" customHeight="1">
      <c r="A39" s="12">
        <f t="shared" si="0"/>
        <v>27</v>
      </c>
      <c r="B39" s="14">
        <f t="shared" si="13"/>
        <v>39356.92</v>
      </c>
      <c r="C39" s="14">
        <v>39375</v>
      </c>
      <c r="D39" s="15" t="s">
        <v>30</v>
      </c>
      <c r="E39" s="16">
        <f t="shared" si="9"/>
        <v>18.080000000001746</v>
      </c>
      <c r="F39" s="17">
        <v>5.5</v>
      </c>
      <c r="G39" s="18">
        <f t="shared" si="15"/>
        <v>1.0035</v>
      </c>
      <c r="H39" s="18">
        <f t="shared" si="14"/>
        <v>1.0036</v>
      </c>
      <c r="I39" s="16">
        <f t="shared" si="10"/>
        <v>99.79</v>
      </c>
      <c r="J39" s="16"/>
      <c r="K39" s="16"/>
      <c r="L39" s="16"/>
      <c r="M39" s="16"/>
      <c r="N39" s="16"/>
      <c r="O39" s="16">
        <f>IF($H39=0,ROUND($E39*(O$72/12),2),ROUND($E39*(O$72/12)*$H39,2))</f>
        <v>27.22</v>
      </c>
      <c r="P39" s="16"/>
      <c r="Q39" s="16"/>
      <c r="R39" s="16"/>
      <c r="S39" s="16"/>
      <c r="T39" s="16">
        <f>ROUND(((($I39+$J39)*(T$72/12)+($K39)*(T$73/12)+($M39)*(T$73/12))/27),2)</f>
        <v>2.46</v>
      </c>
      <c r="U39" s="16">
        <f>ROUND(((($I39+$J39+$N39+$O39+$P39+$Q39)*(U$72/12))/27),2)</f>
        <v>2.35</v>
      </c>
      <c r="V39" s="16"/>
      <c r="W39" s="16">
        <f>ROUND(((($I39+$J39)/9)*$W$72)+((($I39+$J39+$K39)/9)*$W$72)+((($I39+$J39+$M39)/9)*$W$72),2)</f>
        <v>1.83</v>
      </c>
      <c r="X39" s="16"/>
      <c r="Y39" s="16"/>
      <c r="Z39" s="16">
        <f>ROUND(((($I39+$J39)*(Z$72/12))/27),2)</f>
        <v>0.46</v>
      </c>
      <c r="AA39" s="16">
        <f>ROUND(((($I39+$J39)*(AA$72/12))/27),2)</f>
        <v>0.54</v>
      </c>
      <c r="AB39" s="16"/>
      <c r="AC39" s="16"/>
      <c r="AD39" s="16">
        <f>IF($H39=0,$E39,ROUND($E39*$H39,2))</f>
        <v>18.15</v>
      </c>
      <c r="AE39" s="16"/>
      <c r="AF39" s="105"/>
      <c r="AG39" s="106"/>
    </row>
    <row r="40" spans="1:33" s="5" customFormat="1" ht="21.75" customHeight="1">
      <c r="A40" s="12">
        <f t="shared" si="0"/>
        <v>28</v>
      </c>
      <c r="B40" s="13">
        <f t="shared" si="13"/>
        <v>39375</v>
      </c>
      <c r="C40" s="14">
        <v>39440</v>
      </c>
      <c r="D40" s="15" t="s">
        <v>30</v>
      </c>
      <c r="E40" s="16">
        <f t="shared" si="9"/>
        <v>65</v>
      </c>
      <c r="F40" s="17">
        <v>5.5</v>
      </c>
      <c r="G40" s="18">
        <f t="shared" si="15"/>
        <v>1.0035</v>
      </c>
      <c r="H40" s="18">
        <f t="shared" si="14"/>
        <v>1.0036</v>
      </c>
      <c r="I40" s="16">
        <f t="shared" si="10"/>
        <v>358.75</v>
      </c>
      <c r="J40" s="16"/>
      <c r="K40" s="16"/>
      <c r="L40" s="16">
        <f>IF($H40=0,ROUND($E40*(L$72/12),2),ROUND($E40*(L$72/12)*$H40,2))</f>
        <v>32.62</v>
      </c>
      <c r="M40" s="16">
        <f>IF($H40=0,ROUND($E40*(M$72/12),2),ROUND($E40*(M$72/12)*$H40,2))</f>
        <v>54.36</v>
      </c>
      <c r="N40" s="16">
        <f>IF($H40=0,ROUND($E40*(N$72/12),2),ROUND($E40*(N$72/12)*$H40,2))</f>
        <v>86.98</v>
      </c>
      <c r="O40" s="16"/>
      <c r="P40" s="16">
        <f>IF($H40=0,ROUND($E40*(P$72/12),2),ROUND($E40*(P$72/12)*$H40,2))</f>
        <v>108.72</v>
      </c>
      <c r="Q40" s="16">
        <f>IF($H40=0,ROUND($E40*(Q$72/12),2),ROUND($E40*(Q$72/12)*$H40,2))</f>
        <v>119.6</v>
      </c>
      <c r="R40" s="16"/>
      <c r="S40" s="16"/>
      <c r="T40" s="16">
        <f>ROUND(((($I40+$J40+$P40)*(T$72/12)+($M40)*(T$73/12)+($N40)*(T$73/12))/27),2)</f>
        <v>13.29</v>
      </c>
      <c r="U40" s="16">
        <f>ROUND(((($I40+$J40+$P40+$Q40)*(U$72/12))/27),2)</f>
        <v>10.87</v>
      </c>
      <c r="V40" s="16"/>
      <c r="W40" s="16">
        <f>ROUND(((($I40+$J40+$L40+$P40)/9)*$W$72)+((($I40+$J40+$M40+$P40)/9)*$W$72)+((($I40+$J40+$N40+$P40)/9)*$W$72),2)</f>
        <v>9.63</v>
      </c>
      <c r="X40" s="16"/>
      <c r="Y40" s="16"/>
      <c r="Z40" s="16">
        <f>ROUND(((($I40+$J40)*(Z$72/12))/27),2)</f>
        <v>1.66</v>
      </c>
      <c r="AA40" s="16">
        <f>ROUND(((($I40+$J40+$P40+$L40)*(AA$72/12))/27),2)</f>
        <v>2.7</v>
      </c>
      <c r="AB40" s="16"/>
      <c r="AC40" s="16"/>
      <c r="AD40" s="16"/>
      <c r="AE40" s="16"/>
      <c r="AF40" s="105"/>
      <c r="AG40" s="106"/>
    </row>
    <row r="41" spans="1:33" s="5" customFormat="1" ht="21.75" customHeight="1">
      <c r="A41" s="12">
        <f t="shared" si="0"/>
        <v>29</v>
      </c>
      <c r="B41" s="13">
        <f t="shared" si="13"/>
        <v>39440</v>
      </c>
      <c r="C41" s="14">
        <v>39462.5</v>
      </c>
      <c r="D41" s="15" t="s">
        <v>30</v>
      </c>
      <c r="E41" s="16">
        <f t="shared" si="9"/>
        <v>22.5</v>
      </c>
      <c r="F41" s="17">
        <f>ROUND(AVERAGE(5.5,10),2)</f>
        <v>7.75</v>
      </c>
      <c r="G41" s="18">
        <f t="shared" si="15"/>
        <v>1.0035</v>
      </c>
      <c r="H41" s="18">
        <f t="shared" si="14"/>
        <v>1.0037</v>
      </c>
      <c r="I41" s="16">
        <f t="shared" si="10"/>
        <v>174.99</v>
      </c>
      <c r="J41" s="16"/>
      <c r="K41" s="16">
        <f>IF($H41=0,ROUND($E41*(K$72/12),2),ROUND($E41*(K$72/12)*$H41,2))</f>
        <v>7.53</v>
      </c>
      <c r="L41" s="16"/>
      <c r="M41" s="16">
        <f aca="true" t="shared" si="16" ref="M41:N45">IF($H41=0,ROUND($E41*(M$72/12),2),ROUND($E41*(M$72/12)*$H41,2))</f>
        <v>18.82</v>
      </c>
      <c r="N41" s="16">
        <f t="shared" si="16"/>
        <v>30.11</v>
      </c>
      <c r="O41" s="16"/>
      <c r="P41" s="16"/>
      <c r="Q41" s="16"/>
      <c r="R41" s="16"/>
      <c r="S41" s="16"/>
      <c r="T41" s="16">
        <f>ROUND(((($I41+$J41)*(T$72/12)+($K41)*(T$73/12)+($M41)*(T$73/12))/27),2)</f>
        <v>4.65</v>
      </c>
      <c r="U41" s="16">
        <f>ROUND(((($I41+$J41+$N41+$O41+$P41+$Q41)*(U$72/12))/27),2)</f>
        <v>3.8</v>
      </c>
      <c r="V41" s="16"/>
      <c r="W41" s="16">
        <f>ROUND(((($I41+$J41)/9)*$W$72)+((($I41+$J41+$K41)/9)*$W$72)+((($I41+$J41+$M41)/9)*$W$72),2)</f>
        <v>3.37</v>
      </c>
      <c r="X41" s="16"/>
      <c r="Y41" s="16"/>
      <c r="Z41" s="16">
        <f>ROUND(((($I41+$J41)*(Z$72/12))/27),2)</f>
        <v>0.81</v>
      </c>
      <c r="AA41" s="16">
        <f t="shared" si="12"/>
        <v>0.95</v>
      </c>
      <c r="AB41" s="16"/>
      <c r="AC41" s="16"/>
      <c r="AD41" s="16"/>
      <c r="AE41" s="16"/>
      <c r="AF41" s="105"/>
      <c r="AG41" s="106"/>
    </row>
    <row r="42" spans="1:33" s="5" customFormat="1" ht="21.75" customHeight="1">
      <c r="A42" s="12">
        <f t="shared" si="0"/>
        <v>30</v>
      </c>
      <c r="B42" s="13">
        <v>39462.5</v>
      </c>
      <c r="C42" s="14">
        <v>40459.11</v>
      </c>
      <c r="D42" s="15" t="s">
        <v>30</v>
      </c>
      <c r="E42" s="16">
        <f t="shared" si="9"/>
        <v>996.6100000000006</v>
      </c>
      <c r="F42" s="22">
        <v>10</v>
      </c>
      <c r="G42" s="18">
        <f t="shared" si="15"/>
        <v>1.0036</v>
      </c>
      <c r="H42" s="18">
        <f t="shared" si="14"/>
        <v>1.0038</v>
      </c>
      <c r="I42" s="16">
        <f t="shared" si="10"/>
        <v>10001.98</v>
      </c>
      <c r="J42" s="16"/>
      <c r="K42" s="16">
        <f>IF($H42=0,ROUND($E42*(K$72/12),2),ROUND($E42*(K$72/12)*$H42,2))</f>
        <v>333.47</v>
      </c>
      <c r="L42" s="16"/>
      <c r="M42" s="16">
        <f t="shared" si="16"/>
        <v>833.66</v>
      </c>
      <c r="N42" s="16">
        <f t="shared" si="16"/>
        <v>1333.86</v>
      </c>
      <c r="O42" s="16"/>
      <c r="P42" s="16"/>
      <c r="Q42" s="16"/>
      <c r="R42" s="16"/>
      <c r="S42" s="16"/>
      <c r="T42" s="16">
        <f t="shared" si="8"/>
        <v>261.37</v>
      </c>
      <c r="U42" s="16">
        <f>ROUND(((($I42+$J42+$N42+$O42+$P42+$Q42)*(U$72/12))/27),2)</f>
        <v>209.92</v>
      </c>
      <c r="V42" s="16"/>
      <c r="W42" s="16">
        <f>ROUND(((($I42+$J42)/9)*$W$72)+((($I42+$J42+$K42)/9)*$W$72)+((($I42+$J42+$M42)/9)*$W$72),2)</f>
        <v>190.5</v>
      </c>
      <c r="X42" s="16"/>
      <c r="Y42" s="16"/>
      <c r="Z42" s="16">
        <f t="shared" si="12"/>
        <v>46.31</v>
      </c>
      <c r="AA42" s="16">
        <f t="shared" si="12"/>
        <v>54.02</v>
      </c>
      <c r="AB42" s="16"/>
      <c r="AC42" s="16"/>
      <c r="AD42" s="16"/>
      <c r="AE42" s="16"/>
      <c r="AF42" s="105"/>
      <c r="AG42" s="106"/>
    </row>
    <row r="43" spans="1:33" s="5" customFormat="1" ht="21.75" customHeight="1">
      <c r="A43" s="12">
        <f t="shared" si="0"/>
        <v>31</v>
      </c>
      <c r="B43" s="13">
        <f>C42</f>
        <v>40459.11</v>
      </c>
      <c r="C43" s="14">
        <v>42425</v>
      </c>
      <c r="D43" s="15" t="s">
        <v>30</v>
      </c>
      <c r="E43" s="16">
        <f t="shared" si="9"/>
        <v>1965.8899999999994</v>
      </c>
      <c r="F43" s="22">
        <v>10</v>
      </c>
      <c r="G43" s="18"/>
      <c r="H43" s="16"/>
      <c r="I43" s="16">
        <f t="shared" si="10"/>
        <v>19658.9</v>
      </c>
      <c r="J43" s="16"/>
      <c r="K43" s="16">
        <f>IF($H43=0,ROUND($E43*(K$72/12),2),ROUND($E43*(K$72/12)*$H43,2))</f>
        <v>655.3</v>
      </c>
      <c r="L43" s="16"/>
      <c r="M43" s="16">
        <f t="shared" si="16"/>
        <v>1638.24</v>
      </c>
      <c r="N43" s="16">
        <f t="shared" si="16"/>
        <v>2621.19</v>
      </c>
      <c r="O43" s="16"/>
      <c r="P43" s="16"/>
      <c r="Q43" s="16"/>
      <c r="R43" s="16"/>
      <c r="S43" s="16"/>
      <c r="T43" s="16">
        <f t="shared" si="8"/>
        <v>513.72</v>
      </c>
      <c r="U43" s="16">
        <f>ROUND(((($I43+$J43+$N43+$O43+$P43+$Q43)*(U$72/12))/27),2)</f>
        <v>412.59</v>
      </c>
      <c r="V43" s="16"/>
      <c r="W43" s="16">
        <f>ROUND(((($I43+$J43)/9)*$W$72)+((($I43+$J43+$K43)/9)*$W$72)+((($I43+$J43+$M43)/9)*$W$72),2)</f>
        <v>374.43</v>
      </c>
      <c r="X43" s="16"/>
      <c r="Y43" s="16"/>
      <c r="Z43" s="16">
        <f t="shared" si="12"/>
        <v>91.01</v>
      </c>
      <c r="AA43" s="16">
        <f t="shared" si="12"/>
        <v>106.18</v>
      </c>
      <c r="AB43" s="16"/>
      <c r="AC43" s="16"/>
      <c r="AD43" s="16"/>
      <c r="AE43" s="16"/>
      <c r="AF43" s="105"/>
      <c r="AG43" s="106"/>
    </row>
    <row r="44" spans="1:33" s="5" customFormat="1" ht="21.75" customHeight="1">
      <c r="A44" s="12">
        <f t="shared" si="0"/>
        <v>32</v>
      </c>
      <c r="B44" s="13">
        <f>C43</f>
        <v>42425</v>
      </c>
      <c r="C44" s="14">
        <v>42461.65</v>
      </c>
      <c r="D44" s="15" t="s">
        <v>30</v>
      </c>
      <c r="E44" s="16">
        <f t="shared" si="9"/>
        <v>36.650000000001455</v>
      </c>
      <c r="F44" s="17">
        <f>ROUND(AVERAGE(10,17.33),2)</f>
        <v>13.67</v>
      </c>
      <c r="G44" s="18"/>
      <c r="H44" s="16"/>
      <c r="I44" s="16">
        <f t="shared" si="10"/>
        <v>501.01</v>
      </c>
      <c r="J44" s="16"/>
      <c r="K44" s="16">
        <f>IF($H44=0,ROUND($E44*(K$72/12),2),ROUND($E44*(K$72/12)*$H44,2))</f>
        <v>12.22</v>
      </c>
      <c r="L44" s="16"/>
      <c r="M44" s="16">
        <f t="shared" si="16"/>
        <v>30.54</v>
      </c>
      <c r="N44" s="16">
        <f t="shared" si="16"/>
        <v>48.87</v>
      </c>
      <c r="O44" s="16"/>
      <c r="P44" s="16"/>
      <c r="Q44" s="16"/>
      <c r="R44" s="16"/>
      <c r="S44" s="16"/>
      <c r="T44" s="16">
        <f t="shared" si="8"/>
        <v>12.9</v>
      </c>
      <c r="U44" s="16">
        <f>ROUND(((($I44+$J44+$N44+$O44+$P44+$Q44)*(U$72/12))/27),2)</f>
        <v>10.18</v>
      </c>
      <c r="V44" s="16"/>
      <c r="W44" s="16">
        <f>ROUND(((($I44+$J44)/9)*$W$72)+((($I44+$J44+$K44)/9)*$W$72)+((($I44+$J44+$M44)/9)*$W$72),2)</f>
        <v>9.45</v>
      </c>
      <c r="X44" s="16"/>
      <c r="Y44" s="16"/>
      <c r="Z44" s="16">
        <f t="shared" si="12"/>
        <v>2.32</v>
      </c>
      <c r="AA44" s="16">
        <f t="shared" si="12"/>
        <v>2.71</v>
      </c>
      <c r="AB44" s="16"/>
      <c r="AC44" s="16"/>
      <c r="AD44" s="16"/>
      <c r="AE44" s="16"/>
      <c r="AF44" s="105"/>
      <c r="AG44" s="106"/>
    </row>
    <row r="45" spans="1:33" s="5" customFormat="1" ht="21.75" customHeight="1">
      <c r="A45" s="12">
        <f t="shared" si="0"/>
        <v>33</v>
      </c>
      <c r="B45" s="75">
        <f>C44</f>
        <v>42461.65</v>
      </c>
      <c r="C45" s="76">
        <v>42481.61</v>
      </c>
      <c r="D45" s="15" t="s">
        <v>30</v>
      </c>
      <c r="E45" s="16">
        <f t="shared" si="9"/>
        <v>19.959999999999127</v>
      </c>
      <c r="F45" s="80" t="s">
        <v>31</v>
      </c>
      <c r="G45" s="81"/>
      <c r="H45" s="81"/>
      <c r="I45" s="82"/>
      <c r="J45" s="16">
        <f>ROUND(391.7097,2)</f>
        <v>391.71</v>
      </c>
      <c r="K45" s="16">
        <f>IF($H45=0,ROUND($E45*(K$72/12),2),ROUND($E45*(K$72/12)*$H45,2))</f>
        <v>6.65</v>
      </c>
      <c r="L45" s="16"/>
      <c r="M45" s="16">
        <f t="shared" si="16"/>
        <v>16.63</v>
      </c>
      <c r="N45" s="16">
        <f t="shared" si="16"/>
        <v>26.61</v>
      </c>
      <c r="O45" s="16"/>
      <c r="P45" s="16"/>
      <c r="Q45" s="16"/>
      <c r="R45" s="16"/>
      <c r="S45" s="16"/>
      <c r="T45" s="16">
        <f t="shared" si="8"/>
        <v>9.96</v>
      </c>
      <c r="U45" s="16">
        <f>ROUND(((($I45+$J45+$N45+$O45+$P45+$Q45)*(U$72/12))/27),2)</f>
        <v>7.75</v>
      </c>
      <c r="V45" s="16"/>
      <c r="W45" s="16">
        <f>ROUND(((($I45+$J45)/9)*$W$72)+((($I45+$J45+$K45)/9)*$W$72)+((($I45+$J45+$M45)/9)*$W$72),2)</f>
        <v>7.32</v>
      </c>
      <c r="X45" s="16"/>
      <c r="Y45" s="16"/>
      <c r="Z45" s="16">
        <f>ROUND(((($I45+$J45)*(Z$72/12))/27),2)</f>
        <v>1.81</v>
      </c>
      <c r="AA45" s="16">
        <f t="shared" si="12"/>
        <v>2.12</v>
      </c>
      <c r="AB45" s="16"/>
      <c r="AC45" s="16"/>
      <c r="AD45" s="16"/>
      <c r="AE45" s="16"/>
      <c r="AF45" s="105"/>
      <c r="AG45" s="106"/>
    </row>
    <row r="46" spans="1:33" s="5" customFormat="1" ht="21.75" customHeight="1">
      <c r="A46" s="12">
        <f t="shared" si="0"/>
        <v>34</v>
      </c>
      <c r="B46" s="14"/>
      <c r="C46" s="40"/>
      <c r="D46" s="15"/>
      <c r="E46" s="16"/>
      <c r="F46" s="54"/>
      <c r="G46" s="18"/>
      <c r="H46" s="16"/>
      <c r="I46" s="52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05"/>
      <c r="AG46" s="106"/>
    </row>
    <row r="47" spans="1:33" s="5" customFormat="1" ht="21.75" customHeight="1">
      <c r="A47" s="12">
        <f t="shared" si="0"/>
        <v>35</v>
      </c>
      <c r="B47" s="13">
        <v>42687.13</v>
      </c>
      <c r="C47" s="14">
        <v>42692.46</v>
      </c>
      <c r="D47" s="15" t="s">
        <v>30</v>
      </c>
      <c r="E47" s="16">
        <f>C47-B47</f>
        <v>5.330000000001746</v>
      </c>
      <c r="F47" s="80" t="s">
        <v>31</v>
      </c>
      <c r="G47" s="81"/>
      <c r="H47" s="81"/>
      <c r="I47" s="82"/>
      <c r="J47" s="16">
        <f>ROUND(46.6259,2)</f>
        <v>46.63</v>
      </c>
      <c r="K47" s="16">
        <f>IF($H47=0,ROUND($E47*(K$72/12),2),ROUND($E47*(K$72/12)*$H47,2))</f>
        <v>1.78</v>
      </c>
      <c r="L47" s="16"/>
      <c r="M47" s="16">
        <f aca="true" t="shared" si="17" ref="M47:N49">IF($H47=0,ROUND($E47*(M$72/12),2),ROUND($E47*(M$72/12)*$H47,2))</f>
        <v>4.44</v>
      </c>
      <c r="N47" s="16">
        <f t="shared" si="17"/>
        <v>7.11</v>
      </c>
      <c r="O47" s="16"/>
      <c r="P47" s="16"/>
      <c r="Q47" s="16"/>
      <c r="R47" s="16"/>
      <c r="S47" s="16"/>
      <c r="T47" s="16">
        <f>ROUND(((($I47+$J47)*(T$72/12)+($K47)*(T$73/12)+($M47)*(T$73/12))/27),2)</f>
        <v>1.23</v>
      </c>
      <c r="U47" s="16">
        <f>ROUND(((($I47+$J47+$N47+$O47+$P47+$Q47)*(U$72/12))/27),2)</f>
        <v>1</v>
      </c>
      <c r="V47" s="16"/>
      <c r="W47" s="16">
        <f>ROUND(((($I47+$J47)/9)*$W$72)+((($I47+$J47+$K47)/9)*$W$72)+((($I47+$J47+$M47)/9)*$W$72),2)</f>
        <v>0.89</v>
      </c>
      <c r="X47" s="16"/>
      <c r="Y47" s="16"/>
      <c r="Z47" s="16">
        <f>ROUND(((($I47+$J47)*(Z$72/12))/27),2)</f>
        <v>0.22</v>
      </c>
      <c r="AA47" s="16">
        <f>ROUND(((($I47+$J47)*(AA$72/12))/27),2)</f>
        <v>0.25</v>
      </c>
      <c r="AB47" s="16"/>
      <c r="AC47" s="16"/>
      <c r="AD47" s="16"/>
      <c r="AE47" s="16"/>
      <c r="AF47" s="105"/>
      <c r="AG47" s="106"/>
    </row>
    <row r="48" spans="1:33" s="5" customFormat="1" ht="21.75" customHeight="1">
      <c r="A48" s="12">
        <f t="shared" si="0"/>
        <v>36</v>
      </c>
      <c r="B48" s="13">
        <f>C47</f>
        <v>42692.46</v>
      </c>
      <c r="C48" s="14">
        <v>42841.24</v>
      </c>
      <c r="D48" s="15" t="s">
        <v>30</v>
      </c>
      <c r="E48" s="16">
        <f>C48-B48</f>
        <v>148.77999999999884</v>
      </c>
      <c r="F48" s="22">
        <v>17.5</v>
      </c>
      <c r="G48" s="18"/>
      <c r="H48" s="16"/>
      <c r="I48" s="16">
        <f>IF(G48=0,ROUND($E48*$F48,2),ROUND($E48*$F48*$G48,2))</f>
        <v>2603.65</v>
      </c>
      <c r="J48" s="16"/>
      <c r="K48" s="16">
        <f>IF($H48=0,ROUND($E48*(K$72/12),2),ROUND($E48*(K$72/12)*$H48,2))</f>
        <v>49.59</v>
      </c>
      <c r="L48" s="16"/>
      <c r="M48" s="16">
        <f t="shared" si="17"/>
        <v>123.98</v>
      </c>
      <c r="N48" s="16">
        <f t="shared" si="17"/>
        <v>198.37</v>
      </c>
      <c r="O48" s="16"/>
      <c r="P48" s="16"/>
      <c r="Q48" s="41"/>
      <c r="R48" s="16"/>
      <c r="S48" s="16"/>
      <c r="T48" s="16">
        <f>ROUND(((($I48+$J48)*(T$72/12)+($K48)*(T$73/12)+($M48)*(T$73/12))/27),2)</f>
        <v>66.43</v>
      </c>
      <c r="U48" s="16">
        <f>ROUND(((($I48+$J48+$N48+$O48+$P48+$Q48)*(U$72/12))/27),2)</f>
        <v>51.89</v>
      </c>
      <c r="V48" s="16"/>
      <c r="W48" s="16">
        <f>ROUND(((($I48+$J48)/9)*$W$72)+((($I48+$J48+$K48)/9)*$W$72)+((($I48+$J48+$M48)/9)*$W$72),2)</f>
        <v>48.79</v>
      </c>
      <c r="X48" s="16"/>
      <c r="Y48" s="16"/>
      <c r="Z48" s="16">
        <f>ROUND(((($I48+$J48)*(Z$72/12))/27),2)</f>
        <v>12.05</v>
      </c>
      <c r="AA48" s="16">
        <f>ROUND(((($I48+$J48)*(AA$72/12))/27),2)</f>
        <v>14.06</v>
      </c>
      <c r="AB48" s="16"/>
      <c r="AC48" s="16"/>
      <c r="AD48" s="16"/>
      <c r="AE48" s="16"/>
      <c r="AF48" s="105"/>
      <c r="AG48" s="106"/>
    </row>
    <row r="49" spans="1:33" s="5" customFormat="1" ht="21.75" customHeight="1">
      <c r="A49" s="12">
        <f t="shared" si="0"/>
        <v>37</v>
      </c>
      <c r="B49" s="13">
        <f>C48</f>
        <v>42841.24</v>
      </c>
      <c r="C49" s="14">
        <v>42868.64</v>
      </c>
      <c r="D49" s="15" t="s">
        <v>30</v>
      </c>
      <c r="E49" s="16">
        <f>C49-B49</f>
        <v>27.400000000001455</v>
      </c>
      <c r="F49" s="22">
        <v>17.5</v>
      </c>
      <c r="G49" s="18">
        <f>ROUND((14228.562+12+48+($F49/2))/14228.562,4)</f>
        <v>1.0048</v>
      </c>
      <c r="H49" s="18">
        <f>ROUND((14228.562+12+48+($F49))/14228.562,4)</f>
        <v>1.0054</v>
      </c>
      <c r="I49" s="16">
        <f>IF(G49=0,ROUND($E49*$F49,2),ROUND($E49*$F49*$G49,2))</f>
        <v>481.8</v>
      </c>
      <c r="J49" s="16"/>
      <c r="K49" s="16">
        <f>IF($H49=0,ROUND($E49*(K$72/12),2),ROUND($E49*(K$72/12)*$H49,2))</f>
        <v>9.18</v>
      </c>
      <c r="L49" s="16"/>
      <c r="M49" s="16">
        <f t="shared" si="17"/>
        <v>22.96</v>
      </c>
      <c r="N49" s="16">
        <f t="shared" si="17"/>
        <v>36.73</v>
      </c>
      <c r="O49" s="16"/>
      <c r="P49" s="16"/>
      <c r="Q49" s="16"/>
      <c r="R49" s="16"/>
      <c r="S49" s="16"/>
      <c r="T49" s="16">
        <f>ROUND(((($I49+$J49)*(T$72/12)+($K49)*(T$73/12)+($M49)*(T$73/12))/27),2)</f>
        <v>12.29</v>
      </c>
      <c r="U49" s="16">
        <f>ROUND(((($I49+$J49+$N49+$O49+$P49+$Q49)*(U$72/12))/27),2)</f>
        <v>9.6</v>
      </c>
      <c r="V49" s="16"/>
      <c r="W49" s="16">
        <f>ROUND(((($I49+$J49)/9)*$W$72)+((($I49+$J49+$K49)/9)*$W$72)+((($I49+$J49+$M49)/9)*$W$72),2)</f>
        <v>9.03</v>
      </c>
      <c r="X49" s="16"/>
      <c r="Y49" s="16"/>
      <c r="Z49" s="16">
        <f t="shared" si="12"/>
        <v>2.23</v>
      </c>
      <c r="AA49" s="16">
        <f>ROUND(((($I49+$J49)*(AA$72/12))/27),2)</f>
        <v>2.6</v>
      </c>
      <c r="AB49" s="16"/>
      <c r="AC49" s="16"/>
      <c r="AD49" s="16"/>
      <c r="AE49" s="16"/>
      <c r="AF49" s="105"/>
      <c r="AG49" s="106"/>
    </row>
    <row r="50" spans="1:33" s="5" customFormat="1" ht="21.75" customHeight="1" thickBot="1">
      <c r="A50" s="12">
        <f t="shared" si="0"/>
        <v>38</v>
      </c>
      <c r="B50" s="13">
        <f>C49</f>
        <v>42868.64</v>
      </c>
      <c r="C50" s="14">
        <v>42884.65</v>
      </c>
      <c r="D50" s="15" t="s">
        <v>30</v>
      </c>
      <c r="E50" s="16">
        <f>C50-B50</f>
        <v>16.010000000002037</v>
      </c>
      <c r="F50" s="80" t="s">
        <v>31</v>
      </c>
      <c r="G50" s="81"/>
      <c r="H50" s="81"/>
      <c r="I50" s="82"/>
      <c r="J50" s="16">
        <f>ROUND(314.7192,2)</f>
        <v>314.72</v>
      </c>
      <c r="K50" s="16"/>
      <c r="L50" s="16"/>
      <c r="M50" s="16"/>
      <c r="N50" s="16"/>
      <c r="O50" s="16">
        <f>IF($H50=0,ROUND($E50*(O$72/12),2),ROUND($E50*(O$72/12)*$H50,2))</f>
        <v>24.02</v>
      </c>
      <c r="P50" s="16"/>
      <c r="Q50" s="16"/>
      <c r="R50" s="16"/>
      <c r="S50" s="16"/>
      <c r="T50" s="16">
        <f>ROUND(((($I50+$J50)*(T$72/12)+($K50)*(T$73/12)+($M50)*(T$73/12))/27),2)</f>
        <v>7.77</v>
      </c>
      <c r="U50" s="16">
        <f>ROUND(((($I50+$J50+$N50+$O50+$P50+$Q50)*(U$72/12))/27),2)</f>
        <v>6.27</v>
      </c>
      <c r="V50" s="16"/>
      <c r="W50" s="16">
        <f>ROUND(((($I50+$J50)/9)*$W$72)+((($I50+$J50+$K50)/9)*$W$72)+((($I50+$J50+$M50)/9)*$W$72),2)</f>
        <v>5.77</v>
      </c>
      <c r="X50" s="16"/>
      <c r="Y50" s="16"/>
      <c r="Z50" s="16">
        <f>ROUND(((($I50+$J50)*(Z$72/12))/27),2)</f>
        <v>1.46</v>
      </c>
      <c r="AA50" s="16">
        <f>ROUND(((($I50+$J50)*(AA$72/12))/27),2)</f>
        <v>1.7</v>
      </c>
      <c r="AB50" s="16"/>
      <c r="AC50" s="16"/>
      <c r="AD50" s="16">
        <v>16.15</v>
      </c>
      <c r="AE50" s="16"/>
      <c r="AF50" s="107"/>
      <c r="AG50" s="108"/>
    </row>
    <row r="51" spans="1:33" s="5" customFormat="1" ht="21.75" customHeight="1">
      <c r="A51" s="12">
        <f t="shared" si="0"/>
        <v>39</v>
      </c>
      <c r="B51" s="13"/>
      <c r="C51" s="14"/>
      <c r="D51" s="15"/>
      <c r="E51" s="16"/>
      <c r="F51" s="54"/>
      <c r="G51" s="18"/>
      <c r="H51" s="16"/>
      <c r="I51" s="52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03" t="s">
        <v>93</v>
      </c>
      <c r="AG51" s="104"/>
    </row>
    <row r="52" spans="1:33" s="5" customFormat="1" ht="21.75" customHeight="1">
      <c r="A52" s="12">
        <f t="shared" si="0"/>
        <v>40</v>
      </c>
      <c r="B52" s="14">
        <v>43098.14</v>
      </c>
      <c r="C52" s="21">
        <v>43122.5</v>
      </c>
      <c r="D52" s="15" t="s">
        <v>30</v>
      </c>
      <c r="E52" s="16">
        <f aca="true" t="shared" si="18" ref="E52:E60">C52-B52</f>
        <v>24.360000000000582</v>
      </c>
      <c r="F52" s="80" t="s">
        <v>31</v>
      </c>
      <c r="G52" s="81"/>
      <c r="H52" s="81"/>
      <c r="I52" s="82"/>
      <c r="J52" s="16">
        <f>ROUND(392.74,2)</f>
        <v>392.74</v>
      </c>
      <c r="K52" s="16"/>
      <c r="L52" s="16"/>
      <c r="M52" s="16"/>
      <c r="N52" s="16"/>
      <c r="O52" s="16">
        <f>IF($H52=0,ROUND($E52*(O$72/12),2),ROUND($E52*(O$72/12)*$H52,2))</f>
        <v>36.54</v>
      </c>
      <c r="P52" s="16"/>
      <c r="Q52" s="16"/>
      <c r="R52" s="16"/>
      <c r="S52" s="16"/>
      <c r="T52" s="16">
        <f aca="true" t="shared" si="19" ref="T52:T58">ROUND(((($I52+$J52)*(T$72/12)+($K52)*(T$73/12)+($M52)*(T$73/12))/27),2)</f>
        <v>9.7</v>
      </c>
      <c r="U52" s="16">
        <f aca="true" t="shared" si="20" ref="U52:U58">ROUND(((($I52+$J52+$N52+$O52+$P52+$Q52)*(U$72/12))/27),2)</f>
        <v>7.95</v>
      </c>
      <c r="V52" s="16"/>
      <c r="W52" s="16">
        <f aca="true" t="shared" si="21" ref="W52:W58">ROUND(((($I52+$J52)/9)*$W$72)+((($I52+$J52+$K52)/9)*$W$72)+((($I52+$J52+$M52)/9)*$W$72),2)</f>
        <v>7.2</v>
      </c>
      <c r="X52" s="16"/>
      <c r="Y52" s="16"/>
      <c r="Z52" s="16">
        <f>ROUND(((($I52+$J52)*(Z$72/12))/27),2)</f>
        <v>1.82</v>
      </c>
      <c r="AA52" s="16">
        <f>ROUND(((($I52+$J52)*(AA$72/12))/27),2)</f>
        <v>2.12</v>
      </c>
      <c r="AB52" s="16"/>
      <c r="AC52" s="16"/>
      <c r="AD52" s="16">
        <v>24.49</v>
      </c>
      <c r="AE52" s="16"/>
      <c r="AF52" s="105"/>
      <c r="AG52" s="106"/>
    </row>
    <row r="53" spans="1:33" s="5" customFormat="1" ht="21.75" customHeight="1">
      <c r="A53" s="12">
        <f t="shared" si="0"/>
        <v>41</v>
      </c>
      <c r="B53" s="13">
        <f aca="true" t="shared" si="22" ref="B53:B60">C52</f>
        <v>43122.5</v>
      </c>
      <c r="C53" s="14">
        <v>43310</v>
      </c>
      <c r="D53" s="15" t="s">
        <v>30</v>
      </c>
      <c r="E53" s="16">
        <f t="shared" si="18"/>
        <v>187.5</v>
      </c>
      <c r="F53" s="17">
        <f>ROUND(AVERAGE(10,17.5),2)</f>
        <v>13.75</v>
      </c>
      <c r="G53" s="18">
        <f>ROUND((14228.5617+12+48+($F53/2))/14228.5617,4)</f>
        <v>1.0047</v>
      </c>
      <c r="H53" s="18">
        <f>ROUND((14228.5617+12+48+($F53))/14228.5617,4)</f>
        <v>1.0052</v>
      </c>
      <c r="I53" s="16">
        <f>IF($G53=0,ROUND($E53*$F53,2),ROUND($E53*$F53*$G53,2))</f>
        <v>2590.24</v>
      </c>
      <c r="J53" s="16"/>
      <c r="K53" s="16">
        <f>IF($H53=0,ROUND($E53*(K$72/12),2),ROUND($E53*(K$72/12)*$H53,2))</f>
        <v>62.83</v>
      </c>
      <c r="L53" s="16"/>
      <c r="M53" s="16">
        <f>IF($H53=0,ROUND($E53*(M$72/12),2),ROUND($E53*(M$72/12)*$H53,2))</f>
        <v>157.06</v>
      </c>
      <c r="N53" s="16">
        <f>IF($H53=0,ROUND($E53*(N$72/12),2),ROUND($E53*(N$72/12)*$H53,2))</f>
        <v>251.3</v>
      </c>
      <c r="O53" s="16"/>
      <c r="P53" s="16"/>
      <c r="Q53" s="16"/>
      <c r="R53" s="16"/>
      <c r="S53" s="16"/>
      <c r="T53" s="16">
        <f t="shared" si="19"/>
        <v>66.67</v>
      </c>
      <c r="U53" s="16">
        <f t="shared" si="20"/>
        <v>52.62</v>
      </c>
      <c r="V53" s="16"/>
      <c r="W53" s="16">
        <f t="shared" si="21"/>
        <v>48.83</v>
      </c>
      <c r="X53" s="16"/>
      <c r="Y53" s="16"/>
      <c r="Z53" s="16">
        <f t="shared" si="12"/>
        <v>11.99</v>
      </c>
      <c r="AA53" s="16">
        <f t="shared" si="12"/>
        <v>13.99</v>
      </c>
      <c r="AB53" s="16"/>
      <c r="AC53" s="16"/>
      <c r="AD53" s="16"/>
      <c r="AE53" s="16"/>
      <c r="AF53" s="105"/>
      <c r="AG53" s="106"/>
    </row>
    <row r="54" spans="1:33" s="5" customFormat="1" ht="21.75" customHeight="1">
      <c r="A54" s="12">
        <f t="shared" si="0"/>
        <v>42</v>
      </c>
      <c r="B54" s="13">
        <f t="shared" si="22"/>
        <v>43310</v>
      </c>
      <c r="C54" s="14">
        <v>44823.91</v>
      </c>
      <c r="D54" s="15" t="s">
        <v>30</v>
      </c>
      <c r="E54" s="16">
        <f t="shared" si="18"/>
        <v>1513.9100000000035</v>
      </c>
      <c r="F54" s="22">
        <v>10</v>
      </c>
      <c r="G54" s="18">
        <f>ROUND((14228.5617+12+48+($F54/2))/14228.5617,4)</f>
        <v>1.0046</v>
      </c>
      <c r="H54" s="18">
        <f>ROUND((14228.5617+12+48+($F54))/14228.5617,4)</f>
        <v>1.0049</v>
      </c>
      <c r="I54" s="16">
        <f>IF($G54=0,ROUND($E54*$F54,2),ROUND($E54*$F54*$G54,2))</f>
        <v>15208.74</v>
      </c>
      <c r="J54" s="16"/>
      <c r="K54" s="16">
        <f>IF($H54=0,ROUND($E54*(K$72/12),2),ROUND($E54*(K$72/12)*$H54,2))</f>
        <v>507.11</v>
      </c>
      <c r="L54" s="16"/>
      <c r="M54" s="16">
        <f aca="true" t="shared" si="23" ref="M54:N57">IF($H54=0,ROUND($E54*(M$72/12),2),ROUND($E54*(M$72/12)*$H54,2))</f>
        <v>1267.77</v>
      </c>
      <c r="N54" s="16">
        <f t="shared" si="23"/>
        <v>2028.44</v>
      </c>
      <c r="O54" s="16"/>
      <c r="P54" s="16"/>
      <c r="Q54" s="16"/>
      <c r="R54" s="16"/>
      <c r="S54" s="16"/>
      <c r="T54" s="16">
        <f t="shared" si="19"/>
        <v>397.44</v>
      </c>
      <c r="U54" s="16">
        <f t="shared" si="20"/>
        <v>319.21</v>
      </c>
      <c r="V54" s="16"/>
      <c r="W54" s="16">
        <f t="shared" si="21"/>
        <v>289.67</v>
      </c>
      <c r="X54" s="16"/>
      <c r="Y54" s="16"/>
      <c r="Z54" s="16">
        <f t="shared" si="12"/>
        <v>70.41</v>
      </c>
      <c r="AA54" s="16">
        <f t="shared" si="12"/>
        <v>82.15</v>
      </c>
      <c r="AB54" s="16"/>
      <c r="AC54" s="16"/>
      <c r="AD54" s="16"/>
      <c r="AE54" s="16"/>
      <c r="AF54" s="105"/>
      <c r="AG54" s="106"/>
    </row>
    <row r="55" spans="1:33" s="5" customFormat="1" ht="21.75" customHeight="1">
      <c r="A55" s="12">
        <f t="shared" si="0"/>
        <v>43</v>
      </c>
      <c r="B55" s="13">
        <f t="shared" si="22"/>
        <v>44823.91</v>
      </c>
      <c r="C55" s="14">
        <v>46702.5</v>
      </c>
      <c r="D55" s="15" t="s">
        <v>30</v>
      </c>
      <c r="E55" s="16">
        <f t="shared" si="18"/>
        <v>1878.5899999999965</v>
      </c>
      <c r="F55" s="22">
        <v>10</v>
      </c>
      <c r="G55" s="18"/>
      <c r="H55" s="16"/>
      <c r="I55" s="16">
        <f>IF($G55=0,ROUND($E55*$F55,2),ROUND($E55*$F55*$G55,2))</f>
        <v>18785.9</v>
      </c>
      <c r="J55" s="16"/>
      <c r="K55" s="16">
        <f>IF($H55=0,ROUND($E55*(K$72/12),2),ROUND($E55*(K$72/12)*$H55,2))</f>
        <v>626.2</v>
      </c>
      <c r="L55" s="16"/>
      <c r="M55" s="16">
        <f t="shared" si="23"/>
        <v>1565.49</v>
      </c>
      <c r="N55" s="16">
        <f t="shared" si="23"/>
        <v>2504.79</v>
      </c>
      <c r="O55" s="16"/>
      <c r="P55" s="16"/>
      <c r="Q55" s="16"/>
      <c r="R55" s="16"/>
      <c r="S55" s="16"/>
      <c r="T55" s="16">
        <f t="shared" si="19"/>
        <v>490.91</v>
      </c>
      <c r="U55" s="16">
        <f t="shared" si="20"/>
        <v>394.27</v>
      </c>
      <c r="V55" s="16"/>
      <c r="W55" s="16">
        <f t="shared" si="21"/>
        <v>357.8</v>
      </c>
      <c r="X55" s="16"/>
      <c r="Y55" s="16"/>
      <c r="Z55" s="16">
        <f t="shared" si="12"/>
        <v>86.97</v>
      </c>
      <c r="AA55" s="16">
        <f t="shared" si="12"/>
        <v>101.47</v>
      </c>
      <c r="AB55" s="16"/>
      <c r="AC55" s="16"/>
      <c r="AD55" s="16"/>
      <c r="AE55" s="16"/>
      <c r="AF55" s="105"/>
      <c r="AG55" s="106"/>
    </row>
    <row r="56" spans="1:33" s="5" customFormat="1" ht="21.75" customHeight="1">
      <c r="A56" s="12">
        <f t="shared" si="0"/>
        <v>44</v>
      </c>
      <c r="B56" s="13">
        <f t="shared" si="22"/>
        <v>46702.5</v>
      </c>
      <c r="C56" s="14">
        <v>46815</v>
      </c>
      <c r="D56" s="15" t="s">
        <v>30</v>
      </c>
      <c r="E56" s="16">
        <f t="shared" si="18"/>
        <v>112.5</v>
      </c>
      <c r="F56" s="17">
        <f>ROUND(AVERAGE(10,5.5),2)</f>
        <v>7.75</v>
      </c>
      <c r="G56" s="18"/>
      <c r="H56" s="16"/>
      <c r="I56" s="16">
        <f>IF($G56=0,ROUND($E56*$F56,2),ROUND($E56*$F56*$G56,2))</f>
        <v>871.88</v>
      </c>
      <c r="J56" s="16"/>
      <c r="K56" s="16">
        <f>IF($H56=0,ROUND($E56*(K$72/12),2),ROUND($E56*(K$72/12)*$H56,2))</f>
        <v>37.5</v>
      </c>
      <c r="L56" s="16"/>
      <c r="M56" s="16">
        <f t="shared" si="23"/>
        <v>93.75</v>
      </c>
      <c r="N56" s="16">
        <f t="shared" si="23"/>
        <v>150</v>
      </c>
      <c r="O56" s="16"/>
      <c r="P56" s="16"/>
      <c r="Q56" s="16"/>
      <c r="R56" s="16"/>
      <c r="S56" s="16"/>
      <c r="T56" s="16">
        <f t="shared" si="19"/>
        <v>23.15</v>
      </c>
      <c r="U56" s="16">
        <f t="shared" si="20"/>
        <v>18.92</v>
      </c>
      <c r="V56" s="16"/>
      <c r="W56" s="16">
        <f t="shared" si="21"/>
        <v>16.79</v>
      </c>
      <c r="X56" s="16"/>
      <c r="Y56" s="16"/>
      <c r="Z56" s="16">
        <f t="shared" si="12"/>
        <v>4.04</v>
      </c>
      <c r="AA56" s="16">
        <f t="shared" si="12"/>
        <v>4.71</v>
      </c>
      <c r="AB56" s="16"/>
      <c r="AC56" s="16"/>
      <c r="AD56" s="16"/>
      <c r="AE56" s="16"/>
      <c r="AF56" s="105"/>
      <c r="AG56" s="106"/>
    </row>
    <row r="57" spans="1:33" s="5" customFormat="1" ht="21.75" customHeight="1">
      <c r="A57" s="12">
        <f t="shared" si="0"/>
        <v>45</v>
      </c>
      <c r="B57" s="13">
        <f t="shared" si="22"/>
        <v>46815</v>
      </c>
      <c r="C57" s="14">
        <v>46846.85</v>
      </c>
      <c r="D57" s="15" t="s">
        <v>30</v>
      </c>
      <c r="E57" s="16">
        <f t="shared" si="18"/>
        <v>31.849999999998545</v>
      </c>
      <c r="F57" s="22">
        <v>5.5</v>
      </c>
      <c r="G57" s="18"/>
      <c r="H57" s="16"/>
      <c r="I57" s="16">
        <f>IF($G57=0,ROUND($E57*$F57,2),ROUND($E57*$F57*$G57,2))</f>
        <v>175.17</v>
      </c>
      <c r="J57" s="16"/>
      <c r="K57" s="16">
        <f>IF($H57=0,ROUND($E57*(K$72/12),2),ROUND($E57*(K$72/12)*$H57,2))</f>
        <v>10.62</v>
      </c>
      <c r="L57" s="16"/>
      <c r="M57" s="16">
        <f t="shared" si="23"/>
        <v>26.54</v>
      </c>
      <c r="N57" s="16">
        <f t="shared" si="23"/>
        <v>42.47</v>
      </c>
      <c r="O57" s="16"/>
      <c r="P57" s="16"/>
      <c r="Q57" s="16"/>
      <c r="R57" s="16"/>
      <c r="S57" s="16"/>
      <c r="T57" s="16">
        <f t="shared" si="19"/>
        <v>4.78</v>
      </c>
      <c r="U57" s="16">
        <f t="shared" si="20"/>
        <v>4.03</v>
      </c>
      <c r="V57" s="16"/>
      <c r="W57" s="16">
        <f t="shared" si="21"/>
        <v>3.44</v>
      </c>
      <c r="X57" s="16"/>
      <c r="Y57" s="16"/>
      <c r="Z57" s="16">
        <f t="shared" si="12"/>
        <v>0.81</v>
      </c>
      <c r="AA57" s="16">
        <f t="shared" si="12"/>
        <v>0.95</v>
      </c>
      <c r="AB57" s="16"/>
      <c r="AC57" s="16"/>
      <c r="AD57" s="16"/>
      <c r="AE57" s="16"/>
      <c r="AF57" s="105"/>
      <c r="AG57" s="106"/>
    </row>
    <row r="58" spans="1:33" s="5" customFormat="1" ht="21.75" customHeight="1">
      <c r="A58" s="12">
        <f t="shared" si="0"/>
        <v>46</v>
      </c>
      <c r="B58" s="13">
        <f t="shared" si="22"/>
        <v>46846.85</v>
      </c>
      <c r="C58" s="14">
        <v>46865</v>
      </c>
      <c r="D58" s="15" t="s">
        <v>30</v>
      </c>
      <c r="E58" s="16">
        <f t="shared" si="18"/>
        <v>18.150000000001455</v>
      </c>
      <c r="F58" s="22">
        <v>5.5</v>
      </c>
      <c r="G58" s="18"/>
      <c r="H58" s="16"/>
      <c r="I58" s="16">
        <f>IF(G58=0,ROUND($E58*$F58,2),ROUND($E58*$F58*$G58,2))</f>
        <v>99.83</v>
      </c>
      <c r="J58" s="16"/>
      <c r="K58" s="16"/>
      <c r="L58" s="16"/>
      <c r="M58" s="16"/>
      <c r="N58" s="16"/>
      <c r="O58" s="16">
        <f>IF($H58=0,ROUND($E58*(O$72/12),2),ROUND($E58*(O$72/12)*$H58,2))</f>
        <v>27.23</v>
      </c>
      <c r="P58" s="16"/>
      <c r="Q58" s="16"/>
      <c r="R58" s="16"/>
      <c r="S58" s="16"/>
      <c r="T58" s="16">
        <f t="shared" si="19"/>
        <v>2.46</v>
      </c>
      <c r="U58" s="16">
        <f t="shared" si="20"/>
        <v>2.35</v>
      </c>
      <c r="V58" s="16"/>
      <c r="W58" s="16">
        <f t="shared" si="21"/>
        <v>1.83</v>
      </c>
      <c r="X58" s="16"/>
      <c r="Y58" s="16"/>
      <c r="Z58" s="16">
        <f>ROUND(((($I58+$J58)*(Z$72/12))/27),2)</f>
        <v>0.46</v>
      </c>
      <c r="AA58" s="16">
        <f>ROUND(((($I58+$J58)*(AA$72/12))/27),2)</f>
        <v>0.54</v>
      </c>
      <c r="AB58" s="16"/>
      <c r="AC58" s="16"/>
      <c r="AD58" s="16">
        <f>IF($H58=0,$E58,ROUND($E58*$H58,2))</f>
        <v>18.150000000001455</v>
      </c>
      <c r="AE58" s="16"/>
      <c r="AF58" s="105"/>
      <c r="AG58" s="106"/>
    </row>
    <row r="59" spans="1:33" s="5" customFormat="1" ht="21.75" customHeight="1">
      <c r="A59" s="12">
        <f t="shared" si="0"/>
        <v>47</v>
      </c>
      <c r="B59" s="13">
        <f t="shared" si="22"/>
        <v>46865</v>
      </c>
      <c r="C59" s="14">
        <v>46923.83</v>
      </c>
      <c r="D59" s="15" t="s">
        <v>30</v>
      </c>
      <c r="E59" s="16">
        <f t="shared" si="18"/>
        <v>58.830000000001746</v>
      </c>
      <c r="F59" s="22">
        <v>5.5</v>
      </c>
      <c r="G59" s="18"/>
      <c r="H59" s="16"/>
      <c r="I59" s="16">
        <f>IF(G59=0,ROUND($E59*$F59,2),ROUND($E59*$F59*$G59,2))</f>
        <v>323.57</v>
      </c>
      <c r="J59" s="16"/>
      <c r="K59" s="16"/>
      <c r="L59" s="16">
        <f aca="true" t="shared" si="24" ref="L59:N60">IF($H59=0,ROUND($E59*(L$72/12),2),ROUND($E59*(L$72/12)*$H59,2))</f>
        <v>29.42</v>
      </c>
      <c r="M59" s="16">
        <f t="shared" si="24"/>
        <v>49.03</v>
      </c>
      <c r="N59" s="16">
        <f t="shared" si="24"/>
        <v>78.44</v>
      </c>
      <c r="O59" s="16"/>
      <c r="P59" s="16">
        <f>IF($H59=0,ROUND($E59*(P$72/12),2),ROUND($E59*(P$72/12)*$H59,2))</f>
        <v>98.05</v>
      </c>
      <c r="Q59" s="16">
        <f>IF($H59=0,ROUND($E59*(Q$72/12),2),ROUND($E59*(Q$72/12)*$H59,2))</f>
        <v>107.86</v>
      </c>
      <c r="R59" s="16"/>
      <c r="S59" s="16"/>
      <c r="T59" s="16">
        <f>ROUND(((($I59+$J59+$P59)*(T$72/12)+($M59)*(T$73/12)+($N59)*(T$73/12))/27),2)</f>
        <v>11.98</v>
      </c>
      <c r="U59" s="16">
        <f>ROUND(((($I59+$J59+$P59+$Q59)*(U$72/12))/27),2)</f>
        <v>9.81</v>
      </c>
      <c r="V59" s="16"/>
      <c r="W59" s="16">
        <f>ROUND(((($I59+$J59+$L59+$P59)/9)*$W$72)+((($I59+$J59+$M59+$P59)/9)*$W$72)+((($I59+$J59+$N59+$P59)/9)*$W$72),2)</f>
        <v>8.69</v>
      </c>
      <c r="X59" s="16"/>
      <c r="Y59" s="16"/>
      <c r="Z59" s="16">
        <f>ROUND(((($I59+$J59)*(Z$72/12))/27),2)</f>
        <v>1.5</v>
      </c>
      <c r="AA59" s="16">
        <f>ROUND(((($I59+$J59+$P59+$L59)*(AA$72/12))/27),2)</f>
        <v>2.44</v>
      </c>
      <c r="AB59" s="16"/>
      <c r="AC59" s="16"/>
      <c r="AD59" s="16"/>
      <c r="AE59" s="16"/>
      <c r="AF59" s="105"/>
      <c r="AG59" s="106"/>
    </row>
    <row r="60" spans="1:33" s="24" customFormat="1" ht="21.75" customHeight="1">
      <c r="A60" s="12">
        <f t="shared" si="0"/>
        <v>48</v>
      </c>
      <c r="B60" s="13">
        <f t="shared" si="22"/>
        <v>46923.83</v>
      </c>
      <c r="C60" s="14">
        <v>46946.33</v>
      </c>
      <c r="D60" s="15" t="s">
        <v>30</v>
      </c>
      <c r="E60" s="16">
        <f t="shared" si="18"/>
        <v>22.5</v>
      </c>
      <c r="F60" s="17">
        <f>ROUND(AVERAGE(10,5.5),2)</f>
        <v>7.75</v>
      </c>
      <c r="G60" s="18"/>
      <c r="H60" s="16"/>
      <c r="I60" s="16">
        <f>IF(G60=0,ROUND($E60*$F60,2),ROUND($E60*$F60*$G60,2))</f>
        <v>174.38</v>
      </c>
      <c r="J60" s="16"/>
      <c r="K60" s="16">
        <f>IF($H60=0,ROUND($E60*(K$72/12),2),ROUND($E60*(K$72/12)*$H60,2))</f>
        <v>7.5</v>
      </c>
      <c r="L60" s="16"/>
      <c r="M60" s="16">
        <f t="shared" si="24"/>
        <v>18.75</v>
      </c>
      <c r="N60" s="16">
        <f t="shared" si="24"/>
        <v>30</v>
      </c>
      <c r="O60" s="16"/>
      <c r="P60" s="16"/>
      <c r="Q60" s="16"/>
      <c r="R60" s="16"/>
      <c r="S60" s="16"/>
      <c r="T60" s="16">
        <f>ROUND(((($I60+$J60)*(T$72/12)+($K60)*(T$73/12)+($M60)*(T$73/12))/27),2)</f>
        <v>4.63</v>
      </c>
      <c r="U60" s="16">
        <f>ROUND(((($I60+$J60+$N60+$O60+$P60+$Q60)*(U$72/12))/27),2)</f>
        <v>3.78</v>
      </c>
      <c r="V60" s="16"/>
      <c r="W60" s="16">
        <f>ROUND(((($I60+$J60)/9)*$W$72)+((($I60+$J60+$K60)/9)*$W$72)+((($I60+$J60+$M60)/9)*$W$72),2)</f>
        <v>3.36</v>
      </c>
      <c r="X60" s="16"/>
      <c r="Y60" s="16"/>
      <c r="Z60" s="16">
        <f>ROUND(((($I60+$J60)*(Z$72/12))/27),2)</f>
        <v>0.81</v>
      </c>
      <c r="AA60" s="16">
        <f>ROUND(((($I60+$J60)*(AA$72/12))/27),2)</f>
        <v>0.94</v>
      </c>
      <c r="AB60" s="16"/>
      <c r="AC60" s="16"/>
      <c r="AD60" s="16"/>
      <c r="AE60" s="16"/>
      <c r="AF60" s="105"/>
      <c r="AG60" s="106"/>
    </row>
    <row r="61" spans="1:33" s="24" customFormat="1" ht="21.75" customHeight="1">
      <c r="A61" s="12">
        <f t="shared" si="0"/>
        <v>49</v>
      </c>
      <c r="B61" s="13"/>
      <c r="C61" s="14"/>
      <c r="D61" s="15"/>
      <c r="E61" s="16"/>
      <c r="F61" s="17"/>
      <c r="G61" s="18"/>
      <c r="H61" s="16"/>
      <c r="I61" s="17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05"/>
      <c r="AG61" s="106"/>
    </row>
    <row r="62" spans="1:33" s="24" customFormat="1" ht="21.75" customHeight="1">
      <c r="A62" s="12">
        <f t="shared" si="0"/>
        <v>50</v>
      </c>
      <c r="B62" s="13"/>
      <c r="C62" s="14"/>
      <c r="D62" s="15"/>
      <c r="E62" s="16"/>
      <c r="F62" s="17"/>
      <c r="G62" s="18"/>
      <c r="H62" s="16"/>
      <c r="I62" s="52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05"/>
      <c r="AG62" s="106"/>
    </row>
    <row r="63" spans="1:33" s="24" customFormat="1" ht="21.75" customHeight="1">
      <c r="A63" s="12">
        <f t="shared" si="0"/>
        <v>51</v>
      </c>
      <c r="B63" s="13"/>
      <c r="C63" s="14"/>
      <c r="D63" s="15"/>
      <c r="E63" s="16"/>
      <c r="F63" s="17"/>
      <c r="G63" s="18"/>
      <c r="H63" s="16"/>
      <c r="I63" s="52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05"/>
      <c r="AG63" s="106"/>
    </row>
    <row r="64" spans="1:33" s="24" customFormat="1" ht="21.75" customHeight="1">
      <c r="A64" s="12">
        <f t="shared" si="0"/>
        <v>52</v>
      </c>
      <c r="B64" s="13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12"/>
      <c r="AG64" s="106"/>
    </row>
    <row r="65" spans="1:33" s="24" customFormat="1" ht="21.75" customHeight="1">
      <c r="A65" s="12">
        <f t="shared" si="0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12"/>
      <c r="AG65" s="106"/>
    </row>
    <row r="66" spans="1:33" s="24" customFormat="1" ht="21.75" customHeight="1" thickBot="1">
      <c r="A66" s="12">
        <f t="shared" si="0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13"/>
      <c r="AG66" s="108"/>
    </row>
    <row r="67" spans="2:33" s="25" customFormat="1" ht="46.5" customHeight="1">
      <c r="B67" s="93" t="s">
        <v>8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5"/>
      <c r="S67" s="110" t="str">
        <f>IF(SUM(S13:S66)=0," ",ROUNDUP(SUM(S13:S66),0))</f>
        <v> </v>
      </c>
      <c r="T67" s="110">
        <f aca="true" t="shared" si="25" ref="T67:AD67">IF(SUM(T13:T66)=0," ",ROUNDUP(SUM(T13:T66),0))</f>
        <v>14388</v>
      </c>
      <c r="U67" s="110">
        <f>IF(SUM(U13:U66)=0," ",ROUNDUP(SUM(U13:U66),0))</f>
        <v>10900</v>
      </c>
      <c r="V67" s="110" t="str">
        <f t="shared" si="25"/>
        <v> </v>
      </c>
      <c r="W67" s="110">
        <f t="shared" si="25"/>
        <v>10656</v>
      </c>
      <c r="X67" s="110" t="str">
        <f t="shared" si="25"/>
        <v> </v>
      </c>
      <c r="Y67" s="110" t="str">
        <f t="shared" si="25"/>
        <v> </v>
      </c>
      <c r="Z67" s="110">
        <f t="shared" si="25"/>
        <v>2676</v>
      </c>
      <c r="AA67" s="110">
        <f t="shared" si="25"/>
        <v>3124</v>
      </c>
      <c r="AB67" s="110">
        <f t="shared" si="25"/>
        <v>5012</v>
      </c>
      <c r="AC67" s="110" t="str">
        <f t="shared" si="25"/>
        <v> </v>
      </c>
      <c r="AD67" s="110">
        <f t="shared" si="25"/>
        <v>77</v>
      </c>
      <c r="AE67" s="110" t="str">
        <f>IF(SUM(AE13:AE66)=0," ",ROUNDUP(SUM(AE13:AE66),0))</f>
        <v> </v>
      </c>
      <c r="AF67" s="120">
        <v>2</v>
      </c>
      <c r="AG67" s="121"/>
    </row>
    <row r="68" spans="2:33" s="25" customFormat="1" ht="46.5" customHeight="1" thickBot="1"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8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4">
        <v>15</v>
      </c>
      <c r="AG68" s="115"/>
    </row>
    <row r="69" spans="1:34" ht="36" customHeight="1">
      <c r="A69" s="26"/>
      <c r="B69" s="27"/>
      <c r="C69" s="27"/>
      <c r="D69" s="27"/>
      <c r="E69" s="27"/>
      <c r="F69" s="27"/>
      <c r="G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U69" s="27"/>
      <c r="V69" s="27"/>
      <c r="W69" s="1"/>
      <c r="X69" s="27"/>
      <c r="Y69" s="27"/>
      <c r="Z69" s="27"/>
      <c r="AA69" s="27"/>
      <c r="AB69" s="27"/>
      <c r="AE69" s="27"/>
      <c r="AF69" s="27"/>
      <c r="AG69" s="27"/>
      <c r="AH69" s="28"/>
    </row>
    <row r="70" spans="2:33" ht="12.75">
      <c r="B70" s="27"/>
      <c r="C70" s="27"/>
      <c r="D70" s="27"/>
      <c r="E70" s="27"/>
      <c r="F70" s="27"/>
      <c r="G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U70" s="27"/>
      <c r="V70" s="27"/>
      <c r="W70" s="1"/>
      <c r="X70" s="27"/>
      <c r="Y70" s="27"/>
      <c r="Z70" s="27"/>
      <c r="AA70" s="27"/>
      <c r="AB70" s="27"/>
      <c r="AE70" s="27"/>
      <c r="AF70" s="27"/>
      <c r="AG70" s="27"/>
    </row>
    <row r="71" spans="2:33" ht="12.75">
      <c r="B71" s="27"/>
      <c r="C71" s="27"/>
      <c r="D71" s="27"/>
      <c r="E71" s="27"/>
      <c r="F71" s="27"/>
      <c r="G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U71" s="27"/>
      <c r="V71" s="27"/>
      <c r="W71" s="1"/>
      <c r="X71" s="27"/>
      <c r="Y71" s="27"/>
      <c r="Z71" s="27"/>
      <c r="AA71" s="27"/>
      <c r="AB71" s="27"/>
      <c r="AE71" s="27"/>
      <c r="AF71" s="27"/>
      <c r="AG71" s="27"/>
    </row>
    <row r="72" spans="2:33" ht="15.75">
      <c r="B72" s="60" t="s">
        <v>34</v>
      </c>
      <c r="C72" s="60"/>
      <c r="D72" s="60"/>
      <c r="E72" s="60"/>
      <c r="F72" s="60"/>
      <c r="G72" s="60"/>
      <c r="I72" s="42"/>
      <c r="J72" s="42"/>
      <c r="K72" s="42">
        <v>4</v>
      </c>
      <c r="L72" s="42">
        <v>6</v>
      </c>
      <c r="M72" s="42">
        <v>10</v>
      </c>
      <c r="N72" s="42">
        <v>16</v>
      </c>
      <c r="O72" s="42">
        <v>18</v>
      </c>
      <c r="P72" s="42">
        <v>20</v>
      </c>
      <c r="Q72" s="42">
        <v>22</v>
      </c>
      <c r="R72" s="42">
        <v>22.875</v>
      </c>
      <c r="S72" s="42"/>
      <c r="T72" s="42">
        <v>8</v>
      </c>
      <c r="U72" s="43">
        <v>6</v>
      </c>
      <c r="V72" s="44"/>
      <c r="W72" s="44">
        <v>0.055</v>
      </c>
      <c r="X72" s="44"/>
      <c r="Y72" s="43"/>
      <c r="Z72" s="43">
        <v>1.5</v>
      </c>
      <c r="AA72" s="43">
        <v>1.75</v>
      </c>
      <c r="AB72" s="43"/>
      <c r="AC72" s="43"/>
      <c r="AD72" s="43"/>
      <c r="AE72" s="44"/>
      <c r="AF72" s="27"/>
      <c r="AG72" s="27"/>
    </row>
    <row r="73" spans="2:33" ht="15">
      <c r="B73" s="27"/>
      <c r="C73" s="27"/>
      <c r="D73" s="27"/>
      <c r="E73" s="27"/>
      <c r="F73" s="27"/>
      <c r="G73" s="27"/>
      <c r="I73" s="27"/>
      <c r="J73" s="27"/>
      <c r="K73" s="27"/>
      <c r="L73" s="27"/>
      <c r="M73" s="27"/>
      <c r="N73" s="27"/>
      <c r="O73" s="27"/>
      <c r="P73" s="27"/>
      <c r="Q73" s="27"/>
      <c r="R73" s="23"/>
      <c r="S73" s="23"/>
      <c r="T73" s="23">
        <f>T72/2</f>
        <v>4</v>
      </c>
      <c r="V73" s="42"/>
      <c r="W73" s="1"/>
      <c r="X73" s="45"/>
      <c r="Y73" s="27"/>
      <c r="Z73" s="27"/>
      <c r="AA73" s="27"/>
      <c r="AB73" s="27"/>
      <c r="AE73" s="27"/>
      <c r="AF73" s="27"/>
      <c r="AG73" s="27"/>
    </row>
    <row r="74" spans="2:33" ht="15">
      <c r="B74" s="27"/>
      <c r="C74" s="29"/>
      <c r="D74" s="27"/>
      <c r="E74" s="27"/>
      <c r="F74" s="27"/>
      <c r="G74" s="27"/>
      <c r="H74" s="30"/>
      <c r="I74" s="27"/>
      <c r="J74" s="27"/>
      <c r="K74" s="92"/>
      <c r="L74" s="92"/>
      <c r="M74" s="92"/>
      <c r="N74" s="92"/>
      <c r="O74" s="92"/>
      <c r="P74" s="92"/>
      <c r="Q74" s="92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27"/>
      <c r="AG74" s="27"/>
    </row>
  </sheetData>
  <sheetProtection/>
  <mergeCells count="55">
    <mergeCell ref="V67:V68"/>
    <mergeCell ref="AF67:AG67"/>
    <mergeCell ref="AE67:AE68"/>
    <mergeCell ref="Y67:Y68"/>
    <mergeCell ref="Z67:Z68"/>
    <mergeCell ref="AA67:AA68"/>
    <mergeCell ref="AF51:AG66"/>
    <mergeCell ref="AF68:AG68"/>
    <mergeCell ref="AB67:AB68"/>
    <mergeCell ref="AC67:AC68"/>
    <mergeCell ref="AD67:AD68"/>
    <mergeCell ref="AA4:AA11"/>
    <mergeCell ref="AE4:AE11"/>
    <mergeCell ref="AF3:AF5"/>
    <mergeCell ref="AG3:AG5"/>
    <mergeCell ref="W4:W11"/>
    <mergeCell ref="X4:X11"/>
    <mergeCell ref="Y4:Y11"/>
    <mergeCell ref="V4:V11"/>
    <mergeCell ref="S67:S68"/>
    <mergeCell ref="T67:T68"/>
    <mergeCell ref="W67:W68"/>
    <mergeCell ref="X67:X68"/>
    <mergeCell ref="U67:U68"/>
    <mergeCell ref="T4:T11"/>
    <mergeCell ref="B67:R68"/>
    <mergeCell ref="H3:H11"/>
    <mergeCell ref="B3:C11"/>
    <mergeCell ref="D3:D11"/>
    <mergeCell ref="U4:U11"/>
    <mergeCell ref="AF6:AG50"/>
    <mergeCell ref="AD4:AD11"/>
    <mergeCell ref="AB4:AB11"/>
    <mergeCell ref="AC4:AC11"/>
    <mergeCell ref="Z4:Z11"/>
    <mergeCell ref="G3:G11"/>
    <mergeCell ref="I3:I11"/>
    <mergeCell ref="P3:P11"/>
    <mergeCell ref="O3:O11"/>
    <mergeCell ref="K74:Q74"/>
    <mergeCell ref="N3:N11"/>
    <mergeCell ref="M3:M11"/>
    <mergeCell ref="L3:L11"/>
    <mergeCell ref="K3:K11"/>
    <mergeCell ref="J3:J11"/>
    <mergeCell ref="B14:I14"/>
    <mergeCell ref="F52:I52"/>
    <mergeCell ref="F50:I50"/>
    <mergeCell ref="F47:I47"/>
    <mergeCell ref="F45:I45"/>
    <mergeCell ref="S4:S11"/>
    <mergeCell ref="Q3:Q11"/>
    <mergeCell ref="R3:R11"/>
    <mergeCell ref="E3:E11"/>
    <mergeCell ref="F3:F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1"/>
  <sheetViews>
    <sheetView view="pageBreakPreview" zoomScale="50" zoomScaleNormal="25" zoomScaleSheetLayoutView="50" workbookViewId="0" topLeftCell="A1">
      <selection activeCell="AA4" sqref="AA4:AA11"/>
    </sheetView>
  </sheetViews>
  <sheetFormatPr defaultColWidth="9.140625" defaultRowHeight="12.75"/>
  <cols>
    <col min="1" max="3" width="24.7109375" style="1" customWidth="1"/>
    <col min="4" max="22" width="15.7109375" style="1" customWidth="1"/>
    <col min="23" max="23" width="15.7109375" style="46" customWidth="1"/>
    <col min="24" max="31" width="15.7109375" style="1" customWidth="1"/>
    <col min="32" max="34" width="6.7109375" style="1" customWidth="1"/>
    <col min="35" max="16384" width="9.140625" style="1" customWidth="1"/>
  </cols>
  <sheetData>
    <row r="1" spans="8:27" ht="12.75">
      <c r="H1" s="48"/>
      <c r="S1" s="48"/>
      <c r="T1" s="48"/>
      <c r="U1" s="48"/>
      <c r="V1" s="48"/>
      <c r="W1" s="49"/>
      <c r="X1" s="48"/>
      <c r="Z1" s="48"/>
      <c r="AA1" s="48"/>
    </row>
    <row r="2" spans="1:34" s="4" customFormat="1" ht="36" customHeight="1" thickBot="1">
      <c r="A2" s="2"/>
      <c r="B2" s="31" t="s">
        <v>14</v>
      </c>
      <c r="C2" s="32"/>
      <c r="D2" s="33"/>
      <c r="E2" s="33"/>
      <c r="F2" s="33"/>
      <c r="G2" s="33"/>
      <c r="H2" s="50"/>
      <c r="I2" s="34"/>
      <c r="J2" s="33"/>
      <c r="K2" s="33"/>
      <c r="L2" s="33"/>
      <c r="M2" s="33"/>
      <c r="N2" s="33"/>
      <c r="O2" s="33"/>
      <c r="P2" s="33"/>
      <c r="Q2" s="34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47"/>
      <c r="AH2" s="3"/>
    </row>
    <row r="3" spans="2:34" s="5" customFormat="1" ht="21.75" customHeight="1">
      <c r="B3" s="93" t="s">
        <v>0</v>
      </c>
      <c r="C3" s="95"/>
      <c r="D3" s="89" t="s">
        <v>3</v>
      </c>
      <c r="E3" s="89" t="s">
        <v>4</v>
      </c>
      <c r="F3" s="89" t="s">
        <v>5</v>
      </c>
      <c r="G3" s="86" t="s">
        <v>12</v>
      </c>
      <c r="H3" s="86" t="s">
        <v>94</v>
      </c>
      <c r="I3" s="89" t="s">
        <v>6</v>
      </c>
      <c r="J3" s="86" t="s">
        <v>10</v>
      </c>
      <c r="K3" s="86" t="s">
        <v>15</v>
      </c>
      <c r="L3" s="86" t="s">
        <v>16</v>
      </c>
      <c r="M3" s="86" t="s">
        <v>17</v>
      </c>
      <c r="N3" s="86" t="s">
        <v>18</v>
      </c>
      <c r="O3" s="86" t="s">
        <v>19</v>
      </c>
      <c r="P3" s="86" t="s">
        <v>20</v>
      </c>
      <c r="Q3" s="86" t="s">
        <v>21</v>
      </c>
      <c r="R3" s="86" t="s">
        <v>84</v>
      </c>
      <c r="S3" s="35"/>
      <c r="T3" s="35">
        <v>302</v>
      </c>
      <c r="U3" s="35">
        <v>304</v>
      </c>
      <c r="V3" s="35"/>
      <c r="W3" s="35">
        <v>407</v>
      </c>
      <c r="X3" s="35"/>
      <c r="Y3" s="35"/>
      <c r="Z3" s="35">
        <v>442</v>
      </c>
      <c r="AA3" s="35">
        <v>442</v>
      </c>
      <c r="AB3" s="35">
        <v>442</v>
      </c>
      <c r="AC3" s="35"/>
      <c r="AD3" s="36">
        <v>609</v>
      </c>
      <c r="AE3" s="36"/>
      <c r="AF3" s="116" t="s">
        <v>11</v>
      </c>
      <c r="AG3" s="116" t="s">
        <v>13</v>
      </c>
      <c r="AH3" s="6"/>
    </row>
    <row r="4" spans="2:34" s="5" customFormat="1" ht="27.75" customHeight="1">
      <c r="B4" s="99"/>
      <c r="C4" s="100"/>
      <c r="D4" s="90"/>
      <c r="E4" s="90"/>
      <c r="F4" s="90"/>
      <c r="G4" s="87"/>
      <c r="H4" s="87"/>
      <c r="I4" s="90"/>
      <c r="J4" s="122"/>
      <c r="K4" s="122"/>
      <c r="L4" s="87"/>
      <c r="M4" s="87"/>
      <c r="N4" s="87"/>
      <c r="O4" s="87"/>
      <c r="P4" s="87"/>
      <c r="Q4" s="87"/>
      <c r="R4" s="87"/>
      <c r="S4" s="83"/>
      <c r="T4" s="83" t="s">
        <v>22</v>
      </c>
      <c r="U4" s="83" t="s">
        <v>96</v>
      </c>
      <c r="V4" s="83"/>
      <c r="W4" s="83" t="s">
        <v>82</v>
      </c>
      <c r="X4" s="83"/>
      <c r="Y4" s="109"/>
      <c r="Z4" s="83" t="s">
        <v>83</v>
      </c>
      <c r="AA4" s="109" t="s">
        <v>97</v>
      </c>
      <c r="AB4" s="109" t="s">
        <v>23</v>
      </c>
      <c r="AC4" s="83"/>
      <c r="AD4" s="109" t="s">
        <v>95</v>
      </c>
      <c r="AE4" s="109"/>
      <c r="AF4" s="117"/>
      <c r="AG4" s="119"/>
      <c r="AH4" s="7"/>
    </row>
    <row r="5" spans="2:33" s="5" customFormat="1" ht="27.75" customHeight="1" thickBot="1">
      <c r="B5" s="99"/>
      <c r="C5" s="100"/>
      <c r="D5" s="90"/>
      <c r="E5" s="90"/>
      <c r="F5" s="90"/>
      <c r="G5" s="87"/>
      <c r="H5" s="87"/>
      <c r="I5" s="90"/>
      <c r="J5" s="122"/>
      <c r="K5" s="122"/>
      <c r="L5" s="87"/>
      <c r="M5" s="87"/>
      <c r="N5" s="87"/>
      <c r="O5" s="87"/>
      <c r="P5" s="87"/>
      <c r="Q5" s="87"/>
      <c r="R5" s="87"/>
      <c r="S5" s="84"/>
      <c r="T5" s="84"/>
      <c r="U5" s="84"/>
      <c r="V5" s="84"/>
      <c r="W5" s="84"/>
      <c r="X5" s="84"/>
      <c r="Y5" s="87"/>
      <c r="Z5" s="84"/>
      <c r="AA5" s="87"/>
      <c r="AB5" s="87"/>
      <c r="AC5" s="84"/>
      <c r="AD5" s="87"/>
      <c r="AE5" s="87"/>
      <c r="AF5" s="118"/>
      <c r="AG5" s="119"/>
    </row>
    <row r="6" spans="2:33" s="5" customFormat="1" ht="27.75" customHeight="1">
      <c r="B6" s="99"/>
      <c r="C6" s="100"/>
      <c r="D6" s="90"/>
      <c r="E6" s="90"/>
      <c r="F6" s="90"/>
      <c r="G6" s="87"/>
      <c r="H6" s="87"/>
      <c r="I6" s="90"/>
      <c r="J6" s="122"/>
      <c r="K6" s="122"/>
      <c r="L6" s="87"/>
      <c r="M6" s="87"/>
      <c r="N6" s="87"/>
      <c r="O6" s="87"/>
      <c r="P6" s="87"/>
      <c r="Q6" s="87"/>
      <c r="R6" s="87"/>
      <c r="S6" s="84"/>
      <c r="T6" s="84"/>
      <c r="U6" s="84"/>
      <c r="V6" s="84"/>
      <c r="W6" s="84"/>
      <c r="X6" s="84"/>
      <c r="Y6" s="87"/>
      <c r="Z6" s="84"/>
      <c r="AA6" s="87"/>
      <c r="AB6" s="87"/>
      <c r="AC6" s="84"/>
      <c r="AD6" s="87"/>
      <c r="AE6" s="87"/>
      <c r="AF6" s="103" t="s">
        <v>81</v>
      </c>
      <c r="AG6" s="104"/>
    </row>
    <row r="7" spans="2:33" s="5" customFormat="1" ht="27.75" customHeight="1">
      <c r="B7" s="99"/>
      <c r="C7" s="100"/>
      <c r="D7" s="90"/>
      <c r="E7" s="90"/>
      <c r="F7" s="90"/>
      <c r="G7" s="87"/>
      <c r="H7" s="87"/>
      <c r="I7" s="90"/>
      <c r="J7" s="122"/>
      <c r="K7" s="122"/>
      <c r="L7" s="87"/>
      <c r="M7" s="87"/>
      <c r="N7" s="87"/>
      <c r="O7" s="87"/>
      <c r="P7" s="87"/>
      <c r="Q7" s="87"/>
      <c r="R7" s="87"/>
      <c r="S7" s="84"/>
      <c r="T7" s="84"/>
      <c r="U7" s="84"/>
      <c r="V7" s="84"/>
      <c r="W7" s="84"/>
      <c r="X7" s="84"/>
      <c r="Y7" s="87"/>
      <c r="Z7" s="84"/>
      <c r="AA7" s="87"/>
      <c r="AB7" s="87"/>
      <c r="AC7" s="84"/>
      <c r="AD7" s="87"/>
      <c r="AE7" s="87"/>
      <c r="AF7" s="105"/>
      <c r="AG7" s="106"/>
    </row>
    <row r="8" spans="2:33" s="5" customFormat="1" ht="27.75" customHeight="1">
      <c r="B8" s="99"/>
      <c r="C8" s="100"/>
      <c r="D8" s="90"/>
      <c r="E8" s="90"/>
      <c r="F8" s="90"/>
      <c r="G8" s="87"/>
      <c r="H8" s="87"/>
      <c r="I8" s="90"/>
      <c r="J8" s="122"/>
      <c r="K8" s="122"/>
      <c r="L8" s="87"/>
      <c r="M8" s="87"/>
      <c r="N8" s="87"/>
      <c r="O8" s="87"/>
      <c r="P8" s="87"/>
      <c r="Q8" s="87"/>
      <c r="R8" s="87"/>
      <c r="S8" s="84"/>
      <c r="T8" s="84"/>
      <c r="U8" s="84"/>
      <c r="V8" s="84"/>
      <c r="W8" s="84"/>
      <c r="X8" s="84"/>
      <c r="Y8" s="87"/>
      <c r="Z8" s="84"/>
      <c r="AA8" s="87"/>
      <c r="AB8" s="87"/>
      <c r="AC8" s="84"/>
      <c r="AD8" s="87"/>
      <c r="AE8" s="87"/>
      <c r="AF8" s="105"/>
      <c r="AG8" s="106"/>
    </row>
    <row r="9" spans="2:33" s="5" customFormat="1" ht="27.75" customHeight="1">
      <c r="B9" s="99"/>
      <c r="C9" s="100"/>
      <c r="D9" s="90"/>
      <c r="E9" s="90"/>
      <c r="F9" s="90"/>
      <c r="G9" s="87"/>
      <c r="H9" s="87"/>
      <c r="I9" s="90"/>
      <c r="J9" s="122"/>
      <c r="K9" s="122"/>
      <c r="L9" s="87"/>
      <c r="M9" s="87"/>
      <c r="N9" s="87"/>
      <c r="O9" s="87"/>
      <c r="P9" s="87"/>
      <c r="Q9" s="87"/>
      <c r="R9" s="87"/>
      <c r="S9" s="84"/>
      <c r="T9" s="84"/>
      <c r="U9" s="84"/>
      <c r="V9" s="84"/>
      <c r="W9" s="84"/>
      <c r="X9" s="84"/>
      <c r="Y9" s="87"/>
      <c r="Z9" s="84"/>
      <c r="AA9" s="87"/>
      <c r="AB9" s="87"/>
      <c r="AC9" s="84"/>
      <c r="AD9" s="87"/>
      <c r="AE9" s="87"/>
      <c r="AF9" s="105"/>
      <c r="AG9" s="106"/>
    </row>
    <row r="10" spans="2:33" s="5" customFormat="1" ht="27.75" customHeight="1">
      <c r="B10" s="99"/>
      <c r="C10" s="100"/>
      <c r="D10" s="90"/>
      <c r="E10" s="90"/>
      <c r="F10" s="90"/>
      <c r="G10" s="87"/>
      <c r="H10" s="87"/>
      <c r="I10" s="90"/>
      <c r="J10" s="122"/>
      <c r="K10" s="122"/>
      <c r="L10" s="87"/>
      <c r="M10" s="87"/>
      <c r="N10" s="87"/>
      <c r="O10" s="87"/>
      <c r="P10" s="87"/>
      <c r="Q10" s="87"/>
      <c r="R10" s="87"/>
      <c r="S10" s="84"/>
      <c r="T10" s="84"/>
      <c r="U10" s="84"/>
      <c r="V10" s="84"/>
      <c r="W10" s="84"/>
      <c r="X10" s="84"/>
      <c r="Y10" s="87"/>
      <c r="Z10" s="84"/>
      <c r="AA10" s="87"/>
      <c r="AB10" s="87"/>
      <c r="AC10" s="84"/>
      <c r="AD10" s="87"/>
      <c r="AE10" s="87"/>
      <c r="AF10" s="105"/>
      <c r="AG10" s="106"/>
    </row>
    <row r="11" spans="2:33" s="8" customFormat="1" ht="27.75" customHeight="1">
      <c r="B11" s="101"/>
      <c r="C11" s="102"/>
      <c r="D11" s="91"/>
      <c r="E11" s="91"/>
      <c r="F11" s="91"/>
      <c r="G11" s="88"/>
      <c r="H11" s="88"/>
      <c r="I11" s="91"/>
      <c r="J11" s="123"/>
      <c r="K11" s="123"/>
      <c r="L11" s="88"/>
      <c r="M11" s="88"/>
      <c r="N11" s="88"/>
      <c r="O11" s="88"/>
      <c r="P11" s="88"/>
      <c r="Q11" s="88"/>
      <c r="R11" s="88"/>
      <c r="S11" s="85"/>
      <c r="T11" s="85"/>
      <c r="U11" s="85"/>
      <c r="V11" s="85"/>
      <c r="W11" s="85"/>
      <c r="X11" s="85"/>
      <c r="Y11" s="88"/>
      <c r="Z11" s="85"/>
      <c r="AA11" s="88"/>
      <c r="AB11" s="88"/>
      <c r="AC11" s="85"/>
      <c r="AD11" s="88"/>
      <c r="AE11" s="88"/>
      <c r="AF11" s="105"/>
      <c r="AG11" s="106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11"/>
      <c r="I12" s="11" t="s">
        <v>9</v>
      </c>
      <c r="J12" s="11" t="s">
        <v>9</v>
      </c>
      <c r="K12" s="11" t="s">
        <v>9</v>
      </c>
      <c r="L12" s="11" t="s">
        <v>9</v>
      </c>
      <c r="M12" s="11" t="s">
        <v>9</v>
      </c>
      <c r="N12" s="11" t="s">
        <v>9</v>
      </c>
      <c r="O12" s="11" t="s">
        <v>9</v>
      </c>
      <c r="P12" s="11" t="s">
        <v>9</v>
      </c>
      <c r="Q12" s="11" t="s">
        <v>9</v>
      </c>
      <c r="R12" s="11" t="s">
        <v>9</v>
      </c>
      <c r="S12" s="37"/>
      <c r="T12" s="37" t="s">
        <v>24</v>
      </c>
      <c r="U12" s="37" t="s">
        <v>24</v>
      </c>
      <c r="V12" s="37"/>
      <c r="W12" s="37" t="s">
        <v>25</v>
      </c>
      <c r="X12" s="37"/>
      <c r="Y12" s="37"/>
      <c r="Z12" s="37" t="s">
        <v>24</v>
      </c>
      <c r="AA12" s="37" t="s">
        <v>24</v>
      </c>
      <c r="AB12" s="37" t="s">
        <v>24</v>
      </c>
      <c r="AC12" s="37"/>
      <c r="AD12" s="11" t="s">
        <v>7</v>
      </c>
      <c r="AE12" s="11"/>
      <c r="AF12" s="105"/>
      <c r="AG12" s="106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05"/>
      <c r="AG13" s="106"/>
    </row>
    <row r="14" spans="1:33" s="5" customFormat="1" ht="21.75" customHeight="1">
      <c r="A14" s="12">
        <f>A13+1</f>
        <v>2</v>
      </c>
      <c r="B14" s="77" t="s">
        <v>79</v>
      </c>
      <c r="C14" s="78"/>
      <c r="D14" s="78"/>
      <c r="E14" s="78"/>
      <c r="F14" s="78"/>
      <c r="G14" s="78"/>
      <c r="H14" s="78"/>
      <c r="I14" s="79"/>
      <c r="J14" s="16"/>
      <c r="K14" s="16"/>
      <c r="L14" s="15"/>
      <c r="M14" s="15"/>
      <c r="N14" s="15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05"/>
      <c r="AG14" s="106"/>
    </row>
    <row r="15" spans="1:33" s="5" customFormat="1" ht="21.75" customHeight="1">
      <c r="A15" s="12">
        <f>A14+1</f>
        <v>3</v>
      </c>
      <c r="B15" s="19" t="s">
        <v>35</v>
      </c>
      <c r="C15" s="20"/>
      <c r="D15" s="15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05"/>
      <c r="AG15" s="106"/>
    </row>
    <row r="16" spans="1:33" s="5" customFormat="1" ht="21.75" customHeight="1">
      <c r="A16" s="12">
        <f aca="true" t="shared" si="0" ref="A16:A66">A15+1</f>
        <v>4</v>
      </c>
      <c r="B16" s="13">
        <v>58123.61</v>
      </c>
      <c r="C16" s="14">
        <v>58150</v>
      </c>
      <c r="D16" s="15" t="s">
        <v>33</v>
      </c>
      <c r="E16" s="16">
        <f>C16-B16</f>
        <v>26.389999999999418</v>
      </c>
      <c r="F16" s="80" t="s">
        <v>31</v>
      </c>
      <c r="G16" s="81"/>
      <c r="H16" s="81"/>
      <c r="I16" s="82"/>
      <c r="J16" s="16">
        <v>104.76</v>
      </c>
      <c r="K16" s="16">
        <f>IF($H16=0,ROUND($E16*(K$72/12),2),ROUND($E16*(K$72/12)*$H16,2))</f>
        <v>8.8</v>
      </c>
      <c r="L16" s="16"/>
      <c r="M16" s="16">
        <f aca="true" t="shared" si="1" ref="M16:N19">IF($H16=0,ROUND($E16*(M$72/12),2),ROUND($E16*(M$72/12)*$H16,2))</f>
        <v>21.99</v>
      </c>
      <c r="N16" s="16">
        <f t="shared" si="1"/>
        <v>35.19</v>
      </c>
      <c r="O16" s="16"/>
      <c r="P16" s="16"/>
      <c r="Q16" s="16"/>
      <c r="R16" s="16"/>
      <c r="S16" s="16"/>
      <c r="T16" s="16">
        <f>ROUND(((($I16+$J16)*(T$72/12)+($K16)*(T$73/12)+($M16)*(T$73/12))/27),2)</f>
        <v>2.97</v>
      </c>
      <c r="U16" s="16">
        <f>ROUND(((($I16+$J16+$N16+$O16+$P16+$Q16)*(U$72/12))/27),2)</f>
        <v>2.59</v>
      </c>
      <c r="V16" s="16"/>
      <c r="W16" s="16">
        <f>ROUND(((($I16+$J16)/9)*$W$72)+((($I16+$J16+$K16)/9)*$W$72)+((($I16+$J16+$M16)/9)*$W$72),2)</f>
        <v>2.11</v>
      </c>
      <c r="X16" s="16"/>
      <c r="Y16" s="16"/>
      <c r="Z16" s="16">
        <f aca="true" t="shared" si="2" ref="Z16:AA19">ROUND(((($I16+$J16)*(Z$72/12))/27),2)</f>
        <v>0.49</v>
      </c>
      <c r="AA16" s="16">
        <f t="shared" si="2"/>
        <v>0.57</v>
      </c>
      <c r="AB16" s="16"/>
      <c r="AC16" s="16"/>
      <c r="AD16" s="16"/>
      <c r="AE16" s="16"/>
      <c r="AF16" s="105"/>
      <c r="AG16" s="106"/>
    </row>
    <row r="17" spans="1:33" s="5" customFormat="1" ht="21.75" customHeight="1">
      <c r="A17" s="12">
        <f t="shared" si="0"/>
        <v>5</v>
      </c>
      <c r="B17" s="13">
        <f>C16</f>
        <v>58150</v>
      </c>
      <c r="C17" s="14">
        <v>58316.4</v>
      </c>
      <c r="D17" s="15" t="s">
        <v>33</v>
      </c>
      <c r="E17" s="16">
        <f>C17-B17</f>
        <v>166.40000000000146</v>
      </c>
      <c r="F17" s="17">
        <v>4</v>
      </c>
      <c r="G17" s="18"/>
      <c r="H17" s="16"/>
      <c r="I17" s="16">
        <f>IF(G17=0,ROUND($E17*$F17,2),ROUND($E17*$F17*$G17,2))</f>
        <v>665.6</v>
      </c>
      <c r="J17" s="16"/>
      <c r="K17" s="16">
        <f>IF($H17=0,ROUND($E17*(K$72/12),2),ROUND($E17*(K$72/12)*$H17,2))</f>
        <v>55.47</v>
      </c>
      <c r="L17" s="16"/>
      <c r="M17" s="16">
        <f t="shared" si="1"/>
        <v>138.67</v>
      </c>
      <c r="N17" s="16">
        <f t="shared" si="1"/>
        <v>221.87</v>
      </c>
      <c r="O17" s="16"/>
      <c r="P17" s="16"/>
      <c r="Q17" s="16"/>
      <c r="R17" s="16"/>
      <c r="S17" s="16"/>
      <c r="T17" s="16">
        <f>ROUND(((($I17+$J17)*(T$72/12)+($K17)*(T$73/12)+($M17)*(T$73/12))/27),2)</f>
        <v>18.83</v>
      </c>
      <c r="U17" s="16">
        <f>ROUND(((($I17+$J17+$N17+$O17+$P17+$Q17)*(U$72/12))/27),2)</f>
        <v>16.43</v>
      </c>
      <c r="V17" s="16"/>
      <c r="W17" s="16">
        <f>ROUND(((($I17+$J17)/9)*$W$72)+((($I17+$J17+$K17)/9)*$W$72)+((($I17+$J17+$M17)/9)*$W$72),2)</f>
        <v>13.39</v>
      </c>
      <c r="X17" s="16"/>
      <c r="Y17" s="16"/>
      <c r="Z17" s="16">
        <f t="shared" si="2"/>
        <v>3.08</v>
      </c>
      <c r="AA17" s="16">
        <f t="shared" si="2"/>
        <v>3.6</v>
      </c>
      <c r="AB17" s="16"/>
      <c r="AC17" s="16"/>
      <c r="AD17" s="16"/>
      <c r="AE17" s="16"/>
      <c r="AF17" s="105"/>
      <c r="AG17" s="106"/>
    </row>
    <row r="18" spans="1:33" s="5" customFormat="1" ht="21.75" customHeight="1">
      <c r="A18" s="12">
        <f t="shared" si="0"/>
        <v>6</v>
      </c>
      <c r="B18" s="14">
        <f>C17</f>
        <v>58316.4</v>
      </c>
      <c r="C18" s="14">
        <v>58516.4</v>
      </c>
      <c r="D18" s="15" t="s">
        <v>33</v>
      </c>
      <c r="E18" s="16">
        <f>C18-B18</f>
        <v>200</v>
      </c>
      <c r="F18" s="17">
        <v>4</v>
      </c>
      <c r="G18" s="18">
        <f>ROUND((((1432.394+16+($F18/2))/1432.394)+1)/2,4)</f>
        <v>1.0063</v>
      </c>
      <c r="H18" s="18">
        <f>ROUND((((1432.394+16+($F18))/1432.394)+1)/2,4)</f>
        <v>1.007</v>
      </c>
      <c r="I18" s="16">
        <f>IF(G18=0,ROUND($E18*$F18,2),ROUND($E18*$F18*$G18,2))</f>
        <v>805.04</v>
      </c>
      <c r="J18" s="16"/>
      <c r="K18" s="16">
        <f>IF($H18=0,ROUND($E18*(K$72/12),2),ROUND($E18*(K$72/12)*$H18,2))</f>
        <v>67.13</v>
      </c>
      <c r="L18" s="16"/>
      <c r="M18" s="16">
        <f t="shared" si="1"/>
        <v>167.83</v>
      </c>
      <c r="N18" s="16">
        <f t="shared" si="1"/>
        <v>268.53</v>
      </c>
      <c r="O18" s="16"/>
      <c r="P18" s="16"/>
      <c r="Q18" s="16"/>
      <c r="R18" s="16"/>
      <c r="S18" s="16"/>
      <c r="T18" s="16">
        <f>ROUND(((($I18+$J18)*(T$72/12)+($K18)*(T$73/12)+($M18)*(T$73/12))/27),2)</f>
        <v>22.78</v>
      </c>
      <c r="U18" s="16">
        <f>ROUND(((($I18+$J18+$N18+$O18+$P18+$Q18)*(U$72/12))/27),2)</f>
        <v>19.88</v>
      </c>
      <c r="V18" s="16"/>
      <c r="W18" s="16">
        <f>ROUND(((($I18+$J18)/9)*$W$72)+((($I18+$J18+$K18)/9)*$W$72)+((($I18+$J18+$M18)/9)*$W$72),2)</f>
        <v>16.19</v>
      </c>
      <c r="X18" s="16"/>
      <c r="Y18" s="16"/>
      <c r="Z18" s="16">
        <f t="shared" si="2"/>
        <v>3.73</v>
      </c>
      <c r="AA18" s="16">
        <f t="shared" si="2"/>
        <v>4.35</v>
      </c>
      <c r="AB18" s="16"/>
      <c r="AC18" s="16"/>
      <c r="AD18" s="16"/>
      <c r="AE18" s="16"/>
      <c r="AF18" s="105"/>
      <c r="AG18" s="106"/>
    </row>
    <row r="19" spans="1:33" s="5" customFormat="1" ht="21.75" customHeight="1">
      <c r="A19" s="12">
        <f t="shared" si="0"/>
        <v>7</v>
      </c>
      <c r="B19" s="14">
        <f>C18</f>
        <v>58516.4</v>
      </c>
      <c r="C19" s="14">
        <v>59297.65</v>
      </c>
      <c r="D19" s="15" t="s">
        <v>33</v>
      </c>
      <c r="E19" s="16">
        <f>C19-B19</f>
        <v>781.25</v>
      </c>
      <c r="F19" s="17">
        <v>4</v>
      </c>
      <c r="G19" s="18">
        <f>ROUND((1432.394+16+($F19/2))/1432.394,4)</f>
        <v>1.0126</v>
      </c>
      <c r="H19" s="18">
        <f>ROUND((1432.394+16+($F19))/1432.394,4)</f>
        <v>1.014</v>
      </c>
      <c r="I19" s="16">
        <f>IF(G19=0,ROUND($E19*$F19,2),ROUND($E19*$F19*$G19,2))</f>
        <v>3164.38</v>
      </c>
      <c r="J19" s="16"/>
      <c r="K19" s="16">
        <f>IF($H19=0,ROUND($E19*(K$72/12),2),ROUND($E19*(K$72/12)*$H19,2))</f>
        <v>264.06</v>
      </c>
      <c r="L19" s="16"/>
      <c r="M19" s="16">
        <f t="shared" si="1"/>
        <v>660.16</v>
      </c>
      <c r="N19" s="16">
        <f t="shared" si="1"/>
        <v>1056.25</v>
      </c>
      <c r="O19" s="16"/>
      <c r="P19" s="16"/>
      <c r="Q19" s="16"/>
      <c r="R19" s="16"/>
      <c r="S19" s="16"/>
      <c r="T19" s="16">
        <f>ROUND(((($I19+$J19)*(T$72/12)+($K19)*(T$73/12)+($M19)*(T$73/12))/27),2)</f>
        <v>89.54</v>
      </c>
      <c r="U19" s="16">
        <f>ROUND(((($I19+$J19+$N19+$O19+$P19+$Q19)*(U$72/12))/27),2)</f>
        <v>78.16</v>
      </c>
      <c r="V19" s="16"/>
      <c r="W19" s="16">
        <f>ROUND(((($I19+$J19)/9)*$W$72)+((($I19+$J19+$K19)/9)*$W$72)+((($I19+$J19+$M19)/9)*$W$72),2)</f>
        <v>63.66</v>
      </c>
      <c r="X19" s="16"/>
      <c r="Y19" s="16"/>
      <c r="Z19" s="16">
        <f t="shared" si="2"/>
        <v>14.65</v>
      </c>
      <c r="AA19" s="16">
        <f t="shared" si="2"/>
        <v>17.09</v>
      </c>
      <c r="AB19" s="16"/>
      <c r="AC19" s="16"/>
      <c r="AD19" s="16"/>
      <c r="AE19" s="16"/>
      <c r="AF19" s="105"/>
      <c r="AG19" s="106"/>
    </row>
    <row r="20" spans="1:33" s="5" customFormat="1" ht="21.75" customHeight="1">
      <c r="A20" s="12">
        <f t="shared" si="0"/>
        <v>8</v>
      </c>
      <c r="B20" s="14"/>
      <c r="C20" s="14"/>
      <c r="D20" s="15"/>
      <c r="E20" s="16"/>
      <c r="F20" s="17"/>
      <c r="G20" s="18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05"/>
      <c r="AG20" s="106"/>
    </row>
    <row r="21" spans="1:33" s="5" customFormat="1" ht="21.75" customHeight="1">
      <c r="A21" s="12">
        <f t="shared" si="0"/>
        <v>9</v>
      </c>
      <c r="B21" s="14">
        <v>59640</v>
      </c>
      <c r="C21" s="14">
        <v>59938.22</v>
      </c>
      <c r="D21" s="15" t="s">
        <v>33</v>
      </c>
      <c r="E21" s="16">
        <f>C21-B21</f>
        <v>298.22000000000116</v>
      </c>
      <c r="F21" s="17">
        <v>4</v>
      </c>
      <c r="G21" s="18">
        <f>ROUND((716.197+((28+19.479)/2)+($F21/2))/716.197,4)</f>
        <v>1.0359</v>
      </c>
      <c r="H21" s="18">
        <f>ROUND((716.197+((28+19.479)/2)+($F21))/716.197,4)</f>
        <v>1.0387</v>
      </c>
      <c r="I21" s="16">
        <f>IF(G21=0,ROUND($E21*$F21,2),ROUND($E21*$F21*$G21,2))</f>
        <v>1235.7</v>
      </c>
      <c r="J21" s="16"/>
      <c r="K21" s="16">
        <f>IF($H21=0,ROUND($E21*(K$72/12),2),ROUND($E21*(K$72/12)*$H21,2))</f>
        <v>103.25</v>
      </c>
      <c r="L21" s="16"/>
      <c r="M21" s="16">
        <f aca="true" t="shared" si="3" ref="M21:N23">IF($H21=0,ROUND($E21*(M$72/12),2),ROUND($E21*(M$72/12)*$H21,2))</f>
        <v>258.13</v>
      </c>
      <c r="N21" s="16">
        <f t="shared" si="3"/>
        <v>413.01</v>
      </c>
      <c r="O21" s="16"/>
      <c r="P21" s="16"/>
      <c r="Q21" s="16"/>
      <c r="R21" s="16"/>
      <c r="S21" s="16"/>
      <c r="T21" s="16">
        <f>ROUND(((($I21+$J21)*(T$72/12)+($K21)*(T$73/12)+($M21)*(T$73/12))/27),2)</f>
        <v>34.97</v>
      </c>
      <c r="U21" s="16">
        <f>ROUND(((($I21+$J21+$N21+$O21+$P21+$Q21)*(U$72/12))/27),2)</f>
        <v>30.53</v>
      </c>
      <c r="V21" s="16"/>
      <c r="W21" s="16">
        <f>ROUND(((($I21+$J21)/9)*$W$72)+((($I21+$J21+$K21)/9)*$W$72)+((($I21+$J21+$M21)/9)*$W$72),2)</f>
        <v>24.86</v>
      </c>
      <c r="X21" s="16"/>
      <c r="Y21" s="16"/>
      <c r="Z21" s="16">
        <f aca="true" t="shared" si="4" ref="Z21:AA23">ROUND(((($I21+$J21)*(Z$72/12))/27),2)</f>
        <v>5.72</v>
      </c>
      <c r="AA21" s="16">
        <f t="shared" si="4"/>
        <v>6.67</v>
      </c>
      <c r="AB21" s="16"/>
      <c r="AC21" s="16"/>
      <c r="AD21" s="16"/>
      <c r="AE21" s="16"/>
      <c r="AF21" s="105"/>
      <c r="AG21" s="106"/>
    </row>
    <row r="22" spans="1:33" s="5" customFormat="1" ht="21.75" customHeight="1">
      <c r="A22" s="12">
        <f t="shared" si="0"/>
        <v>10</v>
      </c>
      <c r="B22" s="14">
        <f>C21</f>
        <v>59938.22</v>
      </c>
      <c r="C22" s="14">
        <v>60060</v>
      </c>
      <c r="D22" s="15" t="s">
        <v>33</v>
      </c>
      <c r="E22" s="16">
        <f>C22-B22</f>
        <v>121.77999999999884</v>
      </c>
      <c r="F22" s="17">
        <v>4</v>
      </c>
      <c r="G22" s="18">
        <f>ROUND((1432.394+((16+19.479)/2)+($F22/2))/1432.394,4)</f>
        <v>1.0138</v>
      </c>
      <c r="H22" s="18">
        <f>ROUND((1432.394+((16+19.479)/2)+($F22))/1432.394,4)</f>
        <v>1.0152</v>
      </c>
      <c r="I22" s="16">
        <f>IF(G22=0,ROUND($E22*$F22,2),ROUND($E22*$F22*$G22,2))</f>
        <v>493.84</v>
      </c>
      <c r="J22" s="16"/>
      <c r="K22" s="16">
        <f>IF($H22=0,ROUND($E22*(K$72/12),2),ROUND($E22*(K$72/12)*$H22,2))</f>
        <v>41.21</v>
      </c>
      <c r="L22" s="16"/>
      <c r="M22" s="16">
        <f t="shared" si="3"/>
        <v>103.03</v>
      </c>
      <c r="N22" s="16">
        <f t="shared" si="3"/>
        <v>164.84</v>
      </c>
      <c r="O22" s="16"/>
      <c r="P22" s="16"/>
      <c r="Q22" s="16"/>
      <c r="R22" s="16"/>
      <c r="S22" s="16"/>
      <c r="T22" s="16">
        <f>ROUND(((($I22+$J22)*(T$72/12)+($K22)*(T$73/12)+($M22)*(T$73/12))/27),2)</f>
        <v>13.97</v>
      </c>
      <c r="U22" s="16">
        <f>ROUND(((($I22+$J22+$N22+$O22+$P22+$Q22)*(U$72/12))/27),2)</f>
        <v>12.2</v>
      </c>
      <c r="V22" s="16"/>
      <c r="W22" s="16">
        <f>ROUND(((($I22+$J22)/9)*$W$72)+((($I22+$J22+$K22)/9)*$W$72)+((($I22+$J22+$M22)/9)*$W$72),2)</f>
        <v>9.94</v>
      </c>
      <c r="X22" s="16"/>
      <c r="Y22" s="16"/>
      <c r="Z22" s="16">
        <f t="shared" si="4"/>
        <v>2.29</v>
      </c>
      <c r="AA22" s="16">
        <f t="shared" si="4"/>
        <v>2.67</v>
      </c>
      <c r="AB22" s="16"/>
      <c r="AC22" s="16"/>
      <c r="AD22" s="16"/>
      <c r="AE22" s="16"/>
      <c r="AF22" s="105"/>
      <c r="AG22" s="106"/>
    </row>
    <row r="23" spans="1:33" s="5" customFormat="1" ht="21.75" customHeight="1">
      <c r="A23" s="12">
        <f t="shared" si="0"/>
        <v>11</v>
      </c>
      <c r="B23" s="14">
        <f>C22</f>
        <v>60060</v>
      </c>
      <c r="C23" s="14">
        <v>60064</v>
      </c>
      <c r="D23" s="15" t="s">
        <v>33</v>
      </c>
      <c r="E23" s="16">
        <f>C23-B23</f>
        <v>4</v>
      </c>
      <c r="F23" s="80" t="s">
        <v>31</v>
      </c>
      <c r="G23" s="81"/>
      <c r="H23" s="81"/>
      <c r="I23" s="82"/>
      <c r="J23" s="16">
        <v>15.05</v>
      </c>
      <c r="K23" s="16">
        <f>IF($H23=0,ROUND($E23*(K$72/12),2),ROUND($E23*(K$72/12)*$H23,2))</f>
        <v>1.33</v>
      </c>
      <c r="L23" s="16"/>
      <c r="M23" s="16">
        <f t="shared" si="3"/>
        <v>3.33</v>
      </c>
      <c r="N23" s="16">
        <f t="shared" si="3"/>
        <v>5.33</v>
      </c>
      <c r="O23" s="16"/>
      <c r="P23" s="16"/>
      <c r="Q23" s="16"/>
      <c r="R23" s="16"/>
      <c r="S23" s="16"/>
      <c r="T23" s="16">
        <f>ROUND(((($I23+$J23)*(T$72/12)+($K23)*(T$73/12)+($M23)*(T$73/12))/27),2)</f>
        <v>0.43</v>
      </c>
      <c r="U23" s="16">
        <f>ROUND(((($I23+$J23+$N23+$O23+$P23+$Q23)*(U$72/12))/27),2)</f>
        <v>0.38</v>
      </c>
      <c r="V23" s="16"/>
      <c r="W23" s="16">
        <f>ROUND(((($I23+$J23)/9)*$W$72)+((($I23+$J23+$K23)/9)*$W$72)+((($I23+$J23+$M23)/9)*$W$72),2)</f>
        <v>0.3</v>
      </c>
      <c r="X23" s="16"/>
      <c r="Y23" s="16"/>
      <c r="Z23" s="16">
        <f t="shared" si="4"/>
        <v>0.07</v>
      </c>
      <c r="AA23" s="16">
        <f t="shared" si="4"/>
        <v>0.08</v>
      </c>
      <c r="AB23" s="16"/>
      <c r="AC23" s="16"/>
      <c r="AD23" s="16"/>
      <c r="AE23" s="16"/>
      <c r="AF23" s="105"/>
      <c r="AG23" s="106"/>
    </row>
    <row r="24" spans="1:33" s="5" customFormat="1" ht="21.75" customHeight="1">
      <c r="A24" s="12">
        <f t="shared" si="0"/>
        <v>12</v>
      </c>
      <c r="B24" s="14"/>
      <c r="C24" s="14"/>
      <c r="D24" s="15"/>
      <c r="E24" s="16"/>
      <c r="F24" s="17"/>
      <c r="G24" s="1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05"/>
      <c r="AG24" s="106"/>
    </row>
    <row r="25" spans="1:33" s="5" customFormat="1" ht="21.75" customHeight="1">
      <c r="A25" s="12">
        <f t="shared" si="0"/>
        <v>13</v>
      </c>
      <c r="B25" s="13">
        <v>57600</v>
      </c>
      <c r="C25" s="14">
        <v>58017.46</v>
      </c>
      <c r="D25" s="15" t="s">
        <v>28</v>
      </c>
      <c r="E25" s="16">
        <f aca="true" t="shared" si="5" ref="E25:E35">C25-B25</f>
        <v>417.4599999999991</v>
      </c>
      <c r="F25" s="17">
        <v>10</v>
      </c>
      <c r="G25" s="18">
        <f>ROUND((12253.421+($F25/2))/12253.421,4)</f>
        <v>1.0004</v>
      </c>
      <c r="H25" s="18">
        <f>ROUND((12253.421+($F25))/12253.421,4)</f>
        <v>1.0008</v>
      </c>
      <c r="I25" s="16">
        <f aca="true" t="shared" si="6" ref="I25:I35">IF(G25=0,ROUND($E25*$F25,2),ROUND($E25*$F25*$G25,2))</f>
        <v>4176.27</v>
      </c>
      <c r="J25" s="16"/>
      <c r="K25" s="16">
        <f aca="true" t="shared" si="7" ref="K25:K35">IF($H25=0,ROUND($E25*(K$72/12),2),ROUND($E25*(K$72/12)*$H25,2))</f>
        <v>139.26</v>
      </c>
      <c r="L25" s="16"/>
      <c r="M25" s="16">
        <f aca="true" t="shared" si="8" ref="M25:N35">IF($H25=0,ROUND($E25*(M$72/12),2),ROUND($E25*(M$72/12)*$H25,2))</f>
        <v>348.16</v>
      </c>
      <c r="N25" s="16">
        <f t="shared" si="8"/>
        <v>557.06</v>
      </c>
      <c r="O25" s="16"/>
      <c r="P25" s="16"/>
      <c r="Q25" s="16"/>
      <c r="R25" s="16"/>
      <c r="S25" s="16"/>
      <c r="T25" s="16">
        <f aca="true" t="shared" si="9" ref="T25:T35">ROUND(((($I25+$J25)*(T$72/12)+($K25)*(T$73/12)+($M25)*(T$73/12))/27),2)</f>
        <v>109.14</v>
      </c>
      <c r="U25" s="16">
        <f aca="true" t="shared" si="10" ref="U25:U35">ROUND(((($I25+$J25+$N25+$O25+$P25+$Q25)*(U$72/12))/27),2)</f>
        <v>87.65</v>
      </c>
      <c r="V25" s="16"/>
      <c r="W25" s="16">
        <f aca="true" t="shared" si="11" ref="W25:W35">ROUND(((($I25+$J25)/9)*$W$72)+((($I25+$J25+$K25)/9)*$W$72)+((($I25+$J25+$M25)/9)*$W$72),2)</f>
        <v>79.54</v>
      </c>
      <c r="X25" s="16"/>
      <c r="Y25" s="16"/>
      <c r="Z25" s="16">
        <f aca="true" t="shared" si="12" ref="Z25:AA35">ROUND(((($I25+$J25)*(Z$72/12))/27),2)</f>
        <v>19.33</v>
      </c>
      <c r="AA25" s="16">
        <f t="shared" si="12"/>
        <v>22.56</v>
      </c>
      <c r="AB25" s="16"/>
      <c r="AC25" s="16"/>
      <c r="AD25" s="16"/>
      <c r="AE25" s="16"/>
      <c r="AF25" s="105"/>
      <c r="AG25" s="106"/>
    </row>
    <row r="26" spans="1:33" s="5" customFormat="1" ht="21.75" customHeight="1">
      <c r="A26" s="12">
        <f t="shared" si="0"/>
        <v>14</v>
      </c>
      <c r="B26" s="14">
        <f aca="true" t="shared" si="13" ref="B26:B35">C25</f>
        <v>58017.46</v>
      </c>
      <c r="C26" s="38">
        <v>58124.01</v>
      </c>
      <c r="D26" s="15" t="s">
        <v>28</v>
      </c>
      <c r="E26" s="16">
        <f t="shared" si="5"/>
        <v>106.55000000000291</v>
      </c>
      <c r="F26" s="17">
        <v>10</v>
      </c>
      <c r="G26" s="18"/>
      <c r="H26" s="18"/>
      <c r="I26" s="16">
        <f t="shared" si="6"/>
        <v>1065.5</v>
      </c>
      <c r="J26" s="16"/>
      <c r="K26" s="16">
        <f t="shared" si="7"/>
        <v>35.52</v>
      </c>
      <c r="L26" s="16"/>
      <c r="M26" s="16">
        <f t="shared" si="8"/>
        <v>88.79</v>
      </c>
      <c r="N26" s="16">
        <f t="shared" si="8"/>
        <v>142.07</v>
      </c>
      <c r="O26" s="16"/>
      <c r="P26" s="16"/>
      <c r="Q26" s="16"/>
      <c r="R26" s="16"/>
      <c r="S26" s="16"/>
      <c r="T26" s="16">
        <f t="shared" si="9"/>
        <v>27.84</v>
      </c>
      <c r="U26" s="16">
        <f t="shared" si="10"/>
        <v>22.36</v>
      </c>
      <c r="V26" s="16"/>
      <c r="W26" s="16">
        <f>ROUND(((($I26+$J26)/9)*$W$72)+((($I26+$J26+$K26)/9)*$W$72)+((($I26+$J26+$M26)/9)*$W$72),2)</f>
        <v>20.29</v>
      </c>
      <c r="X26" s="16"/>
      <c r="Y26" s="16"/>
      <c r="Z26" s="16">
        <f t="shared" si="12"/>
        <v>4.93</v>
      </c>
      <c r="AA26" s="16">
        <f t="shared" si="12"/>
        <v>5.76</v>
      </c>
      <c r="AB26" s="16"/>
      <c r="AC26" s="16"/>
      <c r="AD26" s="16"/>
      <c r="AE26" s="16"/>
      <c r="AF26" s="105"/>
      <c r="AG26" s="106"/>
    </row>
    <row r="27" spans="1:33" s="5" customFormat="1" ht="21.75" customHeight="1">
      <c r="A27" s="12">
        <f t="shared" si="0"/>
        <v>15</v>
      </c>
      <c r="B27" s="14">
        <f t="shared" si="13"/>
        <v>58124.01</v>
      </c>
      <c r="C27" s="14">
        <v>58224.01</v>
      </c>
      <c r="D27" s="15" t="s">
        <v>28</v>
      </c>
      <c r="E27" s="16">
        <f t="shared" si="5"/>
        <v>100</v>
      </c>
      <c r="F27" s="17">
        <f>ROUND(AVERAGE(10,6),2)</f>
        <v>8</v>
      </c>
      <c r="G27" s="18"/>
      <c r="H27" s="18"/>
      <c r="I27" s="16">
        <f t="shared" si="6"/>
        <v>800</v>
      </c>
      <c r="J27" s="16"/>
      <c r="K27" s="16">
        <f t="shared" si="7"/>
        <v>33.33</v>
      </c>
      <c r="L27" s="16"/>
      <c r="M27" s="16">
        <f t="shared" si="8"/>
        <v>83.33</v>
      </c>
      <c r="N27" s="16">
        <f t="shared" si="8"/>
        <v>133.33</v>
      </c>
      <c r="O27" s="16"/>
      <c r="P27" s="16"/>
      <c r="Q27" s="16"/>
      <c r="R27" s="16"/>
      <c r="S27" s="16"/>
      <c r="T27" s="16">
        <f t="shared" si="9"/>
        <v>21.19</v>
      </c>
      <c r="U27" s="16">
        <f t="shared" si="10"/>
        <v>17.28</v>
      </c>
      <c r="V27" s="16"/>
      <c r="W27" s="16">
        <f t="shared" si="11"/>
        <v>15.38</v>
      </c>
      <c r="X27" s="16"/>
      <c r="Y27" s="16"/>
      <c r="Z27" s="16">
        <f t="shared" si="12"/>
        <v>3.7</v>
      </c>
      <c r="AA27" s="16">
        <f t="shared" si="12"/>
        <v>4.32</v>
      </c>
      <c r="AB27" s="16"/>
      <c r="AC27" s="16"/>
      <c r="AD27" s="16"/>
      <c r="AE27" s="16"/>
      <c r="AF27" s="105"/>
      <c r="AG27" s="106"/>
    </row>
    <row r="28" spans="1:33" s="5" customFormat="1" ht="21.75" customHeight="1">
      <c r="A28" s="12">
        <f t="shared" si="0"/>
        <v>16</v>
      </c>
      <c r="B28" s="14">
        <f t="shared" si="13"/>
        <v>58224.01</v>
      </c>
      <c r="C28" s="14">
        <v>58316.4</v>
      </c>
      <c r="D28" s="15" t="s">
        <v>28</v>
      </c>
      <c r="E28" s="16">
        <f t="shared" si="5"/>
        <v>92.38999999999942</v>
      </c>
      <c r="F28" s="17">
        <v>6</v>
      </c>
      <c r="G28" s="18"/>
      <c r="H28" s="18"/>
      <c r="I28" s="16">
        <f t="shared" si="6"/>
        <v>554.34</v>
      </c>
      <c r="J28" s="16"/>
      <c r="K28" s="16">
        <f t="shared" si="7"/>
        <v>30.8</v>
      </c>
      <c r="L28" s="16"/>
      <c r="M28" s="16">
        <f t="shared" si="8"/>
        <v>76.99</v>
      </c>
      <c r="N28" s="16">
        <f t="shared" si="8"/>
        <v>123.19</v>
      </c>
      <c r="O28" s="16"/>
      <c r="P28" s="16"/>
      <c r="Q28" s="16"/>
      <c r="R28" s="16"/>
      <c r="S28" s="16"/>
      <c r="T28" s="16">
        <f t="shared" si="9"/>
        <v>15.02</v>
      </c>
      <c r="U28" s="16">
        <f t="shared" si="10"/>
        <v>12.55</v>
      </c>
      <c r="V28" s="16"/>
      <c r="W28" s="16">
        <f t="shared" si="11"/>
        <v>10.82</v>
      </c>
      <c r="X28" s="16"/>
      <c r="Y28" s="16"/>
      <c r="Z28" s="16">
        <f t="shared" si="12"/>
        <v>2.57</v>
      </c>
      <c r="AA28" s="16">
        <f t="shared" si="12"/>
        <v>2.99</v>
      </c>
      <c r="AB28" s="16"/>
      <c r="AC28" s="16"/>
      <c r="AD28" s="16"/>
      <c r="AE28" s="16"/>
      <c r="AF28" s="105"/>
      <c r="AG28" s="106"/>
    </row>
    <row r="29" spans="1:33" s="5" customFormat="1" ht="21.75" customHeight="1">
      <c r="A29" s="12">
        <f t="shared" si="0"/>
        <v>17</v>
      </c>
      <c r="B29" s="14">
        <f t="shared" si="13"/>
        <v>58316.4</v>
      </c>
      <c r="C29" s="14">
        <v>58516.4</v>
      </c>
      <c r="D29" s="15" t="s">
        <v>28</v>
      </c>
      <c r="E29" s="16">
        <f t="shared" si="5"/>
        <v>200</v>
      </c>
      <c r="F29" s="17">
        <v>6</v>
      </c>
      <c r="G29" s="18">
        <f>ROUND((((1432.394-($F29/2))/1432.394)+1)/2,4)</f>
        <v>0.999</v>
      </c>
      <c r="H29" s="18">
        <f>ROUND((((1432.394-($F29))/1432.394)+1)/2,4)</f>
        <v>0.9979</v>
      </c>
      <c r="I29" s="16">
        <f t="shared" si="6"/>
        <v>1198.8</v>
      </c>
      <c r="J29" s="16"/>
      <c r="K29" s="16">
        <f t="shared" si="7"/>
        <v>66.53</v>
      </c>
      <c r="L29" s="16"/>
      <c r="M29" s="16">
        <f t="shared" si="8"/>
        <v>166.32</v>
      </c>
      <c r="N29" s="16">
        <f t="shared" si="8"/>
        <v>266.11</v>
      </c>
      <c r="O29" s="16"/>
      <c r="P29" s="16"/>
      <c r="Q29" s="16"/>
      <c r="R29" s="16"/>
      <c r="S29" s="16"/>
      <c r="T29" s="16">
        <f t="shared" si="9"/>
        <v>32.47</v>
      </c>
      <c r="U29" s="16">
        <f t="shared" si="10"/>
        <v>27.13</v>
      </c>
      <c r="V29" s="16"/>
      <c r="W29" s="16">
        <f t="shared" si="11"/>
        <v>23.4</v>
      </c>
      <c r="X29" s="16"/>
      <c r="Y29" s="16"/>
      <c r="Z29" s="16">
        <f t="shared" si="12"/>
        <v>5.55</v>
      </c>
      <c r="AA29" s="16">
        <f t="shared" si="12"/>
        <v>6.48</v>
      </c>
      <c r="AB29" s="16"/>
      <c r="AC29" s="16"/>
      <c r="AD29" s="16"/>
      <c r="AE29" s="16"/>
      <c r="AF29" s="105"/>
      <c r="AG29" s="106"/>
    </row>
    <row r="30" spans="1:33" s="5" customFormat="1" ht="21.75" customHeight="1">
      <c r="A30" s="12">
        <f t="shared" si="0"/>
        <v>18</v>
      </c>
      <c r="B30" s="14">
        <f t="shared" si="13"/>
        <v>58516.4</v>
      </c>
      <c r="C30" s="14">
        <v>59303.36</v>
      </c>
      <c r="D30" s="15" t="s">
        <v>28</v>
      </c>
      <c r="E30" s="16">
        <f t="shared" si="5"/>
        <v>786.9599999999991</v>
      </c>
      <c r="F30" s="17">
        <v>6</v>
      </c>
      <c r="G30" s="18">
        <f>ROUND((1432.394-($F30/2))/1432.394,4)</f>
        <v>0.9979</v>
      </c>
      <c r="H30" s="18">
        <f>ROUND((1432.394-($F30))/1432.394,4)</f>
        <v>0.9958</v>
      </c>
      <c r="I30" s="16">
        <f t="shared" si="6"/>
        <v>4711.84</v>
      </c>
      <c r="J30" s="16"/>
      <c r="K30" s="16">
        <f t="shared" si="7"/>
        <v>261.22</v>
      </c>
      <c r="L30" s="16"/>
      <c r="M30" s="16">
        <f t="shared" si="8"/>
        <v>653.05</v>
      </c>
      <c r="N30" s="16">
        <f t="shared" si="8"/>
        <v>1044.87</v>
      </c>
      <c r="O30" s="16"/>
      <c r="P30" s="16"/>
      <c r="Q30" s="16"/>
      <c r="R30" s="16"/>
      <c r="S30" s="16"/>
      <c r="T30" s="16">
        <f t="shared" si="9"/>
        <v>127.63</v>
      </c>
      <c r="U30" s="16">
        <f t="shared" si="10"/>
        <v>106.61</v>
      </c>
      <c r="V30" s="16"/>
      <c r="W30" s="16">
        <f t="shared" si="11"/>
        <v>91.97</v>
      </c>
      <c r="X30" s="16"/>
      <c r="Y30" s="16"/>
      <c r="Z30" s="16">
        <f t="shared" si="12"/>
        <v>21.81</v>
      </c>
      <c r="AA30" s="16">
        <f t="shared" si="12"/>
        <v>25.45</v>
      </c>
      <c r="AB30" s="16"/>
      <c r="AC30" s="16"/>
      <c r="AD30" s="16"/>
      <c r="AE30" s="16"/>
      <c r="AF30" s="105"/>
      <c r="AG30" s="106"/>
    </row>
    <row r="31" spans="1:33" s="5" customFormat="1" ht="21.75" customHeight="1">
      <c r="A31" s="12">
        <f t="shared" si="0"/>
        <v>19</v>
      </c>
      <c r="B31" s="14">
        <f t="shared" si="13"/>
        <v>59303.36</v>
      </c>
      <c r="C31" s="14">
        <v>59938.22</v>
      </c>
      <c r="D31" s="15" t="s">
        <v>28</v>
      </c>
      <c r="E31" s="16">
        <f t="shared" si="5"/>
        <v>634.8600000000006</v>
      </c>
      <c r="F31" s="17">
        <v>6</v>
      </c>
      <c r="G31" s="18">
        <f>ROUND((716.197-($F31/2))/716.197,4)</f>
        <v>0.9958</v>
      </c>
      <c r="H31" s="18">
        <f>ROUND((716.197-($F31))/716.197,4)</f>
        <v>0.9916</v>
      </c>
      <c r="I31" s="16">
        <f t="shared" si="6"/>
        <v>3793.16</v>
      </c>
      <c r="J31" s="16"/>
      <c r="K31" s="16">
        <f t="shared" si="7"/>
        <v>209.84</v>
      </c>
      <c r="L31" s="16"/>
      <c r="M31" s="16">
        <f t="shared" si="8"/>
        <v>524.61</v>
      </c>
      <c r="N31" s="16">
        <f t="shared" si="8"/>
        <v>839.37</v>
      </c>
      <c r="O31" s="16"/>
      <c r="P31" s="16"/>
      <c r="Q31" s="16"/>
      <c r="R31" s="16"/>
      <c r="S31" s="16"/>
      <c r="T31" s="16">
        <f t="shared" si="9"/>
        <v>102.73</v>
      </c>
      <c r="U31" s="16">
        <f t="shared" si="10"/>
        <v>85.79</v>
      </c>
      <c r="V31" s="16"/>
      <c r="W31" s="16">
        <f t="shared" si="11"/>
        <v>74.03</v>
      </c>
      <c r="X31" s="16"/>
      <c r="Y31" s="16"/>
      <c r="Z31" s="16">
        <f t="shared" si="12"/>
        <v>17.56</v>
      </c>
      <c r="AA31" s="16">
        <f t="shared" si="12"/>
        <v>20.49</v>
      </c>
      <c r="AB31" s="16"/>
      <c r="AC31" s="16"/>
      <c r="AD31" s="16"/>
      <c r="AE31" s="16"/>
      <c r="AF31" s="105"/>
      <c r="AG31" s="106"/>
    </row>
    <row r="32" spans="1:33" s="5" customFormat="1" ht="21.75" customHeight="1">
      <c r="A32" s="12">
        <f t="shared" si="0"/>
        <v>20</v>
      </c>
      <c r="B32" s="14">
        <f t="shared" si="13"/>
        <v>59938.22</v>
      </c>
      <c r="C32" s="14">
        <v>60137.81</v>
      </c>
      <c r="D32" s="15" t="s">
        <v>28</v>
      </c>
      <c r="E32" s="16">
        <f t="shared" si="5"/>
        <v>199.5899999999965</v>
      </c>
      <c r="F32" s="17">
        <v>6</v>
      </c>
      <c r="G32" s="18">
        <f>ROUND((1432.394-($F32/2))/1432.394,4)</f>
        <v>0.9979</v>
      </c>
      <c r="H32" s="18">
        <f>ROUND((1432.394-($F32))/1432.394,4)</f>
        <v>0.9958</v>
      </c>
      <c r="I32" s="16">
        <f t="shared" si="6"/>
        <v>1195.03</v>
      </c>
      <c r="J32" s="16"/>
      <c r="K32" s="16">
        <f t="shared" si="7"/>
        <v>66.25</v>
      </c>
      <c r="L32" s="16"/>
      <c r="M32" s="16">
        <f t="shared" si="8"/>
        <v>165.63</v>
      </c>
      <c r="N32" s="16">
        <f t="shared" si="8"/>
        <v>265</v>
      </c>
      <c r="O32" s="16"/>
      <c r="P32" s="16"/>
      <c r="Q32" s="16"/>
      <c r="R32" s="16"/>
      <c r="S32" s="16"/>
      <c r="T32" s="16">
        <f t="shared" si="9"/>
        <v>32.37</v>
      </c>
      <c r="U32" s="16">
        <f t="shared" si="10"/>
        <v>27.04</v>
      </c>
      <c r="V32" s="16"/>
      <c r="W32" s="16">
        <f t="shared" si="11"/>
        <v>23.33</v>
      </c>
      <c r="X32" s="16"/>
      <c r="Y32" s="16"/>
      <c r="Z32" s="16">
        <f t="shared" si="12"/>
        <v>5.53</v>
      </c>
      <c r="AA32" s="16">
        <f t="shared" si="12"/>
        <v>6.45</v>
      </c>
      <c r="AB32" s="16"/>
      <c r="AC32" s="16"/>
      <c r="AD32" s="16"/>
      <c r="AE32" s="16"/>
      <c r="AF32" s="105"/>
      <c r="AG32" s="106"/>
    </row>
    <row r="33" spans="1:33" s="5" customFormat="1" ht="21.75" customHeight="1">
      <c r="A33" s="12">
        <f t="shared" si="0"/>
        <v>21</v>
      </c>
      <c r="B33" s="14">
        <f t="shared" si="13"/>
        <v>60137.81</v>
      </c>
      <c r="C33" s="14">
        <v>60287.81</v>
      </c>
      <c r="D33" s="15" t="s">
        <v>28</v>
      </c>
      <c r="E33" s="16">
        <f t="shared" si="5"/>
        <v>150</v>
      </c>
      <c r="F33" s="17">
        <v>6</v>
      </c>
      <c r="G33" s="18">
        <f>ROUND((((1432.394-($F33/2))/1432.394)+1)/2,4)</f>
        <v>0.999</v>
      </c>
      <c r="H33" s="18">
        <f>ROUND((((1432.394-($F33))/1432.394)+1)/2,4)</f>
        <v>0.9979</v>
      </c>
      <c r="I33" s="16">
        <f t="shared" si="6"/>
        <v>899.1</v>
      </c>
      <c r="J33" s="16"/>
      <c r="K33" s="16">
        <f t="shared" si="7"/>
        <v>49.9</v>
      </c>
      <c r="L33" s="16"/>
      <c r="M33" s="16">
        <f t="shared" si="8"/>
        <v>124.74</v>
      </c>
      <c r="N33" s="16">
        <f t="shared" si="8"/>
        <v>199.58</v>
      </c>
      <c r="O33" s="16"/>
      <c r="P33" s="16"/>
      <c r="Q33" s="16"/>
      <c r="R33" s="16"/>
      <c r="S33" s="16"/>
      <c r="T33" s="16">
        <f t="shared" si="9"/>
        <v>24.36</v>
      </c>
      <c r="U33" s="16">
        <f t="shared" si="10"/>
        <v>20.35</v>
      </c>
      <c r="V33" s="16"/>
      <c r="W33" s="16">
        <f t="shared" si="11"/>
        <v>17.55</v>
      </c>
      <c r="X33" s="16"/>
      <c r="Y33" s="16"/>
      <c r="Z33" s="16">
        <f t="shared" si="12"/>
        <v>4.16</v>
      </c>
      <c r="AA33" s="16">
        <f t="shared" si="12"/>
        <v>4.86</v>
      </c>
      <c r="AB33" s="16"/>
      <c r="AC33" s="16"/>
      <c r="AD33" s="16"/>
      <c r="AE33" s="16"/>
      <c r="AF33" s="105"/>
      <c r="AG33" s="106"/>
    </row>
    <row r="34" spans="1:33" s="5" customFormat="1" ht="21.75" customHeight="1">
      <c r="A34" s="12">
        <f t="shared" si="0"/>
        <v>22</v>
      </c>
      <c r="B34" s="14">
        <f t="shared" si="13"/>
        <v>60287.81</v>
      </c>
      <c r="C34" s="14">
        <v>60337.81</v>
      </c>
      <c r="D34" s="15" t="s">
        <v>28</v>
      </c>
      <c r="E34" s="16">
        <f t="shared" si="5"/>
        <v>50</v>
      </c>
      <c r="F34" s="17">
        <f>ROUND(AVERAGE(8,6),2)</f>
        <v>7</v>
      </c>
      <c r="G34" s="18">
        <f>ROUND((((1432.394-($F34/2))/1432.394)+1)/2,4)</f>
        <v>0.9988</v>
      </c>
      <c r="H34" s="18">
        <f>ROUND((((1432.394-($F34))/1432.394)+1)/2,4)</f>
        <v>0.9976</v>
      </c>
      <c r="I34" s="16">
        <f t="shared" si="6"/>
        <v>349.58</v>
      </c>
      <c r="J34" s="16"/>
      <c r="K34" s="16">
        <f t="shared" si="7"/>
        <v>16.63</v>
      </c>
      <c r="L34" s="16"/>
      <c r="M34" s="16">
        <f t="shared" si="8"/>
        <v>41.57</v>
      </c>
      <c r="N34" s="16">
        <f t="shared" si="8"/>
        <v>66.51</v>
      </c>
      <c r="O34" s="16"/>
      <c r="P34" s="16"/>
      <c r="Q34" s="16"/>
      <c r="R34" s="16"/>
      <c r="S34" s="16"/>
      <c r="T34" s="16">
        <f t="shared" si="9"/>
        <v>9.35</v>
      </c>
      <c r="U34" s="16">
        <f t="shared" si="10"/>
        <v>7.71</v>
      </c>
      <c r="V34" s="16"/>
      <c r="W34" s="16">
        <f t="shared" si="11"/>
        <v>6.76</v>
      </c>
      <c r="X34" s="16"/>
      <c r="Y34" s="16"/>
      <c r="Z34" s="16">
        <f t="shared" si="12"/>
        <v>1.62</v>
      </c>
      <c r="AA34" s="16">
        <f t="shared" si="12"/>
        <v>1.89</v>
      </c>
      <c r="AB34" s="16"/>
      <c r="AC34" s="16"/>
      <c r="AD34" s="16"/>
      <c r="AE34" s="16"/>
      <c r="AF34" s="105"/>
      <c r="AG34" s="106"/>
    </row>
    <row r="35" spans="1:33" s="5" customFormat="1" ht="21.75" customHeight="1">
      <c r="A35" s="12">
        <f t="shared" si="0"/>
        <v>23</v>
      </c>
      <c r="B35" s="14">
        <f t="shared" si="13"/>
        <v>60337.81</v>
      </c>
      <c r="C35" s="14">
        <v>60667.88</v>
      </c>
      <c r="D35" s="15" t="s">
        <v>28</v>
      </c>
      <c r="E35" s="16">
        <f t="shared" si="5"/>
        <v>330.0699999999997</v>
      </c>
      <c r="F35" s="17">
        <v>8</v>
      </c>
      <c r="G35" s="18"/>
      <c r="H35" s="18"/>
      <c r="I35" s="16">
        <f t="shared" si="6"/>
        <v>2640.56</v>
      </c>
      <c r="J35" s="16"/>
      <c r="K35" s="16">
        <f t="shared" si="7"/>
        <v>110.02</v>
      </c>
      <c r="L35" s="16"/>
      <c r="M35" s="16">
        <f t="shared" si="8"/>
        <v>275.06</v>
      </c>
      <c r="N35" s="16">
        <f t="shared" si="8"/>
        <v>440.09</v>
      </c>
      <c r="O35" s="16"/>
      <c r="P35" s="16"/>
      <c r="Q35" s="16"/>
      <c r="R35" s="16"/>
      <c r="S35" s="16"/>
      <c r="T35" s="16">
        <f t="shared" si="9"/>
        <v>69.95</v>
      </c>
      <c r="U35" s="16">
        <f t="shared" si="10"/>
        <v>57.05</v>
      </c>
      <c r="V35" s="16"/>
      <c r="W35" s="16">
        <f t="shared" si="11"/>
        <v>50.76</v>
      </c>
      <c r="X35" s="16"/>
      <c r="Y35" s="16"/>
      <c r="Z35" s="16">
        <f t="shared" si="12"/>
        <v>12.22</v>
      </c>
      <c r="AA35" s="16">
        <f t="shared" si="12"/>
        <v>14.26</v>
      </c>
      <c r="AB35" s="16"/>
      <c r="AC35" s="16"/>
      <c r="AD35" s="16"/>
      <c r="AE35" s="16"/>
      <c r="AF35" s="105"/>
      <c r="AG35" s="106"/>
    </row>
    <row r="36" spans="1:33" s="5" customFormat="1" ht="21.75" customHeight="1">
      <c r="A36" s="12">
        <f t="shared" si="0"/>
        <v>24</v>
      </c>
      <c r="B36" s="13"/>
      <c r="C36" s="14"/>
      <c r="D36" s="15"/>
      <c r="E36" s="16"/>
      <c r="F36" s="17"/>
      <c r="G36" s="18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05"/>
      <c r="AG36" s="106"/>
    </row>
    <row r="37" spans="1:33" s="5" customFormat="1" ht="21.75" customHeight="1">
      <c r="A37" s="12">
        <f t="shared" si="0"/>
        <v>25</v>
      </c>
      <c r="B37" s="13" t="s">
        <v>64</v>
      </c>
      <c r="C37" s="14" t="s">
        <v>65</v>
      </c>
      <c r="D37" s="15" t="s">
        <v>28</v>
      </c>
      <c r="E37" s="16">
        <v>22.76</v>
      </c>
      <c r="F37" s="17">
        <v>8</v>
      </c>
      <c r="G37" s="18"/>
      <c r="H37" s="18"/>
      <c r="I37" s="16">
        <f>IF(G37=0,ROUND($E37*$F37,2),ROUND($E37*$F37*$G37,2))</f>
        <v>182.08</v>
      </c>
      <c r="J37" s="16"/>
      <c r="K37" s="16">
        <f>IF($H37=0,ROUND($E37*(K$72/12),2),ROUND($E37*(K$72/12)*$H37,2))</f>
        <v>7.59</v>
      </c>
      <c r="L37" s="16"/>
      <c r="M37" s="16">
        <f aca="true" t="shared" si="14" ref="M37:N39">IF($H37=0,ROUND($E37*(M$72/12),2),ROUND($E37*(M$72/12)*$H37,2))</f>
        <v>18.97</v>
      </c>
      <c r="N37" s="16">
        <f t="shared" si="14"/>
        <v>30.35</v>
      </c>
      <c r="O37" s="16"/>
      <c r="P37" s="16"/>
      <c r="Q37" s="16"/>
      <c r="R37" s="16"/>
      <c r="S37" s="16"/>
      <c r="T37" s="16">
        <f>ROUND(((($I37+$J37)*(T$72/12)+($K37)*(T$73/12)+($M37)*(T$73/12))/27),2)</f>
        <v>4.82</v>
      </c>
      <c r="U37" s="16">
        <f>ROUND(((($I37+$J37+$N37+$O37+$P37+$Q37)*(U$72/12))/27),2)</f>
        <v>3.93</v>
      </c>
      <c r="V37" s="16"/>
      <c r="W37" s="16">
        <f>ROUND(((($I37+$J37)/9)*$W$72)+((($I37+$J37+$K37)/9)*$W$72)+((($I37+$J37+$M37)/9)*$W$72),2)</f>
        <v>3.5</v>
      </c>
      <c r="X37" s="16"/>
      <c r="Y37" s="16"/>
      <c r="Z37" s="16">
        <f aca="true" t="shared" si="15" ref="Z37:AA39">ROUND(((($I37+$J37)*(Z$72/12))/27),2)</f>
        <v>0.84</v>
      </c>
      <c r="AA37" s="16">
        <f t="shared" si="15"/>
        <v>0.98</v>
      </c>
      <c r="AB37" s="16"/>
      <c r="AC37" s="16"/>
      <c r="AD37" s="16"/>
      <c r="AE37" s="16"/>
      <c r="AF37" s="105"/>
      <c r="AG37" s="106"/>
    </row>
    <row r="38" spans="1:33" s="5" customFormat="1" ht="21.75" customHeight="1">
      <c r="A38" s="12">
        <f t="shared" si="0"/>
        <v>26</v>
      </c>
      <c r="B38" s="13" t="str">
        <f>C37</f>
        <v>277+72.76 (I.R. 277)</v>
      </c>
      <c r="C38" s="14" t="s">
        <v>67</v>
      </c>
      <c r="D38" s="15" t="s">
        <v>28</v>
      </c>
      <c r="E38" s="16">
        <v>7.24</v>
      </c>
      <c r="F38" s="17">
        <v>8</v>
      </c>
      <c r="G38" s="18">
        <f>ROUND((5729.58-((47.545+47.4)/2)-($F38/2))/5729.58,4)</f>
        <v>0.991</v>
      </c>
      <c r="H38" s="18">
        <f>ROUND((5729.58-((47.545+47.4)/2)-($F38))/5729.58,4)</f>
        <v>0.9903</v>
      </c>
      <c r="I38" s="16">
        <f>IF(G38=0,ROUND($E38*$F38,2),ROUND($E38*$F38*$G38,2))</f>
        <v>57.4</v>
      </c>
      <c r="J38" s="16"/>
      <c r="K38" s="16">
        <f>IF($H38=0,ROUND($E38*(K$72/12),2),ROUND($E38*(K$72/12)*$H38,2))</f>
        <v>2.39</v>
      </c>
      <c r="L38" s="16"/>
      <c r="M38" s="16">
        <f t="shared" si="14"/>
        <v>5.97</v>
      </c>
      <c r="N38" s="16">
        <f t="shared" si="14"/>
        <v>9.56</v>
      </c>
      <c r="O38" s="16"/>
      <c r="P38" s="16"/>
      <c r="Q38" s="16"/>
      <c r="R38" s="16"/>
      <c r="S38" s="16"/>
      <c r="T38" s="16">
        <f>ROUND(((($I38+$J38)*(T$72/12)+($K38)*(T$73/12)+($M38)*(T$73/12))/27),2)</f>
        <v>1.52</v>
      </c>
      <c r="U38" s="16">
        <f>ROUND(((($I38+$J38+$N38+$O38+$P38+$Q38)*(U$72/12))/27),2)</f>
        <v>1.24</v>
      </c>
      <c r="V38" s="16"/>
      <c r="W38" s="16">
        <f>ROUND(((($I38+$J38)/9)*$W$72)+((($I38+$J38+$K38)/9)*$W$72)+((($I38+$J38+$M38)/9)*$W$72),2)</f>
        <v>1.1</v>
      </c>
      <c r="X38" s="16"/>
      <c r="Y38" s="16"/>
      <c r="Z38" s="16">
        <f t="shared" si="15"/>
        <v>0.27</v>
      </c>
      <c r="AA38" s="16">
        <f t="shared" si="15"/>
        <v>0.31</v>
      </c>
      <c r="AB38" s="16"/>
      <c r="AC38" s="16"/>
      <c r="AD38" s="16"/>
      <c r="AE38" s="16"/>
      <c r="AF38" s="105"/>
      <c r="AG38" s="106"/>
    </row>
    <row r="39" spans="1:33" s="5" customFormat="1" ht="21.75" customHeight="1">
      <c r="A39" s="12">
        <f t="shared" si="0"/>
        <v>27</v>
      </c>
      <c r="B39" s="13" t="str">
        <f>C38</f>
        <v>277+80.00 (I.R. 277)</v>
      </c>
      <c r="C39" s="14" t="s">
        <v>66</v>
      </c>
      <c r="D39" s="15" t="s">
        <v>28</v>
      </c>
      <c r="E39" s="16">
        <v>170</v>
      </c>
      <c r="F39" s="17">
        <f>ROUND(AVERAGE(8,11.402),2)</f>
        <v>9.7</v>
      </c>
      <c r="G39" s="18">
        <f>ROUND((5729.58-((44+47.4)/2)-($F39/2))/5729.58,4)</f>
        <v>0.9912</v>
      </c>
      <c r="H39" s="18">
        <f>ROUND((5729.58-((44+47.4)/2)-($F39))/5729.58,4)</f>
        <v>0.9903</v>
      </c>
      <c r="I39" s="16">
        <f>IF(G39=0,ROUND($E39*$F39,2),ROUND($E39*$F39*$G39,2))</f>
        <v>1634.49</v>
      </c>
      <c r="J39" s="16"/>
      <c r="K39" s="16">
        <f>IF($H39=0,ROUND($E39*(K$72/12),2),ROUND($E39*(K$72/12)*$H39,2))</f>
        <v>56.12</v>
      </c>
      <c r="L39" s="16"/>
      <c r="M39" s="16">
        <f t="shared" si="14"/>
        <v>140.29</v>
      </c>
      <c r="N39" s="16">
        <f t="shared" si="14"/>
        <v>224.47</v>
      </c>
      <c r="O39" s="16"/>
      <c r="P39" s="16"/>
      <c r="Q39" s="16"/>
      <c r="R39" s="16"/>
      <c r="S39" s="16"/>
      <c r="T39" s="16">
        <f>ROUND(((($I39+$J39)*(T$72/12)+($K39)*(T$73/12)+($M39)*(T$73/12))/27),2)</f>
        <v>42.78</v>
      </c>
      <c r="U39" s="16">
        <f>ROUND(((($I39+$J39+$N39+$O39+$P39+$Q39)*(U$72/12))/27),2)</f>
        <v>34.43</v>
      </c>
      <c r="V39" s="16"/>
      <c r="W39" s="16">
        <f>ROUND(((($I39+$J39)/9)*$W$72)+((($I39+$J39+$K39)/9)*$W$72)+((($I39+$J39+$M39)/9)*$W$72),2)</f>
        <v>31.17</v>
      </c>
      <c r="X39" s="16"/>
      <c r="Y39" s="16"/>
      <c r="Z39" s="16">
        <f t="shared" si="15"/>
        <v>7.57</v>
      </c>
      <c r="AA39" s="16">
        <f t="shared" si="15"/>
        <v>8.83</v>
      </c>
      <c r="AB39" s="16"/>
      <c r="AC39" s="16"/>
      <c r="AD39" s="16"/>
      <c r="AE39" s="16"/>
      <c r="AF39" s="105"/>
      <c r="AG39" s="106"/>
    </row>
    <row r="40" spans="1:33" s="5" customFormat="1" ht="21.75" customHeight="1">
      <c r="A40" s="12">
        <f t="shared" si="0"/>
        <v>28</v>
      </c>
      <c r="B40" s="13"/>
      <c r="C40" s="14"/>
      <c r="D40" s="15"/>
      <c r="E40" s="16"/>
      <c r="F40" s="17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05"/>
      <c r="AG40" s="106"/>
    </row>
    <row r="41" spans="1:33" s="5" customFormat="1" ht="21.75" customHeight="1">
      <c r="A41" s="12">
        <f t="shared" si="0"/>
        <v>29</v>
      </c>
      <c r="B41" s="77" t="s">
        <v>68</v>
      </c>
      <c r="C41" s="78"/>
      <c r="D41" s="78"/>
      <c r="E41" s="78"/>
      <c r="F41" s="78"/>
      <c r="G41" s="78"/>
      <c r="H41" s="78"/>
      <c r="I41" s="79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05"/>
      <c r="AG41" s="106"/>
    </row>
    <row r="42" spans="1:33" s="5" customFormat="1" ht="21.75" customHeight="1">
      <c r="A42" s="12">
        <f t="shared" si="0"/>
        <v>30</v>
      </c>
      <c r="B42" s="19" t="s">
        <v>27</v>
      </c>
      <c r="C42" s="20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05"/>
      <c r="AG42" s="106"/>
    </row>
    <row r="43" spans="1:33" s="5" customFormat="1" ht="21.75" customHeight="1">
      <c r="A43" s="12">
        <f t="shared" si="0"/>
        <v>31</v>
      </c>
      <c r="B43" s="73">
        <v>67950.26</v>
      </c>
      <c r="C43" s="21">
        <v>68048.74</v>
      </c>
      <c r="D43" s="15" t="s">
        <v>33</v>
      </c>
      <c r="E43" s="16">
        <f aca="true" t="shared" si="16" ref="E43:E48">C43-B43</f>
        <v>98.48000000001048</v>
      </c>
      <c r="F43" s="80" t="s">
        <v>31</v>
      </c>
      <c r="G43" s="81"/>
      <c r="H43" s="81"/>
      <c r="I43" s="82"/>
      <c r="J43" s="16">
        <v>1381.06</v>
      </c>
      <c r="K43" s="16"/>
      <c r="L43" s="16"/>
      <c r="M43" s="16"/>
      <c r="N43" s="16"/>
      <c r="O43" s="16"/>
      <c r="P43" s="16"/>
      <c r="Q43" s="16"/>
      <c r="R43" s="16"/>
      <c r="S43" s="16"/>
      <c r="T43" s="16">
        <f aca="true" t="shared" si="17" ref="T43:T49">ROUND(((($I43+$J43)*(T$72/12))/27),2)</f>
        <v>34.1</v>
      </c>
      <c r="U43" s="16">
        <f aca="true" t="shared" si="18" ref="U43:U49">ROUND(((($I43+$J43+$N43+$O43+$P43+$Q43)*(U$72/12))/27),2)</f>
        <v>25.58</v>
      </c>
      <c r="V43" s="16"/>
      <c r="W43" s="16">
        <f aca="true" t="shared" si="19" ref="W43:W49">ROUND((((($I43+$J43)/9)*W$72)*3),2)</f>
        <v>25.32</v>
      </c>
      <c r="X43" s="16"/>
      <c r="Y43" s="16"/>
      <c r="Z43" s="16">
        <f aca="true" t="shared" si="20" ref="Z43:AA49">ROUND(((($I43+$J43)*(Z$72/12))/27),2)</f>
        <v>6.39</v>
      </c>
      <c r="AA43" s="16">
        <f t="shared" si="20"/>
        <v>7.46</v>
      </c>
      <c r="AB43" s="16">
        <f>$AA43+$Z43</f>
        <v>13.85</v>
      </c>
      <c r="AC43" s="16"/>
      <c r="AD43" s="16"/>
      <c r="AE43" s="16"/>
      <c r="AF43" s="105"/>
      <c r="AG43" s="106"/>
    </row>
    <row r="44" spans="1:33" s="5" customFormat="1" ht="21.75" customHeight="1">
      <c r="A44" s="12">
        <f t="shared" si="0"/>
        <v>32</v>
      </c>
      <c r="B44" s="13">
        <f aca="true" t="shared" si="21" ref="B44:B49">C43</f>
        <v>68048.74</v>
      </c>
      <c r="C44" s="14">
        <v>68318.39</v>
      </c>
      <c r="D44" s="15" t="s">
        <v>33</v>
      </c>
      <c r="E44" s="16">
        <f t="shared" si="16"/>
        <v>269.6499999999942</v>
      </c>
      <c r="F44" s="17">
        <v>16</v>
      </c>
      <c r="G44" s="18">
        <f>ROUND((2989.345+($F44/2))/2989.345,4)</f>
        <v>1.0027</v>
      </c>
      <c r="H44" s="16"/>
      <c r="I44" s="16">
        <f>IF($G44=0,ROUND($E44*$F44,2),ROUND($E44*$F44*$G44,2))</f>
        <v>4326.05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>
        <f t="shared" si="17"/>
        <v>106.82</v>
      </c>
      <c r="U44" s="16">
        <f t="shared" si="18"/>
        <v>80.11</v>
      </c>
      <c r="V44" s="16"/>
      <c r="W44" s="16">
        <f t="shared" si="19"/>
        <v>79.31</v>
      </c>
      <c r="X44" s="16"/>
      <c r="Y44" s="16"/>
      <c r="Z44" s="16">
        <f t="shared" si="20"/>
        <v>20.03</v>
      </c>
      <c r="AA44" s="16">
        <f t="shared" si="20"/>
        <v>23.37</v>
      </c>
      <c r="AB44" s="16">
        <f aca="true" t="shared" si="22" ref="AB44:AB49">$AA44+$Z44</f>
        <v>43.400000000000006</v>
      </c>
      <c r="AC44" s="16"/>
      <c r="AD44" s="16"/>
      <c r="AE44" s="16"/>
      <c r="AF44" s="105"/>
      <c r="AG44" s="106"/>
    </row>
    <row r="45" spans="1:33" s="5" customFormat="1" ht="21.75" customHeight="1">
      <c r="A45" s="12">
        <f t="shared" si="0"/>
        <v>33</v>
      </c>
      <c r="B45" s="13">
        <f t="shared" si="21"/>
        <v>68318.39</v>
      </c>
      <c r="C45" s="14">
        <v>68518.39</v>
      </c>
      <c r="D45" s="15" t="s">
        <v>33</v>
      </c>
      <c r="E45" s="16">
        <f t="shared" si="16"/>
        <v>200</v>
      </c>
      <c r="F45" s="17">
        <v>16</v>
      </c>
      <c r="G45" s="18">
        <f>ROUND((((2989.345+($F45/2))/2989.345)+((238.732+($F45/2))/238.732))/2,4)</f>
        <v>1.0181</v>
      </c>
      <c r="H45" s="16"/>
      <c r="I45" s="16">
        <f>IF($G45=0,ROUND($E45*$F45,2),ROUND($E45*$F45*$G45,2))</f>
        <v>3257.92</v>
      </c>
      <c r="J45" s="16"/>
      <c r="K45" s="39"/>
      <c r="L45" s="16"/>
      <c r="M45" s="16"/>
      <c r="N45" s="16"/>
      <c r="O45" s="16"/>
      <c r="P45" s="16"/>
      <c r="Q45" s="16"/>
      <c r="R45" s="16"/>
      <c r="S45" s="16"/>
      <c r="T45" s="16">
        <f t="shared" si="17"/>
        <v>80.44</v>
      </c>
      <c r="U45" s="16">
        <f t="shared" si="18"/>
        <v>60.33</v>
      </c>
      <c r="V45" s="16"/>
      <c r="W45" s="16">
        <f t="shared" si="19"/>
        <v>59.73</v>
      </c>
      <c r="X45" s="16"/>
      <c r="Y45" s="16"/>
      <c r="Z45" s="16">
        <f t="shared" si="20"/>
        <v>15.08</v>
      </c>
      <c r="AA45" s="16">
        <f t="shared" si="20"/>
        <v>17.6</v>
      </c>
      <c r="AB45" s="16">
        <f t="shared" si="22"/>
        <v>32.68</v>
      </c>
      <c r="AC45" s="16"/>
      <c r="AD45" s="16"/>
      <c r="AE45" s="16"/>
      <c r="AF45" s="105"/>
      <c r="AG45" s="106"/>
    </row>
    <row r="46" spans="1:33" s="5" customFormat="1" ht="21.75" customHeight="1">
      <c r="A46" s="12">
        <f t="shared" si="0"/>
        <v>34</v>
      </c>
      <c r="B46" s="13">
        <f t="shared" si="21"/>
        <v>68518.39</v>
      </c>
      <c r="C46" s="14">
        <v>69194.95</v>
      </c>
      <c r="D46" s="15" t="s">
        <v>33</v>
      </c>
      <c r="E46" s="16">
        <f t="shared" si="16"/>
        <v>676.5599999999977</v>
      </c>
      <c r="F46" s="17">
        <v>16</v>
      </c>
      <c r="G46" s="18">
        <f>ROUND((238.732+($F46/2))/238.732,4)</f>
        <v>1.0335</v>
      </c>
      <c r="H46" s="16"/>
      <c r="I46" s="16">
        <f>IF($G46=0,ROUND($E46*$F46,2),ROUND($E46*$F46*$G46,2))</f>
        <v>11187.6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>
        <f t="shared" si="17"/>
        <v>276.24</v>
      </c>
      <c r="U46" s="16">
        <f t="shared" si="18"/>
        <v>207.18</v>
      </c>
      <c r="V46" s="16"/>
      <c r="W46" s="16">
        <f t="shared" si="19"/>
        <v>205.11</v>
      </c>
      <c r="X46" s="16"/>
      <c r="Y46" s="16"/>
      <c r="Z46" s="16">
        <f t="shared" si="20"/>
        <v>51.79</v>
      </c>
      <c r="AA46" s="16">
        <f t="shared" si="20"/>
        <v>60.43</v>
      </c>
      <c r="AB46" s="16">
        <f t="shared" si="22"/>
        <v>112.22</v>
      </c>
      <c r="AC46" s="16"/>
      <c r="AD46" s="16"/>
      <c r="AE46" s="16"/>
      <c r="AF46" s="105"/>
      <c r="AG46" s="106"/>
    </row>
    <row r="47" spans="1:33" s="5" customFormat="1" ht="21.75" customHeight="1">
      <c r="A47" s="12">
        <f t="shared" si="0"/>
        <v>35</v>
      </c>
      <c r="B47" s="13">
        <f t="shared" si="21"/>
        <v>69194.95</v>
      </c>
      <c r="C47" s="14">
        <v>69494.95</v>
      </c>
      <c r="D47" s="15" t="s">
        <v>33</v>
      </c>
      <c r="E47" s="16">
        <f t="shared" si="16"/>
        <v>300</v>
      </c>
      <c r="F47" s="17">
        <v>16</v>
      </c>
      <c r="G47" s="18">
        <f>ROUND((((238.732+($F47/2))/238.732)+1)/2,4)</f>
        <v>1.0168</v>
      </c>
      <c r="H47" s="16"/>
      <c r="I47" s="16">
        <f>IF($G47=0,ROUND($E47*$F47,2),ROUND($E47*$F47*$G47,2))</f>
        <v>4880.64</v>
      </c>
      <c r="J47" s="16"/>
      <c r="K47" s="41"/>
      <c r="L47" s="16"/>
      <c r="M47" s="16"/>
      <c r="N47" s="16"/>
      <c r="O47" s="16"/>
      <c r="P47" s="16"/>
      <c r="Q47" s="41"/>
      <c r="R47" s="16"/>
      <c r="S47" s="16"/>
      <c r="T47" s="16">
        <f t="shared" si="17"/>
        <v>120.51</v>
      </c>
      <c r="U47" s="16">
        <f t="shared" si="18"/>
        <v>90.38</v>
      </c>
      <c r="V47" s="16"/>
      <c r="W47" s="16">
        <f t="shared" si="19"/>
        <v>89.48</v>
      </c>
      <c r="X47" s="16"/>
      <c r="Y47" s="16"/>
      <c r="Z47" s="16">
        <f t="shared" si="20"/>
        <v>22.6</v>
      </c>
      <c r="AA47" s="16">
        <f t="shared" si="20"/>
        <v>26.36</v>
      </c>
      <c r="AB47" s="16">
        <f t="shared" si="22"/>
        <v>48.96</v>
      </c>
      <c r="AC47" s="16"/>
      <c r="AD47" s="16"/>
      <c r="AE47" s="16"/>
      <c r="AF47" s="105"/>
      <c r="AG47" s="106"/>
    </row>
    <row r="48" spans="1:33" s="5" customFormat="1" ht="21.75" customHeight="1">
      <c r="A48" s="12">
        <f t="shared" si="0"/>
        <v>36</v>
      </c>
      <c r="B48" s="13">
        <f t="shared" si="21"/>
        <v>69494.95</v>
      </c>
      <c r="C48" s="14">
        <v>70011.57</v>
      </c>
      <c r="D48" s="15" t="s">
        <v>33</v>
      </c>
      <c r="E48" s="16">
        <f t="shared" si="16"/>
        <v>516.6200000000099</v>
      </c>
      <c r="F48" s="17">
        <v>16</v>
      </c>
      <c r="G48" s="18"/>
      <c r="H48" s="16"/>
      <c r="I48" s="16">
        <f>IF(G48=0,ROUND($E48*$F48,2),ROUND($E48*$F48*$G48,2))</f>
        <v>8265.92</v>
      </c>
      <c r="J48" s="16"/>
      <c r="K48" s="41"/>
      <c r="L48" s="16"/>
      <c r="M48" s="16"/>
      <c r="N48" s="16"/>
      <c r="O48" s="16"/>
      <c r="P48" s="16"/>
      <c r="Q48" s="16"/>
      <c r="R48" s="16"/>
      <c r="S48" s="16"/>
      <c r="T48" s="16">
        <f t="shared" si="17"/>
        <v>204.1</v>
      </c>
      <c r="U48" s="16">
        <f t="shared" si="18"/>
        <v>153.07</v>
      </c>
      <c r="V48" s="16"/>
      <c r="W48" s="16">
        <f t="shared" si="19"/>
        <v>151.54</v>
      </c>
      <c r="X48" s="16"/>
      <c r="Y48" s="16"/>
      <c r="Z48" s="16">
        <f t="shared" si="20"/>
        <v>38.27</v>
      </c>
      <c r="AA48" s="16">
        <f t="shared" si="20"/>
        <v>44.65</v>
      </c>
      <c r="AB48" s="16">
        <f t="shared" si="22"/>
        <v>82.92</v>
      </c>
      <c r="AC48" s="16"/>
      <c r="AD48" s="16"/>
      <c r="AE48" s="16"/>
      <c r="AF48" s="105"/>
      <c r="AG48" s="106"/>
    </row>
    <row r="49" spans="1:33" s="5" customFormat="1" ht="21.75" customHeight="1">
      <c r="A49" s="12">
        <f t="shared" si="0"/>
        <v>37</v>
      </c>
      <c r="B49" s="13">
        <f t="shared" si="21"/>
        <v>70011.57</v>
      </c>
      <c r="C49" s="14">
        <v>70211.45</v>
      </c>
      <c r="D49" s="15" t="s">
        <v>33</v>
      </c>
      <c r="E49" s="16">
        <f>C49-B49</f>
        <v>199.8799999999901</v>
      </c>
      <c r="F49" s="17">
        <f>ROUND(AVERAGE(16,12),2)</f>
        <v>14</v>
      </c>
      <c r="G49" s="18"/>
      <c r="H49" s="16"/>
      <c r="I49" s="16">
        <f>IF(G49=0,ROUND($E49*$F49,2),ROUND($E49*$F49*$G49,2))</f>
        <v>2798.32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f t="shared" si="17"/>
        <v>69.09</v>
      </c>
      <c r="U49" s="16">
        <f t="shared" si="18"/>
        <v>51.82</v>
      </c>
      <c r="V49" s="16"/>
      <c r="W49" s="16">
        <f t="shared" si="19"/>
        <v>51.3</v>
      </c>
      <c r="X49" s="16"/>
      <c r="Y49" s="16"/>
      <c r="Z49" s="16">
        <f t="shared" si="20"/>
        <v>12.96</v>
      </c>
      <c r="AA49" s="16">
        <f t="shared" si="20"/>
        <v>15.11</v>
      </c>
      <c r="AB49" s="16">
        <f t="shared" si="22"/>
        <v>28.07</v>
      </c>
      <c r="AC49" s="16"/>
      <c r="AD49" s="16"/>
      <c r="AE49" s="16"/>
      <c r="AF49" s="105"/>
      <c r="AG49" s="106"/>
    </row>
    <row r="50" spans="1:33" s="5" customFormat="1" ht="21.75" customHeight="1" thickBot="1">
      <c r="A50" s="12">
        <f t="shared" si="0"/>
        <v>38</v>
      </c>
      <c r="B50" s="14"/>
      <c r="C50" s="14"/>
      <c r="D50" s="15"/>
      <c r="E50" s="16"/>
      <c r="F50" s="17"/>
      <c r="G50" s="1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07"/>
      <c r="AG50" s="108"/>
    </row>
    <row r="51" spans="1:33" s="5" customFormat="1" ht="21.75" customHeight="1">
      <c r="A51" s="12">
        <f t="shared" si="0"/>
        <v>39</v>
      </c>
      <c r="B51" s="19" t="s">
        <v>35</v>
      </c>
      <c r="C51" s="14"/>
      <c r="D51" s="15"/>
      <c r="E51" s="16"/>
      <c r="F51" s="17"/>
      <c r="G51" s="1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03" t="s">
        <v>93</v>
      </c>
      <c r="AG51" s="104"/>
    </row>
    <row r="52" spans="1:33" s="5" customFormat="1" ht="21.75" customHeight="1">
      <c r="A52" s="12">
        <f t="shared" si="0"/>
        <v>40</v>
      </c>
      <c r="B52" s="14">
        <v>68295.09</v>
      </c>
      <c r="C52" s="14">
        <v>68318.39</v>
      </c>
      <c r="D52" s="15" t="s">
        <v>33</v>
      </c>
      <c r="E52" s="16">
        <f>C52-B52</f>
        <v>23.30000000000291</v>
      </c>
      <c r="F52" s="80" t="s">
        <v>31</v>
      </c>
      <c r="G52" s="81"/>
      <c r="H52" s="81"/>
      <c r="I52" s="82"/>
      <c r="J52" s="16">
        <v>69.7</v>
      </c>
      <c r="K52" s="16">
        <f>IF($H52=0,ROUND($E52*(K$72/12),2),ROUND($E52*(K$72/12)*$H52,2))</f>
        <v>7.77</v>
      </c>
      <c r="L52" s="15"/>
      <c r="M52" s="16">
        <f aca="true" t="shared" si="23" ref="M52:N56">IF($H52=0,ROUND($E52*(M$72/12),2),ROUND($E52*(M$72/12)*$H52,2))</f>
        <v>19.42</v>
      </c>
      <c r="N52" s="16">
        <f t="shared" si="23"/>
        <v>31.07</v>
      </c>
      <c r="O52" s="16"/>
      <c r="P52" s="16"/>
      <c r="Q52" s="16"/>
      <c r="R52" s="16"/>
      <c r="S52" s="16"/>
      <c r="T52" s="16">
        <f>ROUND(((($I52+$J52)*(T$72/12)+($K52)*(T$73/12)+($M52)*(T$73/12))/27),2)</f>
        <v>2.06</v>
      </c>
      <c r="U52" s="16">
        <f>ROUND(((($I52+$J52+$N52+$O52+$P52+$Q52)*(U$72/12))/27),2)</f>
        <v>1.87</v>
      </c>
      <c r="V52" s="16"/>
      <c r="W52" s="16">
        <f>ROUND(((($I52+$J52)/9)*$W$72)+((($I52+$J52+$K52)/9)*$W$72)+((($I52+$J52+$M52)/9)*$W$72),2)</f>
        <v>1.44</v>
      </c>
      <c r="X52" s="16"/>
      <c r="Y52" s="16"/>
      <c r="Z52" s="16">
        <f aca="true" t="shared" si="24" ref="Z52:AA56">ROUND(((($I52+$J52)*(Z$72/12))/27),2)</f>
        <v>0.32</v>
      </c>
      <c r="AA52" s="16">
        <f t="shared" si="24"/>
        <v>0.38</v>
      </c>
      <c r="AB52" s="16"/>
      <c r="AC52" s="16"/>
      <c r="AD52" s="16"/>
      <c r="AE52" s="16"/>
      <c r="AF52" s="105"/>
      <c r="AG52" s="106"/>
    </row>
    <row r="53" spans="1:33" s="5" customFormat="1" ht="21.75" customHeight="1">
      <c r="A53" s="12">
        <f t="shared" si="0"/>
        <v>41</v>
      </c>
      <c r="B53" s="14">
        <f>C52</f>
        <v>68318.39</v>
      </c>
      <c r="C53" s="14">
        <v>68518.39</v>
      </c>
      <c r="D53" s="15" t="s">
        <v>33</v>
      </c>
      <c r="E53" s="16">
        <f>C53-B53</f>
        <v>200</v>
      </c>
      <c r="F53" s="17">
        <v>3</v>
      </c>
      <c r="G53" s="18">
        <f>ROUND((((2989.345+16+($F53/2))/2989.345)+((238.732+16+($F53/2))/238.732))/2,4)</f>
        <v>1.0396</v>
      </c>
      <c r="H53" s="18">
        <f>ROUND((((2989.345+16+($F53))/2989.345)+((238.732+16+($F53))/238.732))/2,4)</f>
        <v>1.043</v>
      </c>
      <c r="I53" s="16">
        <f>IF(G53=0,ROUND($E53*$F53,2),ROUND($E53*$F53*$G53,2))</f>
        <v>623.76</v>
      </c>
      <c r="J53" s="16"/>
      <c r="K53" s="16">
        <f>IF($H53=0,ROUND($E53*(K$72/12),2),ROUND($E53*(K$72/12)*$H53,2))</f>
        <v>69.53</v>
      </c>
      <c r="L53" s="15"/>
      <c r="M53" s="16">
        <f t="shared" si="23"/>
        <v>173.83</v>
      </c>
      <c r="N53" s="16">
        <f t="shared" si="23"/>
        <v>278.13</v>
      </c>
      <c r="O53" s="16"/>
      <c r="P53" s="16"/>
      <c r="Q53" s="16"/>
      <c r="R53" s="16"/>
      <c r="S53" s="16"/>
      <c r="T53" s="16">
        <f>ROUND(((($I53+$J53)*(T$72/12)+($K53)*(T$73/12)+($M53)*(T$73/12))/27),2)</f>
        <v>18.41</v>
      </c>
      <c r="U53" s="16">
        <f>ROUND(((($I53+$J53+$N53+$O53+$P53+$Q53)*(U$72/12))/27),2)</f>
        <v>16.7</v>
      </c>
      <c r="V53" s="16"/>
      <c r="W53" s="16">
        <f>ROUND(((($I53+$J53)/9)*$W$72)+((($I53+$J53+$K53)/9)*$W$72)+((($I53+$J53+$M53)/9)*$W$72),2)</f>
        <v>12.92</v>
      </c>
      <c r="X53" s="16"/>
      <c r="Y53" s="16"/>
      <c r="Z53" s="16">
        <f t="shared" si="24"/>
        <v>2.89</v>
      </c>
      <c r="AA53" s="16">
        <f t="shared" si="24"/>
        <v>3.37</v>
      </c>
      <c r="AB53" s="16"/>
      <c r="AC53" s="16"/>
      <c r="AD53" s="16"/>
      <c r="AE53" s="16"/>
      <c r="AF53" s="105"/>
      <c r="AG53" s="106"/>
    </row>
    <row r="54" spans="1:33" s="5" customFormat="1" ht="21.75" customHeight="1">
      <c r="A54" s="12">
        <f t="shared" si="0"/>
        <v>42</v>
      </c>
      <c r="B54" s="14">
        <f>C53</f>
        <v>68518.39</v>
      </c>
      <c r="C54" s="14">
        <v>69194.95</v>
      </c>
      <c r="D54" s="15" t="s">
        <v>33</v>
      </c>
      <c r="E54" s="16">
        <f>C54-B54</f>
        <v>676.5599999999977</v>
      </c>
      <c r="F54" s="17">
        <v>3</v>
      </c>
      <c r="G54" s="18">
        <f>ROUND((238.732+16+($F54/2))/238.732,4)</f>
        <v>1.0733</v>
      </c>
      <c r="H54" s="18">
        <f>ROUND((238.732+16+($F54))/238.732,4)</f>
        <v>1.0796</v>
      </c>
      <c r="I54" s="16">
        <f>IF(G54=0,ROUND($E54*$F54,2),ROUND($E54*$F54*$G54,2))</f>
        <v>2178.46</v>
      </c>
      <c r="J54" s="16"/>
      <c r="K54" s="16">
        <f>IF($H54=0,ROUND($E54*(K$72/12),2),ROUND($E54*(K$72/12)*$H54,2))</f>
        <v>243.47</v>
      </c>
      <c r="L54" s="16"/>
      <c r="M54" s="16">
        <f t="shared" si="23"/>
        <v>608.68</v>
      </c>
      <c r="N54" s="16">
        <f t="shared" si="23"/>
        <v>973.89</v>
      </c>
      <c r="O54" s="16"/>
      <c r="P54" s="16"/>
      <c r="Q54" s="16"/>
      <c r="R54" s="16"/>
      <c r="S54" s="16"/>
      <c r="T54" s="16">
        <f>ROUND(((($I54+$J54)*(T$72/12)+($K54)*(T$73/12)+($M54)*(T$73/12))/27),2)</f>
        <v>64.31</v>
      </c>
      <c r="U54" s="16">
        <f>ROUND(((($I54+$J54+$N54+$O54+$P54+$Q54)*(U$72/12))/27),2)</f>
        <v>58.38</v>
      </c>
      <c r="V54" s="16"/>
      <c r="W54" s="16">
        <f>ROUND(((($I54+$J54)/9)*$W$72)+((($I54+$J54+$K54)/9)*$W$72)+((($I54+$J54+$M54)/9)*$W$72),2)</f>
        <v>45.15</v>
      </c>
      <c r="X54" s="16"/>
      <c r="Y54" s="16"/>
      <c r="Z54" s="16">
        <f t="shared" si="24"/>
        <v>10.09</v>
      </c>
      <c r="AA54" s="16">
        <f t="shared" si="24"/>
        <v>11.77</v>
      </c>
      <c r="AB54" s="16"/>
      <c r="AC54" s="16"/>
      <c r="AD54" s="16"/>
      <c r="AE54" s="16"/>
      <c r="AF54" s="105"/>
      <c r="AG54" s="106"/>
    </row>
    <row r="55" spans="1:33" s="5" customFormat="1" ht="21.75" customHeight="1">
      <c r="A55" s="12">
        <f t="shared" si="0"/>
        <v>43</v>
      </c>
      <c r="B55" s="14">
        <f>C54</f>
        <v>69194.95</v>
      </c>
      <c r="C55" s="14">
        <v>69350</v>
      </c>
      <c r="D55" s="15" t="s">
        <v>33</v>
      </c>
      <c r="E55" s="16">
        <f>C55-B55</f>
        <v>155.0500000000029</v>
      </c>
      <c r="F55" s="17">
        <v>3</v>
      </c>
      <c r="G55" s="18">
        <f>ROUND((((238.732+16+($F55/2))/238.732)+1)/2,4)</f>
        <v>1.0367</v>
      </c>
      <c r="H55" s="18">
        <f>ROUND((((238.732+16+($F55))/238.732)+1)/2,4)</f>
        <v>1.0398</v>
      </c>
      <c r="I55" s="16">
        <f>IF(G55=0,ROUND($E55*$F55,2),ROUND($E55*$F55*$G55,2))</f>
        <v>482.22</v>
      </c>
      <c r="J55" s="16"/>
      <c r="K55" s="16">
        <f>IF($H55=0,ROUND($E55*(K$72/12),2),ROUND($E55*(K$72/12)*$H55,2))</f>
        <v>53.74</v>
      </c>
      <c r="L55" s="16"/>
      <c r="M55" s="16">
        <f t="shared" si="23"/>
        <v>134.35</v>
      </c>
      <c r="N55" s="16">
        <f t="shared" si="23"/>
        <v>214.96</v>
      </c>
      <c r="O55" s="16"/>
      <c r="P55" s="16"/>
      <c r="Q55" s="16"/>
      <c r="R55" s="16"/>
      <c r="S55" s="16"/>
      <c r="T55" s="16">
        <f>ROUND(((($I55+$J55)*(T$72/12)+($K55)*(T$73/12)+($M55)*(T$73/12))/27),2)</f>
        <v>14.23</v>
      </c>
      <c r="U55" s="16">
        <f>ROUND(((($I55+$J55+$N55+$O55+$P55+$Q55)*(U$72/12))/27),2)</f>
        <v>12.91</v>
      </c>
      <c r="V55" s="16"/>
      <c r="W55" s="16">
        <f>ROUND(((($I55+$J55)/9)*$W$72)+((($I55+$J55+$K55)/9)*$W$72)+((($I55+$J55+$M55)/9)*$W$72),2)</f>
        <v>9.99</v>
      </c>
      <c r="X55" s="16"/>
      <c r="Y55" s="16"/>
      <c r="Z55" s="16">
        <f t="shared" si="24"/>
        <v>2.23</v>
      </c>
      <c r="AA55" s="16">
        <f t="shared" si="24"/>
        <v>2.6</v>
      </c>
      <c r="AB55" s="16"/>
      <c r="AC55" s="16"/>
      <c r="AD55" s="16"/>
      <c r="AE55" s="16"/>
      <c r="AF55" s="105"/>
      <c r="AG55" s="106"/>
    </row>
    <row r="56" spans="1:33" s="5" customFormat="1" ht="21.75" customHeight="1">
      <c r="A56" s="12">
        <f t="shared" si="0"/>
        <v>44</v>
      </c>
      <c r="B56" s="13">
        <f>C55</f>
        <v>69350</v>
      </c>
      <c r="C56" s="14">
        <v>69370.06</v>
      </c>
      <c r="D56" s="15" t="s">
        <v>33</v>
      </c>
      <c r="E56" s="16">
        <f>C56-B56</f>
        <v>20.05999999999767</v>
      </c>
      <c r="F56" s="80" t="s">
        <v>31</v>
      </c>
      <c r="G56" s="81"/>
      <c r="H56" s="81"/>
      <c r="I56" s="82"/>
      <c r="J56" s="16">
        <v>61.35</v>
      </c>
      <c r="K56" s="16">
        <f>IF($H56=0,ROUND($E56*(K$72/12),2),ROUND($E56*(K$72/12)*$H56,2))</f>
        <v>6.69</v>
      </c>
      <c r="L56" s="16"/>
      <c r="M56" s="16">
        <f t="shared" si="23"/>
        <v>16.72</v>
      </c>
      <c r="N56" s="16">
        <f t="shared" si="23"/>
        <v>26.75</v>
      </c>
      <c r="O56" s="16"/>
      <c r="P56" s="16"/>
      <c r="Q56" s="16"/>
      <c r="R56" s="16"/>
      <c r="S56" s="16"/>
      <c r="T56" s="16">
        <f>ROUND(((($I56+$J56)*(T$72/12)+($K56)*(T$73/12)+($M56)*(T$73/12))/27),2)</f>
        <v>1.8</v>
      </c>
      <c r="U56" s="16">
        <f>ROUND(((($I56+$J56+$N56+$O56+$P56+$Q56)*(U$72/12))/27),2)</f>
        <v>1.63</v>
      </c>
      <c r="V56" s="16"/>
      <c r="W56" s="16">
        <f>ROUND(((($I56+$J56)/9)*$W$72)+((($I56+$J56+$K56)/9)*$W$72)+((($I56+$J56+$M56)/9)*$W$72),2)</f>
        <v>1.27</v>
      </c>
      <c r="X56" s="16"/>
      <c r="Y56" s="16"/>
      <c r="Z56" s="16">
        <f t="shared" si="24"/>
        <v>0.28</v>
      </c>
      <c r="AA56" s="16">
        <f t="shared" si="24"/>
        <v>0.33</v>
      </c>
      <c r="AB56" s="16"/>
      <c r="AC56" s="16"/>
      <c r="AD56" s="16"/>
      <c r="AE56" s="16"/>
      <c r="AF56" s="105"/>
      <c r="AG56" s="106"/>
    </row>
    <row r="57" spans="1:33" s="5" customFormat="1" ht="21.75" customHeight="1">
      <c r="A57" s="12">
        <f t="shared" si="0"/>
        <v>45</v>
      </c>
      <c r="B57" s="13"/>
      <c r="C57" s="14"/>
      <c r="D57" s="15"/>
      <c r="E57" s="16"/>
      <c r="F57" s="17"/>
      <c r="G57" s="18"/>
      <c r="H57" s="18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05"/>
      <c r="AG57" s="106"/>
    </row>
    <row r="58" spans="1:33" s="5" customFormat="1" ht="21.75" customHeight="1">
      <c r="A58" s="12">
        <f t="shared" si="0"/>
        <v>46</v>
      </c>
      <c r="B58" s="13"/>
      <c r="C58" s="14"/>
      <c r="D58" s="15"/>
      <c r="E58" s="16"/>
      <c r="F58" s="17"/>
      <c r="G58" s="18"/>
      <c r="H58" s="18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05"/>
      <c r="AG58" s="106"/>
    </row>
    <row r="59" spans="1:33" s="5" customFormat="1" ht="21.75" customHeight="1">
      <c r="A59" s="12">
        <f t="shared" si="0"/>
        <v>47</v>
      </c>
      <c r="B59" s="13"/>
      <c r="C59" s="14"/>
      <c r="D59" s="15"/>
      <c r="E59" s="16"/>
      <c r="F59" s="17"/>
      <c r="G59" s="18"/>
      <c r="H59" s="18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05"/>
      <c r="AG59" s="106"/>
    </row>
    <row r="60" spans="1:33" s="5" customFormat="1" ht="21.75" customHeight="1">
      <c r="A60" s="12">
        <f t="shared" si="0"/>
        <v>48</v>
      </c>
      <c r="B60" s="13"/>
      <c r="C60" s="14"/>
      <c r="D60" s="15"/>
      <c r="E60" s="16"/>
      <c r="F60" s="17"/>
      <c r="G60" s="18"/>
      <c r="H60" s="18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05"/>
      <c r="AG60" s="106"/>
    </row>
    <row r="61" spans="1:33" s="24" customFormat="1" ht="21.75" customHeight="1">
      <c r="A61" s="12">
        <f t="shared" si="0"/>
        <v>49</v>
      </c>
      <c r="B61" s="13"/>
      <c r="C61" s="14"/>
      <c r="D61" s="15"/>
      <c r="E61" s="16"/>
      <c r="F61" s="17"/>
      <c r="G61" s="18"/>
      <c r="H61" s="18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05"/>
      <c r="AG61" s="106"/>
    </row>
    <row r="62" spans="1:33" s="24" customFormat="1" ht="21.75" customHeight="1">
      <c r="A62" s="12">
        <f t="shared" si="0"/>
        <v>50</v>
      </c>
      <c r="B62" s="13"/>
      <c r="C62" s="14"/>
      <c r="D62" s="15"/>
      <c r="E62" s="16"/>
      <c r="F62" s="17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05"/>
      <c r="AG62" s="106"/>
    </row>
    <row r="63" spans="1:33" s="24" customFormat="1" ht="21.75" customHeight="1">
      <c r="A63" s="12">
        <f t="shared" si="0"/>
        <v>51</v>
      </c>
      <c r="B63" s="13"/>
      <c r="C63" s="14"/>
      <c r="D63" s="15"/>
      <c r="E63" s="16"/>
      <c r="F63" s="17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05"/>
      <c r="AG63" s="106"/>
    </row>
    <row r="64" spans="1:33" s="24" customFormat="1" ht="21.75" customHeight="1">
      <c r="A64" s="12">
        <f t="shared" si="0"/>
        <v>52</v>
      </c>
      <c r="B64" s="13"/>
      <c r="C64" s="14"/>
      <c r="D64" s="15"/>
      <c r="E64" s="16"/>
      <c r="F64" s="1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12"/>
      <c r="AG64" s="106"/>
    </row>
    <row r="65" spans="1:33" s="24" customFormat="1" ht="21.75" customHeight="1">
      <c r="A65" s="12">
        <f t="shared" si="0"/>
        <v>53</v>
      </c>
      <c r="B65" s="13"/>
      <c r="C65" s="14"/>
      <c r="D65" s="15"/>
      <c r="E65" s="16"/>
      <c r="F65" s="1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12"/>
      <c r="AG65" s="106"/>
    </row>
    <row r="66" spans="1:33" s="24" customFormat="1" ht="21.75" customHeight="1" thickBot="1">
      <c r="A66" s="12">
        <f t="shared" si="0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13"/>
      <c r="AG66" s="108"/>
    </row>
    <row r="67" spans="2:33" s="25" customFormat="1" ht="46.5" customHeight="1">
      <c r="B67" s="93" t="s">
        <v>8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5"/>
      <c r="S67" s="110" t="str">
        <f aca="true" t="shared" si="25" ref="S67:AE67">IF(SUM(S13:S66)=0," ",ROUNDUP(SUM(S13:S66),0))</f>
        <v> </v>
      </c>
      <c r="T67" s="110">
        <f t="shared" si="25"/>
        <v>1797</v>
      </c>
      <c r="U67" s="110">
        <f t="shared" si="25"/>
        <v>1432</v>
      </c>
      <c r="V67" s="110" t="str">
        <f t="shared" si="25"/>
        <v> </v>
      </c>
      <c r="W67" s="110">
        <f t="shared" si="25"/>
        <v>1313</v>
      </c>
      <c r="X67" s="110" t="str">
        <f t="shared" si="25"/>
        <v> </v>
      </c>
      <c r="Y67" s="110" t="str">
        <f t="shared" si="25"/>
        <v> </v>
      </c>
      <c r="Z67" s="110">
        <f t="shared" si="25"/>
        <v>321</v>
      </c>
      <c r="AA67" s="110">
        <f t="shared" si="25"/>
        <v>375</v>
      </c>
      <c r="AB67" s="110">
        <f t="shared" si="25"/>
        <v>363</v>
      </c>
      <c r="AC67" s="110" t="str">
        <f t="shared" si="25"/>
        <v> </v>
      </c>
      <c r="AD67" s="110" t="str">
        <f t="shared" si="25"/>
        <v> </v>
      </c>
      <c r="AE67" s="110" t="str">
        <f t="shared" si="25"/>
        <v> </v>
      </c>
      <c r="AF67" s="120">
        <v>11</v>
      </c>
      <c r="AG67" s="121"/>
    </row>
    <row r="68" spans="2:33" s="25" customFormat="1" ht="46.5" customHeight="1" thickBot="1"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8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4">
        <v>15</v>
      </c>
      <c r="AG68" s="115"/>
    </row>
    <row r="69" spans="1:34" ht="36" customHeight="1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U69" s="27"/>
      <c r="V69" s="27"/>
      <c r="W69" s="1"/>
      <c r="X69" s="27"/>
      <c r="Y69" s="27"/>
      <c r="Z69" s="27"/>
      <c r="AA69" s="27"/>
      <c r="AB69" s="27"/>
      <c r="AF69" s="27"/>
      <c r="AG69" s="27"/>
      <c r="AH69" s="28"/>
    </row>
    <row r="70" spans="2:33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U70" s="27"/>
      <c r="V70" s="27"/>
      <c r="W70" s="1"/>
      <c r="X70" s="27"/>
      <c r="Y70" s="27"/>
      <c r="Z70" s="27"/>
      <c r="AA70" s="27"/>
      <c r="AB70" s="27"/>
      <c r="AF70" s="27"/>
      <c r="AG70" s="27"/>
    </row>
    <row r="71" spans="2:33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U71" s="27"/>
      <c r="V71" s="27"/>
      <c r="W71" s="1"/>
      <c r="X71" s="27"/>
      <c r="Y71" s="27"/>
      <c r="Z71" s="27"/>
      <c r="AA71" s="27"/>
      <c r="AB71" s="27"/>
      <c r="AF71" s="27"/>
      <c r="AG71" s="27"/>
    </row>
    <row r="72" spans="2:33" ht="15.75">
      <c r="B72" s="60" t="s">
        <v>34</v>
      </c>
      <c r="C72" s="61"/>
      <c r="D72" s="61"/>
      <c r="E72" s="61"/>
      <c r="F72" s="61"/>
      <c r="G72" s="62"/>
      <c r="H72" s="44"/>
      <c r="I72" s="42"/>
      <c r="J72" s="42"/>
      <c r="K72" s="42">
        <v>4</v>
      </c>
      <c r="L72" s="42">
        <v>6</v>
      </c>
      <c r="M72" s="42">
        <v>10</v>
      </c>
      <c r="N72" s="42">
        <v>16</v>
      </c>
      <c r="O72" s="42">
        <v>18</v>
      </c>
      <c r="P72" s="42">
        <v>20</v>
      </c>
      <c r="Q72" s="42">
        <v>22</v>
      </c>
      <c r="R72" s="42">
        <v>22.875</v>
      </c>
      <c r="S72" s="42"/>
      <c r="T72" s="42">
        <v>8</v>
      </c>
      <c r="U72" s="43">
        <v>6</v>
      </c>
      <c r="V72" s="44"/>
      <c r="W72" s="44">
        <v>0.055</v>
      </c>
      <c r="X72" s="44"/>
      <c r="Y72" s="43"/>
      <c r="Z72" s="43">
        <v>1.5</v>
      </c>
      <c r="AA72" s="43">
        <v>1.75</v>
      </c>
      <c r="AB72" s="43"/>
      <c r="AC72" s="43"/>
      <c r="AD72" s="43"/>
      <c r="AF72" s="27"/>
      <c r="AG72" s="27"/>
    </row>
    <row r="73" spans="2:33" ht="1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3"/>
      <c r="S73" s="23"/>
      <c r="T73" s="23">
        <f>T72/2</f>
        <v>4</v>
      </c>
      <c r="V73" s="42"/>
      <c r="W73" s="1"/>
      <c r="X73" s="45"/>
      <c r="Y73" s="27"/>
      <c r="Z73" s="27"/>
      <c r="AA73" s="27"/>
      <c r="AB73" s="27"/>
      <c r="AF73" s="27"/>
      <c r="AG73" s="27"/>
    </row>
    <row r="74" spans="2:33" ht="15">
      <c r="B74" s="27"/>
      <c r="C74" s="29"/>
      <c r="D74" s="27"/>
      <c r="E74" s="27"/>
      <c r="F74" s="27"/>
      <c r="G74" s="27"/>
      <c r="H74" s="30"/>
      <c r="I74" s="27"/>
      <c r="J74" s="27"/>
      <c r="K74" s="92"/>
      <c r="L74" s="124"/>
      <c r="M74" s="124"/>
      <c r="N74" s="124"/>
      <c r="O74" s="124"/>
      <c r="P74" s="124"/>
      <c r="Q74" s="124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27"/>
      <c r="AG74" s="27"/>
    </row>
    <row r="75" spans="2:28" ht="12.7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7"/>
      <c r="X75" s="66"/>
      <c r="Y75" s="66"/>
      <c r="Z75" s="66"/>
      <c r="AA75" s="66"/>
      <c r="AB75" s="66"/>
    </row>
    <row r="76" spans="2:28" ht="15">
      <c r="B76" s="68"/>
      <c r="C76" s="68"/>
      <c r="D76" s="69"/>
      <c r="E76" s="70"/>
      <c r="F76" s="125"/>
      <c r="G76" s="125"/>
      <c r="H76" s="125"/>
      <c r="I76" s="125"/>
      <c r="J76" s="71"/>
      <c r="K76" s="70"/>
      <c r="L76" s="69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66"/>
    </row>
    <row r="77" spans="2:28" ht="15">
      <c r="B77" s="68"/>
      <c r="C77" s="68"/>
      <c r="D77" s="69"/>
      <c r="E77" s="70"/>
      <c r="F77" s="70"/>
      <c r="G77" s="72"/>
      <c r="H77" s="72"/>
      <c r="I77" s="70"/>
      <c r="J77" s="70"/>
      <c r="K77" s="70"/>
      <c r="L77" s="69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66"/>
    </row>
    <row r="78" spans="2:28" ht="15">
      <c r="B78" s="68"/>
      <c r="C78" s="68"/>
      <c r="D78" s="69"/>
      <c r="E78" s="70"/>
      <c r="F78" s="70"/>
      <c r="G78" s="72"/>
      <c r="H78" s="72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66"/>
    </row>
    <row r="79" spans="2:28" ht="15">
      <c r="B79" s="68"/>
      <c r="C79" s="68"/>
      <c r="D79" s="69"/>
      <c r="E79" s="70"/>
      <c r="F79" s="70"/>
      <c r="G79" s="72"/>
      <c r="H79" s="72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66"/>
    </row>
    <row r="80" spans="2:28" ht="15">
      <c r="B80" s="68"/>
      <c r="C80" s="68"/>
      <c r="D80" s="69"/>
      <c r="E80" s="70"/>
      <c r="F80" s="125"/>
      <c r="G80" s="125"/>
      <c r="H80" s="125"/>
      <c r="I80" s="125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66"/>
    </row>
    <row r="81" spans="2:28" ht="12.75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6"/>
      <c r="Y81" s="66"/>
      <c r="Z81" s="66"/>
      <c r="AA81" s="66"/>
      <c r="AB81" s="66"/>
    </row>
  </sheetData>
  <sheetProtection/>
  <mergeCells count="59">
    <mergeCell ref="Y67:Y68"/>
    <mergeCell ref="Z67:Z68"/>
    <mergeCell ref="AB67:AB68"/>
    <mergeCell ref="X67:X68"/>
    <mergeCell ref="K74:Q74"/>
    <mergeCell ref="W67:W68"/>
    <mergeCell ref="U67:U68"/>
    <mergeCell ref="V67:V68"/>
    <mergeCell ref="S67:S68"/>
    <mergeCell ref="AF67:AG67"/>
    <mergeCell ref="AF68:AG68"/>
    <mergeCell ref="AE67:AE68"/>
    <mergeCell ref="AD67:AD68"/>
    <mergeCell ref="X4:X11"/>
    <mergeCell ref="AA67:AA68"/>
    <mergeCell ref="Y4:Y11"/>
    <mergeCell ref="AF51:AG66"/>
    <mergeCell ref="AF3:AF5"/>
    <mergeCell ref="AC67:AC68"/>
    <mergeCell ref="AF6:AG50"/>
    <mergeCell ref="AG3:AG5"/>
    <mergeCell ref="S4:S11"/>
    <mergeCell ref="T4:T11"/>
    <mergeCell ref="U4:U11"/>
    <mergeCell ref="B3:C11"/>
    <mergeCell ref="F23:I23"/>
    <mergeCell ref="R3:R11"/>
    <mergeCell ref="N3:N11"/>
    <mergeCell ref="O3:O11"/>
    <mergeCell ref="AC4:AC11"/>
    <mergeCell ref="I3:I11"/>
    <mergeCell ref="J3:J11"/>
    <mergeCell ref="AD4:AD11"/>
    <mergeCell ref="AB4:AB11"/>
    <mergeCell ref="AE4:AE11"/>
    <mergeCell ref="K3:K11"/>
    <mergeCell ref="AA4:AA11"/>
    <mergeCell ref="P3:P11"/>
    <mergeCell ref="Q3:Q11"/>
    <mergeCell ref="Z4:Z11"/>
    <mergeCell ref="W4:W11"/>
    <mergeCell ref="L3:L11"/>
    <mergeCell ref="F16:I16"/>
    <mergeCell ref="B14:I14"/>
    <mergeCell ref="H3:H11"/>
    <mergeCell ref="D3:D11"/>
    <mergeCell ref="E3:E11"/>
    <mergeCell ref="F3:F11"/>
    <mergeCell ref="G3:G11"/>
    <mergeCell ref="F76:I76"/>
    <mergeCell ref="F80:I80"/>
    <mergeCell ref="F52:I52"/>
    <mergeCell ref="F56:I56"/>
    <mergeCell ref="F43:I43"/>
    <mergeCell ref="V4:V11"/>
    <mergeCell ref="B67:R68"/>
    <mergeCell ref="T67:T68"/>
    <mergeCell ref="M3:M11"/>
    <mergeCell ref="B41:I4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AA4" sqref="AA4:AA11"/>
    </sheetView>
  </sheetViews>
  <sheetFormatPr defaultColWidth="9.140625" defaultRowHeight="12.75"/>
  <cols>
    <col min="1" max="3" width="24.7109375" style="1" customWidth="1"/>
    <col min="4" max="22" width="15.7109375" style="1" customWidth="1"/>
    <col min="23" max="23" width="15.7109375" style="46" customWidth="1"/>
    <col min="24" max="31" width="15.7109375" style="1" customWidth="1"/>
    <col min="32" max="34" width="6.7109375" style="1" customWidth="1"/>
    <col min="35" max="16384" width="9.140625" style="1" customWidth="1"/>
  </cols>
  <sheetData>
    <row r="1" spans="8:27" ht="12.75">
      <c r="H1" s="48"/>
      <c r="S1" s="48"/>
      <c r="T1" s="48"/>
      <c r="U1" s="48"/>
      <c r="V1" s="48"/>
      <c r="W1" s="49"/>
      <c r="X1" s="48"/>
      <c r="Z1" s="48"/>
      <c r="AA1" s="48"/>
    </row>
    <row r="2" spans="1:34" s="4" customFormat="1" ht="36" customHeight="1" thickBot="1">
      <c r="A2" s="2"/>
      <c r="B2" s="31" t="s">
        <v>14</v>
      </c>
      <c r="C2" s="32"/>
      <c r="D2" s="33"/>
      <c r="E2" s="33"/>
      <c r="F2" s="33"/>
      <c r="G2" s="33"/>
      <c r="H2" s="50"/>
      <c r="I2" s="34"/>
      <c r="J2" s="33"/>
      <c r="K2" s="33"/>
      <c r="L2" s="33"/>
      <c r="M2" s="33"/>
      <c r="N2" s="33"/>
      <c r="O2" s="33"/>
      <c r="P2" s="33"/>
      <c r="Q2" s="34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47"/>
      <c r="AH2" s="3"/>
    </row>
    <row r="3" spans="2:34" s="5" customFormat="1" ht="21.75" customHeight="1">
      <c r="B3" s="93" t="s">
        <v>0</v>
      </c>
      <c r="C3" s="95"/>
      <c r="D3" s="89" t="s">
        <v>3</v>
      </c>
      <c r="E3" s="89" t="s">
        <v>4</v>
      </c>
      <c r="F3" s="89" t="s">
        <v>5</v>
      </c>
      <c r="G3" s="86" t="s">
        <v>12</v>
      </c>
      <c r="H3" s="86" t="s">
        <v>94</v>
      </c>
      <c r="I3" s="89" t="s">
        <v>6</v>
      </c>
      <c r="J3" s="86" t="s">
        <v>10</v>
      </c>
      <c r="K3" s="86" t="s">
        <v>15</v>
      </c>
      <c r="L3" s="86" t="s">
        <v>16</v>
      </c>
      <c r="M3" s="86" t="s">
        <v>17</v>
      </c>
      <c r="N3" s="86" t="s">
        <v>18</v>
      </c>
      <c r="O3" s="86" t="s">
        <v>19</v>
      </c>
      <c r="P3" s="86" t="s">
        <v>20</v>
      </c>
      <c r="Q3" s="86" t="s">
        <v>21</v>
      </c>
      <c r="R3" s="86" t="s">
        <v>84</v>
      </c>
      <c r="S3" s="35"/>
      <c r="T3" s="35">
        <v>302</v>
      </c>
      <c r="U3" s="35">
        <v>304</v>
      </c>
      <c r="V3" s="35"/>
      <c r="W3" s="35">
        <v>407</v>
      </c>
      <c r="X3" s="35"/>
      <c r="Y3" s="35"/>
      <c r="Z3" s="35">
        <v>442</v>
      </c>
      <c r="AA3" s="35">
        <v>442</v>
      </c>
      <c r="AB3" s="35">
        <v>442</v>
      </c>
      <c r="AC3" s="35"/>
      <c r="AD3" s="36">
        <v>609</v>
      </c>
      <c r="AE3" s="36"/>
      <c r="AF3" s="116" t="s">
        <v>11</v>
      </c>
      <c r="AG3" s="116" t="s">
        <v>13</v>
      </c>
      <c r="AH3" s="6"/>
    </row>
    <row r="4" spans="2:34" s="5" customFormat="1" ht="27.75" customHeight="1">
      <c r="B4" s="99"/>
      <c r="C4" s="100"/>
      <c r="D4" s="90"/>
      <c r="E4" s="90"/>
      <c r="F4" s="90"/>
      <c r="G4" s="87"/>
      <c r="H4" s="87"/>
      <c r="I4" s="90"/>
      <c r="J4" s="87"/>
      <c r="K4" s="87"/>
      <c r="L4" s="87"/>
      <c r="M4" s="87"/>
      <c r="N4" s="87"/>
      <c r="O4" s="87"/>
      <c r="P4" s="87"/>
      <c r="Q4" s="87"/>
      <c r="R4" s="87"/>
      <c r="S4" s="83"/>
      <c r="T4" s="83" t="s">
        <v>22</v>
      </c>
      <c r="U4" s="83" t="s">
        <v>96</v>
      </c>
      <c r="V4" s="83"/>
      <c r="W4" s="83" t="s">
        <v>82</v>
      </c>
      <c r="X4" s="83"/>
      <c r="Y4" s="109"/>
      <c r="Z4" s="83" t="s">
        <v>83</v>
      </c>
      <c r="AA4" s="109" t="s">
        <v>97</v>
      </c>
      <c r="AB4" s="109" t="s">
        <v>23</v>
      </c>
      <c r="AC4" s="83"/>
      <c r="AD4" s="109" t="s">
        <v>95</v>
      </c>
      <c r="AE4" s="109"/>
      <c r="AF4" s="117"/>
      <c r="AG4" s="119"/>
      <c r="AH4" s="7"/>
    </row>
    <row r="5" spans="2:33" s="5" customFormat="1" ht="27.75" customHeight="1" thickBot="1">
      <c r="B5" s="99"/>
      <c r="C5" s="100"/>
      <c r="D5" s="90"/>
      <c r="E5" s="90"/>
      <c r="F5" s="90"/>
      <c r="G5" s="87"/>
      <c r="H5" s="87"/>
      <c r="I5" s="90"/>
      <c r="J5" s="87"/>
      <c r="K5" s="87"/>
      <c r="L5" s="87"/>
      <c r="M5" s="87"/>
      <c r="N5" s="87"/>
      <c r="O5" s="87"/>
      <c r="P5" s="87"/>
      <c r="Q5" s="87"/>
      <c r="R5" s="87"/>
      <c r="S5" s="84"/>
      <c r="T5" s="84"/>
      <c r="U5" s="84"/>
      <c r="V5" s="84"/>
      <c r="W5" s="84"/>
      <c r="X5" s="84"/>
      <c r="Y5" s="87"/>
      <c r="Z5" s="84"/>
      <c r="AA5" s="87"/>
      <c r="AB5" s="87"/>
      <c r="AC5" s="84"/>
      <c r="AD5" s="87"/>
      <c r="AE5" s="87"/>
      <c r="AF5" s="118"/>
      <c r="AG5" s="119"/>
    </row>
    <row r="6" spans="2:33" s="5" customFormat="1" ht="27.75" customHeight="1">
      <c r="B6" s="99"/>
      <c r="C6" s="100"/>
      <c r="D6" s="90"/>
      <c r="E6" s="90"/>
      <c r="F6" s="90"/>
      <c r="G6" s="87"/>
      <c r="H6" s="87"/>
      <c r="I6" s="90"/>
      <c r="J6" s="87"/>
      <c r="K6" s="87"/>
      <c r="L6" s="87"/>
      <c r="M6" s="87"/>
      <c r="N6" s="87"/>
      <c r="O6" s="87"/>
      <c r="P6" s="87"/>
      <c r="Q6" s="87"/>
      <c r="R6" s="87"/>
      <c r="S6" s="84"/>
      <c r="T6" s="84"/>
      <c r="U6" s="84"/>
      <c r="V6" s="84"/>
      <c r="W6" s="84"/>
      <c r="X6" s="84"/>
      <c r="Y6" s="87"/>
      <c r="Z6" s="84"/>
      <c r="AA6" s="87"/>
      <c r="AB6" s="87"/>
      <c r="AC6" s="84"/>
      <c r="AD6" s="87"/>
      <c r="AE6" s="87"/>
      <c r="AF6" s="103" t="s">
        <v>81</v>
      </c>
      <c r="AG6" s="104"/>
    </row>
    <row r="7" spans="2:33" s="5" customFormat="1" ht="27.75" customHeight="1">
      <c r="B7" s="99"/>
      <c r="C7" s="100"/>
      <c r="D7" s="90"/>
      <c r="E7" s="90"/>
      <c r="F7" s="90"/>
      <c r="G7" s="87"/>
      <c r="H7" s="87"/>
      <c r="I7" s="90"/>
      <c r="J7" s="87"/>
      <c r="K7" s="87"/>
      <c r="L7" s="87"/>
      <c r="M7" s="87"/>
      <c r="N7" s="87"/>
      <c r="O7" s="87"/>
      <c r="P7" s="87"/>
      <c r="Q7" s="87"/>
      <c r="R7" s="87"/>
      <c r="S7" s="84"/>
      <c r="T7" s="84"/>
      <c r="U7" s="84"/>
      <c r="V7" s="84"/>
      <c r="W7" s="84"/>
      <c r="X7" s="84"/>
      <c r="Y7" s="87"/>
      <c r="Z7" s="84"/>
      <c r="AA7" s="87"/>
      <c r="AB7" s="87"/>
      <c r="AC7" s="84"/>
      <c r="AD7" s="87"/>
      <c r="AE7" s="87"/>
      <c r="AF7" s="105"/>
      <c r="AG7" s="106"/>
    </row>
    <row r="8" spans="2:33" s="5" customFormat="1" ht="27.75" customHeight="1">
      <c r="B8" s="99"/>
      <c r="C8" s="100"/>
      <c r="D8" s="90"/>
      <c r="E8" s="90"/>
      <c r="F8" s="90"/>
      <c r="G8" s="87"/>
      <c r="H8" s="87"/>
      <c r="I8" s="90"/>
      <c r="J8" s="87"/>
      <c r="K8" s="87"/>
      <c r="L8" s="87"/>
      <c r="M8" s="87"/>
      <c r="N8" s="87"/>
      <c r="O8" s="87"/>
      <c r="P8" s="87"/>
      <c r="Q8" s="87"/>
      <c r="R8" s="87"/>
      <c r="S8" s="84"/>
      <c r="T8" s="84"/>
      <c r="U8" s="84"/>
      <c r="V8" s="84"/>
      <c r="W8" s="84"/>
      <c r="X8" s="84"/>
      <c r="Y8" s="87"/>
      <c r="Z8" s="84"/>
      <c r="AA8" s="87"/>
      <c r="AB8" s="87"/>
      <c r="AC8" s="84"/>
      <c r="AD8" s="87"/>
      <c r="AE8" s="87"/>
      <c r="AF8" s="105"/>
      <c r="AG8" s="106"/>
    </row>
    <row r="9" spans="2:33" s="5" customFormat="1" ht="27.75" customHeight="1">
      <c r="B9" s="99"/>
      <c r="C9" s="100"/>
      <c r="D9" s="90"/>
      <c r="E9" s="90"/>
      <c r="F9" s="90"/>
      <c r="G9" s="87"/>
      <c r="H9" s="87"/>
      <c r="I9" s="90"/>
      <c r="J9" s="87"/>
      <c r="K9" s="87"/>
      <c r="L9" s="87"/>
      <c r="M9" s="87"/>
      <c r="N9" s="87"/>
      <c r="O9" s="87"/>
      <c r="P9" s="87"/>
      <c r="Q9" s="87"/>
      <c r="R9" s="87"/>
      <c r="S9" s="84"/>
      <c r="T9" s="84"/>
      <c r="U9" s="84"/>
      <c r="V9" s="84"/>
      <c r="W9" s="84"/>
      <c r="X9" s="84"/>
      <c r="Y9" s="87"/>
      <c r="Z9" s="84"/>
      <c r="AA9" s="87"/>
      <c r="AB9" s="87"/>
      <c r="AC9" s="84"/>
      <c r="AD9" s="87"/>
      <c r="AE9" s="87"/>
      <c r="AF9" s="105"/>
      <c r="AG9" s="106"/>
    </row>
    <row r="10" spans="2:33" s="5" customFormat="1" ht="27.75" customHeight="1">
      <c r="B10" s="99"/>
      <c r="C10" s="100"/>
      <c r="D10" s="90"/>
      <c r="E10" s="90"/>
      <c r="F10" s="90"/>
      <c r="G10" s="87"/>
      <c r="H10" s="87"/>
      <c r="I10" s="90"/>
      <c r="J10" s="87"/>
      <c r="K10" s="87"/>
      <c r="L10" s="87"/>
      <c r="M10" s="87"/>
      <c r="N10" s="87"/>
      <c r="O10" s="87"/>
      <c r="P10" s="87"/>
      <c r="Q10" s="87"/>
      <c r="R10" s="87"/>
      <c r="S10" s="84"/>
      <c r="T10" s="84"/>
      <c r="U10" s="84"/>
      <c r="V10" s="84"/>
      <c r="W10" s="84"/>
      <c r="X10" s="84"/>
      <c r="Y10" s="87"/>
      <c r="Z10" s="84"/>
      <c r="AA10" s="87"/>
      <c r="AB10" s="87"/>
      <c r="AC10" s="84"/>
      <c r="AD10" s="87"/>
      <c r="AE10" s="87"/>
      <c r="AF10" s="105"/>
      <c r="AG10" s="106"/>
    </row>
    <row r="11" spans="2:33" s="8" customFormat="1" ht="27.75" customHeight="1">
      <c r="B11" s="101"/>
      <c r="C11" s="102"/>
      <c r="D11" s="91"/>
      <c r="E11" s="91"/>
      <c r="F11" s="91"/>
      <c r="G11" s="88"/>
      <c r="H11" s="88"/>
      <c r="I11" s="91"/>
      <c r="J11" s="88"/>
      <c r="K11" s="88"/>
      <c r="L11" s="88"/>
      <c r="M11" s="88"/>
      <c r="N11" s="88"/>
      <c r="O11" s="88"/>
      <c r="P11" s="88"/>
      <c r="Q11" s="88"/>
      <c r="R11" s="88"/>
      <c r="S11" s="85"/>
      <c r="T11" s="85"/>
      <c r="U11" s="85"/>
      <c r="V11" s="85"/>
      <c r="W11" s="85"/>
      <c r="X11" s="85"/>
      <c r="Y11" s="88"/>
      <c r="Z11" s="85"/>
      <c r="AA11" s="88"/>
      <c r="AB11" s="88"/>
      <c r="AC11" s="85"/>
      <c r="AD11" s="88"/>
      <c r="AE11" s="88"/>
      <c r="AF11" s="105"/>
      <c r="AG11" s="106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11"/>
      <c r="I12" s="11" t="s">
        <v>9</v>
      </c>
      <c r="J12" s="11" t="s">
        <v>9</v>
      </c>
      <c r="K12" s="11" t="s">
        <v>9</v>
      </c>
      <c r="L12" s="11" t="s">
        <v>9</v>
      </c>
      <c r="M12" s="11" t="s">
        <v>9</v>
      </c>
      <c r="N12" s="11" t="s">
        <v>9</v>
      </c>
      <c r="O12" s="11" t="s">
        <v>9</v>
      </c>
      <c r="P12" s="11" t="s">
        <v>9</v>
      </c>
      <c r="Q12" s="11" t="s">
        <v>9</v>
      </c>
      <c r="R12" s="11" t="s">
        <v>9</v>
      </c>
      <c r="S12" s="37"/>
      <c r="T12" s="37" t="s">
        <v>24</v>
      </c>
      <c r="U12" s="37" t="s">
        <v>24</v>
      </c>
      <c r="V12" s="37"/>
      <c r="W12" s="37" t="s">
        <v>25</v>
      </c>
      <c r="X12" s="37"/>
      <c r="Y12" s="37"/>
      <c r="Z12" s="37" t="s">
        <v>24</v>
      </c>
      <c r="AA12" s="37" t="s">
        <v>24</v>
      </c>
      <c r="AB12" s="37" t="s">
        <v>24</v>
      </c>
      <c r="AC12" s="37"/>
      <c r="AD12" s="11" t="s">
        <v>7</v>
      </c>
      <c r="AE12" s="11"/>
      <c r="AF12" s="105"/>
      <c r="AG12" s="106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05"/>
      <c r="AG13" s="106"/>
    </row>
    <row r="14" spans="1:33" s="5" customFormat="1" ht="21.75" customHeight="1">
      <c r="A14" s="12">
        <f>A13+1</f>
        <v>2</v>
      </c>
      <c r="B14" s="77" t="s">
        <v>80</v>
      </c>
      <c r="C14" s="78"/>
      <c r="D14" s="78"/>
      <c r="E14" s="78"/>
      <c r="F14" s="78"/>
      <c r="G14" s="78"/>
      <c r="H14" s="78"/>
      <c r="I14" s="79"/>
      <c r="J14" s="16"/>
      <c r="K14" s="16"/>
      <c r="L14" s="15"/>
      <c r="M14" s="15"/>
      <c r="N14" s="15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05"/>
      <c r="AG14" s="106"/>
    </row>
    <row r="15" spans="1:33" s="5" customFormat="1" ht="21.75" customHeight="1">
      <c r="A15" s="12">
        <f>A14+1</f>
        <v>3</v>
      </c>
      <c r="B15" s="19" t="s">
        <v>36</v>
      </c>
      <c r="C15" s="20"/>
      <c r="D15" s="15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05"/>
      <c r="AG15" s="106"/>
    </row>
    <row r="16" spans="1:33" s="5" customFormat="1" ht="21.75" customHeight="1">
      <c r="A16" s="12">
        <f aca="true" t="shared" si="0" ref="A16:A66">A15+1</f>
        <v>4</v>
      </c>
      <c r="B16" s="14">
        <v>67957.98</v>
      </c>
      <c r="C16" s="13">
        <v>67960.74</v>
      </c>
      <c r="D16" s="15" t="s">
        <v>28</v>
      </c>
      <c r="E16" s="16">
        <f aca="true" t="shared" si="1" ref="E16:E29">C16-B16</f>
        <v>2.7600000000093132</v>
      </c>
      <c r="F16" s="17">
        <v>6.76</v>
      </c>
      <c r="G16" s="18">
        <f>ROUND((2989.345-($F16/2))/2989.345,4)</f>
        <v>0.9989</v>
      </c>
      <c r="H16" s="18">
        <f>ROUND((2989.345-($F16))/2989.345,4)</f>
        <v>0.9977</v>
      </c>
      <c r="I16" s="16">
        <f>IF(G16=0,ROUND($E16*$F16,2),ROUND($E16*$F16*$G16,2))</f>
        <v>18.64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aca="true" t="shared" si="2" ref="T16:T27">ROUND(((($I16+$J16)*(T$72/12)+($K16)*(T$73/12)+($M16)*(T$73/12))/27),2)</f>
        <v>0.46</v>
      </c>
      <c r="U16" s="16">
        <f aca="true" t="shared" si="3" ref="U16:U27">ROUND(((($I16+$J16+$N16+$O16+$P16+$Q16)*(U$72/12))/27),2)</f>
        <v>0.35</v>
      </c>
      <c r="V16" s="16"/>
      <c r="W16" s="16">
        <f aca="true" t="shared" si="4" ref="W16:W27">ROUND(((($I16+$J16)/9)*$W$72)+((($I16+$J16+$K16)/9)*$W$72)+((($I16+$J16+$M16)/9)*$W$72),2)</f>
        <v>0.34</v>
      </c>
      <c r="X16" s="16"/>
      <c r="Y16" s="16"/>
      <c r="Z16" s="16">
        <f aca="true" t="shared" si="5" ref="Z16:AA27">ROUND(((($I16+$J16)*(Z$72/12))/27),2)</f>
        <v>0.09</v>
      </c>
      <c r="AA16" s="16">
        <f t="shared" si="5"/>
        <v>0.1</v>
      </c>
      <c r="AB16" s="16"/>
      <c r="AC16" s="16"/>
      <c r="AD16" s="16"/>
      <c r="AE16" s="16"/>
      <c r="AF16" s="105"/>
      <c r="AG16" s="106"/>
    </row>
    <row r="17" spans="1:33" s="5" customFormat="1" ht="21.75" customHeight="1">
      <c r="A17" s="12">
        <f t="shared" si="0"/>
        <v>5</v>
      </c>
      <c r="B17" s="13">
        <v>67960.74</v>
      </c>
      <c r="C17" s="14">
        <v>68000</v>
      </c>
      <c r="D17" s="15" t="s">
        <v>28</v>
      </c>
      <c r="E17" s="16">
        <f t="shared" si="1"/>
        <v>39.25999999999476</v>
      </c>
      <c r="F17" s="17">
        <v>6.76</v>
      </c>
      <c r="G17" s="18">
        <f>ROUND((2989.345-($F17/2))/2989.345,4)</f>
        <v>0.9989</v>
      </c>
      <c r="H17" s="18">
        <f>ROUND((2989.345-($F17))/2989.345,4)</f>
        <v>0.9977</v>
      </c>
      <c r="I17" s="16">
        <f>IF(G17=0,ROUND($E17*$F17,2),ROUND($E17*$F17*$G17,2))</f>
        <v>265.11</v>
      </c>
      <c r="J17" s="16"/>
      <c r="K17" s="16">
        <f aca="true" t="shared" si="6" ref="K17:K26">IF($H17=0,ROUND($E17*(K$72/12),2),ROUND($E17*(K$72/12)*$H17,2))</f>
        <v>13.06</v>
      </c>
      <c r="L17" s="16"/>
      <c r="M17" s="16">
        <f aca="true" t="shared" si="7" ref="M17:N26">IF($H17=0,ROUND($E17*(M$72/12),2),ROUND($E17*(M$72/12)*$H17,2))</f>
        <v>32.64</v>
      </c>
      <c r="N17" s="16">
        <f t="shared" si="7"/>
        <v>52.23</v>
      </c>
      <c r="O17" s="16"/>
      <c r="P17" s="16"/>
      <c r="Q17" s="16"/>
      <c r="R17" s="16"/>
      <c r="S17" s="16"/>
      <c r="T17" s="16">
        <f t="shared" si="2"/>
        <v>7.11</v>
      </c>
      <c r="U17" s="16">
        <f t="shared" si="3"/>
        <v>5.88</v>
      </c>
      <c r="V17" s="16"/>
      <c r="W17" s="16">
        <f t="shared" si="4"/>
        <v>5.14</v>
      </c>
      <c r="X17" s="16"/>
      <c r="Y17" s="16"/>
      <c r="Z17" s="16">
        <f t="shared" si="5"/>
        <v>1.23</v>
      </c>
      <c r="AA17" s="16">
        <f t="shared" si="5"/>
        <v>1.43</v>
      </c>
      <c r="AB17" s="16"/>
      <c r="AC17" s="16"/>
      <c r="AD17" s="16"/>
      <c r="AE17" s="16"/>
      <c r="AF17" s="105"/>
      <c r="AG17" s="106"/>
    </row>
    <row r="18" spans="1:33" s="5" customFormat="1" ht="21.75" customHeight="1">
      <c r="A18" s="12">
        <f t="shared" si="0"/>
        <v>6</v>
      </c>
      <c r="B18" s="13">
        <f aca="true" t="shared" si="8" ref="B18:B29">C17</f>
        <v>68000</v>
      </c>
      <c r="C18" s="14">
        <v>68032</v>
      </c>
      <c r="D18" s="15" t="s">
        <v>28</v>
      </c>
      <c r="E18" s="16">
        <f t="shared" si="1"/>
        <v>32</v>
      </c>
      <c r="F18" s="17">
        <f>ROUND(AVERAGE(6.76,8),2)</f>
        <v>7.38</v>
      </c>
      <c r="G18" s="18">
        <f>ROUND((2989.345-($F18/2))/2989.345,4)</f>
        <v>0.9988</v>
      </c>
      <c r="H18" s="18">
        <f>ROUND((2989.345-($F18))/2989.345,4)</f>
        <v>0.9975</v>
      </c>
      <c r="I18" s="16">
        <f aca="true" t="shared" si="9" ref="I18:I29">IF(G18=0,ROUND($E18*$F18,2),ROUND($E18*$F18*$G18,2))</f>
        <v>235.88</v>
      </c>
      <c r="J18" s="16"/>
      <c r="K18" s="16">
        <f t="shared" si="6"/>
        <v>10.64</v>
      </c>
      <c r="L18" s="16"/>
      <c r="M18" s="16">
        <f t="shared" si="7"/>
        <v>26.6</v>
      </c>
      <c r="N18" s="16">
        <f t="shared" si="7"/>
        <v>42.56</v>
      </c>
      <c r="O18" s="16"/>
      <c r="P18" s="16"/>
      <c r="Q18" s="16"/>
      <c r="R18" s="16"/>
      <c r="S18" s="16"/>
      <c r="T18" s="16">
        <f t="shared" si="2"/>
        <v>6.28</v>
      </c>
      <c r="U18" s="16">
        <f t="shared" si="3"/>
        <v>5.16</v>
      </c>
      <c r="V18" s="16"/>
      <c r="W18" s="16">
        <f t="shared" si="4"/>
        <v>4.55</v>
      </c>
      <c r="X18" s="16"/>
      <c r="Y18" s="16"/>
      <c r="Z18" s="16">
        <f t="shared" si="5"/>
        <v>1.09</v>
      </c>
      <c r="AA18" s="16">
        <f t="shared" si="5"/>
        <v>1.27</v>
      </c>
      <c r="AB18" s="16"/>
      <c r="AC18" s="16"/>
      <c r="AD18" s="16"/>
      <c r="AE18" s="16"/>
      <c r="AF18" s="105"/>
      <c r="AG18" s="106"/>
    </row>
    <row r="19" spans="1:33" s="5" customFormat="1" ht="21.75" customHeight="1">
      <c r="A19" s="12">
        <f t="shared" si="0"/>
        <v>7</v>
      </c>
      <c r="B19" s="13">
        <f t="shared" si="8"/>
        <v>68032</v>
      </c>
      <c r="C19" s="14">
        <v>68295.5</v>
      </c>
      <c r="D19" s="15" t="s">
        <v>28</v>
      </c>
      <c r="E19" s="16">
        <f t="shared" si="1"/>
        <v>263.5</v>
      </c>
      <c r="F19" s="17">
        <v>8</v>
      </c>
      <c r="G19" s="18">
        <f>ROUND((2989.345-($F19/2))/2989.345,4)</f>
        <v>0.9987</v>
      </c>
      <c r="H19" s="18">
        <f>ROUND((2989.345-($F19))/2989.345,4)</f>
        <v>0.9973</v>
      </c>
      <c r="I19" s="16">
        <f t="shared" si="9"/>
        <v>2105.26</v>
      </c>
      <c r="J19" s="16"/>
      <c r="K19" s="16">
        <f t="shared" si="6"/>
        <v>87.6</v>
      </c>
      <c r="L19" s="16"/>
      <c r="M19" s="16">
        <f t="shared" si="7"/>
        <v>218.99</v>
      </c>
      <c r="N19" s="16">
        <f t="shared" si="7"/>
        <v>350.38</v>
      </c>
      <c r="O19" s="16"/>
      <c r="P19" s="16"/>
      <c r="Q19" s="16"/>
      <c r="R19" s="16"/>
      <c r="S19" s="16"/>
      <c r="T19" s="16">
        <f t="shared" si="2"/>
        <v>55.77</v>
      </c>
      <c r="U19" s="16">
        <f t="shared" si="3"/>
        <v>45.47</v>
      </c>
      <c r="V19" s="16"/>
      <c r="W19" s="16">
        <f t="shared" si="4"/>
        <v>40.47</v>
      </c>
      <c r="X19" s="16"/>
      <c r="Y19" s="16"/>
      <c r="Z19" s="16">
        <f t="shared" si="5"/>
        <v>9.75</v>
      </c>
      <c r="AA19" s="16">
        <f t="shared" si="5"/>
        <v>11.37</v>
      </c>
      <c r="AB19" s="16"/>
      <c r="AC19" s="16"/>
      <c r="AD19" s="16"/>
      <c r="AE19" s="16"/>
      <c r="AF19" s="105"/>
      <c r="AG19" s="106"/>
    </row>
    <row r="20" spans="1:33" s="5" customFormat="1" ht="21.75" customHeight="1">
      <c r="A20" s="12">
        <f t="shared" si="0"/>
        <v>8</v>
      </c>
      <c r="B20" s="13">
        <f t="shared" si="8"/>
        <v>68295.5</v>
      </c>
      <c r="C20" s="14">
        <v>68318.39</v>
      </c>
      <c r="D20" s="15" t="s">
        <v>28</v>
      </c>
      <c r="E20" s="16">
        <f t="shared" si="1"/>
        <v>22.889999999999418</v>
      </c>
      <c r="F20" s="17">
        <f>ROUND(AVERAGE(7.085,8),2)</f>
        <v>7.54</v>
      </c>
      <c r="G20" s="18">
        <f>ROUND((2989.345-($F20/2))/2989.345,4)</f>
        <v>0.9987</v>
      </c>
      <c r="H20" s="18">
        <f>ROUND((2989.345-($F20))/2989.345,4)</f>
        <v>0.9975</v>
      </c>
      <c r="I20" s="16">
        <f t="shared" si="9"/>
        <v>172.37</v>
      </c>
      <c r="J20" s="16"/>
      <c r="K20" s="16">
        <f t="shared" si="6"/>
        <v>7.61</v>
      </c>
      <c r="L20" s="16"/>
      <c r="M20" s="16">
        <f t="shared" si="7"/>
        <v>19.03</v>
      </c>
      <c r="N20" s="16">
        <f t="shared" si="7"/>
        <v>30.44</v>
      </c>
      <c r="O20" s="16"/>
      <c r="P20" s="16"/>
      <c r="Q20" s="16"/>
      <c r="R20" s="16"/>
      <c r="S20" s="16"/>
      <c r="T20" s="16">
        <f t="shared" si="2"/>
        <v>4.58</v>
      </c>
      <c r="U20" s="16">
        <f t="shared" si="3"/>
        <v>3.76</v>
      </c>
      <c r="V20" s="16"/>
      <c r="W20" s="16">
        <f t="shared" si="4"/>
        <v>3.32</v>
      </c>
      <c r="X20" s="16"/>
      <c r="Y20" s="16"/>
      <c r="Z20" s="16">
        <f t="shared" si="5"/>
        <v>0.8</v>
      </c>
      <c r="AA20" s="16">
        <f t="shared" si="5"/>
        <v>0.93</v>
      </c>
      <c r="AB20" s="16"/>
      <c r="AC20" s="16"/>
      <c r="AD20" s="16"/>
      <c r="AE20" s="16"/>
      <c r="AF20" s="105"/>
      <c r="AG20" s="106"/>
    </row>
    <row r="21" spans="1:33" s="5" customFormat="1" ht="21.75" customHeight="1">
      <c r="A21" s="12">
        <f t="shared" si="0"/>
        <v>9</v>
      </c>
      <c r="B21" s="13">
        <f t="shared" si="8"/>
        <v>68318.39</v>
      </c>
      <c r="C21" s="14">
        <v>68345.5</v>
      </c>
      <c r="D21" s="15" t="s">
        <v>28</v>
      </c>
      <c r="E21" s="16">
        <f t="shared" si="1"/>
        <v>27.110000000000582</v>
      </c>
      <c r="F21" s="17">
        <f>ROUND(AVERAGE(7.085,6),2)</f>
        <v>6.54</v>
      </c>
      <c r="G21" s="18">
        <f>ROUND((((2989.345-($F21/2))/2989.345)+((238.732-($F21/2))/238.732))/2,4)</f>
        <v>0.9926</v>
      </c>
      <c r="H21" s="18">
        <f>ROUND((((2989.345-($F21))/2989.345)+((238.732-($F21))/238.732))/2,4)</f>
        <v>0.9852</v>
      </c>
      <c r="I21" s="16">
        <f t="shared" si="9"/>
        <v>175.99</v>
      </c>
      <c r="J21" s="16"/>
      <c r="K21" s="16">
        <f t="shared" si="6"/>
        <v>8.9</v>
      </c>
      <c r="L21" s="16"/>
      <c r="M21" s="16">
        <f t="shared" si="7"/>
        <v>22.26</v>
      </c>
      <c r="N21" s="16">
        <f t="shared" si="7"/>
        <v>35.61</v>
      </c>
      <c r="O21" s="16"/>
      <c r="P21" s="16"/>
      <c r="Q21" s="16"/>
      <c r="R21" s="16"/>
      <c r="S21" s="16"/>
      <c r="T21" s="16">
        <f t="shared" si="2"/>
        <v>4.73</v>
      </c>
      <c r="U21" s="16">
        <f t="shared" si="3"/>
        <v>3.92</v>
      </c>
      <c r="V21" s="16"/>
      <c r="W21" s="16">
        <f t="shared" si="4"/>
        <v>3.42</v>
      </c>
      <c r="X21" s="16"/>
      <c r="Y21" s="16"/>
      <c r="Z21" s="16">
        <f t="shared" si="5"/>
        <v>0.81</v>
      </c>
      <c r="AA21" s="16">
        <f t="shared" si="5"/>
        <v>0.95</v>
      </c>
      <c r="AB21" s="16"/>
      <c r="AC21" s="16"/>
      <c r="AD21" s="16"/>
      <c r="AE21" s="16"/>
      <c r="AF21" s="105"/>
      <c r="AG21" s="106"/>
    </row>
    <row r="22" spans="1:33" s="5" customFormat="1" ht="21.75" customHeight="1">
      <c r="A22" s="12">
        <f t="shared" si="0"/>
        <v>10</v>
      </c>
      <c r="B22" s="13">
        <f t="shared" si="8"/>
        <v>68345.5</v>
      </c>
      <c r="C22" s="14">
        <v>68518.39</v>
      </c>
      <c r="D22" s="15" t="s">
        <v>28</v>
      </c>
      <c r="E22" s="16">
        <f t="shared" si="1"/>
        <v>172.88999999999942</v>
      </c>
      <c r="F22" s="17">
        <v>6</v>
      </c>
      <c r="G22" s="18">
        <f>ROUND((((2989.345-($F22/2))/2989.345)+((238.732-($F22/2))/238.732))/2,4)</f>
        <v>0.9932</v>
      </c>
      <c r="H22" s="18">
        <f>ROUND((((2989.345-($F22))/2989.345)+((238.732-($F22))/238.732))/2,4)</f>
        <v>0.9864</v>
      </c>
      <c r="I22" s="16">
        <f t="shared" si="9"/>
        <v>1030.29</v>
      </c>
      <c r="J22" s="16"/>
      <c r="K22" s="16">
        <f t="shared" si="6"/>
        <v>56.85</v>
      </c>
      <c r="L22" s="16"/>
      <c r="M22" s="16">
        <f t="shared" si="7"/>
        <v>142.12</v>
      </c>
      <c r="N22" s="16">
        <f t="shared" si="7"/>
        <v>227.38</v>
      </c>
      <c r="O22" s="16"/>
      <c r="P22" s="16"/>
      <c r="Q22" s="16"/>
      <c r="R22" s="16"/>
      <c r="S22" s="16"/>
      <c r="T22" s="16">
        <f t="shared" si="2"/>
        <v>27.9</v>
      </c>
      <c r="U22" s="16">
        <f t="shared" si="3"/>
        <v>23.29</v>
      </c>
      <c r="V22" s="16"/>
      <c r="W22" s="16">
        <f t="shared" si="4"/>
        <v>20.1</v>
      </c>
      <c r="X22" s="16"/>
      <c r="Y22" s="16"/>
      <c r="Z22" s="16">
        <f t="shared" si="5"/>
        <v>4.77</v>
      </c>
      <c r="AA22" s="16">
        <f t="shared" si="5"/>
        <v>5.56</v>
      </c>
      <c r="AB22" s="16"/>
      <c r="AC22" s="16"/>
      <c r="AD22" s="16"/>
      <c r="AE22" s="16"/>
      <c r="AF22" s="105"/>
      <c r="AG22" s="106"/>
    </row>
    <row r="23" spans="1:33" s="5" customFormat="1" ht="21.75" customHeight="1">
      <c r="A23" s="12">
        <f t="shared" si="0"/>
        <v>11</v>
      </c>
      <c r="B23" s="13">
        <f t="shared" si="8"/>
        <v>68518.39</v>
      </c>
      <c r="C23" s="14">
        <v>69194.95</v>
      </c>
      <c r="D23" s="15" t="s">
        <v>28</v>
      </c>
      <c r="E23" s="16">
        <f t="shared" si="1"/>
        <v>676.5599999999977</v>
      </c>
      <c r="F23" s="17">
        <v>6</v>
      </c>
      <c r="G23" s="18">
        <f>ROUND((238.732-($F23/2))/238.732,4)</f>
        <v>0.9874</v>
      </c>
      <c r="H23" s="18">
        <f>ROUND((238.732-($F23))/238.732,4)</f>
        <v>0.9749</v>
      </c>
      <c r="I23" s="16">
        <f t="shared" si="9"/>
        <v>4008.21</v>
      </c>
      <c r="J23" s="16"/>
      <c r="K23" s="16">
        <f t="shared" si="6"/>
        <v>219.86</v>
      </c>
      <c r="L23" s="16"/>
      <c r="M23" s="16">
        <f t="shared" si="7"/>
        <v>549.65</v>
      </c>
      <c r="N23" s="16">
        <f t="shared" si="7"/>
        <v>879.44</v>
      </c>
      <c r="O23" s="16"/>
      <c r="P23" s="16"/>
      <c r="Q23" s="16"/>
      <c r="R23" s="16"/>
      <c r="S23" s="16"/>
      <c r="T23" s="16">
        <f t="shared" si="2"/>
        <v>108.47</v>
      </c>
      <c r="U23" s="16">
        <f t="shared" si="3"/>
        <v>90.51</v>
      </c>
      <c r="V23" s="16"/>
      <c r="W23" s="16">
        <f t="shared" si="4"/>
        <v>78.19</v>
      </c>
      <c r="X23" s="16"/>
      <c r="Y23" s="16"/>
      <c r="Z23" s="16">
        <f t="shared" si="5"/>
        <v>18.56</v>
      </c>
      <c r="AA23" s="16">
        <f t="shared" si="5"/>
        <v>21.65</v>
      </c>
      <c r="AB23" s="16"/>
      <c r="AC23" s="16"/>
      <c r="AD23" s="16"/>
      <c r="AE23" s="16"/>
      <c r="AF23" s="105"/>
      <c r="AG23" s="106"/>
    </row>
    <row r="24" spans="1:33" s="5" customFormat="1" ht="21.75" customHeight="1">
      <c r="A24" s="12">
        <f t="shared" si="0"/>
        <v>12</v>
      </c>
      <c r="B24" s="13">
        <f t="shared" si="8"/>
        <v>69194.95</v>
      </c>
      <c r="C24" s="14">
        <v>69444.95</v>
      </c>
      <c r="D24" s="15" t="s">
        <v>28</v>
      </c>
      <c r="E24" s="16">
        <f t="shared" si="1"/>
        <v>250</v>
      </c>
      <c r="F24" s="17">
        <v>6</v>
      </c>
      <c r="G24" s="18">
        <f>ROUND((((238.732-($F24/2))/238.732)+1)/2,4)</f>
        <v>0.9937</v>
      </c>
      <c r="H24" s="18">
        <f>ROUND((((238.732-($F24))/238.732)+1)/2,4)</f>
        <v>0.9874</v>
      </c>
      <c r="I24" s="16">
        <f t="shared" si="9"/>
        <v>1490.55</v>
      </c>
      <c r="J24" s="16"/>
      <c r="K24" s="16">
        <f t="shared" si="6"/>
        <v>82.28</v>
      </c>
      <c r="L24" s="16"/>
      <c r="M24" s="16">
        <f t="shared" si="7"/>
        <v>205.71</v>
      </c>
      <c r="N24" s="16">
        <f t="shared" si="7"/>
        <v>329.13</v>
      </c>
      <c r="O24" s="16"/>
      <c r="P24" s="16"/>
      <c r="Q24" s="16"/>
      <c r="R24" s="16"/>
      <c r="S24" s="16"/>
      <c r="T24" s="16">
        <f t="shared" si="2"/>
        <v>40.36</v>
      </c>
      <c r="U24" s="16">
        <f t="shared" si="3"/>
        <v>33.7</v>
      </c>
      <c r="V24" s="16"/>
      <c r="W24" s="16">
        <f t="shared" si="4"/>
        <v>29.09</v>
      </c>
      <c r="X24" s="16"/>
      <c r="Y24" s="16"/>
      <c r="Z24" s="16">
        <f t="shared" si="5"/>
        <v>6.9</v>
      </c>
      <c r="AA24" s="16">
        <f t="shared" si="5"/>
        <v>8.05</v>
      </c>
      <c r="AB24" s="16"/>
      <c r="AC24" s="16"/>
      <c r="AD24" s="16"/>
      <c r="AE24" s="16"/>
      <c r="AF24" s="105"/>
      <c r="AG24" s="106"/>
    </row>
    <row r="25" spans="1:33" s="5" customFormat="1" ht="21.75" customHeight="1">
      <c r="A25" s="12">
        <f t="shared" si="0"/>
        <v>13</v>
      </c>
      <c r="B25" s="13">
        <f t="shared" si="8"/>
        <v>69444.95</v>
      </c>
      <c r="C25" s="14">
        <v>69494.95</v>
      </c>
      <c r="D25" s="15" t="s">
        <v>28</v>
      </c>
      <c r="E25" s="16">
        <f t="shared" si="1"/>
        <v>50</v>
      </c>
      <c r="F25" s="17">
        <f>ROUND(AVERAGE(6,8),2)</f>
        <v>7</v>
      </c>
      <c r="G25" s="18">
        <f>ROUND((((238.732-($F25/2))/238.732)+1)/2,4)</f>
        <v>0.9927</v>
      </c>
      <c r="H25" s="18">
        <f>ROUND((((238.732-($F25))/238.732)+1)/2,4)</f>
        <v>0.9853</v>
      </c>
      <c r="I25" s="16">
        <f t="shared" si="9"/>
        <v>347.45</v>
      </c>
      <c r="J25" s="16"/>
      <c r="K25" s="16">
        <f t="shared" si="6"/>
        <v>16.42</v>
      </c>
      <c r="L25" s="16"/>
      <c r="M25" s="16">
        <f t="shared" si="7"/>
        <v>41.05</v>
      </c>
      <c r="N25" s="16">
        <f t="shared" si="7"/>
        <v>65.69</v>
      </c>
      <c r="O25" s="16"/>
      <c r="P25" s="16"/>
      <c r="Q25" s="16"/>
      <c r="R25" s="16"/>
      <c r="S25" s="16"/>
      <c r="T25" s="16">
        <f t="shared" si="2"/>
        <v>9.29</v>
      </c>
      <c r="U25" s="16">
        <f t="shared" si="3"/>
        <v>7.65</v>
      </c>
      <c r="V25" s="16"/>
      <c r="W25" s="16">
        <f t="shared" si="4"/>
        <v>6.72</v>
      </c>
      <c r="X25" s="16"/>
      <c r="Y25" s="16"/>
      <c r="Z25" s="16">
        <f t="shared" si="5"/>
        <v>1.61</v>
      </c>
      <c r="AA25" s="16">
        <f t="shared" si="5"/>
        <v>1.88</v>
      </c>
      <c r="AB25" s="16"/>
      <c r="AC25" s="16"/>
      <c r="AD25" s="16"/>
      <c r="AE25" s="16"/>
      <c r="AF25" s="105"/>
      <c r="AG25" s="106"/>
    </row>
    <row r="26" spans="1:33" s="5" customFormat="1" ht="21.75" customHeight="1">
      <c r="A26" s="12">
        <f t="shared" si="0"/>
        <v>14</v>
      </c>
      <c r="B26" s="13">
        <f t="shared" si="8"/>
        <v>69494.95</v>
      </c>
      <c r="C26" s="14">
        <v>69846.04</v>
      </c>
      <c r="D26" s="15" t="s">
        <v>28</v>
      </c>
      <c r="E26" s="16">
        <f t="shared" si="1"/>
        <v>351.0899999999965</v>
      </c>
      <c r="F26" s="17">
        <v>8</v>
      </c>
      <c r="G26" s="18"/>
      <c r="H26" s="16"/>
      <c r="I26" s="16">
        <f t="shared" si="9"/>
        <v>2808.72</v>
      </c>
      <c r="J26" s="16"/>
      <c r="K26" s="16">
        <f t="shared" si="6"/>
        <v>117.03</v>
      </c>
      <c r="L26" s="16"/>
      <c r="M26" s="16">
        <f t="shared" si="7"/>
        <v>292.57</v>
      </c>
      <c r="N26" s="16">
        <f t="shared" si="7"/>
        <v>468.12</v>
      </c>
      <c r="O26" s="16"/>
      <c r="P26" s="16"/>
      <c r="Q26" s="16"/>
      <c r="R26" s="16"/>
      <c r="S26" s="16"/>
      <c r="T26" s="16">
        <f t="shared" si="2"/>
        <v>74.41</v>
      </c>
      <c r="U26" s="16">
        <f t="shared" si="3"/>
        <v>60.68</v>
      </c>
      <c r="V26" s="16"/>
      <c r="W26" s="16">
        <f t="shared" si="4"/>
        <v>54</v>
      </c>
      <c r="X26" s="16"/>
      <c r="Y26" s="16"/>
      <c r="Z26" s="16">
        <f t="shared" si="5"/>
        <v>13</v>
      </c>
      <c r="AA26" s="16">
        <f t="shared" si="5"/>
        <v>15.17</v>
      </c>
      <c r="AB26" s="16"/>
      <c r="AC26" s="16"/>
      <c r="AD26" s="16"/>
      <c r="AE26" s="16"/>
      <c r="AF26" s="105"/>
      <c r="AG26" s="106"/>
    </row>
    <row r="27" spans="1:33" s="5" customFormat="1" ht="21.75" customHeight="1">
      <c r="A27" s="12">
        <f t="shared" si="0"/>
        <v>15</v>
      </c>
      <c r="B27" s="13">
        <f t="shared" si="8"/>
        <v>69846.04</v>
      </c>
      <c r="C27" s="14">
        <v>69864.18</v>
      </c>
      <c r="D27" s="15" t="s">
        <v>28</v>
      </c>
      <c r="E27" s="16">
        <f t="shared" si="1"/>
        <v>18.139999999999418</v>
      </c>
      <c r="F27" s="17">
        <v>8</v>
      </c>
      <c r="G27" s="18"/>
      <c r="H27" s="16"/>
      <c r="I27" s="16">
        <f t="shared" si="9"/>
        <v>145.12</v>
      </c>
      <c r="J27" s="16"/>
      <c r="K27" s="16"/>
      <c r="L27" s="16"/>
      <c r="M27" s="16"/>
      <c r="N27" s="16"/>
      <c r="O27" s="16">
        <f>IF($H27=0,ROUND($E27*(O$72/12),2),ROUND($E27*(O$72/12)*$H27,2))</f>
        <v>27.21</v>
      </c>
      <c r="P27" s="16"/>
      <c r="Q27" s="16"/>
      <c r="R27" s="16"/>
      <c r="S27" s="16"/>
      <c r="T27" s="16">
        <f t="shared" si="2"/>
        <v>3.58</v>
      </c>
      <c r="U27" s="16">
        <f t="shared" si="3"/>
        <v>3.19</v>
      </c>
      <c r="V27" s="16"/>
      <c r="W27" s="16">
        <f t="shared" si="4"/>
        <v>2.66</v>
      </c>
      <c r="X27" s="16"/>
      <c r="Y27" s="16"/>
      <c r="Z27" s="16">
        <f t="shared" si="5"/>
        <v>0.67</v>
      </c>
      <c r="AA27" s="16">
        <f t="shared" si="5"/>
        <v>0.78</v>
      </c>
      <c r="AB27" s="16"/>
      <c r="AC27" s="16"/>
      <c r="AD27" s="16">
        <f>IF($H27=0,$E27,ROUND($E27*$H27,2))</f>
        <v>18.139999999999418</v>
      </c>
      <c r="AE27" s="16"/>
      <c r="AF27" s="105"/>
      <c r="AG27" s="106"/>
    </row>
    <row r="28" spans="1:33" s="5" customFormat="1" ht="21.75" customHeight="1">
      <c r="A28" s="12">
        <f t="shared" si="0"/>
        <v>16</v>
      </c>
      <c r="B28" s="13">
        <f t="shared" si="8"/>
        <v>69864.18</v>
      </c>
      <c r="C28" s="14">
        <v>70029.18</v>
      </c>
      <c r="D28" s="15" t="s">
        <v>28</v>
      </c>
      <c r="E28" s="16">
        <f t="shared" si="1"/>
        <v>165</v>
      </c>
      <c r="F28" s="17">
        <v>8</v>
      </c>
      <c r="G28" s="16"/>
      <c r="H28" s="16"/>
      <c r="I28" s="16">
        <f t="shared" si="9"/>
        <v>1320</v>
      </c>
      <c r="J28" s="16"/>
      <c r="K28" s="16"/>
      <c r="L28" s="16">
        <f>IF($H28=0,ROUND($E28*(L$72/12),2),ROUND($E28*(L$72/12)*$H28,2))</f>
        <v>82.5</v>
      </c>
      <c r="M28" s="16">
        <f>IF($H28=0,ROUND($E28*(M$72/12),2),ROUND($E28*(M$72/12)*$H28,2))</f>
        <v>137.5</v>
      </c>
      <c r="N28" s="16">
        <f>IF($H28=0,ROUND($E28*(N$72/12),2),ROUND($E28*(N$72/12)*$H28,2))</f>
        <v>220</v>
      </c>
      <c r="O28" s="16"/>
      <c r="P28" s="16">
        <f>IF($H28=0,ROUND($E28*(P$72/12),2),ROUND($E28*(P$72/12)*$H28,2))</f>
        <v>275</v>
      </c>
      <c r="Q28" s="16">
        <f>IF($H28=0,ROUND($E28*(Q$72/12),2),ROUND($E28*(Q$72/12)*$H28,2))</f>
        <v>302.5</v>
      </c>
      <c r="R28" s="16"/>
      <c r="S28" s="16"/>
      <c r="T28" s="16">
        <f>ROUND(((($I28+$J28+$P28)*(T$72/12)+($M28)*(T$73/12)+($N28)*(T$73/12))/27),2)</f>
        <v>43.8</v>
      </c>
      <c r="U28" s="16">
        <f>ROUND(((($I28+$J28+$P28+$Q28)*(U$72/12))/27),2)</f>
        <v>35.14</v>
      </c>
      <c r="V28" s="16"/>
      <c r="W28" s="16">
        <f>ROUND(((($I28+$J286+$L28+$P28)/9)*$W$72)+((($I28+$J28+$M28+$P28)/9)*$W$72)+((($I28+$J28+$N28+$P28)/9)*$W$72),2)</f>
        <v>31.93</v>
      </c>
      <c r="X28" s="16"/>
      <c r="Y28" s="16"/>
      <c r="Z28" s="16">
        <f>ROUND(((($I28+$J28)*(Z$72/12))/27),2)</f>
        <v>6.11</v>
      </c>
      <c r="AA28" s="16">
        <f>ROUND(((($I28+$J28+$P28+$L28)*(AA$72/12))/27),2)</f>
        <v>9.06</v>
      </c>
      <c r="AB28" s="16"/>
      <c r="AC28" s="16"/>
      <c r="AD28" s="16"/>
      <c r="AE28" s="16"/>
      <c r="AF28" s="105"/>
      <c r="AG28" s="106"/>
    </row>
    <row r="29" spans="1:33" s="5" customFormat="1" ht="21.75" customHeight="1">
      <c r="A29" s="12">
        <f t="shared" si="0"/>
        <v>17</v>
      </c>
      <c r="B29" s="13">
        <f t="shared" si="8"/>
        <v>70029.18</v>
      </c>
      <c r="C29" s="14">
        <v>70211.45</v>
      </c>
      <c r="D29" s="15" t="s">
        <v>28</v>
      </c>
      <c r="E29" s="16">
        <f t="shared" si="1"/>
        <v>182.27000000000407</v>
      </c>
      <c r="F29" s="17">
        <v>8</v>
      </c>
      <c r="G29" s="16"/>
      <c r="H29" s="16"/>
      <c r="I29" s="16">
        <f t="shared" si="9"/>
        <v>1458.16</v>
      </c>
      <c r="J29" s="16"/>
      <c r="K29" s="16">
        <f>IF($H29=0,ROUND($E29*(K$72/12),2),ROUND($E29*(K$72/12)*$H29,2))</f>
        <v>60.76</v>
      </c>
      <c r="L29" s="16"/>
      <c r="M29" s="16">
        <f>IF($H29=0,ROUND($E29*(M$72/12),2),ROUND($E29*(M$72/12)*$H29,2))</f>
        <v>151.89</v>
      </c>
      <c r="N29" s="16">
        <f>IF($H29=0,ROUND($E29*(N$72/12),2),ROUND($E29*(N$72/12)*$H29,2))</f>
        <v>243.03</v>
      </c>
      <c r="O29" s="16"/>
      <c r="P29" s="16"/>
      <c r="Q29" s="16"/>
      <c r="R29" s="16"/>
      <c r="S29" s="16"/>
      <c r="T29" s="16">
        <f>ROUND(((($I29+$J29)*(T$72/12)+($K29)*(T$73/12)+($M29)*(T$73/12))/27),2)</f>
        <v>38.63</v>
      </c>
      <c r="U29" s="16">
        <f>ROUND(((($I29+$J29+$N29+$O29+$P29+$Q29)*(U$72/12))/27),2)</f>
        <v>31.5</v>
      </c>
      <c r="V29" s="16"/>
      <c r="W29" s="16">
        <f>ROUND(((($I29+$J29)/9)*$W$72)+((($I29+$J29+$K29)/9)*$W$72)+((($I29+$J29+$M29)/9)*$W$72),2)</f>
        <v>28.03</v>
      </c>
      <c r="X29" s="16"/>
      <c r="Y29" s="16"/>
      <c r="Z29" s="16">
        <f>ROUND(((($I29+$J29)*(Z$72/12))/27),2)</f>
        <v>6.75</v>
      </c>
      <c r="AA29" s="16">
        <f>ROUND(((($I29+$J29)*(AA$72/12))/27),2)</f>
        <v>7.88</v>
      </c>
      <c r="AB29" s="16"/>
      <c r="AC29" s="16"/>
      <c r="AD29" s="16"/>
      <c r="AE29" s="16"/>
      <c r="AF29" s="105"/>
      <c r="AG29" s="106"/>
    </row>
    <row r="30" spans="1:33" s="5" customFormat="1" ht="21.75" customHeight="1">
      <c r="A30" s="12">
        <f t="shared" si="0"/>
        <v>18</v>
      </c>
      <c r="B30" s="13"/>
      <c r="C30" s="14"/>
      <c r="D30" s="15"/>
      <c r="E30" s="16"/>
      <c r="F30" s="17"/>
      <c r="G30" s="1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05"/>
      <c r="AG30" s="106"/>
    </row>
    <row r="31" spans="1:33" s="5" customFormat="1" ht="21.75" customHeight="1">
      <c r="A31" s="12">
        <f t="shared" si="0"/>
        <v>19</v>
      </c>
      <c r="B31" s="77" t="s">
        <v>69</v>
      </c>
      <c r="C31" s="78"/>
      <c r="D31" s="78"/>
      <c r="E31" s="78"/>
      <c r="F31" s="78"/>
      <c r="G31" s="78"/>
      <c r="H31" s="78"/>
      <c r="I31" s="79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05"/>
      <c r="AG31" s="106"/>
    </row>
    <row r="32" spans="1:33" s="5" customFormat="1" ht="21.75" customHeight="1">
      <c r="A32" s="12">
        <f t="shared" si="0"/>
        <v>20</v>
      </c>
      <c r="B32" s="19" t="s">
        <v>27</v>
      </c>
      <c r="C32" s="40"/>
      <c r="D32" s="15"/>
      <c r="E32" s="16"/>
      <c r="F32" s="54"/>
      <c r="G32" s="18"/>
      <c r="H32" s="16"/>
      <c r="I32" s="5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05"/>
      <c r="AG32" s="106"/>
    </row>
    <row r="33" spans="1:33" s="5" customFormat="1" ht="21.75" customHeight="1">
      <c r="A33" s="12">
        <f t="shared" si="0"/>
        <v>21</v>
      </c>
      <c r="B33" s="14">
        <v>78145.3</v>
      </c>
      <c r="C33" s="38">
        <v>78290.99</v>
      </c>
      <c r="D33" s="15" t="s">
        <v>33</v>
      </c>
      <c r="E33" s="16">
        <f aca="true" t="shared" si="10" ref="E33:E38">C33-B33</f>
        <v>145.69000000000233</v>
      </c>
      <c r="F33" s="17">
        <f>ROUND(AVERAGE(16,12),2)</f>
        <v>14</v>
      </c>
      <c r="G33" s="18">
        <f>ROUND((747.92-($F33/2))/747.92,4)</f>
        <v>0.9906</v>
      </c>
      <c r="H33" s="16"/>
      <c r="I33" s="16">
        <f aca="true" t="shared" si="11" ref="I33:I38">IF(G33=0,ROUND($E33*$F33,2),ROUND($E33*$F33*$G33,2))</f>
        <v>2020.49</v>
      </c>
      <c r="J33" s="16"/>
      <c r="K33" s="41"/>
      <c r="L33" s="16"/>
      <c r="M33" s="16"/>
      <c r="N33" s="16"/>
      <c r="O33" s="16"/>
      <c r="P33" s="16"/>
      <c r="Q33" s="16"/>
      <c r="R33" s="16"/>
      <c r="S33" s="16"/>
      <c r="T33" s="16">
        <f aca="true" t="shared" si="12" ref="T33:T38">ROUND(((($I33+$J33)*(T$72/12))/27),2)</f>
        <v>49.89</v>
      </c>
      <c r="U33" s="16">
        <f aca="true" t="shared" si="13" ref="U33:U38">ROUND(((($I33+$J33+$N33+$O33+$P33+$Q33)*(U$72/12))/27),2)</f>
        <v>37.42</v>
      </c>
      <c r="V33" s="16"/>
      <c r="W33" s="16">
        <f aca="true" t="shared" si="14" ref="W33:W38">ROUND((((($I33+$J33)/9)*W$72)*3),2)</f>
        <v>37.04</v>
      </c>
      <c r="X33" s="16"/>
      <c r="Y33" s="16"/>
      <c r="Z33" s="16">
        <f aca="true" t="shared" si="15" ref="Z33:AA38">ROUND(((($I33+$J33)*(Z$72/12))/27),2)</f>
        <v>9.35</v>
      </c>
      <c r="AA33" s="16">
        <f t="shared" si="15"/>
        <v>10.91</v>
      </c>
      <c r="AB33" s="16">
        <f>$AA33+$Z33</f>
        <v>20.259999999999998</v>
      </c>
      <c r="AC33" s="16"/>
      <c r="AD33" s="16"/>
      <c r="AE33" s="16"/>
      <c r="AF33" s="105"/>
      <c r="AG33" s="106"/>
    </row>
    <row r="34" spans="1:33" s="5" customFormat="1" ht="21.75" customHeight="1">
      <c r="A34" s="12">
        <f t="shared" si="0"/>
        <v>22</v>
      </c>
      <c r="B34" s="14">
        <f>C33</f>
        <v>78290.99</v>
      </c>
      <c r="C34" s="14">
        <v>78293.84</v>
      </c>
      <c r="D34" s="15" t="s">
        <v>33</v>
      </c>
      <c r="E34" s="16">
        <f t="shared" si="10"/>
        <v>2.849999999991269</v>
      </c>
      <c r="F34" s="17">
        <v>16</v>
      </c>
      <c r="G34" s="18">
        <f>ROUND((747.92-($F34/2))/747.92,4)</f>
        <v>0.9893</v>
      </c>
      <c r="H34" s="16"/>
      <c r="I34" s="16">
        <f t="shared" si="11"/>
        <v>45.11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>
        <f t="shared" si="12"/>
        <v>1.11</v>
      </c>
      <c r="U34" s="16">
        <f t="shared" si="13"/>
        <v>0.84</v>
      </c>
      <c r="V34" s="16"/>
      <c r="W34" s="16">
        <f t="shared" si="14"/>
        <v>0.83</v>
      </c>
      <c r="X34" s="16"/>
      <c r="Y34" s="16"/>
      <c r="Z34" s="16">
        <f t="shared" si="15"/>
        <v>0.21</v>
      </c>
      <c r="AA34" s="16">
        <f t="shared" si="15"/>
        <v>0.24</v>
      </c>
      <c r="AB34" s="16">
        <f aca="true" t="shared" si="16" ref="AB34:AB40">$AA34+$Z34</f>
        <v>0.44999999999999996</v>
      </c>
      <c r="AC34" s="16"/>
      <c r="AD34" s="16"/>
      <c r="AE34" s="16"/>
      <c r="AF34" s="105"/>
      <c r="AG34" s="106"/>
    </row>
    <row r="35" spans="1:33" s="5" customFormat="1" ht="21.75" customHeight="1">
      <c r="A35" s="12">
        <f t="shared" si="0"/>
        <v>23</v>
      </c>
      <c r="B35" s="14">
        <f>C34</f>
        <v>78293.84</v>
      </c>
      <c r="C35" s="14">
        <v>78443.84</v>
      </c>
      <c r="D35" s="15" t="s">
        <v>33</v>
      </c>
      <c r="E35" s="16">
        <f t="shared" si="10"/>
        <v>150</v>
      </c>
      <c r="F35" s="17">
        <v>16</v>
      </c>
      <c r="G35" s="18">
        <f>ROUND((((747.92-($F35/2))/747.92)+1)/2,4)</f>
        <v>0.9947</v>
      </c>
      <c r="H35" s="16"/>
      <c r="I35" s="16">
        <f t="shared" si="11"/>
        <v>2387.28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>
        <f t="shared" si="12"/>
        <v>58.95</v>
      </c>
      <c r="U35" s="16">
        <f t="shared" si="13"/>
        <v>44.21</v>
      </c>
      <c r="V35" s="16"/>
      <c r="W35" s="16">
        <f t="shared" si="14"/>
        <v>43.77</v>
      </c>
      <c r="X35" s="16"/>
      <c r="Y35" s="16"/>
      <c r="Z35" s="16">
        <f t="shared" si="15"/>
        <v>11.05</v>
      </c>
      <c r="AA35" s="16">
        <f t="shared" si="15"/>
        <v>12.89</v>
      </c>
      <c r="AB35" s="16">
        <f t="shared" si="16"/>
        <v>23.94</v>
      </c>
      <c r="AC35" s="16"/>
      <c r="AD35" s="16"/>
      <c r="AE35" s="16"/>
      <c r="AF35" s="105"/>
      <c r="AG35" s="106"/>
    </row>
    <row r="36" spans="1:33" s="5" customFormat="1" ht="21.75" customHeight="1">
      <c r="A36" s="12">
        <f t="shared" si="0"/>
        <v>24</v>
      </c>
      <c r="B36" s="14">
        <f>C35</f>
        <v>78443.84</v>
      </c>
      <c r="C36" s="14">
        <v>78482.53</v>
      </c>
      <c r="D36" s="15" t="s">
        <v>33</v>
      </c>
      <c r="E36" s="16">
        <f t="shared" si="10"/>
        <v>38.69000000000233</v>
      </c>
      <c r="F36" s="17">
        <v>16</v>
      </c>
      <c r="G36" s="18"/>
      <c r="H36" s="16"/>
      <c r="I36" s="16">
        <f t="shared" si="11"/>
        <v>619.04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>
        <f t="shared" si="12"/>
        <v>15.28</v>
      </c>
      <c r="U36" s="16">
        <f t="shared" si="13"/>
        <v>11.46</v>
      </c>
      <c r="V36" s="16"/>
      <c r="W36" s="16">
        <f t="shared" si="14"/>
        <v>11.35</v>
      </c>
      <c r="X36" s="16"/>
      <c r="Y36" s="16"/>
      <c r="Z36" s="16">
        <f t="shared" si="15"/>
        <v>2.87</v>
      </c>
      <c r="AA36" s="16">
        <f t="shared" si="15"/>
        <v>3.34</v>
      </c>
      <c r="AB36" s="16">
        <f t="shared" si="16"/>
        <v>6.21</v>
      </c>
      <c r="AC36" s="16"/>
      <c r="AD36" s="16"/>
      <c r="AE36" s="16"/>
      <c r="AF36" s="105"/>
      <c r="AG36" s="106"/>
    </row>
    <row r="37" spans="1:33" s="5" customFormat="1" ht="21.75" customHeight="1">
      <c r="A37" s="12">
        <f t="shared" si="0"/>
        <v>25</v>
      </c>
      <c r="B37" s="14">
        <f>C36</f>
        <v>78482.53</v>
      </c>
      <c r="C37" s="14">
        <v>78732.53</v>
      </c>
      <c r="D37" s="15" t="s">
        <v>33</v>
      </c>
      <c r="E37" s="16">
        <f t="shared" si="10"/>
        <v>250</v>
      </c>
      <c r="F37" s="17">
        <v>16</v>
      </c>
      <c r="G37" s="18">
        <f>ROUND((((381.972+($F37/2))/381.972)+1)/2,4)</f>
        <v>1.0105</v>
      </c>
      <c r="H37" s="16"/>
      <c r="I37" s="16">
        <f t="shared" si="11"/>
        <v>4042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>
        <f t="shared" si="12"/>
        <v>99.8</v>
      </c>
      <c r="U37" s="16">
        <f t="shared" si="13"/>
        <v>74.85</v>
      </c>
      <c r="V37" s="16"/>
      <c r="W37" s="16">
        <f t="shared" si="14"/>
        <v>74.1</v>
      </c>
      <c r="X37" s="16"/>
      <c r="Y37" s="16"/>
      <c r="Z37" s="16">
        <f t="shared" si="15"/>
        <v>18.71</v>
      </c>
      <c r="AA37" s="16">
        <f t="shared" si="15"/>
        <v>21.83</v>
      </c>
      <c r="AB37" s="16">
        <f t="shared" si="16"/>
        <v>40.54</v>
      </c>
      <c r="AC37" s="16"/>
      <c r="AD37" s="16"/>
      <c r="AE37" s="16"/>
      <c r="AF37" s="105"/>
      <c r="AG37" s="106"/>
    </row>
    <row r="38" spans="1:33" s="5" customFormat="1" ht="21.75" customHeight="1">
      <c r="A38" s="12">
        <f t="shared" si="0"/>
        <v>26</v>
      </c>
      <c r="B38" s="13">
        <f>C37</f>
        <v>78732.53</v>
      </c>
      <c r="C38" s="14">
        <v>78882.95</v>
      </c>
      <c r="D38" s="15" t="s">
        <v>33</v>
      </c>
      <c r="E38" s="16">
        <f t="shared" si="10"/>
        <v>150.41999999999825</v>
      </c>
      <c r="F38" s="17">
        <v>16</v>
      </c>
      <c r="G38" s="18">
        <f>ROUND((381.972+($F38/2))/381.972,4)</f>
        <v>1.0209</v>
      </c>
      <c r="H38" s="16"/>
      <c r="I38" s="16">
        <f t="shared" si="11"/>
        <v>2457.02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>
        <f t="shared" si="12"/>
        <v>60.67</v>
      </c>
      <c r="U38" s="16">
        <f t="shared" si="13"/>
        <v>45.5</v>
      </c>
      <c r="V38" s="16"/>
      <c r="W38" s="16">
        <f t="shared" si="14"/>
        <v>45.05</v>
      </c>
      <c r="X38" s="16"/>
      <c r="Y38" s="16"/>
      <c r="Z38" s="16">
        <f t="shared" si="15"/>
        <v>11.38</v>
      </c>
      <c r="AA38" s="16">
        <f t="shared" si="15"/>
        <v>13.27</v>
      </c>
      <c r="AB38" s="16">
        <f t="shared" si="16"/>
        <v>24.65</v>
      </c>
      <c r="AC38" s="16"/>
      <c r="AD38" s="16"/>
      <c r="AE38" s="16"/>
      <c r="AF38" s="105"/>
      <c r="AG38" s="106"/>
    </row>
    <row r="39" spans="1:33" s="5" customFormat="1" ht="21.75" customHeight="1">
      <c r="A39" s="12">
        <f t="shared" si="0"/>
        <v>27</v>
      </c>
      <c r="B39" s="13"/>
      <c r="C39" s="14"/>
      <c r="D39" s="15"/>
      <c r="E39" s="16"/>
      <c r="F39" s="17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05"/>
      <c r="AG39" s="106"/>
    </row>
    <row r="40" spans="1:33" s="5" customFormat="1" ht="21.75" customHeight="1">
      <c r="A40" s="12">
        <f t="shared" si="0"/>
        <v>28</v>
      </c>
      <c r="B40" s="13">
        <v>79317.7</v>
      </c>
      <c r="C40" s="14">
        <v>79695.44</v>
      </c>
      <c r="D40" s="15" t="s">
        <v>33</v>
      </c>
      <c r="E40" s="16">
        <f>C40-B40</f>
        <v>377.74000000000524</v>
      </c>
      <c r="F40" s="17">
        <v>16</v>
      </c>
      <c r="G40" s="18">
        <f>ROUND((3819.719+($F40/2))/3819.719,4)</f>
        <v>1.0021</v>
      </c>
      <c r="H40" s="16"/>
      <c r="I40" s="16">
        <f>IF(G40=0,ROUND($E40*$F40,2),ROUND($E40*$F40*$G40,2))</f>
        <v>6056.53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>
        <f>ROUND(((($I40+$J40)*(T$72/12))/27),2)</f>
        <v>149.54</v>
      </c>
      <c r="U40" s="16">
        <f>ROUND(((($I40+$J40+$N40+$O40+$P40+$Q40)*(U$72/12))/27),2)</f>
        <v>112.16</v>
      </c>
      <c r="V40" s="16"/>
      <c r="W40" s="16">
        <f>ROUND((((($I40+$J40)/9)*W$72)*3),2)</f>
        <v>111.04</v>
      </c>
      <c r="X40" s="16"/>
      <c r="Y40" s="16"/>
      <c r="Z40" s="16">
        <f>ROUND(((($I40+$J40)*(Z$72/12))/27),2)</f>
        <v>28.04</v>
      </c>
      <c r="AA40" s="16">
        <f>ROUND(((($I40+$J40)*(AA$72/12))/27),2)</f>
        <v>32.71</v>
      </c>
      <c r="AB40" s="16">
        <f t="shared" si="16"/>
        <v>60.75</v>
      </c>
      <c r="AC40" s="16"/>
      <c r="AD40" s="16"/>
      <c r="AE40" s="16"/>
      <c r="AF40" s="105"/>
      <c r="AG40" s="106"/>
    </row>
    <row r="41" spans="1:33" s="5" customFormat="1" ht="21.75" customHeight="1">
      <c r="A41" s="12">
        <f t="shared" si="0"/>
        <v>29</v>
      </c>
      <c r="B41" s="13"/>
      <c r="C41" s="14"/>
      <c r="D41" s="15"/>
      <c r="E41" s="16"/>
      <c r="F41" s="17"/>
      <c r="G41" s="18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05"/>
      <c r="AG41" s="106"/>
    </row>
    <row r="42" spans="1:33" s="5" customFormat="1" ht="21.75" customHeight="1">
      <c r="A42" s="12">
        <f t="shared" si="0"/>
        <v>30</v>
      </c>
      <c r="B42" s="19" t="s">
        <v>35</v>
      </c>
      <c r="C42" s="14"/>
      <c r="D42" s="15"/>
      <c r="E42" s="16"/>
      <c r="F42" s="17"/>
      <c r="G42" s="1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05"/>
      <c r="AG42" s="106"/>
    </row>
    <row r="43" spans="1:33" s="5" customFormat="1" ht="21.75" customHeight="1">
      <c r="A43" s="12">
        <f t="shared" si="0"/>
        <v>31</v>
      </c>
      <c r="B43" s="13">
        <v>78500.84</v>
      </c>
      <c r="C43" s="14">
        <v>78525</v>
      </c>
      <c r="D43" s="15" t="s">
        <v>33</v>
      </c>
      <c r="E43" s="16">
        <f>C43-B43</f>
        <v>24.160000000003492</v>
      </c>
      <c r="F43" s="80" t="s">
        <v>31</v>
      </c>
      <c r="G43" s="81"/>
      <c r="H43" s="81"/>
      <c r="I43" s="82"/>
      <c r="J43" s="16">
        <v>142.13</v>
      </c>
      <c r="K43" s="16">
        <f>IF($H43=0,ROUND($E43*(K$72/12),2),ROUND($E43*(K$72/12)*$H43,2))</f>
        <v>8.05</v>
      </c>
      <c r="L43" s="16"/>
      <c r="M43" s="16">
        <f aca="true" t="shared" si="17" ref="M43:N45">IF($H43=0,ROUND($E43*(M$72/12),2),ROUND($E43*(M$72/12)*$H43,2))</f>
        <v>20.13</v>
      </c>
      <c r="N43" s="16">
        <f t="shared" si="17"/>
        <v>32.21</v>
      </c>
      <c r="O43" s="16"/>
      <c r="P43" s="16"/>
      <c r="Q43" s="16"/>
      <c r="R43" s="16"/>
      <c r="S43" s="16"/>
      <c r="T43" s="16">
        <f>ROUND(((($I43+$J43)*(T$72/12)+($K43)*(T$73/12)+($M43)*(T$73/12))/27),2)</f>
        <v>3.86</v>
      </c>
      <c r="U43" s="16">
        <f>ROUND(((($I43+$J43+$N43+$O43+$P43+$Q43)*(U$72/12))/27),2)</f>
        <v>3.23</v>
      </c>
      <c r="V43" s="16"/>
      <c r="W43" s="16">
        <f>ROUND(((($I43+$J43)/9)*$W$72)+((($I43+$J43+$K43)/9)*$W$72)+((($I43+$J43+$M43)/9)*$W$72),2)</f>
        <v>2.78</v>
      </c>
      <c r="X43" s="16"/>
      <c r="Y43" s="16"/>
      <c r="Z43" s="16">
        <f aca="true" t="shared" si="18" ref="Z43:AA45">ROUND(((($I43+$J43)*(Z$72/12))/27),2)</f>
        <v>0.66</v>
      </c>
      <c r="AA43" s="16">
        <f t="shared" si="18"/>
        <v>0.77</v>
      </c>
      <c r="AB43" s="16"/>
      <c r="AC43" s="16"/>
      <c r="AD43" s="16"/>
      <c r="AE43" s="16"/>
      <c r="AF43" s="105"/>
      <c r="AG43" s="106"/>
    </row>
    <row r="44" spans="1:33" s="5" customFormat="1" ht="21.75" customHeight="1">
      <c r="A44" s="12">
        <f t="shared" si="0"/>
        <v>32</v>
      </c>
      <c r="B44" s="13">
        <f>C43</f>
        <v>78525</v>
      </c>
      <c r="C44" s="14">
        <v>78732.53</v>
      </c>
      <c r="D44" s="15" t="s">
        <v>33</v>
      </c>
      <c r="E44" s="16">
        <f>C44-B44</f>
        <v>207.52999999999884</v>
      </c>
      <c r="F44" s="17">
        <v>6</v>
      </c>
      <c r="G44" s="18">
        <f>ROUND((((381.972+16+($F44/2))/381.972)+1)/2,4)</f>
        <v>1.0249</v>
      </c>
      <c r="H44" s="18">
        <f>ROUND((((381.972+16+($F44))/381.972)+1)/2,4)</f>
        <v>1.0288</v>
      </c>
      <c r="I44" s="16">
        <f>IF(G44=0,ROUND($E44*$F44,2),ROUND($E44*$F44*$G44,2))</f>
        <v>1276.18</v>
      </c>
      <c r="J44" s="16"/>
      <c r="K44" s="16">
        <f>IF($H44=0,ROUND($E44*(K$72/12),2),ROUND($E44*(K$72/12)*$H44,2))</f>
        <v>71.17</v>
      </c>
      <c r="L44" s="16"/>
      <c r="M44" s="16">
        <f t="shared" si="17"/>
        <v>177.92</v>
      </c>
      <c r="N44" s="16">
        <f t="shared" si="17"/>
        <v>284.68</v>
      </c>
      <c r="O44" s="16"/>
      <c r="P44" s="16"/>
      <c r="Q44" s="16"/>
      <c r="R44" s="16"/>
      <c r="S44" s="16"/>
      <c r="T44" s="16">
        <f>ROUND(((($I44+$J44)*(T$72/12)+($K44)*(T$73/12)+($M44)*(T$73/12))/27),2)</f>
        <v>34.59</v>
      </c>
      <c r="U44" s="16">
        <f>ROUND(((($I44+$J44+$N44+$O44+$P44+$Q44)*(U$72/12))/27),2)</f>
        <v>28.9</v>
      </c>
      <c r="V44" s="16"/>
      <c r="W44" s="16">
        <f>ROUND(((($I44+$J44)/9)*$W$72)+((($I44+$J44+$K44)/9)*$W$72)+((($I44+$J44+$M44)/9)*$W$72),2)</f>
        <v>24.92</v>
      </c>
      <c r="X44" s="16"/>
      <c r="Y44" s="16"/>
      <c r="Z44" s="16">
        <f t="shared" si="18"/>
        <v>5.91</v>
      </c>
      <c r="AA44" s="16">
        <f t="shared" si="18"/>
        <v>6.89</v>
      </c>
      <c r="AB44" s="16"/>
      <c r="AC44" s="16"/>
      <c r="AD44" s="16"/>
      <c r="AE44" s="16"/>
      <c r="AF44" s="105"/>
      <c r="AG44" s="106"/>
    </row>
    <row r="45" spans="1:33" s="5" customFormat="1" ht="21.75" customHeight="1">
      <c r="A45" s="12">
        <f t="shared" si="0"/>
        <v>33</v>
      </c>
      <c r="B45" s="13">
        <f>C44</f>
        <v>78732.53</v>
      </c>
      <c r="C45" s="14">
        <v>78882.95</v>
      </c>
      <c r="D45" s="15" t="s">
        <v>33</v>
      </c>
      <c r="E45" s="16">
        <f>C45-B45</f>
        <v>150.41999999999825</v>
      </c>
      <c r="F45" s="17">
        <v>6</v>
      </c>
      <c r="G45" s="18">
        <f>ROUND((381.972+16+($F45/2))/381.972,4)</f>
        <v>1.0497</v>
      </c>
      <c r="H45" s="18">
        <f>ROUND((381.972+16+($F45))/381.972,4)</f>
        <v>1.0576</v>
      </c>
      <c r="I45" s="16">
        <f>IF(G45=0,ROUND($E45*$F45,2),ROUND($E45*$F45*$G45,2))</f>
        <v>947.38</v>
      </c>
      <c r="J45" s="16"/>
      <c r="K45" s="16">
        <f>IF($H45=0,ROUND($E45*(K$72/12),2),ROUND($E45*(K$72/12)*$H45,2))</f>
        <v>53.03</v>
      </c>
      <c r="L45" s="16"/>
      <c r="M45" s="16">
        <f t="shared" si="17"/>
        <v>132.57</v>
      </c>
      <c r="N45" s="16">
        <f t="shared" si="17"/>
        <v>212.11</v>
      </c>
      <c r="O45" s="16"/>
      <c r="P45" s="16"/>
      <c r="Q45" s="16"/>
      <c r="R45" s="16"/>
      <c r="S45" s="16"/>
      <c r="T45" s="16">
        <f>ROUND(((($I45+$J45)*(T$72/12)+($K45)*(T$73/12)+($M45)*(T$73/12))/27),2)</f>
        <v>25.68</v>
      </c>
      <c r="U45" s="16">
        <f>ROUND(((($I45+$J45+$N45+$O45+$P45+$Q45)*(U$72/12))/27),2)</f>
        <v>21.47</v>
      </c>
      <c r="V45" s="16"/>
      <c r="W45" s="16">
        <f>ROUND(((($I45+$J45)/9)*$W$72)+((($I45+$J45+$K45)/9)*$W$72)+((($I45+$J45+$M45)/9)*$W$72),2)</f>
        <v>18.5</v>
      </c>
      <c r="X45" s="16"/>
      <c r="Y45" s="16"/>
      <c r="Z45" s="16">
        <f t="shared" si="18"/>
        <v>4.39</v>
      </c>
      <c r="AA45" s="16">
        <f t="shared" si="18"/>
        <v>5.12</v>
      </c>
      <c r="AB45" s="16"/>
      <c r="AC45" s="16"/>
      <c r="AD45" s="16"/>
      <c r="AE45" s="16"/>
      <c r="AF45" s="105"/>
      <c r="AG45" s="106"/>
    </row>
    <row r="46" spans="1:33" s="5" customFormat="1" ht="21.75" customHeight="1">
      <c r="A46" s="12">
        <f t="shared" si="0"/>
        <v>34</v>
      </c>
      <c r="B46" s="13"/>
      <c r="C46" s="14"/>
      <c r="D46" s="15"/>
      <c r="E46" s="16"/>
      <c r="F46" s="17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05"/>
      <c r="AG46" s="106"/>
    </row>
    <row r="47" spans="1:33" s="5" customFormat="1" ht="21.75" customHeight="1">
      <c r="A47" s="12">
        <f t="shared" si="0"/>
        <v>35</v>
      </c>
      <c r="B47" s="13">
        <v>79317.7</v>
      </c>
      <c r="C47" s="14">
        <v>79351.56</v>
      </c>
      <c r="D47" s="15" t="s">
        <v>33</v>
      </c>
      <c r="E47" s="16">
        <f>C47-B47</f>
        <v>33.86000000000058</v>
      </c>
      <c r="F47" s="17">
        <v>6</v>
      </c>
      <c r="G47" s="18">
        <f>ROUND((3819.719+16+($F47/2))/3819.719,4)</f>
        <v>1.005</v>
      </c>
      <c r="H47" s="18">
        <f>ROUND((3819.719+16+($F47))/3819.719,4)</f>
        <v>1.0058</v>
      </c>
      <c r="I47" s="16">
        <f>IF(G47=0,ROUND($E47*$F47,2),ROUND($E47*$F47*$G47,2))</f>
        <v>204.18</v>
      </c>
      <c r="J47" s="16"/>
      <c r="K47" s="16"/>
      <c r="L47" s="16">
        <f>IF($H47=0,ROUND($E47*(L$72/12),2),ROUND($E47*(L$72/12)*$H47,2))</f>
        <v>17.03</v>
      </c>
      <c r="M47" s="16">
        <f>IF($H47=0,ROUND($E47*(M$72/12),2),ROUND($E47*(M$72/12)*$H47,2))</f>
        <v>28.38</v>
      </c>
      <c r="N47" s="16">
        <f>IF($H47=0,ROUND($E47*(N$72/12),2),ROUND($E47*(N$72/12)*$H47,2))</f>
        <v>45.41</v>
      </c>
      <c r="O47" s="16"/>
      <c r="P47" s="16">
        <f>IF($H47=0,ROUND($E47*(P$72/12),2),ROUND($E47*(P$72/12)*$H47,2))</f>
        <v>56.76</v>
      </c>
      <c r="Q47" s="16">
        <f>IF($H47=0,ROUND($E47*(Q$72/12),2),ROUND($E47*(Q$72/12)*$H47,2))</f>
        <v>62.44</v>
      </c>
      <c r="R47" s="16"/>
      <c r="S47" s="16"/>
      <c r="T47" s="16">
        <f>ROUND(((($I47+$J47+$P47)*(T$72/12)+($M47)*(T$73/12)+($N47)*(T$73/12))/27),2)</f>
        <v>7.35</v>
      </c>
      <c r="U47" s="16">
        <f>ROUND(((($I47+$J47+$P47+$Q47)*(U$72/12))/27),2)</f>
        <v>5.99</v>
      </c>
      <c r="V47" s="16"/>
      <c r="W47" s="16">
        <f>ROUND(((($I47+$J314+$L47+$P47)/9)*$W$72)+((($I47+$J47+$M47+$P47)/9)*$W$72)+((($I47+$J47+$N47+$P47)/9)*$W$72),2)</f>
        <v>5.34</v>
      </c>
      <c r="X47" s="16"/>
      <c r="Y47" s="16"/>
      <c r="Z47" s="16">
        <f>ROUND(((($I47+$J47)*(Z$72/12))/27),2)</f>
        <v>0.95</v>
      </c>
      <c r="AA47" s="16">
        <f>ROUND(((($I47+$J47+$P47+$L47)*(AA$72/12))/27),2)</f>
        <v>1.5</v>
      </c>
      <c r="AB47" s="16"/>
      <c r="AC47" s="16"/>
      <c r="AD47" s="16"/>
      <c r="AE47" s="16"/>
      <c r="AF47" s="105"/>
      <c r="AG47" s="106"/>
    </row>
    <row r="48" spans="1:33" s="5" customFormat="1" ht="21.75" customHeight="1">
      <c r="A48" s="12">
        <f t="shared" si="0"/>
        <v>36</v>
      </c>
      <c r="B48" s="13">
        <f>C47</f>
        <v>79351.56</v>
      </c>
      <c r="C48" s="14">
        <v>79369.6</v>
      </c>
      <c r="D48" s="15" t="s">
        <v>33</v>
      </c>
      <c r="E48" s="16">
        <f>C48-B48</f>
        <v>18.04000000000815</v>
      </c>
      <c r="F48" s="17">
        <v>6</v>
      </c>
      <c r="G48" s="18">
        <f>ROUND((3819.719+16+($F48/2))/3819.719,4)</f>
        <v>1.005</v>
      </c>
      <c r="H48" s="18">
        <f>ROUND((3819.719+16+($F48))/3819.719,4)</f>
        <v>1.0058</v>
      </c>
      <c r="I48" s="16">
        <f>IF(G48=0,ROUND($E48*$F48,2),ROUND($E48*$F48*$G48,2))</f>
        <v>108.78</v>
      </c>
      <c r="J48" s="16"/>
      <c r="K48" s="16"/>
      <c r="L48" s="16"/>
      <c r="M48" s="16"/>
      <c r="N48" s="16"/>
      <c r="O48" s="16">
        <f>IF($H48=0,ROUND($E48*(O$72/12),2),ROUND($E48*(O$72/12)*$H48,2))</f>
        <v>27.22</v>
      </c>
      <c r="P48" s="16"/>
      <c r="Q48" s="16"/>
      <c r="R48" s="16"/>
      <c r="S48" s="16"/>
      <c r="T48" s="16">
        <f>ROUND(((($I48+$J48)*(T$72/12)+($K48)*(T$73/12)+($M48)*(T$73/12))/27),2)</f>
        <v>2.69</v>
      </c>
      <c r="U48" s="16">
        <f>ROUND(((($I48+$J48+$N48+$O48+$P48+$Q48)*(U$72/12))/27),2)</f>
        <v>2.52</v>
      </c>
      <c r="V48" s="16"/>
      <c r="W48" s="16">
        <f>ROUND(((($I48+$J48)/9)*$W$72)+((($I48+$J48+$K48)/9)*$W$72)+((($I48+$J48+$M48)/9)*$W$72),2)</f>
        <v>1.99</v>
      </c>
      <c r="X48" s="16"/>
      <c r="Y48" s="16"/>
      <c r="Z48" s="16">
        <f>ROUND(((($I48+$J48)*(Z$72/12))/27),2)</f>
        <v>0.5</v>
      </c>
      <c r="AA48" s="16">
        <f>ROUND(((($I48+$J48)*(AA$72/12))/27),2)</f>
        <v>0.59</v>
      </c>
      <c r="AB48" s="16"/>
      <c r="AC48" s="16"/>
      <c r="AD48" s="16">
        <f>IF($H48=0,$E48,ROUND($E48*$H48,2))</f>
        <v>18.14</v>
      </c>
      <c r="AE48" s="16"/>
      <c r="AF48" s="105"/>
      <c r="AG48" s="106"/>
    </row>
    <row r="49" spans="1:33" s="5" customFormat="1" ht="21.75" customHeight="1">
      <c r="A49" s="12">
        <f t="shared" si="0"/>
        <v>37</v>
      </c>
      <c r="B49" s="13">
        <f>C48</f>
        <v>79369.6</v>
      </c>
      <c r="C49" s="14">
        <v>79675</v>
      </c>
      <c r="D49" s="15" t="s">
        <v>33</v>
      </c>
      <c r="E49" s="16">
        <f>C49-B49</f>
        <v>305.3999999999942</v>
      </c>
      <c r="F49" s="17">
        <v>6</v>
      </c>
      <c r="G49" s="18">
        <f>ROUND((3819.719+16+($F49/2))/3819.719,4)</f>
        <v>1.005</v>
      </c>
      <c r="H49" s="18">
        <f>ROUND((3819.719+16+($F49))/3819.719,4)</f>
        <v>1.0058</v>
      </c>
      <c r="I49" s="16">
        <f>IF(G49=0,ROUND($E49*$F49,2),ROUND($E49*$F49*$G49,2))</f>
        <v>1841.56</v>
      </c>
      <c r="J49" s="16"/>
      <c r="K49" s="16">
        <f>IF($H49=0,ROUND($E49*(K$72/12),2),ROUND($E49*(K$72/12)*$H49,2))</f>
        <v>102.39</v>
      </c>
      <c r="L49" s="16"/>
      <c r="M49" s="16">
        <f>IF($H49=0,ROUND($E49*(M$72/12),2),ROUND($E49*(M$72/12)*$H49,2))</f>
        <v>255.98</v>
      </c>
      <c r="N49" s="16">
        <f>IF($H49=0,ROUND($E49*(N$72/12),2),ROUND($E49*(N$72/12)*$H49,2))</f>
        <v>409.56</v>
      </c>
      <c r="O49" s="16"/>
      <c r="P49" s="16"/>
      <c r="Q49" s="16"/>
      <c r="R49" s="16"/>
      <c r="S49" s="16"/>
      <c r="T49" s="16">
        <f>ROUND(((($I49+$J49)*(T$72/12)+($K49)*(T$73/12)+($M49)*(T$73/12))/27),2)</f>
        <v>49.89</v>
      </c>
      <c r="U49" s="16">
        <f>ROUND(((($I49+$J49+$N49+$O49+$P49+$Q49)*(U$72/12))/27),2)</f>
        <v>41.69</v>
      </c>
      <c r="V49" s="16"/>
      <c r="W49" s="16">
        <f>ROUND(((($I49+$J49)/9)*$W$72)+((($I49+$J49+$K49)/9)*$W$72)+((($I49+$J49+$M49)/9)*$W$72),2)</f>
        <v>35.95</v>
      </c>
      <c r="X49" s="16"/>
      <c r="Y49" s="16"/>
      <c r="Z49" s="16">
        <f>ROUND(((($I49+$J49)*(Z$72/12))/27),2)</f>
        <v>8.53</v>
      </c>
      <c r="AA49" s="16">
        <f>ROUND(((($I49+$J49)*(AA$72/12))/27),2)</f>
        <v>9.95</v>
      </c>
      <c r="AB49" s="16"/>
      <c r="AC49" s="16"/>
      <c r="AD49" s="16"/>
      <c r="AE49" s="16"/>
      <c r="AF49" s="105"/>
      <c r="AG49" s="106"/>
    </row>
    <row r="50" spans="1:33" s="5" customFormat="1" ht="21.75" customHeight="1" thickBot="1">
      <c r="A50" s="12">
        <f t="shared" si="0"/>
        <v>38</v>
      </c>
      <c r="B50" s="13">
        <f>C49</f>
        <v>79675</v>
      </c>
      <c r="C50" s="14">
        <v>79696.15</v>
      </c>
      <c r="D50" s="15" t="s">
        <v>33</v>
      </c>
      <c r="E50" s="16">
        <f>C50-B50</f>
        <v>21.14999999999418</v>
      </c>
      <c r="F50" s="80" t="s">
        <v>31</v>
      </c>
      <c r="G50" s="81"/>
      <c r="H50" s="81"/>
      <c r="I50" s="82"/>
      <c r="J50" s="16">
        <v>125.38</v>
      </c>
      <c r="K50" s="16">
        <f>IF($H50=0,ROUND($E50*(K$72/12),2),ROUND($E50*(K$72/12)*$H50,2))</f>
        <v>7.05</v>
      </c>
      <c r="L50" s="16"/>
      <c r="M50" s="16">
        <f>IF($H50=0,ROUND($E50*(M$72/12),2),ROUND($E50*(M$72/12)*$H50,2))</f>
        <v>17.62</v>
      </c>
      <c r="N50" s="16">
        <f>IF($H50=0,ROUND($E50*(N$72/12),2),ROUND($E50*(N$72/12)*$H50,2))</f>
        <v>28.2</v>
      </c>
      <c r="O50" s="16"/>
      <c r="P50" s="16"/>
      <c r="Q50" s="16"/>
      <c r="R50" s="16"/>
      <c r="S50" s="16"/>
      <c r="T50" s="16">
        <f>ROUND(((($I50+$J50)*(T$72/12)+($K50)*(T$73/12)+($M50)*(T$73/12))/27),2)</f>
        <v>3.4</v>
      </c>
      <c r="U50" s="16">
        <f>ROUND(((($I50+$J50+$N50+$O50+$P50+$Q50)*(U$72/12))/27),2)</f>
        <v>2.84</v>
      </c>
      <c r="V50" s="16"/>
      <c r="W50" s="16">
        <f>ROUND(((($I50+$J50)/9)*$W$72)+((($I50+$J50+$K50)/9)*$W$72)+((($I50+$J50+$M50)/9)*$W$72),2)</f>
        <v>2.45</v>
      </c>
      <c r="X50" s="16"/>
      <c r="Y50" s="16"/>
      <c r="Z50" s="16">
        <f>ROUND(((($I50+$J50)*(Z$72/12))/27),2)</f>
        <v>0.58</v>
      </c>
      <c r="AA50" s="16">
        <f>ROUND(((($I50+$J50)*(AA$72/12))/27),2)</f>
        <v>0.68</v>
      </c>
      <c r="AB50" s="16"/>
      <c r="AC50" s="16"/>
      <c r="AD50" s="16"/>
      <c r="AE50" s="16"/>
      <c r="AF50" s="107"/>
      <c r="AG50" s="108"/>
    </row>
    <row r="51" spans="1:33" s="5" customFormat="1" ht="21.75" customHeight="1">
      <c r="A51" s="12">
        <f t="shared" si="0"/>
        <v>39</v>
      </c>
      <c r="B51" s="13"/>
      <c r="C51" s="14"/>
      <c r="D51" s="15"/>
      <c r="E51" s="16"/>
      <c r="F51" s="54"/>
      <c r="G51" s="18"/>
      <c r="H51" s="16"/>
      <c r="I51" s="52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03" t="s">
        <v>93</v>
      </c>
      <c r="AG51" s="104"/>
    </row>
    <row r="52" spans="1:33" s="5" customFormat="1" ht="21.75" customHeight="1">
      <c r="A52" s="12">
        <f t="shared" si="0"/>
        <v>40</v>
      </c>
      <c r="B52" s="14">
        <v>78145.3</v>
      </c>
      <c r="C52" s="38">
        <v>78293.84</v>
      </c>
      <c r="D52" s="15" t="s">
        <v>28</v>
      </c>
      <c r="E52" s="16">
        <f>C52-B52</f>
        <v>148.5399999999936</v>
      </c>
      <c r="F52" s="16">
        <v>4</v>
      </c>
      <c r="G52" s="18">
        <f>ROUND((747.92+($F52/2))/747.92,4)</f>
        <v>1.0027</v>
      </c>
      <c r="H52" s="18">
        <f>ROUND((747.92+($F52))/747.92,4)</f>
        <v>1.0053</v>
      </c>
      <c r="I52" s="16">
        <f>IF($G52=0,ROUND($E52*$F52,2),ROUND($E52*$F52*$G52,2))</f>
        <v>595.76</v>
      </c>
      <c r="J52" s="16"/>
      <c r="K52" s="16">
        <f>IF($H52=0,ROUND($E52*(K$72/12),2),ROUND($E52*(K$72/12)*$H52,2))</f>
        <v>49.78</v>
      </c>
      <c r="L52" s="16"/>
      <c r="M52" s="16">
        <f aca="true" t="shared" si="19" ref="M52:N56">IF($H52=0,ROUND($E52*(M$72/12),2),ROUND($E52*(M$72/12)*$H52,2))</f>
        <v>124.44</v>
      </c>
      <c r="N52" s="16">
        <f t="shared" si="19"/>
        <v>199.1</v>
      </c>
      <c r="O52" s="16"/>
      <c r="P52" s="16"/>
      <c r="Q52" s="16"/>
      <c r="R52" s="16"/>
      <c r="S52" s="16"/>
      <c r="T52" s="16">
        <f>ROUND(((($I52+$J52)*(T$72/12)+($K52)*(T$73/12)+($M52)*(T$73/12))/27),2)</f>
        <v>16.86</v>
      </c>
      <c r="U52" s="16">
        <f>ROUND(((($I52+$J52+$N52+$O52+$P52+$Q52)*(U$72/12))/27),2)</f>
        <v>14.72</v>
      </c>
      <c r="V52" s="16"/>
      <c r="W52" s="16">
        <f>ROUND(((($I52+$J52)/9)*$W$72)+((($I52+$J52+$K52)/9)*$W$72)+((($I52+$J52+$M52)/9)*$W$72),2)</f>
        <v>11.99</v>
      </c>
      <c r="X52" s="16"/>
      <c r="Y52" s="16"/>
      <c r="Z52" s="16">
        <f aca="true" t="shared" si="20" ref="Z52:AA56">ROUND(((($I52+$J52)*(Z$72/12))/27),2)</f>
        <v>2.76</v>
      </c>
      <c r="AA52" s="16">
        <f t="shared" si="20"/>
        <v>3.22</v>
      </c>
      <c r="AB52" s="16"/>
      <c r="AC52" s="16"/>
      <c r="AD52" s="16"/>
      <c r="AE52" s="16"/>
      <c r="AF52" s="105"/>
      <c r="AG52" s="106"/>
    </row>
    <row r="53" spans="1:33" s="5" customFormat="1" ht="21.75" customHeight="1">
      <c r="A53" s="12">
        <f t="shared" si="0"/>
        <v>41</v>
      </c>
      <c r="B53" s="13">
        <f>C52</f>
        <v>78293.84</v>
      </c>
      <c r="C53" s="21">
        <v>78443.84</v>
      </c>
      <c r="D53" s="15" t="s">
        <v>28</v>
      </c>
      <c r="E53" s="16">
        <f>C53-B53</f>
        <v>150</v>
      </c>
      <c r="F53" s="16">
        <v>4</v>
      </c>
      <c r="G53" s="18">
        <f>ROUND((((747.92+($F53/2))/747.92)+1)/2,4)</f>
        <v>1.0013</v>
      </c>
      <c r="H53" s="18">
        <f>ROUND((((747.92+($F53))/747.92)+1)/2,4)</f>
        <v>1.0027</v>
      </c>
      <c r="I53" s="16">
        <f>IF($G53=0,ROUND($E53*$F53,2),ROUND($E53*$F53*$G53,2))</f>
        <v>600.78</v>
      </c>
      <c r="J53" s="16"/>
      <c r="K53" s="16">
        <f>IF($H53=0,ROUND($E53*(K$72/12),2),ROUND($E53*(K$72/12)*$H53,2))</f>
        <v>50.14</v>
      </c>
      <c r="L53" s="16"/>
      <c r="M53" s="16">
        <f t="shared" si="19"/>
        <v>125.34</v>
      </c>
      <c r="N53" s="16">
        <f t="shared" si="19"/>
        <v>200.54</v>
      </c>
      <c r="O53" s="16"/>
      <c r="P53" s="16"/>
      <c r="Q53" s="16"/>
      <c r="R53" s="16"/>
      <c r="S53" s="16"/>
      <c r="T53" s="16">
        <f>ROUND(((($I53+$J53)*(T$72/12)+($K53)*(T$73/12)+($M53)*(T$73/12))/27),2)</f>
        <v>17</v>
      </c>
      <c r="U53" s="16">
        <f>ROUND(((($I53+$J53+$N53+$O53+$P53+$Q53)*(U$72/12))/27),2)</f>
        <v>14.84</v>
      </c>
      <c r="V53" s="16"/>
      <c r="W53" s="16">
        <f>ROUND(((($I53+$J53)/9)*$W$72)+((($I53+$J53+$K53)/9)*$W$72)+((($I53+$J53+$M53)/9)*$W$72),2)</f>
        <v>12.09</v>
      </c>
      <c r="X53" s="16"/>
      <c r="Y53" s="16"/>
      <c r="Z53" s="16">
        <f t="shared" si="20"/>
        <v>2.78</v>
      </c>
      <c r="AA53" s="16">
        <f t="shared" si="20"/>
        <v>3.24</v>
      </c>
      <c r="AB53" s="16"/>
      <c r="AC53" s="16"/>
      <c r="AD53" s="16"/>
      <c r="AE53" s="16"/>
      <c r="AF53" s="105"/>
      <c r="AG53" s="106"/>
    </row>
    <row r="54" spans="1:33" s="5" customFormat="1" ht="21.75" customHeight="1">
      <c r="A54" s="12">
        <f t="shared" si="0"/>
        <v>42</v>
      </c>
      <c r="B54" s="13">
        <f>C53</f>
        <v>78443.84</v>
      </c>
      <c r="C54" s="14">
        <v>78482.53</v>
      </c>
      <c r="D54" s="15" t="s">
        <v>28</v>
      </c>
      <c r="E54" s="16">
        <f>C54-B54</f>
        <v>38.69000000000233</v>
      </c>
      <c r="F54" s="16">
        <v>4</v>
      </c>
      <c r="G54" s="18"/>
      <c r="H54" s="18"/>
      <c r="I54" s="16">
        <f>IF($G54=0,ROUND($E54*$F54,2),ROUND($E54*$F54*$G54,2))</f>
        <v>154.76</v>
      </c>
      <c r="J54" s="16"/>
      <c r="K54" s="16">
        <f>IF($H54=0,ROUND($E54*(K$72/12),2),ROUND($E54*(K$72/12)*$H54,2))</f>
        <v>12.9</v>
      </c>
      <c r="L54" s="16"/>
      <c r="M54" s="16">
        <f t="shared" si="19"/>
        <v>32.24</v>
      </c>
      <c r="N54" s="16">
        <f t="shared" si="19"/>
        <v>51.59</v>
      </c>
      <c r="O54" s="16"/>
      <c r="P54" s="16"/>
      <c r="Q54" s="16"/>
      <c r="R54" s="16"/>
      <c r="S54" s="16"/>
      <c r="T54" s="16">
        <f>ROUND(((($I54+$J54)*(T$72/12)+($K54)*(T$73/12)+($M54)*(T$73/12))/27),2)</f>
        <v>4.38</v>
      </c>
      <c r="U54" s="16">
        <f>ROUND(((($I54+$J54+$N54+$O54+$P54+$Q54)*(U$72/12))/27),2)</f>
        <v>3.82</v>
      </c>
      <c r="V54" s="16"/>
      <c r="W54" s="16">
        <f>ROUND(((($I54+$J54)/9)*$W$72)+((($I54+$J54+$K54)/9)*$W$72)+((($I54+$J54+$M54)/9)*$W$72),2)</f>
        <v>3.11</v>
      </c>
      <c r="X54" s="16"/>
      <c r="Y54" s="16"/>
      <c r="Z54" s="16">
        <f t="shared" si="20"/>
        <v>0.72</v>
      </c>
      <c r="AA54" s="16">
        <f t="shared" si="20"/>
        <v>0.84</v>
      </c>
      <c r="AB54" s="16"/>
      <c r="AC54" s="16"/>
      <c r="AD54" s="16"/>
      <c r="AE54" s="16"/>
      <c r="AF54" s="105"/>
      <c r="AG54" s="106"/>
    </row>
    <row r="55" spans="1:33" s="5" customFormat="1" ht="21.75" customHeight="1">
      <c r="A55" s="12">
        <f t="shared" si="0"/>
        <v>43</v>
      </c>
      <c r="B55" s="13">
        <f>C54</f>
        <v>78482.53</v>
      </c>
      <c r="C55" s="14">
        <v>78732.53</v>
      </c>
      <c r="D55" s="15" t="s">
        <v>28</v>
      </c>
      <c r="E55" s="16">
        <f>C55-B55</f>
        <v>250</v>
      </c>
      <c r="F55" s="16">
        <v>4</v>
      </c>
      <c r="G55" s="18">
        <f>ROUND((((381.972-($F55/2))/381.972)+1)/2,4)</f>
        <v>0.9974</v>
      </c>
      <c r="H55" s="18">
        <f>ROUND((((381.972-($F55))/381.972)+1)/2,4)</f>
        <v>0.9948</v>
      </c>
      <c r="I55" s="16">
        <f>IF($G55=0,ROUND($E55*$F55,2),ROUND($E55*$F55*$G55,2))</f>
        <v>997.4</v>
      </c>
      <c r="J55" s="16"/>
      <c r="K55" s="16">
        <f>IF($H55=0,ROUND($E55*(K$72/12),2),ROUND($E55*(K$72/12)*$H55,2))</f>
        <v>82.9</v>
      </c>
      <c r="L55" s="16"/>
      <c r="M55" s="16">
        <f t="shared" si="19"/>
        <v>207.25</v>
      </c>
      <c r="N55" s="16">
        <f t="shared" si="19"/>
        <v>331.6</v>
      </c>
      <c r="O55" s="16"/>
      <c r="P55" s="16"/>
      <c r="Q55" s="16"/>
      <c r="R55" s="16"/>
      <c r="S55" s="16"/>
      <c r="T55" s="16">
        <f>ROUND(((($I55+$J55)*(T$72/12)+($K55)*(T$73/12)+($M55)*(T$73/12))/27),2)</f>
        <v>28.21</v>
      </c>
      <c r="U55" s="16">
        <f>ROUND(((($I55+$J55+$N55+$O55+$P55+$Q55)*(U$72/12))/27),2)</f>
        <v>24.61</v>
      </c>
      <c r="V55" s="16"/>
      <c r="W55" s="16">
        <f>ROUND(((($I55+$J55)/9)*$W$72)+((($I55+$J55+$K55)/9)*$W$72)+((($I55+$J55+$M55)/9)*$W$72),2)</f>
        <v>20.06</v>
      </c>
      <c r="X55" s="16"/>
      <c r="Y55" s="16"/>
      <c r="Z55" s="16">
        <f t="shared" si="20"/>
        <v>4.62</v>
      </c>
      <c r="AA55" s="16">
        <f t="shared" si="20"/>
        <v>5.39</v>
      </c>
      <c r="AB55" s="16"/>
      <c r="AC55" s="16"/>
      <c r="AD55" s="16"/>
      <c r="AE55" s="16"/>
      <c r="AF55" s="105"/>
      <c r="AG55" s="106"/>
    </row>
    <row r="56" spans="1:33" s="5" customFormat="1" ht="21.75" customHeight="1">
      <c r="A56" s="12">
        <f t="shared" si="0"/>
        <v>44</v>
      </c>
      <c r="B56" s="13">
        <f>C55</f>
        <v>78732.53</v>
      </c>
      <c r="C56" s="14">
        <v>78882.95</v>
      </c>
      <c r="D56" s="15" t="s">
        <v>28</v>
      </c>
      <c r="E56" s="16">
        <f>C56-B56</f>
        <v>150.41999999999825</v>
      </c>
      <c r="F56" s="16">
        <v>4</v>
      </c>
      <c r="G56" s="18">
        <f>ROUND((381.972-($F56/2))/381.972,4)</f>
        <v>0.9948</v>
      </c>
      <c r="H56" s="18">
        <f>ROUND((381.972-($F56))/381.972,4)</f>
        <v>0.9895</v>
      </c>
      <c r="I56" s="16">
        <f>IF($G56=0,ROUND($E56*$F56,2),ROUND($E56*$F56*$G56,2))</f>
        <v>598.55</v>
      </c>
      <c r="J56" s="16"/>
      <c r="K56" s="16">
        <f>IF($H56=0,ROUND($E56*(K$72/12),2),ROUND($E56*(K$72/12)*$H56,2))</f>
        <v>49.61</v>
      </c>
      <c r="L56" s="16"/>
      <c r="M56" s="16">
        <f t="shared" si="19"/>
        <v>124.03</v>
      </c>
      <c r="N56" s="16">
        <f t="shared" si="19"/>
        <v>198.45</v>
      </c>
      <c r="O56" s="16"/>
      <c r="P56" s="16"/>
      <c r="Q56" s="16"/>
      <c r="R56" s="16"/>
      <c r="S56" s="16"/>
      <c r="T56" s="16">
        <f>ROUND(((($I56+$J56)*(T$72/12)+($K56)*(T$73/12)+($M56)*(T$73/12))/27),2)</f>
        <v>16.92</v>
      </c>
      <c r="U56" s="16">
        <f>ROUND(((($I56+$J56+$N56+$O56+$P56+$Q56)*(U$72/12))/27),2)</f>
        <v>14.76</v>
      </c>
      <c r="V56" s="16"/>
      <c r="W56" s="16">
        <f>ROUND(((($I56+$J56)/9)*$W$72)+((($I56+$J56+$K56)/9)*$W$72)+((($I56+$J56+$M56)/9)*$W$72),2)</f>
        <v>12.03</v>
      </c>
      <c r="X56" s="16"/>
      <c r="Y56" s="16"/>
      <c r="Z56" s="16">
        <f t="shared" si="20"/>
        <v>2.77</v>
      </c>
      <c r="AA56" s="16">
        <f t="shared" si="20"/>
        <v>3.23</v>
      </c>
      <c r="AB56" s="16"/>
      <c r="AC56" s="16"/>
      <c r="AD56" s="16"/>
      <c r="AE56" s="16"/>
      <c r="AF56" s="105"/>
      <c r="AG56" s="106"/>
    </row>
    <row r="57" spans="1:33" s="5" customFormat="1" ht="21.75" customHeight="1">
      <c r="A57" s="12">
        <f t="shared" si="0"/>
        <v>45</v>
      </c>
      <c r="B57" s="13"/>
      <c r="C57" s="14"/>
      <c r="D57" s="15"/>
      <c r="E57" s="16"/>
      <c r="F57" s="17"/>
      <c r="G57" s="18"/>
      <c r="H57" s="18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05"/>
      <c r="AG57" s="106"/>
    </row>
    <row r="58" spans="1:33" s="5" customFormat="1" ht="21.75" customHeight="1">
      <c r="A58" s="12">
        <f t="shared" si="0"/>
        <v>46</v>
      </c>
      <c r="B58" s="13">
        <v>79317.7</v>
      </c>
      <c r="C58" s="14">
        <v>79485.02</v>
      </c>
      <c r="D58" s="15" t="s">
        <v>28</v>
      </c>
      <c r="E58" s="16">
        <f>C58-B58</f>
        <v>167.32000000000698</v>
      </c>
      <c r="F58" s="17">
        <v>4</v>
      </c>
      <c r="G58" s="18">
        <f>ROUND((3819.719-($F58/2))/3819.719,4)</f>
        <v>0.9995</v>
      </c>
      <c r="H58" s="18">
        <f>ROUND((3819.719-($F58))/3819.719,4)</f>
        <v>0.999</v>
      </c>
      <c r="I58" s="16">
        <f>IF(G58=0,ROUND($E58*$F58,2),ROUND($E58*$F58*$G58,2))</f>
        <v>668.95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>
        <f>ROUND(((($I58+$J58)*(T$72/12)+($K58)*(T$73/12)+($M58)*(T$73/12))/27),2)</f>
        <v>16.52</v>
      </c>
      <c r="U58" s="16">
        <f>ROUND(((($I58+$J58+$N58+$O58+$P58+$Q58)*(U$72/12))/27),2)</f>
        <v>12.39</v>
      </c>
      <c r="V58" s="16"/>
      <c r="W58" s="16">
        <f>ROUND(((($I58+$J58)/9)*$W$72)+((($I58+$J58+$K58)/9)*$W$72)+((($I58+$J58+$M58)/9)*$W$72),2)</f>
        <v>12.26</v>
      </c>
      <c r="X58" s="16"/>
      <c r="Y58" s="16"/>
      <c r="Z58" s="16">
        <f>ROUND(((($I58+$J58)*(Z$72/12))/27),2)</f>
        <v>3.1</v>
      </c>
      <c r="AA58" s="16">
        <f>ROUND(((($I58+$J58)*(AA$72/12))/27),2)</f>
        <v>3.61</v>
      </c>
      <c r="AB58" s="16"/>
      <c r="AC58" s="16"/>
      <c r="AD58" s="16"/>
      <c r="AE58" s="16"/>
      <c r="AF58" s="105"/>
      <c r="AG58" s="106"/>
    </row>
    <row r="59" spans="1:33" s="5" customFormat="1" ht="21.75" customHeight="1">
      <c r="A59" s="12">
        <f t="shared" si="0"/>
        <v>47</v>
      </c>
      <c r="B59" s="13">
        <f>C58</f>
        <v>79485.02</v>
      </c>
      <c r="C59" s="14">
        <v>79519.05</v>
      </c>
      <c r="D59" s="15" t="s">
        <v>28</v>
      </c>
      <c r="E59" s="16">
        <f>C59-B59</f>
        <v>34.029999999998836</v>
      </c>
      <c r="F59" s="17">
        <v>4</v>
      </c>
      <c r="G59" s="18">
        <f>ROUND((3819.719-($F59/2))/3819.719,4)</f>
        <v>0.9995</v>
      </c>
      <c r="H59" s="18">
        <f>ROUND((3819.719-($F59))/3819.719,4)</f>
        <v>0.999</v>
      </c>
      <c r="I59" s="16">
        <f>IF(G59=0,ROUND($E59*$F59,2),ROUND($E59*$F59*$G59,2))</f>
        <v>136.05</v>
      </c>
      <c r="J59" s="16"/>
      <c r="K59" s="16"/>
      <c r="L59" s="16">
        <f>IF($H59=0,ROUND($E59*(L$72/12),2),ROUND($E59*(L$72/12)*$H59,2))</f>
        <v>17</v>
      </c>
      <c r="M59" s="16">
        <f>IF($H59=0,ROUND($E59*(M$72/12),2),ROUND($E59*(M$72/12)*$H59,2))</f>
        <v>28.33</v>
      </c>
      <c r="N59" s="16">
        <f>IF($H59=0,ROUND($E59*(N$72/12),2),ROUND($E59*(N$72/12)*$H59,2))</f>
        <v>45.33</v>
      </c>
      <c r="O59" s="16"/>
      <c r="P59" s="16">
        <f>IF($H59=0,ROUND($E59*(P$72/12),2),ROUND($E59*(P$72/12)*$H59,2))</f>
        <v>56.66</v>
      </c>
      <c r="Q59" s="16">
        <f>IF($H59=0,ROUND($E59*(Q$72/12),2),ROUND($E59*(Q$72/12)*$H59,2))</f>
        <v>62.33</v>
      </c>
      <c r="R59" s="16"/>
      <c r="S59" s="16"/>
      <c r="T59" s="16">
        <f>ROUND(((($I59+$J59+$P59)*(T$72/12)+($M59)*(T$73/12)+($N59)*(T$73/12))/27),2)</f>
        <v>5.67</v>
      </c>
      <c r="U59" s="16">
        <f>ROUND(((($I59+$J59+$P59+$Q59)*(U$72/12))/27),2)</f>
        <v>4.72</v>
      </c>
      <c r="V59" s="16"/>
      <c r="W59" s="16">
        <f>ROUND(((($I59+$J304+$L59+$P59)/9)*$W$72)+((($I59+$J59+$M59+$P59)/9)*$W$72)+((($I59+$J59+$N59+$P59)/9)*$W$72),2)</f>
        <v>4.09</v>
      </c>
      <c r="X59" s="16"/>
      <c r="Y59" s="16"/>
      <c r="Z59" s="16">
        <f>ROUND(((($I59+$J59)*(Z$72/12))/27),2)</f>
        <v>0.63</v>
      </c>
      <c r="AA59" s="16">
        <f>ROUND(((($I59+$J59+$P59+$L59)*(AA$72/12))/27),2)</f>
        <v>1.13</v>
      </c>
      <c r="AB59" s="16"/>
      <c r="AC59" s="16"/>
      <c r="AD59" s="16"/>
      <c r="AE59" s="16"/>
      <c r="AF59" s="105"/>
      <c r="AG59" s="106"/>
    </row>
    <row r="60" spans="1:33" s="5" customFormat="1" ht="21.75" customHeight="1">
      <c r="A60" s="12">
        <f t="shared" si="0"/>
        <v>48</v>
      </c>
      <c r="B60" s="13">
        <f>C59</f>
        <v>79519.05</v>
      </c>
      <c r="C60" s="14">
        <v>79537.22</v>
      </c>
      <c r="D60" s="15" t="s">
        <v>28</v>
      </c>
      <c r="E60" s="16">
        <f>C60-B60</f>
        <v>18.169999999998254</v>
      </c>
      <c r="F60" s="17">
        <v>4</v>
      </c>
      <c r="G60" s="18">
        <f>ROUND((3819.719-($F60/2))/3819.719,4)</f>
        <v>0.9995</v>
      </c>
      <c r="H60" s="18">
        <f>ROUND((3819.719-($F60))/3819.719,4)</f>
        <v>0.999</v>
      </c>
      <c r="I60" s="16">
        <f>IF(G60=0,ROUND($E60*$F60,2),ROUND($E60*$F60*$G60,2))</f>
        <v>72.64</v>
      </c>
      <c r="J60" s="16"/>
      <c r="K60" s="16"/>
      <c r="L60" s="16"/>
      <c r="M60" s="16"/>
      <c r="N60" s="16"/>
      <c r="O60" s="16">
        <f>IF($H60=0,ROUND($E60*(O$72/12),2),ROUND($E60*(O$72/12)*$H60,2))</f>
        <v>27.23</v>
      </c>
      <c r="P60" s="16"/>
      <c r="Q60" s="16"/>
      <c r="R60" s="16"/>
      <c r="S60" s="16"/>
      <c r="T60" s="16">
        <f>ROUND(((($I60+$J60)*(T$72/12)+($K60)*(T$73/12)+($M60)*(T$73/12))/27),2)</f>
        <v>1.79</v>
      </c>
      <c r="U60" s="16">
        <f>ROUND(((($I60+$J60+$N60+$O60+$P60+$Q60)*(U$72/12))/27),2)</f>
        <v>1.85</v>
      </c>
      <c r="V60" s="16"/>
      <c r="W60" s="16">
        <f>ROUND(((($I60+$J60)/9)*$W$72)+((($I60+$J60+$K60)/9)*$W$72)+((($I60+$J60+$M60)/9)*$W$72),2)</f>
        <v>1.33</v>
      </c>
      <c r="X60" s="16"/>
      <c r="Y60" s="16"/>
      <c r="Z60" s="16">
        <f>ROUND(((($I60+$J60)*(Z$72/12))/27),2)</f>
        <v>0.34</v>
      </c>
      <c r="AA60" s="16">
        <f>ROUND(((($I60+$J60)*(AA$72/12))/27),2)</f>
        <v>0.39</v>
      </c>
      <c r="AB60" s="16"/>
      <c r="AC60" s="16"/>
      <c r="AD60" s="16">
        <f>IF($H60=0,$E60,ROUND($E60*$H60,2))</f>
        <v>18.15</v>
      </c>
      <c r="AE60" s="16"/>
      <c r="AF60" s="105"/>
      <c r="AG60" s="106"/>
    </row>
    <row r="61" spans="1:33" s="24" customFormat="1" ht="21.75" customHeight="1">
      <c r="A61" s="12">
        <f t="shared" si="0"/>
        <v>49</v>
      </c>
      <c r="B61" s="13">
        <f>C60</f>
        <v>79537.22</v>
      </c>
      <c r="C61" s="14">
        <v>79595.44</v>
      </c>
      <c r="D61" s="15" t="s">
        <v>28</v>
      </c>
      <c r="E61" s="16">
        <f>C61-B61</f>
        <v>58.220000000001164</v>
      </c>
      <c r="F61" s="17">
        <v>4</v>
      </c>
      <c r="G61" s="18">
        <f>ROUND((3819.719-($F61/2))/3819.719,4)</f>
        <v>0.9995</v>
      </c>
      <c r="H61" s="18">
        <f>ROUND((3819.719-($F61))/3819.719,4)</f>
        <v>0.999</v>
      </c>
      <c r="I61" s="16">
        <f>IF(G61=0,ROUND($E61*$F61,2),ROUND($E61*$F61*$G61,2))</f>
        <v>232.76</v>
      </c>
      <c r="J61" s="16"/>
      <c r="K61" s="16">
        <f>IF($H61=0,ROUND($E61*(K$72/12),2),ROUND($E61*(K$72/12)*$H61,2))</f>
        <v>19.39</v>
      </c>
      <c r="L61" s="16"/>
      <c r="M61" s="16">
        <f>IF($H61=0,ROUND($E61*(M$72/12),2),ROUND($E61*(M$72/12)*$H61,2))</f>
        <v>48.47</v>
      </c>
      <c r="N61" s="16">
        <f>IF($H61=0,ROUND($E61*(N$72/12),2),ROUND($E61*(N$72/12)*$H61,2))</f>
        <v>77.55</v>
      </c>
      <c r="O61" s="16"/>
      <c r="P61" s="16"/>
      <c r="Q61" s="16"/>
      <c r="R61" s="16"/>
      <c r="S61" s="16"/>
      <c r="T61" s="16">
        <f>ROUND(((($I61+$J61)*(T$72/12)+($K61)*(T$73/12)+($M61)*(T$73/12))/27),2)</f>
        <v>6.58</v>
      </c>
      <c r="U61" s="16">
        <f>ROUND(((($I61+$J61+$N61+$O61+$P61+$Q61)*(U$72/12))/27),2)</f>
        <v>5.75</v>
      </c>
      <c r="V61" s="16"/>
      <c r="W61" s="16">
        <f>ROUND(((($I61+$J61)/9)*$W$72)+((($I61+$J61+$K61)/9)*$W$72)+((($I61+$J61+$M61)/9)*$W$72),2)</f>
        <v>4.68</v>
      </c>
      <c r="X61" s="16"/>
      <c r="Y61" s="16"/>
      <c r="Z61" s="16">
        <f>ROUND(((($I61+$J61)*(Z$72/12))/27),2)</f>
        <v>1.08</v>
      </c>
      <c r="AA61" s="16">
        <f>ROUND(((($I61+$J61)*(AA$72/12))/27),2)</f>
        <v>1.26</v>
      </c>
      <c r="AB61" s="16"/>
      <c r="AC61" s="16"/>
      <c r="AD61" s="16"/>
      <c r="AE61" s="16"/>
      <c r="AF61" s="105"/>
      <c r="AG61" s="106"/>
    </row>
    <row r="62" spans="1:33" s="24" customFormat="1" ht="21.75" customHeight="1">
      <c r="A62" s="12">
        <f t="shared" si="0"/>
        <v>50</v>
      </c>
      <c r="B62" s="13">
        <f>C61</f>
        <v>79595.44</v>
      </c>
      <c r="C62" s="14">
        <v>79695.44</v>
      </c>
      <c r="D62" s="15" t="s">
        <v>28</v>
      </c>
      <c r="E62" s="16">
        <f>C62-B62</f>
        <v>100</v>
      </c>
      <c r="F62" s="17">
        <f>ROUND(AVERAGE(8,4),2)</f>
        <v>6</v>
      </c>
      <c r="G62" s="18">
        <f>ROUND((3819.719-($F62/2))/3819.719,4)</f>
        <v>0.9992</v>
      </c>
      <c r="H62" s="18">
        <f>ROUND((3819.719-($F62))/3819.719,4)</f>
        <v>0.9984</v>
      </c>
      <c r="I62" s="16">
        <f>IF(G62=0,ROUND($E62*$F62,2),ROUND($E62*$F62*$G62,2))</f>
        <v>599.52</v>
      </c>
      <c r="J62" s="16"/>
      <c r="K62" s="16">
        <f>IF($H62=0,ROUND($E62*(K$72/12),2),ROUND($E62*(K$72/12)*$H62,2))</f>
        <v>33.28</v>
      </c>
      <c r="L62" s="16"/>
      <c r="M62" s="16">
        <f>IF($H62=0,ROUND($E62*(M$72/12),2),ROUND($E62*(M$72/12)*$H62,2))</f>
        <v>83.2</v>
      </c>
      <c r="N62" s="16">
        <f>IF($H62=0,ROUND($E62*(N$72/12),2),ROUND($E62*(N$72/12)*$H62,2))</f>
        <v>133.12</v>
      </c>
      <c r="O62" s="16"/>
      <c r="P62" s="16"/>
      <c r="Q62" s="41"/>
      <c r="R62" s="16"/>
      <c r="S62" s="16"/>
      <c r="T62" s="16">
        <f>ROUND(((($I62+$J62)*(T$72/12)+($K62)*(T$73/12)+($M62)*(T$73/12))/27),2)</f>
        <v>16.24</v>
      </c>
      <c r="U62" s="16">
        <f>ROUND(((($I62+$J62+$N62+$O62+$P62+$Q62)*(U$72/12))/27),2)</f>
        <v>13.57</v>
      </c>
      <c r="V62" s="16"/>
      <c r="W62" s="16">
        <f>ROUND(((($I62+$J62)/9)*$W$72)+((($I62+$J62+$K62)/9)*$W$72)+((($I62+$J62+$M62)/9)*$W$72),2)</f>
        <v>11.7</v>
      </c>
      <c r="X62" s="16"/>
      <c r="Y62" s="16"/>
      <c r="Z62" s="16">
        <f>ROUND(((($I62+$J62)*(Z$72/12))/27),2)</f>
        <v>2.78</v>
      </c>
      <c r="AA62" s="16">
        <f>ROUND(((($I62+$J62)*(AA$72/12))/27),2)</f>
        <v>3.24</v>
      </c>
      <c r="AB62" s="16"/>
      <c r="AC62" s="16"/>
      <c r="AD62" s="16"/>
      <c r="AE62" s="16"/>
      <c r="AF62" s="105"/>
      <c r="AG62" s="106"/>
    </row>
    <row r="63" spans="1:33" s="24" customFormat="1" ht="21.75" customHeight="1">
      <c r="A63" s="12">
        <f t="shared" si="0"/>
        <v>51</v>
      </c>
      <c r="B63" s="13"/>
      <c r="C63" s="14"/>
      <c r="D63" s="15"/>
      <c r="E63" s="16"/>
      <c r="F63" s="17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05"/>
      <c r="AG63" s="106"/>
    </row>
    <row r="64" spans="1:33" s="24" customFormat="1" ht="21.75" customHeight="1">
      <c r="A64" s="12">
        <f t="shared" si="0"/>
        <v>52</v>
      </c>
      <c r="B64" s="19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12"/>
      <c r="AG64" s="106"/>
    </row>
    <row r="65" spans="1:33" s="24" customFormat="1" ht="21.75" customHeight="1">
      <c r="A65" s="12">
        <f t="shared" si="0"/>
        <v>53</v>
      </c>
      <c r="B65" s="13"/>
      <c r="C65" s="14"/>
      <c r="D65" s="15"/>
      <c r="E65" s="16"/>
      <c r="F65" s="54"/>
      <c r="G65" s="18"/>
      <c r="H65" s="16"/>
      <c r="I65" s="52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12"/>
      <c r="AG65" s="106"/>
    </row>
    <row r="66" spans="1:33" s="24" customFormat="1" ht="21.75" customHeight="1" thickBot="1">
      <c r="A66" s="12">
        <f t="shared" si="0"/>
        <v>54</v>
      </c>
      <c r="B66" s="13"/>
      <c r="C66" s="14"/>
      <c r="D66" s="15"/>
      <c r="E66" s="16"/>
      <c r="F66" s="16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13"/>
      <c r="AG66" s="108"/>
    </row>
    <row r="67" spans="2:33" s="25" customFormat="1" ht="46.5" customHeight="1">
      <c r="B67" s="93" t="s">
        <v>8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5"/>
      <c r="S67" s="110" t="str">
        <f aca="true" t="shared" si="21" ref="S67:AE67">IF(SUM(S13:S66)=0," ",ROUNDUP(SUM(S13:S66),0))</f>
        <v> </v>
      </c>
      <c r="T67" s="110">
        <f t="shared" si="21"/>
        <v>1119</v>
      </c>
      <c r="U67" s="110">
        <f t="shared" si="21"/>
        <v>895</v>
      </c>
      <c r="V67" s="110" t="str">
        <f t="shared" si="21"/>
        <v> </v>
      </c>
      <c r="W67" s="110">
        <f t="shared" si="21"/>
        <v>817</v>
      </c>
      <c r="X67" s="110" t="str">
        <f t="shared" si="21"/>
        <v> </v>
      </c>
      <c r="Y67" s="110" t="str">
        <f t="shared" si="21"/>
        <v> </v>
      </c>
      <c r="Z67" s="110">
        <f t="shared" si="21"/>
        <v>197</v>
      </c>
      <c r="AA67" s="110">
        <f t="shared" si="21"/>
        <v>233</v>
      </c>
      <c r="AB67" s="110">
        <f t="shared" si="21"/>
        <v>177</v>
      </c>
      <c r="AC67" s="110" t="str">
        <f t="shared" si="21"/>
        <v> </v>
      </c>
      <c r="AD67" s="110">
        <f t="shared" si="21"/>
        <v>55</v>
      </c>
      <c r="AE67" s="110" t="str">
        <f t="shared" si="21"/>
        <v> </v>
      </c>
      <c r="AF67" s="120">
        <v>12</v>
      </c>
      <c r="AG67" s="121"/>
    </row>
    <row r="68" spans="2:33" s="25" customFormat="1" ht="46.5" customHeight="1" thickBot="1"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8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4">
        <v>15</v>
      </c>
      <c r="AG68" s="115"/>
    </row>
    <row r="69" spans="1:34" ht="36" customHeight="1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U69" s="27"/>
      <c r="V69" s="27"/>
      <c r="W69" s="1"/>
      <c r="X69" s="27"/>
      <c r="Y69" s="27"/>
      <c r="Z69" s="27"/>
      <c r="AA69" s="27"/>
      <c r="AB69" s="27"/>
      <c r="AF69" s="27"/>
      <c r="AG69" s="27"/>
      <c r="AH69" s="28"/>
    </row>
    <row r="70" spans="2:33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U70" s="27"/>
      <c r="V70" s="27"/>
      <c r="W70" s="1"/>
      <c r="X70" s="27"/>
      <c r="Y70" s="27"/>
      <c r="Z70" s="27"/>
      <c r="AA70" s="27"/>
      <c r="AB70" s="27"/>
      <c r="AF70" s="27"/>
      <c r="AG70" s="27"/>
    </row>
    <row r="71" spans="2:33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U71" s="27"/>
      <c r="V71" s="27"/>
      <c r="W71" s="1"/>
      <c r="X71" s="27"/>
      <c r="Y71" s="27"/>
      <c r="Z71" s="27"/>
      <c r="AA71" s="27"/>
      <c r="AB71" s="27"/>
      <c r="AF71" s="27"/>
      <c r="AG71" s="27"/>
    </row>
    <row r="72" spans="2:33" ht="15.75">
      <c r="B72" s="60" t="s">
        <v>34</v>
      </c>
      <c r="C72" s="61"/>
      <c r="D72" s="61"/>
      <c r="E72" s="61"/>
      <c r="F72" s="61"/>
      <c r="G72" s="62"/>
      <c r="H72" s="44"/>
      <c r="I72" s="42"/>
      <c r="J72" s="42"/>
      <c r="K72" s="42">
        <v>4</v>
      </c>
      <c r="L72" s="42">
        <v>6</v>
      </c>
      <c r="M72" s="42">
        <v>10</v>
      </c>
      <c r="N72" s="42">
        <v>16</v>
      </c>
      <c r="O72" s="42">
        <v>18</v>
      </c>
      <c r="P72" s="42">
        <v>20</v>
      </c>
      <c r="Q72" s="42">
        <v>22</v>
      </c>
      <c r="R72" s="42">
        <v>22.875</v>
      </c>
      <c r="S72" s="42"/>
      <c r="T72" s="42">
        <v>8</v>
      </c>
      <c r="U72" s="43">
        <v>6</v>
      </c>
      <c r="V72" s="44"/>
      <c r="W72" s="44">
        <v>0.055</v>
      </c>
      <c r="X72" s="44"/>
      <c r="Y72" s="43"/>
      <c r="Z72" s="43">
        <v>1.5</v>
      </c>
      <c r="AA72" s="43">
        <v>1.75</v>
      </c>
      <c r="AB72" s="43"/>
      <c r="AC72" s="43"/>
      <c r="AD72" s="43"/>
      <c r="AF72" s="27"/>
      <c r="AG72" s="27"/>
    </row>
    <row r="73" spans="2:33" ht="1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3"/>
      <c r="S73" s="23"/>
      <c r="T73" s="23">
        <f>T72/2</f>
        <v>4</v>
      </c>
      <c r="V73" s="42"/>
      <c r="W73" s="1"/>
      <c r="X73" s="45"/>
      <c r="Y73" s="27"/>
      <c r="Z73" s="27"/>
      <c r="AA73" s="27"/>
      <c r="AB73" s="27"/>
      <c r="AF73" s="27"/>
      <c r="AG73" s="27"/>
    </row>
    <row r="74" spans="2:33" ht="15">
      <c r="B74" s="27"/>
      <c r="C74" s="29"/>
      <c r="D74" s="27"/>
      <c r="E74" s="27"/>
      <c r="F74" s="27"/>
      <c r="G74" s="27"/>
      <c r="H74" s="30"/>
      <c r="I74" s="27"/>
      <c r="J74" s="27"/>
      <c r="K74" s="63"/>
      <c r="L74" s="64"/>
      <c r="M74" s="64"/>
      <c r="N74" s="64"/>
      <c r="O74" s="64"/>
      <c r="P74" s="64"/>
      <c r="Q74" s="64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27"/>
      <c r="AG74" s="27"/>
    </row>
  </sheetData>
  <sheetProtection/>
  <mergeCells count="53">
    <mergeCell ref="AA67:AA68"/>
    <mergeCell ref="AB67:AB68"/>
    <mergeCell ref="AD67:AD68"/>
    <mergeCell ref="AE67:AE68"/>
    <mergeCell ref="AF67:AG67"/>
    <mergeCell ref="AF68:AG68"/>
    <mergeCell ref="AC67:AC68"/>
    <mergeCell ref="B31:I31"/>
    <mergeCell ref="F43:I43"/>
    <mergeCell ref="W67:W68"/>
    <mergeCell ref="X67:X68"/>
    <mergeCell ref="AF51:AG66"/>
    <mergeCell ref="Y67:Y68"/>
    <mergeCell ref="Z67:Z68"/>
    <mergeCell ref="F50:I50"/>
    <mergeCell ref="S67:S68"/>
    <mergeCell ref="T67:T68"/>
    <mergeCell ref="V67:V68"/>
    <mergeCell ref="W4:W11"/>
    <mergeCell ref="X4:X11"/>
    <mergeCell ref="B67:R68"/>
    <mergeCell ref="B3:C11"/>
    <mergeCell ref="D3:D11"/>
    <mergeCell ref="U67:U68"/>
    <mergeCell ref="N3:N11"/>
    <mergeCell ref="B14:I14"/>
    <mergeCell ref="H3:H11"/>
    <mergeCell ref="O3:O11"/>
    <mergeCell ref="P3:P11"/>
    <mergeCell ref="Z4:Z11"/>
    <mergeCell ref="AA4:AA11"/>
    <mergeCell ref="AF3:AF5"/>
    <mergeCell ref="AC4:AC11"/>
    <mergeCell ref="Q3:Q11"/>
    <mergeCell ref="R3:R11"/>
    <mergeCell ref="AG3:AG5"/>
    <mergeCell ref="S4:S11"/>
    <mergeCell ref="T4:T11"/>
    <mergeCell ref="U4:U11"/>
    <mergeCell ref="AB4:AB11"/>
    <mergeCell ref="Y4:Y11"/>
    <mergeCell ref="V4:V11"/>
    <mergeCell ref="AE4:AE11"/>
    <mergeCell ref="AF6:AG50"/>
    <mergeCell ref="AD4:AD11"/>
    <mergeCell ref="J3:J11"/>
    <mergeCell ref="K3:K11"/>
    <mergeCell ref="L3:L11"/>
    <mergeCell ref="M3:M11"/>
    <mergeCell ref="E3:E11"/>
    <mergeCell ref="F3:F11"/>
    <mergeCell ref="G3:G11"/>
    <mergeCell ref="I3:I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AA4" sqref="AA4:AA11"/>
    </sheetView>
  </sheetViews>
  <sheetFormatPr defaultColWidth="9.140625" defaultRowHeight="12.75"/>
  <cols>
    <col min="1" max="3" width="24.7109375" style="1" customWidth="1"/>
    <col min="4" max="22" width="15.7109375" style="1" customWidth="1"/>
    <col min="23" max="23" width="15.7109375" style="46" customWidth="1"/>
    <col min="24" max="31" width="15.7109375" style="1" customWidth="1"/>
    <col min="32" max="34" width="6.7109375" style="1" customWidth="1"/>
    <col min="35" max="16384" width="9.140625" style="1" customWidth="1"/>
  </cols>
  <sheetData>
    <row r="1" spans="8:27" ht="12.75">
      <c r="H1" s="48"/>
      <c r="S1" s="48"/>
      <c r="T1" s="48"/>
      <c r="U1" s="48"/>
      <c r="V1" s="48"/>
      <c r="W1" s="49"/>
      <c r="X1" s="48"/>
      <c r="Z1" s="48"/>
      <c r="AA1" s="48"/>
    </row>
    <row r="2" spans="1:34" s="4" customFormat="1" ht="36" customHeight="1" thickBot="1">
      <c r="A2" s="2"/>
      <c r="B2" s="31" t="s">
        <v>14</v>
      </c>
      <c r="C2" s="32"/>
      <c r="D2" s="33"/>
      <c r="E2" s="33"/>
      <c r="F2" s="33"/>
      <c r="G2" s="33"/>
      <c r="H2" s="50"/>
      <c r="I2" s="34"/>
      <c r="J2" s="33"/>
      <c r="K2" s="33"/>
      <c r="L2" s="33"/>
      <c r="M2" s="33"/>
      <c r="N2" s="33"/>
      <c r="O2" s="33"/>
      <c r="P2" s="33"/>
      <c r="Q2" s="34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47"/>
      <c r="AH2" s="3"/>
    </row>
    <row r="3" spans="2:34" s="5" customFormat="1" ht="21.75" customHeight="1">
      <c r="B3" s="93" t="s">
        <v>0</v>
      </c>
      <c r="C3" s="95"/>
      <c r="D3" s="89" t="s">
        <v>3</v>
      </c>
      <c r="E3" s="89" t="s">
        <v>4</v>
      </c>
      <c r="F3" s="89" t="s">
        <v>5</v>
      </c>
      <c r="G3" s="86" t="s">
        <v>12</v>
      </c>
      <c r="H3" s="86" t="s">
        <v>94</v>
      </c>
      <c r="I3" s="89" t="s">
        <v>6</v>
      </c>
      <c r="J3" s="86" t="s">
        <v>10</v>
      </c>
      <c r="K3" s="86" t="s">
        <v>15</v>
      </c>
      <c r="L3" s="86" t="s">
        <v>16</v>
      </c>
      <c r="M3" s="86" t="s">
        <v>17</v>
      </c>
      <c r="N3" s="86" t="s">
        <v>18</v>
      </c>
      <c r="O3" s="86" t="s">
        <v>19</v>
      </c>
      <c r="P3" s="86" t="s">
        <v>20</v>
      </c>
      <c r="Q3" s="86" t="s">
        <v>21</v>
      </c>
      <c r="R3" s="86" t="s">
        <v>84</v>
      </c>
      <c r="S3" s="35"/>
      <c r="T3" s="35">
        <v>302</v>
      </c>
      <c r="U3" s="35">
        <v>304</v>
      </c>
      <c r="V3" s="35"/>
      <c r="W3" s="35">
        <v>407</v>
      </c>
      <c r="X3" s="35"/>
      <c r="Y3" s="35"/>
      <c r="Z3" s="35">
        <v>442</v>
      </c>
      <c r="AA3" s="35">
        <v>442</v>
      </c>
      <c r="AB3" s="35">
        <v>442</v>
      </c>
      <c r="AC3" s="35"/>
      <c r="AD3" s="36">
        <v>609</v>
      </c>
      <c r="AE3" s="36"/>
      <c r="AF3" s="116" t="s">
        <v>11</v>
      </c>
      <c r="AG3" s="116" t="s">
        <v>13</v>
      </c>
      <c r="AH3" s="6"/>
    </row>
    <row r="4" spans="2:34" s="5" customFormat="1" ht="27.75" customHeight="1">
      <c r="B4" s="99"/>
      <c r="C4" s="100"/>
      <c r="D4" s="90"/>
      <c r="E4" s="90"/>
      <c r="F4" s="90"/>
      <c r="G4" s="87"/>
      <c r="H4" s="87"/>
      <c r="I4" s="90"/>
      <c r="J4" s="122"/>
      <c r="K4" s="122"/>
      <c r="L4" s="87"/>
      <c r="M4" s="87"/>
      <c r="N4" s="87"/>
      <c r="O4" s="87"/>
      <c r="P4" s="87"/>
      <c r="Q4" s="87"/>
      <c r="R4" s="87"/>
      <c r="S4" s="83"/>
      <c r="T4" s="83" t="s">
        <v>22</v>
      </c>
      <c r="U4" s="83" t="s">
        <v>96</v>
      </c>
      <c r="V4" s="83"/>
      <c r="W4" s="83" t="s">
        <v>82</v>
      </c>
      <c r="X4" s="83"/>
      <c r="Y4" s="109"/>
      <c r="Z4" s="83" t="s">
        <v>83</v>
      </c>
      <c r="AA4" s="109" t="s">
        <v>97</v>
      </c>
      <c r="AB4" s="109" t="s">
        <v>23</v>
      </c>
      <c r="AC4" s="83"/>
      <c r="AD4" s="109" t="s">
        <v>95</v>
      </c>
      <c r="AE4" s="109"/>
      <c r="AF4" s="117"/>
      <c r="AG4" s="119"/>
      <c r="AH4" s="7"/>
    </row>
    <row r="5" spans="2:33" s="5" customFormat="1" ht="27.75" customHeight="1" thickBot="1">
      <c r="B5" s="99"/>
      <c r="C5" s="100"/>
      <c r="D5" s="90"/>
      <c r="E5" s="90"/>
      <c r="F5" s="90"/>
      <c r="G5" s="87"/>
      <c r="H5" s="87"/>
      <c r="I5" s="90"/>
      <c r="J5" s="122"/>
      <c r="K5" s="122"/>
      <c r="L5" s="87"/>
      <c r="M5" s="87"/>
      <c r="N5" s="87"/>
      <c r="O5" s="87"/>
      <c r="P5" s="87"/>
      <c r="Q5" s="87"/>
      <c r="R5" s="87"/>
      <c r="S5" s="84"/>
      <c r="T5" s="84"/>
      <c r="U5" s="84"/>
      <c r="V5" s="84"/>
      <c r="W5" s="84"/>
      <c r="X5" s="84"/>
      <c r="Y5" s="87"/>
      <c r="Z5" s="84"/>
      <c r="AA5" s="87"/>
      <c r="AB5" s="87"/>
      <c r="AC5" s="84"/>
      <c r="AD5" s="87"/>
      <c r="AE5" s="87"/>
      <c r="AF5" s="118"/>
      <c r="AG5" s="119"/>
    </row>
    <row r="6" spans="2:33" s="5" customFormat="1" ht="27.75" customHeight="1">
      <c r="B6" s="99"/>
      <c r="C6" s="100"/>
      <c r="D6" s="90"/>
      <c r="E6" s="90"/>
      <c r="F6" s="90"/>
      <c r="G6" s="87"/>
      <c r="H6" s="87"/>
      <c r="I6" s="90"/>
      <c r="J6" s="122"/>
      <c r="K6" s="122"/>
      <c r="L6" s="87"/>
      <c r="M6" s="87"/>
      <c r="N6" s="87"/>
      <c r="O6" s="87"/>
      <c r="P6" s="87"/>
      <c r="Q6" s="87"/>
      <c r="R6" s="87"/>
      <c r="S6" s="84"/>
      <c r="T6" s="84"/>
      <c r="U6" s="84"/>
      <c r="V6" s="84"/>
      <c r="W6" s="84"/>
      <c r="X6" s="84"/>
      <c r="Y6" s="87"/>
      <c r="Z6" s="84"/>
      <c r="AA6" s="87"/>
      <c r="AB6" s="87"/>
      <c r="AC6" s="84"/>
      <c r="AD6" s="87"/>
      <c r="AE6" s="87"/>
      <c r="AF6" s="103" t="s">
        <v>81</v>
      </c>
      <c r="AG6" s="104"/>
    </row>
    <row r="7" spans="2:33" s="5" customFormat="1" ht="27.75" customHeight="1">
      <c r="B7" s="99"/>
      <c r="C7" s="100"/>
      <c r="D7" s="90"/>
      <c r="E7" s="90"/>
      <c r="F7" s="90"/>
      <c r="G7" s="87"/>
      <c r="H7" s="87"/>
      <c r="I7" s="90"/>
      <c r="J7" s="122"/>
      <c r="K7" s="122"/>
      <c r="L7" s="87"/>
      <c r="M7" s="87"/>
      <c r="N7" s="87"/>
      <c r="O7" s="87"/>
      <c r="P7" s="87"/>
      <c r="Q7" s="87"/>
      <c r="R7" s="87"/>
      <c r="S7" s="84"/>
      <c r="T7" s="84"/>
      <c r="U7" s="84"/>
      <c r="V7" s="84"/>
      <c r="W7" s="84"/>
      <c r="X7" s="84"/>
      <c r="Y7" s="87"/>
      <c r="Z7" s="84"/>
      <c r="AA7" s="87"/>
      <c r="AB7" s="87"/>
      <c r="AC7" s="84"/>
      <c r="AD7" s="87"/>
      <c r="AE7" s="87"/>
      <c r="AF7" s="105"/>
      <c r="AG7" s="106"/>
    </row>
    <row r="8" spans="2:33" s="5" customFormat="1" ht="27.75" customHeight="1">
      <c r="B8" s="99"/>
      <c r="C8" s="100"/>
      <c r="D8" s="90"/>
      <c r="E8" s="90"/>
      <c r="F8" s="90"/>
      <c r="G8" s="87"/>
      <c r="H8" s="87"/>
      <c r="I8" s="90"/>
      <c r="J8" s="122"/>
      <c r="K8" s="122"/>
      <c r="L8" s="87"/>
      <c r="M8" s="87"/>
      <c r="N8" s="87"/>
      <c r="O8" s="87"/>
      <c r="P8" s="87"/>
      <c r="Q8" s="87"/>
      <c r="R8" s="87"/>
      <c r="S8" s="84"/>
      <c r="T8" s="84"/>
      <c r="U8" s="84"/>
      <c r="V8" s="84"/>
      <c r="W8" s="84"/>
      <c r="X8" s="84"/>
      <c r="Y8" s="87"/>
      <c r="Z8" s="84"/>
      <c r="AA8" s="87"/>
      <c r="AB8" s="87"/>
      <c r="AC8" s="84"/>
      <c r="AD8" s="87"/>
      <c r="AE8" s="87"/>
      <c r="AF8" s="105"/>
      <c r="AG8" s="106"/>
    </row>
    <row r="9" spans="2:33" s="5" customFormat="1" ht="27.75" customHeight="1">
      <c r="B9" s="99"/>
      <c r="C9" s="100"/>
      <c r="D9" s="90"/>
      <c r="E9" s="90"/>
      <c r="F9" s="90"/>
      <c r="G9" s="87"/>
      <c r="H9" s="87"/>
      <c r="I9" s="90"/>
      <c r="J9" s="122"/>
      <c r="K9" s="122"/>
      <c r="L9" s="87"/>
      <c r="M9" s="87"/>
      <c r="N9" s="87"/>
      <c r="O9" s="87"/>
      <c r="P9" s="87"/>
      <c r="Q9" s="87"/>
      <c r="R9" s="87"/>
      <c r="S9" s="84"/>
      <c r="T9" s="84"/>
      <c r="U9" s="84"/>
      <c r="V9" s="84"/>
      <c r="W9" s="84"/>
      <c r="X9" s="84"/>
      <c r="Y9" s="87"/>
      <c r="Z9" s="84"/>
      <c r="AA9" s="87"/>
      <c r="AB9" s="87"/>
      <c r="AC9" s="84"/>
      <c r="AD9" s="87"/>
      <c r="AE9" s="87"/>
      <c r="AF9" s="105"/>
      <c r="AG9" s="106"/>
    </row>
    <row r="10" spans="2:33" s="5" customFormat="1" ht="27.75" customHeight="1">
      <c r="B10" s="99"/>
      <c r="C10" s="100"/>
      <c r="D10" s="90"/>
      <c r="E10" s="90"/>
      <c r="F10" s="90"/>
      <c r="G10" s="87"/>
      <c r="H10" s="87"/>
      <c r="I10" s="90"/>
      <c r="J10" s="122"/>
      <c r="K10" s="122"/>
      <c r="L10" s="87"/>
      <c r="M10" s="87"/>
      <c r="N10" s="87"/>
      <c r="O10" s="87"/>
      <c r="P10" s="87"/>
      <c r="Q10" s="87"/>
      <c r="R10" s="87"/>
      <c r="S10" s="84"/>
      <c r="T10" s="84"/>
      <c r="U10" s="84"/>
      <c r="V10" s="84"/>
      <c r="W10" s="84"/>
      <c r="X10" s="84"/>
      <c r="Y10" s="87"/>
      <c r="Z10" s="84"/>
      <c r="AA10" s="87"/>
      <c r="AB10" s="87"/>
      <c r="AC10" s="84"/>
      <c r="AD10" s="87"/>
      <c r="AE10" s="87"/>
      <c r="AF10" s="105"/>
      <c r="AG10" s="106"/>
    </row>
    <row r="11" spans="2:33" s="8" customFormat="1" ht="27.75" customHeight="1">
      <c r="B11" s="101"/>
      <c r="C11" s="102"/>
      <c r="D11" s="91"/>
      <c r="E11" s="91"/>
      <c r="F11" s="91"/>
      <c r="G11" s="88"/>
      <c r="H11" s="88"/>
      <c r="I11" s="91"/>
      <c r="J11" s="123"/>
      <c r="K11" s="123"/>
      <c r="L11" s="88"/>
      <c r="M11" s="88"/>
      <c r="N11" s="88"/>
      <c r="O11" s="88"/>
      <c r="P11" s="88"/>
      <c r="Q11" s="88"/>
      <c r="R11" s="88"/>
      <c r="S11" s="85"/>
      <c r="T11" s="85"/>
      <c r="U11" s="85"/>
      <c r="V11" s="85"/>
      <c r="W11" s="85"/>
      <c r="X11" s="85"/>
      <c r="Y11" s="88"/>
      <c r="Z11" s="85"/>
      <c r="AA11" s="88"/>
      <c r="AB11" s="88"/>
      <c r="AC11" s="85"/>
      <c r="AD11" s="88"/>
      <c r="AE11" s="88"/>
      <c r="AF11" s="105"/>
      <c r="AG11" s="106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11"/>
      <c r="I12" s="11" t="s">
        <v>9</v>
      </c>
      <c r="J12" s="11" t="s">
        <v>9</v>
      </c>
      <c r="K12" s="11" t="s">
        <v>9</v>
      </c>
      <c r="L12" s="11" t="s">
        <v>9</v>
      </c>
      <c r="M12" s="11" t="s">
        <v>9</v>
      </c>
      <c r="N12" s="11" t="s">
        <v>9</v>
      </c>
      <c r="O12" s="11" t="s">
        <v>9</v>
      </c>
      <c r="P12" s="11" t="s">
        <v>9</v>
      </c>
      <c r="Q12" s="11" t="s">
        <v>9</v>
      </c>
      <c r="R12" s="11" t="s">
        <v>9</v>
      </c>
      <c r="S12" s="37"/>
      <c r="T12" s="37" t="s">
        <v>24</v>
      </c>
      <c r="U12" s="37" t="s">
        <v>24</v>
      </c>
      <c r="V12" s="37"/>
      <c r="W12" s="37" t="s">
        <v>25</v>
      </c>
      <c r="X12" s="37"/>
      <c r="Y12" s="37"/>
      <c r="Z12" s="37" t="s">
        <v>24</v>
      </c>
      <c r="AA12" s="37" t="s">
        <v>24</v>
      </c>
      <c r="AB12" s="37" t="s">
        <v>24</v>
      </c>
      <c r="AC12" s="37"/>
      <c r="AD12" s="11" t="s">
        <v>7</v>
      </c>
      <c r="AE12" s="11"/>
      <c r="AF12" s="105"/>
      <c r="AG12" s="106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05"/>
      <c r="AG13" s="106"/>
    </row>
    <row r="14" spans="1:33" s="5" customFormat="1" ht="21.75" customHeight="1">
      <c r="A14" s="12">
        <f>A13+1</f>
        <v>2</v>
      </c>
      <c r="B14" s="77" t="s">
        <v>70</v>
      </c>
      <c r="C14" s="78"/>
      <c r="D14" s="78"/>
      <c r="E14" s="78"/>
      <c r="F14" s="78"/>
      <c r="G14" s="78"/>
      <c r="H14" s="78"/>
      <c r="I14" s="7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05"/>
      <c r="AG14" s="106"/>
    </row>
    <row r="15" spans="1:33" s="5" customFormat="1" ht="21.75" customHeight="1">
      <c r="A15" s="12">
        <f>A14+1</f>
        <v>3</v>
      </c>
      <c r="B15" s="19" t="s">
        <v>27</v>
      </c>
      <c r="C15" s="55"/>
      <c r="D15" s="15"/>
      <c r="E15" s="16"/>
      <c r="F15" s="22"/>
      <c r="G15" s="18"/>
      <c r="H15" s="16"/>
      <c r="I15" s="16"/>
      <c r="J15" s="16"/>
      <c r="K15" s="16"/>
      <c r="L15" s="15"/>
      <c r="M15" s="15"/>
      <c r="N15" s="15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05"/>
      <c r="AG15" s="106"/>
    </row>
    <row r="16" spans="1:33" s="5" customFormat="1" ht="21.75" customHeight="1">
      <c r="A16" s="12">
        <f>A15+1</f>
        <v>4</v>
      </c>
      <c r="B16" s="13" t="s">
        <v>73</v>
      </c>
      <c r="C16" s="14" t="s">
        <v>71</v>
      </c>
      <c r="D16" s="15" t="s">
        <v>33</v>
      </c>
      <c r="E16" s="16">
        <v>355</v>
      </c>
      <c r="F16" s="17">
        <v>12</v>
      </c>
      <c r="G16" s="18"/>
      <c r="H16" s="16"/>
      <c r="I16" s="16">
        <f>IF(G16=0,ROUND($E16*$F16,2),ROUND($E16*$F16*$G16,2))</f>
        <v>4260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>ROUND(((($I16+$J16)*(T$72/12))/27),2)</f>
        <v>105.19</v>
      </c>
      <c r="U16" s="16">
        <f>ROUND(((($I16+$J16+$N16+$O16+$P16+$Q16)*(U$72/12))/27),2)</f>
        <v>78.89</v>
      </c>
      <c r="V16" s="16"/>
      <c r="W16" s="16">
        <f>ROUND((((($I16+$J16)/9)*W$72)*3),2)</f>
        <v>78.1</v>
      </c>
      <c r="X16" s="16"/>
      <c r="Y16" s="16"/>
      <c r="Z16" s="16">
        <f>ROUND(((($I16+$J16)*(Z$72/12))/27),2)</f>
        <v>19.72</v>
      </c>
      <c r="AA16" s="16">
        <f>ROUND(((($I16+$J16)*(AA$72/12))/27),2)</f>
        <v>23.01</v>
      </c>
      <c r="AB16" s="16">
        <f>$AA16+$Z16</f>
        <v>42.730000000000004</v>
      </c>
      <c r="AC16" s="16"/>
      <c r="AD16" s="16"/>
      <c r="AE16" s="16"/>
      <c r="AF16" s="105"/>
      <c r="AG16" s="106"/>
    </row>
    <row r="17" spans="1:33" s="5" customFormat="1" ht="21.75" customHeight="1">
      <c r="A17" s="12">
        <f aca="true" t="shared" si="0" ref="A17:A66">A16+1</f>
        <v>5</v>
      </c>
      <c r="B17" s="13" t="str">
        <f>C16</f>
        <v>272+95.00 (I.R. 277)</v>
      </c>
      <c r="C17" s="14" t="s">
        <v>72</v>
      </c>
      <c r="D17" s="15" t="s">
        <v>33</v>
      </c>
      <c r="E17" s="16">
        <v>30</v>
      </c>
      <c r="F17" s="17">
        <f>ROUND(AVERAGE(12,11.89),2)</f>
        <v>11.95</v>
      </c>
      <c r="G17" s="18"/>
      <c r="H17" s="16"/>
      <c r="I17" s="16">
        <f>IF(G17=0,ROUND($E17*$F17,2),ROUND($E17*$F17*$G17,2))</f>
        <v>358.5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f>ROUND(((($I17+$J17)*(T$72/12))/27),2)</f>
        <v>8.85</v>
      </c>
      <c r="U17" s="16">
        <f>ROUND(((($I17+$J17+$N17+$O17+$P17+$Q17)*(U$72/12))/27),2)</f>
        <v>6.64</v>
      </c>
      <c r="V17" s="16"/>
      <c r="W17" s="16">
        <f>ROUND((((($I17+$J17)/9)*W$72)*3),2)</f>
        <v>6.57</v>
      </c>
      <c r="X17" s="16"/>
      <c r="Y17" s="16"/>
      <c r="Z17" s="16">
        <f>ROUND(((($I17+$J17)*(Z$72/12))/27),2)</f>
        <v>1.66</v>
      </c>
      <c r="AA17" s="16">
        <f>ROUND(((($I17+$J17)*(AA$72/12))/27),2)</f>
        <v>1.94</v>
      </c>
      <c r="AB17" s="16">
        <f aca="true" t="shared" si="1" ref="AB17:AB27">$AA17+$Z17</f>
        <v>3.5999999999999996</v>
      </c>
      <c r="AC17" s="16"/>
      <c r="AD17" s="16"/>
      <c r="AE17" s="16"/>
      <c r="AF17" s="105"/>
      <c r="AG17" s="106"/>
    </row>
    <row r="18" spans="1:33" s="5" customFormat="1" ht="21.75" customHeight="1">
      <c r="A18" s="12">
        <f t="shared" si="0"/>
        <v>6</v>
      </c>
      <c r="B18" s="13"/>
      <c r="C18" s="14"/>
      <c r="D18" s="16"/>
      <c r="E18" s="16"/>
      <c r="F18" s="16"/>
      <c r="G18" s="1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05"/>
      <c r="AG18" s="106"/>
    </row>
    <row r="19" spans="1:33" s="5" customFormat="1" ht="21.75" customHeight="1">
      <c r="A19" s="12">
        <f t="shared" si="0"/>
        <v>7</v>
      </c>
      <c r="B19" s="13">
        <v>88798.38</v>
      </c>
      <c r="C19" s="14">
        <v>88933.61</v>
      </c>
      <c r="D19" s="15" t="s">
        <v>33</v>
      </c>
      <c r="E19" s="16">
        <f aca="true" t="shared" si="2" ref="E19:E27">C19-B19</f>
        <v>135.22999999999593</v>
      </c>
      <c r="F19" s="80" t="s">
        <v>31</v>
      </c>
      <c r="G19" s="81"/>
      <c r="H19" s="81"/>
      <c r="I19" s="82"/>
      <c r="J19" s="16">
        <v>1715.25</v>
      </c>
      <c r="K19" s="41"/>
      <c r="L19" s="16"/>
      <c r="M19" s="16"/>
      <c r="N19" s="16"/>
      <c r="O19" s="16"/>
      <c r="P19" s="16"/>
      <c r="Q19" s="16"/>
      <c r="R19" s="16"/>
      <c r="S19" s="16"/>
      <c r="T19" s="16">
        <f aca="true" t="shared" si="3" ref="T19:T27">ROUND(((($I19+$J19)*(T$72/12))/27),2)</f>
        <v>42.35</v>
      </c>
      <c r="U19" s="16">
        <f aca="true" t="shared" si="4" ref="U19:U27">ROUND(((($I19+$J19+$N19+$O19+$P19+$Q19)*(U$72/12))/27),2)</f>
        <v>31.76</v>
      </c>
      <c r="V19" s="16"/>
      <c r="W19" s="16">
        <f aca="true" t="shared" si="5" ref="W19:W27">ROUND((((($I19+$J19)/9)*W$72)*3),2)</f>
        <v>31.45</v>
      </c>
      <c r="X19" s="16"/>
      <c r="Y19" s="16"/>
      <c r="Z19" s="16">
        <f aca="true" t="shared" si="6" ref="Z19:AA27">ROUND(((($I19+$J19)*(Z$72/12))/27),2)</f>
        <v>7.94</v>
      </c>
      <c r="AA19" s="16">
        <f t="shared" si="6"/>
        <v>9.26</v>
      </c>
      <c r="AB19" s="16">
        <f t="shared" si="1"/>
        <v>17.2</v>
      </c>
      <c r="AC19" s="16"/>
      <c r="AD19" s="16"/>
      <c r="AE19" s="16"/>
      <c r="AF19" s="105"/>
      <c r="AG19" s="106"/>
    </row>
    <row r="20" spans="1:33" s="5" customFormat="1" ht="21.75" customHeight="1">
      <c r="A20" s="12">
        <f t="shared" si="0"/>
        <v>8</v>
      </c>
      <c r="B20" s="13">
        <f aca="true" t="shared" si="7" ref="B20:B27">C19</f>
        <v>88933.61</v>
      </c>
      <c r="C20" s="14">
        <v>89266.83</v>
      </c>
      <c r="D20" s="15" t="s">
        <v>33</v>
      </c>
      <c r="E20" s="16">
        <f t="shared" si="2"/>
        <v>333.22000000000116</v>
      </c>
      <c r="F20" s="17">
        <f>ROUND(AVERAGE(12,16),2)</f>
        <v>14</v>
      </c>
      <c r="G20" s="18">
        <f>ROUND((4583.662+($F20/2))/4583.662,4)</f>
        <v>1.0015</v>
      </c>
      <c r="H20" s="16"/>
      <c r="I20" s="16">
        <f aca="true" t="shared" si="8" ref="I20:I27">IF(G20=0,ROUND($E20*$F20,2),ROUND($E20*$F20*$G20,2))</f>
        <v>4672.08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3"/>
        <v>115.36</v>
      </c>
      <c r="U20" s="16">
        <f t="shared" si="4"/>
        <v>86.52</v>
      </c>
      <c r="V20" s="16"/>
      <c r="W20" s="16">
        <f t="shared" si="5"/>
        <v>85.65</v>
      </c>
      <c r="X20" s="16"/>
      <c r="Y20" s="16"/>
      <c r="Z20" s="16">
        <f t="shared" si="6"/>
        <v>21.63</v>
      </c>
      <c r="AA20" s="16">
        <f t="shared" si="6"/>
        <v>25.24</v>
      </c>
      <c r="AB20" s="16">
        <f t="shared" si="1"/>
        <v>46.87</v>
      </c>
      <c r="AC20" s="16"/>
      <c r="AD20" s="16"/>
      <c r="AE20" s="16"/>
      <c r="AF20" s="105"/>
      <c r="AG20" s="106"/>
    </row>
    <row r="21" spans="1:33" s="5" customFormat="1" ht="21.75" customHeight="1">
      <c r="A21" s="12">
        <f t="shared" si="0"/>
        <v>9</v>
      </c>
      <c r="B21" s="13">
        <f t="shared" si="7"/>
        <v>89266.83</v>
      </c>
      <c r="C21" s="14">
        <v>89517.13</v>
      </c>
      <c r="D21" s="15" t="s">
        <v>33</v>
      </c>
      <c r="E21" s="16">
        <f t="shared" si="2"/>
        <v>250.3000000000029</v>
      </c>
      <c r="F21" s="17">
        <v>16</v>
      </c>
      <c r="G21" s="18">
        <f>ROUND((4583.662+($F21/2))/4583.662,4)</f>
        <v>1.0017</v>
      </c>
      <c r="H21" s="16"/>
      <c r="I21" s="16">
        <f t="shared" si="8"/>
        <v>4011.61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f t="shared" si="3"/>
        <v>99.05</v>
      </c>
      <c r="U21" s="16">
        <f t="shared" si="4"/>
        <v>74.29</v>
      </c>
      <c r="V21" s="16"/>
      <c r="W21" s="16">
        <f t="shared" si="5"/>
        <v>73.55</v>
      </c>
      <c r="X21" s="16"/>
      <c r="Y21" s="16"/>
      <c r="Z21" s="16">
        <f t="shared" si="6"/>
        <v>18.57</v>
      </c>
      <c r="AA21" s="16">
        <f t="shared" si="6"/>
        <v>21.67</v>
      </c>
      <c r="AB21" s="16">
        <f t="shared" si="1"/>
        <v>40.24</v>
      </c>
      <c r="AC21" s="16"/>
      <c r="AD21" s="16"/>
      <c r="AE21" s="16"/>
      <c r="AF21" s="105"/>
      <c r="AG21" s="106"/>
    </row>
    <row r="22" spans="1:33" s="5" customFormat="1" ht="21.75" customHeight="1">
      <c r="A22" s="12">
        <f t="shared" si="0"/>
        <v>10</v>
      </c>
      <c r="B22" s="13">
        <f t="shared" si="7"/>
        <v>89517.13</v>
      </c>
      <c r="C22" s="14">
        <v>89717.13</v>
      </c>
      <c r="D22" s="15" t="s">
        <v>33</v>
      </c>
      <c r="E22" s="16">
        <f t="shared" si="2"/>
        <v>200</v>
      </c>
      <c r="F22" s="17">
        <v>16</v>
      </c>
      <c r="G22" s="18">
        <f>ROUND((((4583.662+($F22/2))/4583.662)+((2083.483+($F22/2))/2083.483))/2,4)</f>
        <v>1.0028</v>
      </c>
      <c r="H22" s="16"/>
      <c r="I22" s="16">
        <f t="shared" si="8"/>
        <v>3208.96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3"/>
        <v>79.23</v>
      </c>
      <c r="U22" s="16">
        <f t="shared" si="4"/>
        <v>59.43</v>
      </c>
      <c r="V22" s="16"/>
      <c r="W22" s="16">
        <f t="shared" si="5"/>
        <v>58.83</v>
      </c>
      <c r="X22" s="16"/>
      <c r="Y22" s="16"/>
      <c r="Z22" s="16">
        <f t="shared" si="6"/>
        <v>14.86</v>
      </c>
      <c r="AA22" s="16">
        <f t="shared" si="6"/>
        <v>17.33</v>
      </c>
      <c r="AB22" s="16">
        <f t="shared" si="1"/>
        <v>32.19</v>
      </c>
      <c r="AC22" s="16"/>
      <c r="AD22" s="16"/>
      <c r="AE22" s="16"/>
      <c r="AF22" s="105"/>
      <c r="AG22" s="106"/>
    </row>
    <row r="23" spans="1:33" s="5" customFormat="1" ht="21.75" customHeight="1">
      <c r="A23" s="12">
        <f t="shared" si="0"/>
        <v>11</v>
      </c>
      <c r="B23" s="13">
        <f t="shared" si="7"/>
        <v>89717.13</v>
      </c>
      <c r="C23" s="14">
        <v>89901.12</v>
      </c>
      <c r="D23" s="15" t="s">
        <v>33</v>
      </c>
      <c r="E23" s="16">
        <f t="shared" si="2"/>
        <v>183.9899999999907</v>
      </c>
      <c r="F23" s="17">
        <v>16</v>
      </c>
      <c r="G23" s="18">
        <f>ROUND((2083.483+($F23/2))/2083.483,4)</f>
        <v>1.0038</v>
      </c>
      <c r="H23" s="16"/>
      <c r="I23" s="16">
        <f t="shared" si="8"/>
        <v>2955.03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3"/>
        <v>72.96</v>
      </c>
      <c r="U23" s="16">
        <f t="shared" si="4"/>
        <v>54.72</v>
      </c>
      <c r="V23" s="16"/>
      <c r="W23" s="16">
        <f t="shared" si="5"/>
        <v>54.18</v>
      </c>
      <c r="X23" s="16"/>
      <c r="Y23" s="16"/>
      <c r="Z23" s="16">
        <f t="shared" si="6"/>
        <v>13.68</v>
      </c>
      <c r="AA23" s="16">
        <f t="shared" si="6"/>
        <v>15.96</v>
      </c>
      <c r="AB23" s="16">
        <f t="shared" si="1"/>
        <v>29.64</v>
      </c>
      <c r="AC23" s="16"/>
      <c r="AD23" s="16"/>
      <c r="AE23" s="16"/>
      <c r="AF23" s="105"/>
      <c r="AG23" s="106"/>
    </row>
    <row r="24" spans="1:33" s="5" customFormat="1" ht="21.75" customHeight="1">
      <c r="A24" s="12">
        <f t="shared" si="0"/>
        <v>12</v>
      </c>
      <c r="B24" s="13">
        <f t="shared" si="7"/>
        <v>89901.12</v>
      </c>
      <c r="C24" s="14">
        <v>90101.12</v>
      </c>
      <c r="D24" s="15" t="s">
        <v>33</v>
      </c>
      <c r="E24" s="16">
        <f t="shared" si="2"/>
        <v>200</v>
      </c>
      <c r="F24" s="17">
        <v>16</v>
      </c>
      <c r="G24" s="18">
        <f>ROUND((((1637.022+($F24/2))/1637.022)+((2083.483+($F24/2))/2083.483))/2,4)</f>
        <v>1.0044</v>
      </c>
      <c r="H24" s="16"/>
      <c r="I24" s="16">
        <f t="shared" si="8"/>
        <v>3214.08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3"/>
        <v>79.36</v>
      </c>
      <c r="U24" s="16">
        <f t="shared" si="4"/>
        <v>59.52</v>
      </c>
      <c r="V24" s="16"/>
      <c r="W24" s="16">
        <f t="shared" si="5"/>
        <v>58.92</v>
      </c>
      <c r="X24" s="16"/>
      <c r="Y24" s="16"/>
      <c r="Z24" s="16">
        <f t="shared" si="6"/>
        <v>14.88</v>
      </c>
      <c r="AA24" s="16">
        <f t="shared" si="6"/>
        <v>17.36</v>
      </c>
      <c r="AB24" s="16">
        <f t="shared" si="1"/>
        <v>32.24</v>
      </c>
      <c r="AC24" s="16"/>
      <c r="AD24" s="16"/>
      <c r="AE24" s="16"/>
      <c r="AF24" s="105"/>
      <c r="AG24" s="106"/>
    </row>
    <row r="25" spans="1:33" s="5" customFormat="1" ht="21.75" customHeight="1">
      <c r="A25" s="12">
        <f t="shared" si="0"/>
        <v>13</v>
      </c>
      <c r="B25" s="13">
        <f t="shared" si="7"/>
        <v>90101.12</v>
      </c>
      <c r="C25" s="14">
        <v>90855.05</v>
      </c>
      <c r="D25" s="15" t="s">
        <v>33</v>
      </c>
      <c r="E25" s="16">
        <f t="shared" si="2"/>
        <v>753.9300000000076</v>
      </c>
      <c r="F25" s="17">
        <v>16</v>
      </c>
      <c r="G25" s="18">
        <f>ROUND((1637.022+($F25/2))/1637.022,4)</f>
        <v>1.0049</v>
      </c>
      <c r="H25" s="16"/>
      <c r="I25" s="16">
        <f t="shared" si="8"/>
        <v>12121.99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3"/>
        <v>299.31</v>
      </c>
      <c r="U25" s="16">
        <f t="shared" si="4"/>
        <v>224.48</v>
      </c>
      <c r="V25" s="16"/>
      <c r="W25" s="16">
        <f t="shared" si="5"/>
        <v>222.24</v>
      </c>
      <c r="X25" s="16"/>
      <c r="Y25" s="16"/>
      <c r="Z25" s="16">
        <f t="shared" si="6"/>
        <v>56.12</v>
      </c>
      <c r="AA25" s="16">
        <f t="shared" si="6"/>
        <v>65.47</v>
      </c>
      <c r="AB25" s="16">
        <f t="shared" si="1"/>
        <v>121.59</v>
      </c>
      <c r="AC25" s="16"/>
      <c r="AD25" s="16"/>
      <c r="AE25" s="16"/>
      <c r="AF25" s="105"/>
      <c r="AG25" s="106"/>
    </row>
    <row r="26" spans="1:33" s="5" customFormat="1" ht="21.75" customHeight="1">
      <c r="A26" s="12">
        <f t="shared" si="0"/>
        <v>14</v>
      </c>
      <c r="B26" s="13">
        <f t="shared" si="7"/>
        <v>90855.05</v>
      </c>
      <c r="C26" s="14">
        <v>91055.05</v>
      </c>
      <c r="D26" s="15" t="s">
        <v>33</v>
      </c>
      <c r="E26" s="16">
        <f t="shared" si="2"/>
        <v>200</v>
      </c>
      <c r="F26" s="17">
        <v>16</v>
      </c>
      <c r="G26" s="18">
        <f>ROUND((((1637.022+($F26/2))/1637.022)+((2237.045+($F26/2))/2237.045))/2,4)</f>
        <v>1.0042</v>
      </c>
      <c r="H26" s="16"/>
      <c r="I26" s="16">
        <f t="shared" si="8"/>
        <v>3213.44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3"/>
        <v>79.34</v>
      </c>
      <c r="U26" s="16">
        <f t="shared" si="4"/>
        <v>59.51</v>
      </c>
      <c r="V26" s="16"/>
      <c r="W26" s="16">
        <f t="shared" si="5"/>
        <v>58.91</v>
      </c>
      <c r="X26" s="16"/>
      <c r="Y26" s="16"/>
      <c r="Z26" s="16">
        <f t="shared" si="6"/>
        <v>14.88</v>
      </c>
      <c r="AA26" s="16">
        <f t="shared" si="6"/>
        <v>17.36</v>
      </c>
      <c r="AB26" s="16">
        <f t="shared" si="1"/>
        <v>32.24</v>
      </c>
      <c r="AC26" s="16"/>
      <c r="AD26" s="16"/>
      <c r="AE26" s="16"/>
      <c r="AF26" s="105"/>
      <c r="AG26" s="106"/>
    </row>
    <row r="27" spans="1:33" s="5" customFormat="1" ht="21.75" customHeight="1">
      <c r="A27" s="12">
        <f t="shared" si="0"/>
        <v>15</v>
      </c>
      <c r="B27" s="13">
        <f t="shared" si="7"/>
        <v>91055.05</v>
      </c>
      <c r="C27" s="14">
        <v>91489.43</v>
      </c>
      <c r="D27" s="15" t="s">
        <v>33</v>
      </c>
      <c r="E27" s="16">
        <f t="shared" si="2"/>
        <v>434.3799999999901</v>
      </c>
      <c r="F27" s="17">
        <v>16</v>
      </c>
      <c r="G27" s="18">
        <f>ROUND((2237.045+($F27/2))/2237.045,4)</f>
        <v>1.0036</v>
      </c>
      <c r="H27" s="16"/>
      <c r="I27" s="16">
        <f t="shared" si="8"/>
        <v>6975.1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3"/>
        <v>172.22</v>
      </c>
      <c r="U27" s="16">
        <f t="shared" si="4"/>
        <v>129.17</v>
      </c>
      <c r="V27" s="16"/>
      <c r="W27" s="16">
        <f t="shared" si="5"/>
        <v>127.88</v>
      </c>
      <c r="X27" s="16"/>
      <c r="Y27" s="16"/>
      <c r="Z27" s="16">
        <f t="shared" si="6"/>
        <v>32.29</v>
      </c>
      <c r="AA27" s="16">
        <f t="shared" si="6"/>
        <v>37.67</v>
      </c>
      <c r="AB27" s="16">
        <f t="shared" si="1"/>
        <v>69.96000000000001</v>
      </c>
      <c r="AC27" s="16"/>
      <c r="AD27" s="16"/>
      <c r="AE27" s="16"/>
      <c r="AF27" s="105"/>
      <c r="AG27" s="106"/>
    </row>
    <row r="28" spans="1:33" s="5" customFormat="1" ht="21.75" customHeight="1">
      <c r="A28" s="12">
        <f t="shared" si="0"/>
        <v>16</v>
      </c>
      <c r="B28" s="13"/>
      <c r="C28" s="14"/>
      <c r="D28" s="15"/>
      <c r="E28" s="16"/>
      <c r="F28" s="17"/>
      <c r="G28" s="1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05"/>
      <c r="AG28" s="106"/>
    </row>
    <row r="29" spans="1:33" s="5" customFormat="1" ht="21.75" customHeight="1">
      <c r="A29" s="12">
        <f t="shared" si="0"/>
        <v>17</v>
      </c>
      <c r="B29" s="19" t="s">
        <v>35</v>
      </c>
      <c r="C29" s="14"/>
      <c r="D29" s="15"/>
      <c r="E29" s="16"/>
      <c r="F29" s="17"/>
      <c r="G29" s="18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05"/>
      <c r="AG29" s="106"/>
    </row>
    <row r="30" spans="1:33" s="5" customFormat="1" ht="21.75" customHeight="1">
      <c r="A30" s="12">
        <f t="shared" si="0"/>
        <v>18</v>
      </c>
      <c r="B30" s="13">
        <v>89266.42</v>
      </c>
      <c r="C30" s="14">
        <v>89300</v>
      </c>
      <c r="D30" s="15" t="s">
        <v>33</v>
      </c>
      <c r="E30" s="16">
        <f aca="true" t="shared" si="9" ref="E30:E36">C30-B30</f>
        <v>33.580000000001746</v>
      </c>
      <c r="F30" s="80" t="s">
        <v>31</v>
      </c>
      <c r="G30" s="81"/>
      <c r="H30" s="81"/>
      <c r="I30" s="82"/>
      <c r="J30" s="16">
        <v>134.04</v>
      </c>
      <c r="K30" s="16">
        <f aca="true" t="shared" si="10" ref="K30:K36">IF($H30=0,ROUND($E30*(K$72/12),2),ROUND($E30*(K$72/12)*$H30,2))</f>
        <v>11.19</v>
      </c>
      <c r="L30" s="16"/>
      <c r="M30" s="16">
        <f aca="true" t="shared" si="11" ref="M30:N36">IF($H30=0,ROUND($E30*(M$72/12),2),ROUND($E30*(M$72/12)*$H30,2))</f>
        <v>27.98</v>
      </c>
      <c r="N30" s="16">
        <f t="shared" si="11"/>
        <v>44.77</v>
      </c>
      <c r="O30" s="16"/>
      <c r="P30" s="16"/>
      <c r="Q30" s="16"/>
      <c r="R30" s="16"/>
      <c r="S30" s="16"/>
      <c r="T30" s="16">
        <f aca="true" t="shared" si="12" ref="T30:T36">ROUND(((($I30+$J30)*(T$72/12)+($K30)*(T$73/12)+($M30)*(T$73/12))/27),2)</f>
        <v>3.79</v>
      </c>
      <c r="U30" s="16">
        <f aca="true" t="shared" si="13" ref="U30:U36">ROUND(((($I30+$J30+$N30+$O30+$P30+$Q30)*(U$72/12))/27),2)</f>
        <v>3.31</v>
      </c>
      <c r="V30" s="16"/>
      <c r="W30" s="16">
        <f aca="true" t="shared" si="14" ref="W30:W36">ROUND(((($I30+$J30)/9)*$W$72)+((($I30+$J30+$K30)/9)*$W$72)+((($I30+$J30+$M30)/9)*$W$72),2)</f>
        <v>2.7</v>
      </c>
      <c r="X30" s="16"/>
      <c r="Y30" s="16"/>
      <c r="Z30" s="16">
        <f aca="true" t="shared" si="15" ref="Z30:AA36">ROUND(((($I30+$J30)*(Z$72/12))/27),2)</f>
        <v>0.62</v>
      </c>
      <c r="AA30" s="16">
        <f t="shared" si="15"/>
        <v>0.72</v>
      </c>
      <c r="AB30" s="16"/>
      <c r="AC30" s="16"/>
      <c r="AD30" s="16"/>
      <c r="AE30" s="16"/>
      <c r="AF30" s="105"/>
      <c r="AG30" s="106"/>
    </row>
    <row r="31" spans="1:33" s="5" customFormat="1" ht="21.75" customHeight="1">
      <c r="A31" s="12">
        <f t="shared" si="0"/>
        <v>19</v>
      </c>
      <c r="B31" s="13">
        <f aca="true" t="shared" si="16" ref="B31:B36">C30</f>
        <v>89300</v>
      </c>
      <c r="C31" s="14">
        <v>89517.13</v>
      </c>
      <c r="D31" s="15" t="s">
        <v>33</v>
      </c>
      <c r="E31" s="16">
        <f t="shared" si="9"/>
        <v>217.13000000000466</v>
      </c>
      <c r="F31" s="17">
        <v>4</v>
      </c>
      <c r="G31" s="18">
        <f>ROUND((4583.662+16+($F31/2))/4583.662,4)</f>
        <v>1.0039</v>
      </c>
      <c r="H31" s="18">
        <f>ROUND((4583.662+16+($F31))/4583.662,4)</f>
        <v>1.0044</v>
      </c>
      <c r="I31" s="16">
        <f>IF(G31=0,ROUND($E31*$F31,2),ROUND($E31*$F31*$G31,2))</f>
        <v>871.91</v>
      </c>
      <c r="J31" s="16"/>
      <c r="K31" s="16">
        <f t="shared" si="10"/>
        <v>72.7</v>
      </c>
      <c r="L31" s="16"/>
      <c r="M31" s="16">
        <f t="shared" si="11"/>
        <v>181.74</v>
      </c>
      <c r="N31" s="16">
        <f t="shared" si="11"/>
        <v>290.78</v>
      </c>
      <c r="O31" s="16"/>
      <c r="P31" s="16"/>
      <c r="Q31" s="16"/>
      <c r="R31" s="16"/>
      <c r="S31" s="16"/>
      <c r="T31" s="16">
        <f t="shared" si="12"/>
        <v>24.67</v>
      </c>
      <c r="U31" s="16">
        <f t="shared" si="13"/>
        <v>21.53</v>
      </c>
      <c r="V31" s="16"/>
      <c r="W31" s="16">
        <f t="shared" si="14"/>
        <v>17.54</v>
      </c>
      <c r="X31" s="16"/>
      <c r="Y31" s="16"/>
      <c r="Z31" s="16">
        <f t="shared" si="15"/>
        <v>4.04</v>
      </c>
      <c r="AA31" s="16">
        <f t="shared" si="15"/>
        <v>4.71</v>
      </c>
      <c r="AB31" s="16"/>
      <c r="AC31" s="16"/>
      <c r="AD31" s="16"/>
      <c r="AE31" s="16"/>
      <c r="AF31" s="105"/>
      <c r="AG31" s="106"/>
    </row>
    <row r="32" spans="1:33" s="5" customFormat="1" ht="21.75" customHeight="1">
      <c r="A32" s="12">
        <f t="shared" si="0"/>
        <v>20</v>
      </c>
      <c r="B32" s="13">
        <f t="shared" si="16"/>
        <v>89517.13</v>
      </c>
      <c r="C32" s="14">
        <v>89717.13</v>
      </c>
      <c r="D32" s="15" t="s">
        <v>33</v>
      </c>
      <c r="E32" s="16">
        <f t="shared" si="9"/>
        <v>200</v>
      </c>
      <c r="F32" s="17">
        <v>4</v>
      </c>
      <c r="G32" s="18">
        <f>ROUND((((4583.662+16+($F32/2))/4583.662)+((2083.483+16+($F32/2))/2083.483))/2,4)</f>
        <v>1.0063</v>
      </c>
      <c r="H32" s="18">
        <f>ROUND((((4583.662+16+($F32))/4583.662)+((2083.483+16+($F32))/2083.483))/2,4)</f>
        <v>1.007</v>
      </c>
      <c r="I32" s="16">
        <f>IF(G32=0,ROUND($E32*$F32,2),ROUND($E32*$F32*$G32,2))</f>
        <v>805.04</v>
      </c>
      <c r="J32" s="16"/>
      <c r="K32" s="16">
        <f t="shared" si="10"/>
        <v>67.13</v>
      </c>
      <c r="L32" s="16"/>
      <c r="M32" s="16">
        <f t="shared" si="11"/>
        <v>167.83</v>
      </c>
      <c r="N32" s="16">
        <f t="shared" si="11"/>
        <v>268.53</v>
      </c>
      <c r="O32" s="16"/>
      <c r="P32" s="16"/>
      <c r="Q32" s="16"/>
      <c r="R32" s="16"/>
      <c r="S32" s="16"/>
      <c r="T32" s="16">
        <f t="shared" si="12"/>
        <v>22.78</v>
      </c>
      <c r="U32" s="16">
        <f t="shared" si="13"/>
        <v>19.88</v>
      </c>
      <c r="V32" s="16"/>
      <c r="W32" s="16">
        <f t="shared" si="14"/>
        <v>16.19</v>
      </c>
      <c r="X32" s="16"/>
      <c r="Y32" s="16"/>
      <c r="Z32" s="16">
        <f t="shared" si="15"/>
        <v>3.73</v>
      </c>
      <c r="AA32" s="16">
        <f t="shared" si="15"/>
        <v>4.35</v>
      </c>
      <c r="AB32" s="16"/>
      <c r="AC32" s="16"/>
      <c r="AD32" s="16"/>
      <c r="AE32" s="16"/>
      <c r="AF32" s="105"/>
      <c r="AG32" s="106"/>
    </row>
    <row r="33" spans="1:33" s="5" customFormat="1" ht="21.75" customHeight="1">
      <c r="A33" s="12">
        <f t="shared" si="0"/>
        <v>21</v>
      </c>
      <c r="B33" s="13">
        <f t="shared" si="16"/>
        <v>89717.13</v>
      </c>
      <c r="C33" s="14">
        <v>89901.12</v>
      </c>
      <c r="D33" s="15" t="s">
        <v>33</v>
      </c>
      <c r="E33" s="16">
        <f t="shared" si="9"/>
        <v>183.9899999999907</v>
      </c>
      <c r="F33" s="17">
        <v>4</v>
      </c>
      <c r="G33" s="18">
        <f>ROUND((2083.483+16+($F33/2))/2083.483,4)</f>
        <v>1.0086</v>
      </c>
      <c r="H33" s="18">
        <f>ROUND((2083.483+16+($F33))/2083.483,4)</f>
        <v>1.0096</v>
      </c>
      <c r="I33" s="16">
        <f>IF(G33=0,ROUND($E33*$F33,2),ROUND($E33*$F33*$G33,2))</f>
        <v>742.29</v>
      </c>
      <c r="J33" s="16"/>
      <c r="K33" s="16">
        <f t="shared" si="10"/>
        <v>61.92</v>
      </c>
      <c r="L33" s="16"/>
      <c r="M33" s="16">
        <f t="shared" si="11"/>
        <v>154.8</v>
      </c>
      <c r="N33" s="16">
        <f t="shared" si="11"/>
        <v>247.68</v>
      </c>
      <c r="O33" s="16"/>
      <c r="P33" s="16"/>
      <c r="Q33" s="41"/>
      <c r="R33" s="16"/>
      <c r="S33" s="16"/>
      <c r="T33" s="16">
        <f t="shared" si="12"/>
        <v>21</v>
      </c>
      <c r="U33" s="16">
        <f t="shared" si="13"/>
        <v>18.33</v>
      </c>
      <c r="V33" s="16"/>
      <c r="W33" s="16">
        <f t="shared" si="14"/>
        <v>14.93</v>
      </c>
      <c r="X33" s="16"/>
      <c r="Y33" s="16"/>
      <c r="Z33" s="16">
        <f t="shared" si="15"/>
        <v>3.44</v>
      </c>
      <c r="AA33" s="16">
        <f t="shared" si="15"/>
        <v>4.01</v>
      </c>
      <c r="AB33" s="16"/>
      <c r="AC33" s="16"/>
      <c r="AD33" s="16"/>
      <c r="AE33" s="16"/>
      <c r="AF33" s="105"/>
      <c r="AG33" s="106"/>
    </row>
    <row r="34" spans="1:33" s="5" customFormat="1" ht="21.75" customHeight="1">
      <c r="A34" s="12">
        <f t="shared" si="0"/>
        <v>22</v>
      </c>
      <c r="B34" s="13">
        <f t="shared" si="16"/>
        <v>89901.12</v>
      </c>
      <c r="C34" s="14">
        <v>90101.12</v>
      </c>
      <c r="D34" s="15" t="s">
        <v>33</v>
      </c>
      <c r="E34" s="16">
        <f t="shared" si="9"/>
        <v>200</v>
      </c>
      <c r="F34" s="17">
        <v>4</v>
      </c>
      <c r="G34" s="18">
        <f>ROUND((((1637.022+16+($F34/2))/1637.022)+((2083.483+16+($F34/2))/2083.483))/2,4)</f>
        <v>1.0098</v>
      </c>
      <c r="H34" s="18">
        <f>ROUND((((1637.022+16+($F34))/1637.022)+((2083.483+16+($F34))/2083.483))/2,4)</f>
        <v>1.0109</v>
      </c>
      <c r="I34" s="16">
        <f>IF(G34=0,ROUND($E34*$F34,2),ROUND($E34*$F34*$G34,2))</f>
        <v>807.84</v>
      </c>
      <c r="J34" s="16"/>
      <c r="K34" s="16">
        <f t="shared" si="10"/>
        <v>67.39</v>
      </c>
      <c r="L34" s="16"/>
      <c r="M34" s="16">
        <f t="shared" si="11"/>
        <v>168.48</v>
      </c>
      <c r="N34" s="16">
        <f t="shared" si="11"/>
        <v>269.57</v>
      </c>
      <c r="O34" s="16"/>
      <c r="P34" s="16"/>
      <c r="Q34" s="16"/>
      <c r="R34" s="16"/>
      <c r="S34" s="16"/>
      <c r="T34" s="16">
        <f t="shared" si="12"/>
        <v>22.86</v>
      </c>
      <c r="U34" s="16">
        <f t="shared" si="13"/>
        <v>19.95</v>
      </c>
      <c r="V34" s="16"/>
      <c r="W34" s="16">
        <f t="shared" si="14"/>
        <v>16.25</v>
      </c>
      <c r="X34" s="16"/>
      <c r="Y34" s="16"/>
      <c r="Z34" s="16">
        <f t="shared" si="15"/>
        <v>3.74</v>
      </c>
      <c r="AA34" s="16">
        <f t="shared" si="15"/>
        <v>4.36</v>
      </c>
      <c r="AB34" s="16"/>
      <c r="AC34" s="16"/>
      <c r="AD34" s="16"/>
      <c r="AE34" s="16"/>
      <c r="AF34" s="105"/>
      <c r="AG34" s="106"/>
    </row>
    <row r="35" spans="1:33" s="5" customFormat="1" ht="21.75" customHeight="1">
      <c r="A35" s="12">
        <f t="shared" si="0"/>
        <v>23</v>
      </c>
      <c r="B35" s="13">
        <f t="shared" si="16"/>
        <v>90101.12</v>
      </c>
      <c r="C35" s="14">
        <v>90750</v>
      </c>
      <c r="D35" s="15" t="s">
        <v>33</v>
      </c>
      <c r="E35" s="16">
        <f t="shared" si="9"/>
        <v>648.8800000000047</v>
      </c>
      <c r="F35" s="17">
        <v>4</v>
      </c>
      <c r="G35" s="18">
        <f>ROUND((1637.022+16+($F35/2))/1637.022,4)</f>
        <v>1.011</v>
      </c>
      <c r="H35" s="18">
        <f>ROUND((1637.022+16+($F35))/1637.022,4)</f>
        <v>1.0122</v>
      </c>
      <c r="I35" s="16">
        <f>IF(G35=0,ROUND($E35*$F35,2),ROUND($E35*$F35*$G35,2))</f>
        <v>2624.07</v>
      </c>
      <c r="J35" s="16"/>
      <c r="K35" s="16">
        <f t="shared" si="10"/>
        <v>218.93</v>
      </c>
      <c r="L35" s="16"/>
      <c r="M35" s="16">
        <f t="shared" si="11"/>
        <v>547.33</v>
      </c>
      <c r="N35" s="16">
        <f t="shared" si="11"/>
        <v>875.73</v>
      </c>
      <c r="O35" s="16"/>
      <c r="P35" s="16"/>
      <c r="Q35" s="16"/>
      <c r="R35" s="16"/>
      <c r="S35" s="16"/>
      <c r="T35" s="16">
        <f t="shared" si="12"/>
        <v>74.25</v>
      </c>
      <c r="U35" s="16">
        <f t="shared" si="13"/>
        <v>64.81</v>
      </c>
      <c r="V35" s="16"/>
      <c r="W35" s="16">
        <f t="shared" si="14"/>
        <v>52.79</v>
      </c>
      <c r="X35" s="16"/>
      <c r="Y35" s="16"/>
      <c r="Z35" s="16">
        <f t="shared" si="15"/>
        <v>12.15</v>
      </c>
      <c r="AA35" s="16">
        <f t="shared" si="15"/>
        <v>14.17</v>
      </c>
      <c r="AB35" s="16"/>
      <c r="AC35" s="16"/>
      <c r="AD35" s="16"/>
      <c r="AE35" s="16"/>
      <c r="AF35" s="105"/>
      <c r="AG35" s="106"/>
    </row>
    <row r="36" spans="1:33" s="5" customFormat="1" ht="21.75" customHeight="1">
      <c r="A36" s="12">
        <f t="shared" si="0"/>
        <v>24</v>
      </c>
      <c r="B36" s="13">
        <f t="shared" si="16"/>
        <v>90750</v>
      </c>
      <c r="C36" s="14">
        <v>90764.17</v>
      </c>
      <c r="D36" s="15" t="s">
        <v>33</v>
      </c>
      <c r="E36" s="16">
        <f t="shared" si="9"/>
        <v>14.169999999998254</v>
      </c>
      <c r="F36" s="80" t="s">
        <v>31</v>
      </c>
      <c r="G36" s="81"/>
      <c r="H36" s="81"/>
      <c r="I36" s="82"/>
      <c r="J36" s="16">
        <v>56.58</v>
      </c>
      <c r="K36" s="16">
        <f t="shared" si="10"/>
        <v>4.72</v>
      </c>
      <c r="L36" s="16"/>
      <c r="M36" s="16">
        <f t="shared" si="11"/>
        <v>11.81</v>
      </c>
      <c r="N36" s="16">
        <f t="shared" si="11"/>
        <v>18.89</v>
      </c>
      <c r="O36" s="16"/>
      <c r="P36" s="16"/>
      <c r="Q36" s="16"/>
      <c r="R36" s="16"/>
      <c r="S36" s="16"/>
      <c r="T36" s="16">
        <f t="shared" si="12"/>
        <v>1.6</v>
      </c>
      <c r="U36" s="16">
        <f t="shared" si="13"/>
        <v>1.4</v>
      </c>
      <c r="V36" s="16"/>
      <c r="W36" s="16">
        <f t="shared" si="14"/>
        <v>1.14</v>
      </c>
      <c r="X36" s="16"/>
      <c r="Y36" s="16"/>
      <c r="Z36" s="16">
        <f t="shared" si="15"/>
        <v>0.26</v>
      </c>
      <c r="AA36" s="16">
        <f t="shared" si="15"/>
        <v>0.31</v>
      </c>
      <c r="AB36" s="16"/>
      <c r="AC36" s="16"/>
      <c r="AD36" s="16"/>
      <c r="AE36" s="16"/>
      <c r="AF36" s="105"/>
      <c r="AG36" s="106"/>
    </row>
    <row r="37" spans="1:33" s="5" customFormat="1" ht="21.75" customHeight="1">
      <c r="A37" s="12">
        <f t="shared" si="0"/>
        <v>25</v>
      </c>
      <c r="B37" s="13"/>
      <c r="C37" s="14"/>
      <c r="D37" s="15"/>
      <c r="E37" s="16"/>
      <c r="F37" s="17"/>
      <c r="G37" s="18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05"/>
      <c r="AG37" s="106"/>
    </row>
    <row r="38" spans="1:33" s="5" customFormat="1" ht="21.75" customHeight="1">
      <c r="A38" s="12">
        <f t="shared" si="0"/>
        <v>26</v>
      </c>
      <c r="B38" s="13" t="s">
        <v>73</v>
      </c>
      <c r="C38" s="14" t="s">
        <v>71</v>
      </c>
      <c r="D38" s="15" t="s">
        <v>33</v>
      </c>
      <c r="E38" s="16">
        <v>355</v>
      </c>
      <c r="F38" s="17">
        <v>10</v>
      </c>
      <c r="G38" s="18"/>
      <c r="H38" s="16"/>
      <c r="I38" s="16">
        <f>IF($G38=0,ROUND($E38*$F38,2),ROUND($E38*$F38*$G38,2))</f>
        <v>3550</v>
      </c>
      <c r="J38" s="16"/>
      <c r="K38" s="16">
        <f>IF($H38=0,ROUND($E38*(K$72/12),2),ROUND($E38*(K$72/12)*$H38,2))</f>
        <v>118.33</v>
      </c>
      <c r="L38" s="16"/>
      <c r="M38" s="16">
        <f>IF($H38=0,ROUND($E38*(M$72/12),2),ROUND($E38*(M$72/12)*$H38,2))</f>
        <v>295.83</v>
      </c>
      <c r="N38" s="16">
        <f>IF($H38=0,ROUND($E38*(N$72/12),2),ROUND($E38*(N$72/12)*$H38,2))</f>
        <v>473.33</v>
      </c>
      <c r="O38" s="16"/>
      <c r="P38" s="16"/>
      <c r="Q38" s="16"/>
      <c r="R38" s="16"/>
      <c r="S38" s="16"/>
      <c r="T38" s="16">
        <f>ROUND(((($I38+$J38)*(T$72/12)+($K38)*(T$73/12)+($M38)*(T$73/12))/27),2)</f>
        <v>92.77</v>
      </c>
      <c r="U38" s="16">
        <f>ROUND(((($I38+$J38+$N38+$O38+$P38+$Q38)*(U$72/12))/27),2)</f>
        <v>74.51</v>
      </c>
      <c r="V38" s="16"/>
      <c r="W38" s="16">
        <f>ROUND(((($I38+$J38)/9)*$W$72)+((($I38+$J38+$K38)/9)*$W$72)+((($I38+$J38+$M38)/9)*$W$72),2)</f>
        <v>67.61</v>
      </c>
      <c r="X38" s="16"/>
      <c r="Y38" s="16"/>
      <c r="Z38" s="16">
        <f>ROUND(((($I38+$J38)*(Z$72/12))/27),2)</f>
        <v>16.44</v>
      </c>
      <c r="AA38" s="16">
        <f>ROUND(((($I38+$J38)*(AA$72/12))/27),2)</f>
        <v>19.17</v>
      </c>
      <c r="AB38" s="16"/>
      <c r="AC38" s="16"/>
      <c r="AD38" s="16"/>
      <c r="AE38" s="16"/>
      <c r="AF38" s="105"/>
      <c r="AG38" s="106"/>
    </row>
    <row r="39" spans="1:33" s="5" customFormat="1" ht="21.75" customHeight="1">
      <c r="A39" s="12">
        <f t="shared" si="0"/>
        <v>27</v>
      </c>
      <c r="B39" s="13" t="str">
        <f>C38</f>
        <v>272+95.00 (I.R. 277)</v>
      </c>
      <c r="C39" s="14" t="s">
        <v>72</v>
      </c>
      <c r="D39" s="15" t="s">
        <v>33</v>
      </c>
      <c r="E39" s="16">
        <v>30</v>
      </c>
      <c r="F39" s="17">
        <f>ROUND(AVERAGE(10,11.19),2)</f>
        <v>10.6</v>
      </c>
      <c r="G39" s="18"/>
      <c r="H39" s="16"/>
      <c r="I39" s="16">
        <f>IF($G39=0,ROUND($E39*$F39,2),ROUND($E39*$F39*$G39,2))</f>
        <v>318</v>
      </c>
      <c r="J39" s="16"/>
      <c r="K39" s="16">
        <f>IF($H39=0,ROUND($E39*(K$72/12),2),ROUND($E39*(K$72/12)*$H39,2))</f>
        <v>10</v>
      </c>
      <c r="L39" s="16"/>
      <c r="M39" s="16">
        <f>IF($H39=0,ROUND($E39*(M$72/12),2),ROUND($E39*(M$72/12)*$H39,2))</f>
        <v>25</v>
      </c>
      <c r="N39" s="16">
        <f>IF($H39=0,ROUND($E39*(N$72/12),2),ROUND($E39*(N$72/12)*$H39,2))</f>
        <v>40</v>
      </c>
      <c r="O39" s="16"/>
      <c r="P39" s="16"/>
      <c r="Q39" s="16"/>
      <c r="R39" s="16"/>
      <c r="S39" s="16"/>
      <c r="T39" s="16">
        <f>ROUND(((($I39+$J39)*(T$72/12)+($K39)*(T$73/12)+($M39)*(T$73/12))/27),2)</f>
        <v>8.28</v>
      </c>
      <c r="U39" s="16">
        <f>ROUND(((($I39+$J39+$N39+$O39+$P39+$Q39)*(U$72/12))/27),2)</f>
        <v>6.63</v>
      </c>
      <c r="V39" s="16"/>
      <c r="W39" s="16">
        <f>ROUND(((($I39+$J39)/9)*$W$72)+((($I39+$J39+$K39)/9)*$W$72)+((($I39+$J39+$M39)/9)*$W$72),2)</f>
        <v>6.04</v>
      </c>
      <c r="X39" s="16"/>
      <c r="Y39" s="16"/>
      <c r="Z39" s="16">
        <f>ROUND(((($I39+$J39)*(Z$72/12))/27),2)</f>
        <v>1.47</v>
      </c>
      <c r="AA39" s="16">
        <f>ROUND(((($I39+$J39)*(AA$72/12))/27),2)</f>
        <v>1.72</v>
      </c>
      <c r="AB39" s="16"/>
      <c r="AC39" s="16"/>
      <c r="AD39" s="16"/>
      <c r="AE39" s="16"/>
      <c r="AF39" s="105"/>
      <c r="AG39" s="106"/>
    </row>
    <row r="40" spans="1:33" s="5" customFormat="1" ht="21.75" customHeight="1">
      <c r="A40" s="12">
        <f t="shared" si="0"/>
        <v>28</v>
      </c>
      <c r="B40" s="13"/>
      <c r="C40" s="14"/>
      <c r="D40" s="15"/>
      <c r="E40" s="16"/>
      <c r="F40" s="54"/>
      <c r="G40" s="18"/>
      <c r="H40" s="16"/>
      <c r="I40" s="52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05"/>
      <c r="AG40" s="106"/>
    </row>
    <row r="41" spans="1:33" s="5" customFormat="1" ht="21.75" customHeight="1">
      <c r="A41" s="12">
        <f t="shared" si="0"/>
        <v>29</v>
      </c>
      <c r="B41" s="13">
        <v>88798.39</v>
      </c>
      <c r="C41" s="14">
        <v>89266.83</v>
      </c>
      <c r="D41" s="15" t="s">
        <v>28</v>
      </c>
      <c r="E41" s="16">
        <f aca="true" t="shared" si="17" ref="E41:E46">C41-B41</f>
        <v>468.4400000000023</v>
      </c>
      <c r="F41" s="16">
        <v>10</v>
      </c>
      <c r="G41" s="18">
        <f>ROUND((4583.662-($F41/2))/4583.662,4)</f>
        <v>0.9989</v>
      </c>
      <c r="H41" s="18">
        <f>ROUND((4583.662-($F41))/4583.662,4)</f>
        <v>0.9978</v>
      </c>
      <c r="I41" s="16">
        <f aca="true" t="shared" si="18" ref="I41:I46">IF($G41=0,ROUND($E41*$F41,2),ROUND($E41*$F41*$G41,2))</f>
        <v>4679.25</v>
      </c>
      <c r="J41" s="16"/>
      <c r="K41" s="16">
        <f aca="true" t="shared" si="19" ref="K41:K51">IF($H41=0,ROUND($E41*(K$72/12),2),ROUND($E41*(K$72/12)*$H41,2))</f>
        <v>155.8</v>
      </c>
      <c r="L41" s="16"/>
      <c r="M41" s="16">
        <f aca="true" t="shared" si="20" ref="M41:N51">IF($H41=0,ROUND($E41*(M$72/12),2),ROUND($E41*(M$72/12)*$H41,2))</f>
        <v>389.51</v>
      </c>
      <c r="N41" s="16">
        <f t="shared" si="20"/>
        <v>623.21</v>
      </c>
      <c r="O41" s="16"/>
      <c r="P41" s="16"/>
      <c r="Q41" s="16"/>
      <c r="R41" s="16"/>
      <c r="S41" s="16"/>
      <c r="T41" s="16">
        <f aca="true" t="shared" si="21" ref="T41:T51">ROUND(((($I41+$J41)*(T$72/12)+($K41)*(T$73/12)+($M41)*(T$73/12))/27),2)</f>
        <v>122.27</v>
      </c>
      <c r="U41" s="16">
        <f aca="true" t="shared" si="22" ref="U41:U51">ROUND(((($I41+$J41+$N41+$O41+$P41+$Q41)*(U$72/12))/27),2)</f>
        <v>98.19</v>
      </c>
      <c r="V41" s="16"/>
      <c r="W41" s="16">
        <f aca="true" t="shared" si="23" ref="W41:W51">ROUND(((($I41+$J41)/9)*$W$72)+((($I41+$J41+$K41)/9)*$W$72)+((($I41+$J41+$M41)/9)*$W$72),2)</f>
        <v>89.12</v>
      </c>
      <c r="X41" s="16"/>
      <c r="Y41" s="16"/>
      <c r="Z41" s="16">
        <f aca="true" t="shared" si="24" ref="Z41:AA51">ROUND(((($I41+$J41)*(Z$72/12))/27),2)</f>
        <v>21.66</v>
      </c>
      <c r="AA41" s="16">
        <f t="shared" si="24"/>
        <v>25.27</v>
      </c>
      <c r="AB41" s="16"/>
      <c r="AC41" s="16"/>
      <c r="AD41" s="16"/>
      <c r="AE41" s="16"/>
      <c r="AF41" s="105"/>
      <c r="AG41" s="106"/>
    </row>
    <row r="42" spans="1:33" s="5" customFormat="1" ht="21.75" customHeight="1">
      <c r="A42" s="12">
        <f t="shared" si="0"/>
        <v>30</v>
      </c>
      <c r="B42" s="13">
        <f aca="true" t="shared" si="25" ref="B42:B51">C41</f>
        <v>89266.83</v>
      </c>
      <c r="C42" s="14">
        <v>89366.83</v>
      </c>
      <c r="D42" s="15" t="s">
        <v>28</v>
      </c>
      <c r="E42" s="16">
        <f t="shared" si="17"/>
        <v>100</v>
      </c>
      <c r="F42" s="17">
        <f>ROUND(AVERAGE(10,6),2)</f>
        <v>8</v>
      </c>
      <c r="G42" s="18">
        <f>ROUND((4583.662-($F42/2))/4583.662,4)</f>
        <v>0.9991</v>
      </c>
      <c r="H42" s="18">
        <f>ROUND((4583.662-($F42))/4583.662,4)</f>
        <v>0.9983</v>
      </c>
      <c r="I42" s="16">
        <f t="shared" si="18"/>
        <v>799.28</v>
      </c>
      <c r="J42" s="16"/>
      <c r="K42" s="16">
        <f t="shared" si="19"/>
        <v>33.28</v>
      </c>
      <c r="L42" s="16"/>
      <c r="M42" s="16">
        <f t="shared" si="20"/>
        <v>83.19</v>
      </c>
      <c r="N42" s="16">
        <f t="shared" si="20"/>
        <v>133.11</v>
      </c>
      <c r="O42" s="16"/>
      <c r="P42" s="16"/>
      <c r="Q42" s="16"/>
      <c r="R42" s="16"/>
      <c r="S42" s="16"/>
      <c r="T42" s="16">
        <f t="shared" si="21"/>
        <v>21.17</v>
      </c>
      <c r="U42" s="16">
        <f t="shared" si="22"/>
        <v>17.27</v>
      </c>
      <c r="V42" s="16"/>
      <c r="W42" s="16">
        <f t="shared" si="23"/>
        <v>15.37</v>
      </c>
      <c r="X42" s="16"/>
      <c r="Y42" s="16"/>
      <c r="Z42" s="16">
        <f t="shared" si="24"/>
        <v>3.7</v>
      </c>
      <c r="AA42" s="16">
        <f t="shared" si="24"/>
        <v>4.32</v>
      </c>
      <c r="AB42" s="16"/>
      <c r="AC42" s="16"/>
      <c r="AD42" s="16"/>
      <c r="AE42" s="16"/>
      <c r="AF42" s="105"/>
      <c r="AG42" s="106"/>
    </row>
    <row r="43" spans="1:33" s="5" customFormat="1" ht="21.75" customHeight="1">
      <c r="A43" s="12">
        <f t="shared" si="0"/>
        <v>31</v>
      </c>
      <c r="B43" s="13">
        <f t="shared" si="25"/>
        <v>89366.83</v>
      </c>
      <c r="C43" s="14">
        <v>89517.13</v>
      </c>
      <c r="D43" s="15" t="s">
        <v>28</v>
      </c>
      <c r="E43" s="16">
        <f t="shared" si="17"/>
        <v>150.3000000000029</v>
      </c>
      <c r="F43" s="16">
        <v>6</v>
      </c>
      <c r="G43" s="18">
        <f>ROUND((4583.662-($F43/2))/4583.662,4)</f>
        <v>0.9993</v>
      </c>
      <c r="H43" s="18">
        <f>ROUND((4583.662-($F43))/4583.662,4)</f>
        <v>0.9987</v>
      </c>
      <c r="I43" s="16">
        <f t="shared" si="18"/>
        <v>901.17</v>
      </c>
      <c r="J43" s="16"/>
      <c r="K43" s="16">
        <f t="shared" si="19"/>
        <v>50.03</v>
      </c>
      <c r="L43" s="16"/>
      <c r="M43" s="16">
        <f t="shared" si="20"/>
        <v>125.09</v>
      </c>
      <c r="N43" s="16">
        <f t="shared" si="20"/>
        <v>200.14</v>
      </c>
      <c r="O43" s="16"/>
      <c r="P43" s="16"/>
      <c r="Q43" s="16"/>
      <c r="R43" s="16"/>
      <c r="S43" s="16"/>
      <c r="T43" s="16">
        <f t="shared" si="21"/>
        <v>24.41</v>
      </c>
      <c r="U43" s="16">
        <f t="shared" si="22"/>
        <v>20.39</v>
      </c>
      <c r="V43" s="16"/>
      <c r="W43" s="16">
        <f t="shared" si="23"/>
        <v>17.59</v>
      </c>
      <c r="X43" s="16"/>
      <c r="Y43" s="16"/>
      <c r="Z43" s="16">
        <f t="shared" si="24"/>
        <v>4.17</v>
      </c>
      <c r="AA43" s="16">
        <f t="shared" si="24"/>
        <v>4.87</v>
      </c>
      <c r="AB43" s="16"/>
      <c r="AC43" s="16"/>
      <c r="AD43" s="16"/>
      <c r="AE43" s="16"/>
      <c r="AF43" s="105"/>
      <c r="AG43" s="106"/>
    </row>
    <row r="44" spans="1:33" s="5" customFormat="1" ht="21.75" customHeight="1">
      <c r="A44" s="12">
        <f t="shared" si="0"/>
        <v>32</v>
      </c>
      <c r="B44" s="13">
        <f t="shared" si="25"/>
        <v>89517.13</v>
      </c>
      <c r="C44" s="14">
        <v>89717.13</v>
      </c>
      <c r="D44" s="15" t="s">
        <v>28</v>
      </c>
      <c r="E44" s="16">
        <f t="shared" si="17"/>
        <v>200</v>
      </c>
      <c r="F44" s="16">
        <v>6</v>
      </c>
      <c r="G44" s="18">
        <f>ROUND((((4583.662-($F44/2))/4583.662)+((2083.483-($F44/2))/2083.483))/2,4)</f>
        <v>0.999</v>
      </c>
      <c r="H44" s="18">
        <f>ROUND((((4583.662-($F44))/4583.662)+((2083.483-($F44))/2083.483))/2,4)</f>
        <v>0.9979</v>
      </c>
      <c r="I44" s="16">
        <f t="shared" si="18"/>
        <v>1198.8</v>
      </c>
      <c r="J44" s="16"/>
      <c r="K44" s="16">
        <f t="shared" si="19"/>
        <v>66.53</v>
      </c>
      <c r="L44" s="16"/>
      <c r="M44" s="16">
        <f t="shared" si="20"/>
        <v>166.32</v>
      </c>
      <c r="N44" s="16">
        <f t="shared" si="20"/>
        <v>266.11</v>
      </c>
      <c r="O44" s="16"/>
      <c r="P44" s="16"/>
      <c r="Q44" s="16"/>
      <c r="R44" s="16"/>
      <c r="S44" s="16"/>
      <c r="T44" s="16">
        <f t="shared" si="21"/>
        <v>32.47</v>
      </c>
      <c r="U44" s="16">
        <f t="shared" si="22"/>
        <v>27.13</v>
      </c>
      <c r="V44" s="16"/>
      <c r="W44" s="16">
        <f t="shared" si="23"/>
        <v>23.4</v>
      </c>
      <c r="X44" s="16"/>
      <c r="Y44" s="16"/>
      <c r="Z44" s="16">
        <f t="shared" si="24"/>
        <v>5.55</v>
      </c>
      <c r="AA44" s="16">
        <f t="shared" si="24"/>
        <v>6.48</v>
      </c>
      <c r="AB44" s="16"/>
      <c r="AC44" s="16"/>
      <c r="AD44" s="16"/>
      <c r="AE44" s="16"/>
      <c r="AF44" s="105"/>
      <c r="AG44" s="106"/>
    </row>
    <row r="45" spans="1:33" s="5" customFormat="1" ht="21.75" customHeight="1">
      <c r="A45" s="12">
        <f t="shared" si="0"/>
        <v>33</v>
      </c>
      <c r="B45" s="13">
        <f t="shared" si="25"/>
        <v>89717.13</v>
      </c>
      <c r="C45" s="14">
        <v>89901.12</v>
      </c>
      <c r="D45" s="15" t="s">
        <v>28</v>
      </c>
      <c r="E45" s="16">
        <f t="shared" si="17"/>
        <v>183.9899999999907</v>
      </c>
      <c r="F45" s="16">
        <v>6</v>
      </c>
      <c r="G45" s="18">
        <f>ROUND((2083.483-($F45/2))/2083.483,4)</f>
        <v>0.9986</v>
      </c>
      <c r="H45" s="18">
        <f>ROUND((2083.483-($F45))/2083.483,4)</f>
        <v>0.9971</v>
      </c>
      <c r="I45" s="16">
        <f t="shared" si="18"/>
        <v>1102.39</v>
      </c>
      <c r="J45" s="16"/>
      <c r="K45" s="16">
        <f t="shared" si="19"/>
        <v>61.15</v>
      </c>
      <c r="L45" s="16"/>
      <c r="M45" s="16">
        <f t="shared" si="20"/>
        <v>152.88</v>
      </c>
      <c r="N45" s="16">
        <f t="shared" si="20"/>
        <v>244.61</v>
      </c>
      <c r="O45" s="16"/>
      <c r="P45" s="16"/>
      <c r="Q45" s="16"/>
      <c r="R45" s="16"/>
      <c r="S45" s="16"/>
      <c r="T45" s="16">
        <f t="shared" si="21"/>
        <v>29.86</v>
      </c>
      <c r="U45" s="16">
        <f t="shared" si="22"/>
        <v>24.94</v>
      </c>
      <c r="V45" s="16"/>
      <c r="W45" s="16">
        <f t="shared" si="23"/>
        <v>21.52</v>
      </c>
      <c r="X45" s="16"/>
      <c r="Y45" s="16"/>
      <c r="Z45" s="16">
        <f t="shared" si="24"/>
        <v>5.1</v>
      </c>
      <c r="AA45" s="16">
        <f t="shared" si="24"/>
        <v>5.95</v>
      </c>
      <c r="AB45" s="16"/>
      <c r="AC45" s="16"/>
      <c r="AD45" s="16"/>
      <c r="AE45" s="16"/>
      <c r="AF45" s="105"/>
      <c r="AG45" s="106"/>
    </row>
    <row r="46" spans="1:33" s="5" customFormat="1" ht="21.75" customHeight="1">
      <c r="A46" s="12">
        <f t="shared" si="0"/>
        <v>34</v>
      </c>
      <c r="B46" s="13">
        <f t="shared" si="25"/>
        <v>89901.12</v>
      </c>
      <c r="C46" s="14">
        <v>90101.12</v>
      </c>
      <c r="D46" s="15" t="s">
        <v>28</v>
      </c>
      <c r="E46" s="16">
        <f t="shared" si="17"/>
        <v>200</v>
      </c>
      <c r="F46" s="16">
        <v>6</v>
      </c>
      <c r="G46" s="18">
        <f>ROUND((((1637.022-($F46/2))/1637.022)+((2083.483-($F46/2))/2083.483))/2,4)</f>
        <v>0.9984</v>
      </c>
      <c r="H46" s="18">
        <f>ROUND((((1637.022-($F46))/1637.022)+((2083.483-($F46))/2083.483))/2,4)</f>
        <v>0.9967</v>
      </c>
      <c r="I46" s="16">
        <f t="shared" si="18"/>
        <v>1198.08</v>
      </c>
      <c r="J46" s="16"/>
      <c r="K46" s="16">
        <f t="shared" si="19"/>
        <v>66.45</v>
      </c>
      <c r="L46" s="16"/>
      <c r="M46" s="16">
        <f t="shared" si="20"/>
        <v>166.12</v>
      </c>
      <c r="N46" s="16">
        <f t="shared" si="20"/>
        <v>265.79</v>
      </c>
      <c r="O46" s="16"/>
      <c r="P46" s="16"/>
      <c r="Q46" s="16"/>
      <c r="R46" s="16"/>
      <c r="S46" s="16"/>
      <c r="T46" s="16">
        <f t="shared" si="21"/>
        <v>32.45</v>
      </c>
      <c r="U46" s="16">
        <f t="shared" si="22"/>
        <v>27.11</v>
      </c>
      <c r="V46" s="16"/>
      <c r="W46" s="16">
        <f t="shared" si="23"/>
        <v>23.39</v>
      </c>
      <c r="X46" s="16"/>
      <c r="Y46" s="16"/>
      <c r="Z46" s="16">
        <f t="shared" si="24"/>
        <v>5.55</v>
      </c>
      <c r="AA46" s="16">
        <f t="shared" si="24"/>
        <v>6.47</v>
      </c>
      <c r="AB46" s="16"/>
      <c r="AC46" s="16"/>
      <c r="AD46" s="16"/>
      <c r="AE46" s="16"/>
      <c r="AF46" s="105"/>
      <c r="AG46" s="106"/>
    </row>
    <row r="47" spans="1:33" s="5" customFormat="1" ht="21.75" customHeight="1">
      <c r="A47" s="12">
        <f t="shared" si="0"/>
        <v>35</v>
      </c>
      <c r="B47" s="13">
        <f t="shared" si="25"/>
        <v>90101.12</v>
      </c>
      <c r="C47" s="14">
        <v>90855.05</v>
      </c>
      <c r="D47" s="15" t="s">
        <v>28</v>
      </c>
      <c r="E47" s="16">
        <f>C47-B47</f>
        <v>753.9300000000076</v>
      </c>
      <c r="F47" s="16">
        <v>6</v>
      </c>
      <c r="G47" s="18">
        <f>ROUND((1637.022-($F47/2))/1637.022,4)</f>
        <v>0.9982</v>
      </c>
      <c r="H47" s="18">
        <f>ROUND((1637.022-($F47))/1637.022,4)</f>
        <v>0.9963</v>
      </c>
      <c r="I47" s="16">
        <f>IF(G47=0,ROUND($E47*$F47,2),ROUND($E47*$F47*$G47,2))</f>
        <v>4515.44</v>
      </c>
      <c r="J47" s="16"/>
      <c r="K47" s="16">
        <f t="shared" si="19"/>
        <v>250.38</v>
      </c>
      <c r="L47" s="16"/>
      <c r="M47" s="16">
        <f t="shared" si="20"/>
        <v>625.95</v>
      </c>
      <c r="N47" s="16">
        <f t="shared" si="20"/>
        <v>1001.52</v>
      </c>
      <c r="O47" s="16"/>
      <c r="P47" s="16"/>
      <c r="Q47" s="16"/>
      <c r="R47" s="16"/>
      <c r="S47" s="16"/>
      <c r="T47" s="16">
        <f t="shared" si="21"/>
        <v>122.31</v>
      </c>
      <c r="U47" s="16">
        <f t="shared" si="22"/>
        <v>102.17</v>
      </c>
      <c r="V47" s="16"/>
      <c r="W47" s="16">
        <f t="shared" si="23"/>
        <v>88.14</v>
      </c>
      <c r="X47" s="16"/>
      <c r="Y47" s="16"/>
      <c r="Z47" s="16">
        <f t="shared" si="24"/>
        <v>20.9</v>
      </c>
      <c r="AA47" s="16">
        <f t="shared" si="24"/>
        <v>24.39</v>
      </c>
      <c r="AB47" s="16"/>
      <c r="AC47" s="16"/>
      <c r="AD47" s="16"/>
      <c r="AE47" s="16"/>
      <c r="AF47" s="105"/>
      <c r="AG47" s="106"/>
    </row>
    <row r="48" spans="1:33" s="5" customFormat="1" ht="21.75" customHeight="1">
      <c r="A48" s="12">
        <f t="shared" si="0"/>
        <v>36</v>
      </c>
      <c r="B48" s="13">
        <f t="shared" si="25"/>
        <v>90855.05</v>
      </c>
      <c r="C48" s="14">
        <v>91005.05</v>
      </c>
      <c r="D48" s="15" t="s">
        <v>28</v>
      </c>
      <c r="E48" s="16">
        <f>C48-B48</f>
        <v>150</v>
      </c>
      <c r="F48" s="16">
        <v>6</v>
      </c>
      <c r="G48" s="18">
        <f>ROUND((((1637.022-($F48/2))/1637.022)+((2237.045-($F48/2))/2237.045))/2,4)</f>
        <v>0.9984</v>
      </c>
      <c r="H48" s="18">
        <f>ROUND((((1637.022-($F48))/1637.022)+((2237.045-($F48))/2237.045))/2,4)</f>
        <v>0.9968</v>
      </c>
      <c r="I48" s="16">
        <f>IF(G48=0,ROUND($E48*$F48,2),ROUND($E48*$F48*$G48,2))</f>
        <v>898.56</v>
      </c>
      <c r="J48" s="16"/>
      <c r="K48" s="16">
        <f t="shared" si="19"/>
        <v>49.84</v>
      </c>
      <c r="L48" s="16"/>
      <c r="M48" s="16">
        <f t="shared" si="20"/>
        <v>124.6</v>
      </c>
      <c r="N48" s="16">
        <f t="shared" si="20"/>
        <v>199.36</v>
      </c>
      <c r="O48" s="16"/>
      <c r="P48" s="16"/>
      <c r="Q48" s="16"/>
      <c r="R48" s="16"/>
      <c r="S48" s="16"/>
      <c r="T48" s="16">
        <f t="shared" si="21"/>
        <v>24.34</v>
      </c>
      <c r="U48" s="16">
        <f t="shared" si="22"/>
        <v>20.33</v>
      </c>
      <c r="V48" s="16"/>
      <c r="W48" s="16">
        <f t="shared" si="23"/>
        <v>17.54</v>
      </c>
      <c r="X48" s="16"/>
      <c r="Y48" s="16"/>
      <c r="Z48" s="16">
        <f t="shared" si="24"/>
        <v>4.16</v>
      </c>
      <c r="AA48" s="16">
        <f t="shared" si="24"/>
        <v>4.85</v>
      </c>
      <c r="AB48" s="16"/>
      <c r="AC48" s="16"/>
      <c r="AD48" s="16"/>
      <c r="AE48" s="16"/>
      <c r="AF48" s="105"/>
      <c r="AG48" s="106"/>
    </row>
    <row r="49" spans="1:33" s="5" customFormat="1" ht="21.75" customHeight="1" thickBot="1">
      <c r="A49" s="12">
        <f t="shared" si="0"/>
        <v>37</v>
      </c>
      <c r="B49" s="13">
        <f t="shared" si="25"/>
        <v>91005.05</v>
      </c>
      <c r="C49" s="14">
        <v>91055.05</v>
      </c>
      <c r="D49" s="15" t="s">
        <v>28</v>
      </c>
      <c r="E49" s="16">
        <f>C49-B49</f>
        <v>50</v>
      </c>
      <c r="F49" s="17">
        <f>ROUND(AVERAGE(8,6),2)</f>
        <v>7</v>
      </c>
      <c r="G49" s="18">
        <f>ROUND((((1637.022-($F49/2))/1637.022)+((2237.045-($F49/2))/2237.045))/2,4)</f>
        <v>0.9981</v>
      </c>
      <c r="H49" s="18">
        <f>ROUND((((1637.022-($F49))/1637.022)+((2237.045-($F49))/2237.045))/2,4)</f>
        <v>0.9963</v>
      </c>
      <c r="I49" s="16">
        <f>IF(G49=0,ROUND($E49*$F49,2),ROUND($E49*$F49*$G49,2))</f>
        <v>349.34</v>
      </c>
      <c r="J49" s="16"/>
      <c r="K49" s="16">
        <f t="shared" si="19"/>
        <v>16.61</v>
      </c>
      <c r="L49" s="16"/>
      <c r="M49" s="16">
        <f t="shared" si="20"/>
        <v>41.51</v>
      </c>
      <c r="N49" s="16">
        <f t="shared" si="20"/>
        <v>66.42</v>
      </c>
      <c r="O49" s="16"/>
      <c r="P49" s="16"/>
      <c r="Q49" s="16"/>
      <c r="R49" s="16"/>
      <c r="S49" s="16"/>
      <c r="T49" s="16">
        <f t="shared" si="21"/>
        <v>9.34</v>
      </c>
      <c r="U49" s="16">
        <f t="shared" si="22"/>
        <v>7.7</v>
      </c>
      <c r="V49" s="16"/>
      <c r="W49" s="16">
        <f t="shared" si="23"/>
        <v>6.76</v>
      </c>
      <c r="X49" s="16"/>
      <c r="Y49" s="16"/>
      <c r="Z49" s="16">
        <f t="shared" si="24"/>
        <v>1.62</v>
      </c>
      <c r="AA49" s="16">
        <f t="shared" si="24"/>
        <v>1.89</v>
      </c>
      <c r="AB49" s="16"/>
      <c r="AC49" s="16"/>
      <c r="AD49" s="16"/>
      <c r="AE49" s="16"/>
      <c r="AF49" s="107"/>
      <c r="AG49" s="108"/>
    </row>
    <row r="50" spans="1:33" s="5" customFormat="1" ht="21.75" customHeight="1">
      <c r="A50" s="12">
        <f t="shared" si="0"/>
        <v>38</v>
      </c>
      <c r="B50" s="13">
        <f t="shared" si="25"/>
        <v>91055.05</v>
      </c>
      <c r="C50" s="14">
        <v>91475</v>
      </c>
      <c r="D50" s="15" t="s">
        <v>28</v>
      </c>
      <c r="E50" s="16">
        <f>C50-B50</f>
        <v>419.9499999999971</v>
      </c>
      <c r="F50" s="17">
        <v>8</v>
      </c>
      <c r="G50" s="18">
        <f>ROUND((2237.045-($F50/2))/2237.045,4)</f>
        <v>0.9982</v>
      </c>
      <c r="H50" s="18">
        <f>ROUND((2237.045-($F50))/2237.045,4)</f>
        <v>0.9964</v>
      </c>
      <c r="I50" s="16">
        <f>IF(G50=0,ROUND($E50*$F50,2),ROUND($E50*$F50*$G50,2))</f>
        <v>3353.55</v>
      </c>
      <c r="J50" s="16"/>
      <c r="K50" s="16">
        <f t="shared" si="19"/>
        <v>139.48</v>
      </c>
      <c r="L50" s="16"/>
      <c r="M50" s="16">
        <f t="shared" si="20"/>
        <v>348.7</v>
      </c>
      <c r="N50" s="16">
        <f t="shared" si="20"/>
        <v>557.92</v>
      </c>
      <c r="O50" s="16"/>
      <c r="P50" s="16"/>
      <c r="Q50" s="16"/>
      <c r="R50" s="16"/>
      <c r="S50" s="16"/>
      <c r="T50" s="16">
        <f t="shared" si="21"/>
        <v>88.83</v>
      </c>
      <c r="U50" s="16">
        <f t="shared" si="22"/>
        <v>72.43</v>
      </c>
      <c r="V50" s="16"/>
      <c r="W50" s="16">
        <f t="shared" si="23"/>
        <v>64.47</v>
      </c>
      <c r="X50" s="16"/>
      <c r="Y50" s="16"/>
      <c r="Z50" s="16">
        <f t="shared" si="24"/>
        <v>15.53</v>
      </c>
      <c r="AA50" s="16">
        <f t="shared" si="24"/>
        <v>18.11</v>
      </c>
      <c r="AB50" s="16"/>
      <c r="AC50" s="16"/>
      <c r="AD50" s="16"/>
      <c r="AE50" s="16"/>
      <c r="AF50" s="103" t="s">
        <v>93</v>
      </c>
      <c r="AG50" s="104"/>
    </row>
    <row r="51" spans="1:33" s="5" customFormat="1" ht="21.75" customHeight="1">
      <c r="A51" s="12">
        <f t="shared" si="0"/>
        <v>39</v>
      </c>
      <c r="B51" s="13">
        <f t="shared" si="25"/>
        <v>91475</v>
      </c>
      <c r="C51" s="14">
        <v>91489.43</v>
      </c>
      <c r="D51" s="15" t="s">
        <v>28</v>
      </c>
      <c r="E51" s="16">
        <f>C51-B51</f>
        <v>14.429999999993015</v>
      </c>
      <c r="F51" s="17">
        <f>ROUND(AVERAGE(8,7.429),2)</f>
        <v>7.71</v>
      </c>
      <c r="G51" s="18">
        <f>ROUND((2237.045-($F51/2))/2237.045,4)</f>
        <v>0.9983</v>
      </c>
      <c r="H51" s="18">
        <f>ROUND((2237.045-($F51))/2237.045,4)</f>
        <v>0.9966</v>
      </c>
      <c r="I51" s="16">
        <f>IF(G51=0,ROUND($E51*$F51,2),ROUND($E51*$F51*$G51,2))</f>
        <v>111.07</v>
      </c>
      <c r="J51" s="16"/>
      <c r="K51" s="16">
        <f t="shared" si="19"/>
        <v>4.79</v>
      </c>
      <c r="L51" s="16"/>
      <c r="M51" s="16">
        <f t="shared" si="20"/>
        <v>11.98</v>
      </c>
      <c r="N51" s="16">
        <f t="shared" si="20"/>
        <v>19.17</v>
      </c>
      <c r="O51" s="16"/>
      <c r="P51" s="16"/>
      <c r="Q51" s="16"/>
      <c r="R51" s="16"/>
      <c r="S51" s="16"/>
      <c r="T51" s="16">
        <f t="shared" si="21"/>
        <v>2.95</v>
      </c>
      <c r="U51" s="16">
        <f t="shared" si="22"/>
        <v>2.41</v>
      </c>
      <c r="V51" s="16"/>
      <c r="W51" s="16">
        <f t="shared" si="23"/>
        <v>2.14</v>
      </c>
      <c r="X51" s="16"/>
      <c r="Y51" s="16"/>
      <c r="Z51" s="16">
        <f t="shared" si="24"/>
        <v>0.51</v>
      </c>
      <c r="AA51" s="16">
        <f t="shared" si="24"/>
        <v>0.6</v>
      </c>
      <c r="AB51" s="16"/>
      <c r="AC51" s="16"/>
      <c r="AD51" s="16"/>
      <c r="AE51" s="16"/>
      <c r="AF51" s="105"/>
      <c r="AG51" s="106"/>
    </row>
    <row r="52" spans="1:33" s="5" customFormat="1" ht="21.75" customHeight="1">
      <c r="A52" s="12">
        <f t="shared" si="0"/>
        <v>40</v>
      </c>
      <c r="B52" s="13"/>
      <c r="C52" s="14"/>
      <c r="D52" s="15"/>
      <c r="E52" s="16"/>
      <c r="F52" s="17"/>
      <c r="G52" s="1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05"/>
      <c r="AG52" s="106"/>
    </row>
    <row r="53" spans="1:33" s="5" customFormat="1" ht="21.75" customHeight="1">
      <c r="A53" s="12">
        <f t="shared" si="0"/>
        <v>41</v>
      </c>
      <c r="B53" s="13"/>
      <c r="C53" s="14"/>
      <c r="D53" s="15"/>
      <c r="E53" s="16"/>
      <c r="F53" s="17"/>
      <c r="G53" s="1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05"/>
      <c r="AG53" s="106"/>
    </row>
    <row r="54" spans="1:33" s="5" customFormat="1" ht="21.75" customHeight="1">
      <c r="A54" s="12">
        <f t="shared" si="0"/>
        <v>42</v>
      </c>
      <c r="B54" s="13"/>
      <c r="C54" s="14"/>
      <c r="D54" s="15"/>
      <c r="E54" s="16"/>
      <c r="F54" s="17"/>
      <c r="G54" s="1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05"/>
      <c r="AG54" s="106"/>
    </row>
    <row r="55" spans="1:33" s="5" customFormat="1" ht="21.75" customHeight="1">
      <c r="A55" s="12">
        <f t="shared" si="0"/>
        <v>43</v>
      </c>
      <c r="B55" s="13"/>
      <c r="C55" s="14"/>
      <c r="D55" s="15"/>
      <c r="E55" s="16"/>
      <c r="F55" s="17"/>
      <c r="G55" s="18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05"/>
      <c r="AG55" s="106"/>
    </row>
    <row r="56" spans="1:33" s="5" customFormat="1" ht="21.75" customHeight="1">
      <c r="A56" s="12">
        <f t="shared" si="0"/>
        <v>44</v>
      </c>
      <c r="B56" s="13"/>
      <c r="C56" s="14"/>
      <c r="D56" s="15"/>
      <c r="E56" s="16"/>
      <c r="F56" s="17"/>
      <c r="G56" s="1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05"/>
      <c r="AG56" s="106"/>
    </row>
    <row r="57" spans="1:33" s="5" customFormat="1" ht="21.75" customHeight="1">
      <c r="A57" s="12">
        <f t="shared" si="0"/>
        <v>45</v>
      </c>
      <c r="B57" s="13"/>
      <c r="C57" s="14"/>
      <c r="D57" s="15"/>
      <c r="E57" s="16"/>
      <c r="F57" s="17"/>
      <c r="G57" s="18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05"/>
      <c r="AG57" s="106"/>
    </row>
    <row r="58" spans="1:33" s="5" customFormat="1" ht="21.75" customHeight="1">
      <c r="A58" s="12">
        <f t="shared" si="0"/>
        <v>46</v>
      </c>
      <c r="B58" s="13"/>
      <c r="C58" s="14"/>
      <c r="D58" s="15"/>
      <c r="E58" s="16"/>
      <c r="F58" s="17"/>
      <c r="G58" s="18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05"/>
      <c r="AG58" s="106"/>
    </row>
    <row r="59" spans="1:33" s="5" customFormat="1" ht="21.75" customHeight="1">
      <c r="A59" s="12">
        <f t="shared" si="0"/>
        <v>47</v>
      </c>
      <c r="B59" s="13"/>
      <c r="C59" s="14"/>
      <c r="D59" s="15"/>
      <c r="E59" s="16"/>
      <c r="F59" s="17"/>
      <c r="G59" s="18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05"/>
      <c r="AG59" s="106"/>
    </row>
    <row r="60" spans="1:33" s="24" customFormat="1" ht="21.75" customHeight="1">
      <c r="A60" s="12">
        <f t="shared" si="0"/>
        <v>48</v>
      </c>
      <c r="B60" s="13"/>
      <c r="C60" s="14"/>
      <c r="D60" s="15"/>
      <c r="E60" s="16"/>
      <c r="F60" s="17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05"/>
      <c r="AG60" s="106"/>
    </row>
    <row r="61" spans="1:33" s="24" customFormat="1" ht="21.75" customHeight="1">
      <c r="A61" s="12">
        <f t="shared" si="0"/>
        <v>49</v>
      </c>
      <c r="B61" s="13"/>
      <c r="C61" s="14"/>
      <c r="D61" s="15"/>
      <c r="E61" s="16"/>
      <c r="F61" s="17"/>
      <c r="G61" s="18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05"/>
      <c r="AG61" s="106"/>
    </row>
    <row r="62" spans="1:33" s="24" customFormat="1" ht="21.75" customHeight="1">
      <c r="A62" s="12">
        <f t="shared" si="0"/>
        <v>50</v>
      </c>
      <c r="B62" s="13"/>
      <c r="C62" s="14"/>
      <c r="D62" s="15"/>
      <c r="E62" s="16"/>
      <c r="F62" s="17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05"/>
      <c r="AG62" s="106"/>
    </row>
    <row r="63" spans="1:33" s="24" customFormat="1" ht="21.75" customHeight="1">
      <c r="A63" s="12">
        <f t="shared" si="0"/>
        <v>51</v>
      </c>
      <c r="B63" s="13"/>
      <c r="C63" s="14"/>
      <c r="D63" s="15"/>
      <c r="E63" s="16"/>
      <c r="F63" s="17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05"/>
      <c r="AG63" s="106"/>
    </row>
    <row r="64" spans="1:33" s="24" customFormat="1" ht="21.75" customHeight="1">
      <c r="A64" s="12">
        <f t="shared" si="0"/>
        <v>52</v>
      </c>
      <c r="B64" s="13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12"/>
      <c r="AG64" s="106"/>
    </row>
    <row r="65" spans="1:33" s="24" customFormat="1" ht="21.75" customHeight="1">
      <c r="A65" s="12">
        <f t="shared" si="0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12"/>
      <c r="AG65" s="106"/>
    </row>
    <row r="66" spans="1:33" s="24" customFormat="1" ht="21.75" customHeight="1" thickBot="1">
      <c r="A66" s="12">
        <f t="shared" si="0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13"/>
      <c r="AG66" s="108"/>
    </row>
    <row r="67" spans="2:33" s="25" customFormat="1" ht="46.5" customHeight="1">
      <c r="B67" s="93" t="s">
        <v>8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5"/>
      <c r="S67" s="110" t="str">
        <f aca="true" t="shared" si="26" ref="S67:AE67">IF(SUM(S13:S66)=0," ",ROUNDUP(SUM(S13:S66),0))</f>
        <v> </v>
      </c>
      <c r="T67" s="110">
        <f t="shared" si="26"/>
        <v>1936</v>
      </c>
      <c r="U67" s="110">
        <f t="shared" si="26"/>
        <v>1516</v>
      </c>
      <c r="V67" s="110" t="str">
        <f t="shared" si="26"/>
        <v> </v>
      </c>
      <c r="W67" s="110">
        <f t="shared" si="26"/>
        <v>1421</v>
      </c>
      <c r="X67" s="110" t="str">
        <f t="shared" si="26"/>
        <v> </v>
      </c>
      <c r="Y67" s="110" t="str">
        <f t="shared" si="26"/>
        <v> </v>
      </c>
      <c r="Z67" s="110">
        <f t="shared" si="26"/>
        <v>351</v>
      </c>
      <c r="AA67" s="110">
        <f t="shared" si="26"/>
        <v>409</v>
      </c>
      <c r="AB67" s="110">
        <f t="shared" si="26"/>
        <v>469</v>
      </c>
      <c r="AC67" s="110" t="str">
        <f t="shared" si="26"/>
        <v> </v>
      </c>
      <c r="AD67" s="110" t="str">
        <f t="shared" si="26"/>
        <v> </v>
      </c>
      <c r="AE67" s="110" t="str">
        <f t="shared" si="26"/>
        <v> </v>
      </c>
      <c r="AF67" s="120">
        <v>13</v>
      </c>
      <c r="AG67" s="121"/>
    </row>
    <row r="68" spans="2:33" s="25" customFormat="1" ht="46.5" customHeight="1" thickBot="1"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8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4">
        <v>15</v>
      </c>
      <c r="AG68" s="115"/>
    </row>
    <row r="69" spans="1:34" ht="36" customHeight="1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U69" s="27"/>
      <c r="V69" s="27"/>
      <c r="W69" s="1"/>
      <c r="X69" s="27"/>
      <c r="Y69" s="27"/>
      <c r="Z69" s="27"/>
      <c r="AA69" s="27"/>
      <c r="AB69" s="27"/>
      <c r="AF69" s="27"/>
      <c r="AG69" s="27"/>
      <c r="AH69" s="28"/>
    </row>
    <row r="70" spans="2:33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U70" s="27"/>
      <c r="V70" s="27"/>
      <c r="W70" s="1"/>
      <c r="X70" s="27"/>
      <c r="Y70" s="27"/>
      <c r="Z70" s="27"/>
      <c r="AA70" s="27"/>
      <c r="AB70" s="27"/>
      <c r="AF70" s="27"/>
      <c r="AG70" s="27"/>
    </row>
    <row r="71" spans="2:33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U71" s="27"/>
      <c r="V71" s="27"/>
      <c r="W71" s="1"/>
      <c r="X71" s="27"/>
      <c r="Y71" s="27"/>
      <c r="Z71" s="27"/>
      <c r="AA71" s="27"/>
      <c r="AB71" s="27"/>
      <c r="AF71" s="27"/>
      <c r="AG71" s="27"/>
    </row>
    <row r="72" spans="2:33" ht="15.75">
      <c r="B72" s="60" t="s">
        <v>34</v>
      </c>
      <c r="C72" s="61"/>
      <c r="D72" s="61"/>
      <c r="E72" s="61"/>
      <c r="F72" s="61"/>
      <c r="G72" s="62"/>
      <c r="H72" s="44"/>
      <c r="I72" s="42"/>
      <c r="J72" s="42"/>
      <c r="K72" s="42">
        <v>4</v>
      </c>
      <c r="L72" s="42">
        <v>6</v>
      </c>
      <c r="M72" s="42">
        <v>10</v>
      </c>
      <c r="N72" s="42">
        <v>16</v>
      </c>
      <c r="O72" s="42">
        <v>18</v>
      </c>
      <c r="P72" s="42">
        <v>20</v>
      </c>
      <c r="Q72" s="42">
        <v>22</v>
      </c>
      <c r="R72" s="42">
        <v>22.875</v>
      </c>
      <c r="S72" s="42"/>
      <c r="T72" s="42">
        <v>8</v>
      </c>
      <c r="U72" s="43">
        <v>6</v>
      </c>
      <c r="V72" s="44"/>
      <c r="W72" s="44">
        <v>0.055</v>
      </c>
      <c r="X72" s="44"/>
      <c r="Y72" s="43"/>
      <c r="Z72" s="43">
        <v>1.5</v>
      </c>
      <c r="AA72" s="43">
        <v>1.75</v>
      </c>
      <c r="AB72" s="43"/>
      <c r="AC72" s="43"/>
      <c r="AD72" s="43"/>
      <c r="AF72" s="27"/>
      <c r="AG72" s="27"/>
    </row>
    <row r="73" spans="2:33" ht="1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3"/>
      <c r="S73" s="23"/>
      <c r="T73" s="23">
        <f>T72/2</f>
        <v>4</v>
      </c>
      <c r="V73" s="42"/>
      <c r="W73" s="1"/>
      <c r="X73" s="45"/>
      <c r="Y73" s="27"/>
      <c r="Z73" s="27"/>
      <c r="AA73" s="27"/>
      <c r="AB73" s="27"/>
      <c r="AF73" s="27"/>
      <c r="AG73" s="27"/>
    </row>
    <row r="74" spans="2:33" ht="15">
      <c r="B74" s="27"/>
      <c r="C74" s="29"/>
      <c r="D74" s="27"/>
      <c r="E74" s="27"/>
      <c r="F74" s="27"/>
      <c r="G74" s="27"/>
      <c r="H74" s="30"/>
      <c r="I74" s="27"/>
      <c r="J74" s="27"/>
      <c r="K74" s="92"/>
      <c r="L74" s="124"/>
      <c r="M74" s="124"/>
      <c r="N74" s="124"/>
      <c r="O74" s="124"/>
      <c r="P74" s="124"/>
      <c r="Q74" s="124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27"/>
      <c r="AG74" s="27"/>
    </row>
  </sheetData>
  <sheetProtection/>
  <mergeCells count="54">
    <mergeCell ref="K74:Q74"/>
    <mergeCell ref="Y67:Y68"/>
    <mergeCell ref="Z67:Z68"/>
    <mergeCell ref="AA67:AA68"/>
    <mergeCell ref="S67:S68"/>
    <mergeCell ref="B67:R68"/>
    <mergeCell ref="W4:W11"/>
    <mergeCell ref="AB67:AB68"/>
    <mergeCell ref="AC67:AC68"/>
    <mergeCell ref="AF50:AG66"/>
    <mergeCell ref="U67:U68"/>
    <mergeCell ref="V67:V68"/>
    <mergeCell ref="AD67:AD68"/>
    <mergeCell ref="AE67:AE68"/>
    <mergeCell ref="AF67:AG67"/>
    <mergeCell ref="AF68:AG68"/>
    <mergeCell ref="Y4:Y11"/>
    <mergeCell ref="Z4:Z11"/>
    <mergeCell ref="AA4:AA11"/>
    <mergeCell ref="AG3:AG5"/>
    <mergeCell ref="T67:T68"/>
    <mergeCell ref="W67:W68"/>
    <mergeCell ref="X67:X68"/>
    <mergeCell ref="AB4:AB11"/>
    <mergeCell ref="AC4:AC11"/>
    <mergeCell ref="AD4:AD11"/>
    <mergeCell ref="AF3:AF5"/>
    <mergeCell ref="AF6:AG49"/>
    <mergeCell ref="O3:O11"/>
    <mergeCell ref="P3:P11"/>
    <mergeCell ref="Q3:Q11"/>
    <mergeCell ref="I3:I11"/>
    <mergeCell ref="AE4:AE11"/>
    <mergeCell ref="X4:X11"/>
    <mergeCell ref="V4:V11"/>
    <mergeCell ref="K3:K11"/>
    <mergeCell ref="R3:R11"/>
    <mergeCell ref="S4:S11"/>
    <mergeCell ref="T4:T11"/>
    <mergeCell ref="U4:U11"/>
    <mergeCell ref="J3:J11"/>
    <mergeCell ref="M3:M11"/>
    <mergeCell ref="N3:N11"/>
    <mergeCell ref="L3:L11"/>
    <mergeCell ref="B14:I14"/>
    <mergeCell ref="F36:I36"/>
    <mergeCell ref="F30:I30"/>
    <mergeCell ref="F19:I19"/>
    <mergeCell ref="B3:C11"/>
    <mergeCell ref="D3:D11"/>
    <mergeCell ref="E3:E11"/>
    <mergeCell ref="F3:F11"/>
    <mergeCell ref="G3:G11"/>
    <mergeCell ref="H3:H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AG69" sqref="AG69"/>
    </sheetView>
  </sheetViews>
  <sheetFormatPr defaultColWidth="9.140625" defaultRowHeight="12.75"/>
  <cols>
    <col min="1" max="3" width="24.7109375" style="1" customWidth="1"/>
    <col min="4" max="21" width="15.7109375" style="1" customWidth="1"/>
    <col min="22" max="22" width="15.7109375" style="46" customWidth="1"/>
    <col min="23" max="31" width="15.7109375" style="1" customWidth="1"/>
    <col min="32" max="34" width="6.7109375" style="1" customWidth="1"/>
    <col min="35" max="16384" width="9.140625" style="1" customWidth="1"/>
  </cols>
  <sheetData>
    <row r="1" spans="18:27" ht="12.75">
      <c r="R1" s="48"/>
      <c r="S1" s="48"/>
      <c r="T1" s="48"/>
      <c r="U1" s="48"/>
      <c r="V1" s="49"/>
      <c r="W1" s="48"/>
      <c r="X1" s="48"/>
      <c r="Z1" s="48"/>
      <c r="AA1" s="48"/>
    </row>
    <row r="2" spans="1:34" s="4" customFormat="1" ht="36" customHeight="1" thickBot="1">
      <c r="A2" s="2"/>
      <c r="B2" s="31" t="s">
        <v>14</v>
      </c>
      <c r="C2" s="32"/>
      <c r="D2" s="33"/>
      <c r="E2" s="33"/>
      <c r="F2" s="33"/>
      <c r="G2" s="33"/>
      <c r="H2" s="34"/>
      <c r="I2" s="33"/>
      <c r="J2" s="33"/>
      <c r="K2" s="33"/>
      <c r="L2" s="33"/>
      <c r="M2" s="33"/>
      <c r="N2" s="33"/>
      <c r="O2" s="33"/>
      <c r="P2" s="34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47"/>
      <c r="AH2" s="3"/>
    </row>
    <row r="3" spans="2:34" s="5" customFormat="1" ht="21.75" customHeight="1">
      <c r="B3" s="93" t="s">
        <v>0</v>
      </c>
      <c r="C3" s="95"/>
      <c r="D3" s="89" t="s">
        <v>3</v>
      </c>
      <c r="E3" s="89" t="s">
        <v>4</v>
      </c>
      <c r="F3" s="89" t="s">
        <v>5</v>
      </c>
      <c r="G3" s="86" t="s">
        <v>12</v>
      </c>
      <c r="H3" s="86" t="s">
        <v>94</v>
      </c>
      <c r="I3" s="89" t="s">
        <v>6</v>
      </c>
      <c r="J3" s="86" t="s">
        <v>10</v>
      </c>
      <c r="K3" s="86"/>
      <c r="L3" s="86"/>
      <c r="M3" s="86"/>
      <c r="N3" s="86"/>
      <c r="O3" s="86"/>
      <c r="P3" s="86"/>
      <c r="Q3" s="35"/>
      <c r="R3" s="36"/>
      <c r="S3" s="36">
        <v>618</v>
      </c>
      <c r="T3" s="35"/>
      <c r="U3" s="36"/>
      <c r="V3" s="36"/>
      <c r="W3" s="35"/>
      <c r="X3" s="36"/>
      <c r="Y3" s="35"/>
      <c r="Z3" s="36"/>
      <c r="AA3" s="35"/>
      <c r="AB3" s="36"/>
      <c r="AC3" s="35"/>
      <c r="AD3" s="36"/>
      <c r="AE3" s="36"/>
      <c r="AF3" s="116" t="s">
        <v>11</v>
      </c>
      <c r="AG3" s="116" t="s">
        <v>13</v>
      </c>
      <c r="AH3" s="6"/>
    </row>
    <row r="4" spans="2:34" s="5" customFormat="1" ht="27.75" customHeight="1">
      <c r="B4" s="99"/>
      <c r="C4" s="100"/>
      <c r="D4" s="90"/>
      <c r="E4" s="90"/>
      <c r="F4" s="90"/>
      <c r="G4" s="87"/>
      <c r="H4" s="87"/>
      <c r="I4" s="90"/>
      <c r="J4" s="87"/>
      <c r="K4" s="87"/>
      <c r="L4" s="87"/>
      <c r="M4" s="87"/>
      <c r="N4" s="87"/>
      <c r="O4" s="87"/>
      <c r="P4" s="87"/>
      <c r="Q4" s="83"/>
      <c r="R4" s="109"/>
      <c r="S4" s="109" t="s">
        <v>89</v>
      </c>
      <c r="T4" s="83"/>
      <c r="U4" s="109"/>
      <c r="V4" s="109"/>
      <c r="W4" s="83"/>
      <c r="X4" s="109"/>
      <c r="Y4" s="83"/>
      <c r="Z4" s="109"/>
      <c r="AA4" s="83"/>
      <c r="AB4" s="109"/>
      <c r="AC4" s="83"/>
      <c r="AD4" s="109"/>
      <c r="AE4" s="109"/>
      <c r="AF4" s="117"/>
      <c r="AG4" s="119"/>
      <c r="AH4" s="7"/>
    </row>
    <row r="5" spans="2:33" s="5" customFormat="1" ht="27.75" customHeight="1" thickBot="1">
      <c r="B5" s="99"/>
      <c r="C5" s="100"/>
      <c r="D5" s="90"/>
      <c r="E5" s="90"/>
      <c r="F5" s="90"/>
      <c r="G5" s="87"/>
      <c r="H5" s="87"/>
      <c r="I5" s="90"/>
      <c r="J5" s="87"/>
      <c r="K5" s="87"/>
      <c r="L5" s="87"/>
      <c r="M5" s="87"/>
      <c r="N5" s="87"/>
      <c r="O5" s="87"/>
      <c r="P5" s="87"/>
      <c r="Q5" s="84"/>
      <c r="R5" s="87"/>
      <c r="S5" s="87"/>
      <c r="T5" s="84"/>
      <c r="U5" s="87"/>
      <c r="V5" s="87"/>
      <c r="W5" s="84"/>
      <c r="X5" s="87"/>
      <c r="Y5" s="84"/>
      <c r="Z5" s="87"/>
      <c r="AA5" s="84"/>
      <c r="AB5" s="87"/>
      <c r="AC5" s="84"/>
      <c r="AD5" s="87"/>
      <c r="AE5" s="87"/>
      <c r="AF5" s="118"/>
      <c r="AG5" s="119"/>
    </row>
    <row r="6" spans="2:33" s="5" customFormat="1" ht="27.75" customHeight="1">
      <c r="B6" s="99"/>
      <c r="C6" s="100"/>
      <c r="D6" s="90"/>
      <c r="E6" s="90"/>
      <c r="F6" s="90"/>
      <c r="G6" s="87"/>
      <c r="H6" s="87"/>
      <c r="I6" s="90"/>
      <c r="J6" s="87"/>
      <c r="K6" s="87"/>
      <c r="L6" s="87"/>
      <c r="M6" s="87"/>
      <c r="N6" s="87"/>
      <c r="O6" s="87"/>
      <c r="P6" s="87"/>
      <c r="Q6" s="84"/>
      <c r="R6" s="87"/>
      <c r="S6" s="87"/>
      <c r="T6" s="84"/>
      <c r="U6" s="87"/>
      <c r="V6" s="87"/>
      <c r="W6" s="84"/>
      <c r="X6" s="87"/>
      <c r="Y6" s="84"/>
      <c r="Z6" s="87"/>
      <c r="AA6" s="84"/>
      <c r="AB6" s="87"/>
      <c r="AC6" s="84"/>
      <c r="AD6" s="87"/>
      <c r="AE6" s="87"/>
      <c r="AF6" s="103" t="s">
        <v>81</v>
      </c>
      <c r="AG6" s="104"/>
    </row>
    <row r="7" spans="2:33" s="5" customFormat="1" ht="27.75" customHeight="1">
      <c r="B7" s="99"/>
      <c r="C7" s="100"/>
      <c r="D7" s="90"/>
      <c r="E7" s="90"/>
      <c r="F7" s="90"/>
      <c r="G7" s="87"/>
      <c r="H7" s="87"/>
      <c r="I7" s="90"/>
      <c r="J7" s="87"/>
      <c r="K7" s="87"/>
      <c r="L7" s="87"/>
      <c r="M7" s="87"/>
      <c r="N7" s="87"/>
      <c r="O7" s="87"/>
      <c r="P7" s="87"/>
      <c r="Q7" s="84"/>
      <c r="R7" s="87"/>
      <c r="S7" s="87"/>
      <c r="T7" s="84"/>
      <c r="U7" s="87"/>
      <c r="V7" s="87"/>
      <c r="W7" s="84"/>
      <c r="X7" s="87"/>
      <c r="Y7" s="84"/>
      <c r="Z7" s="87"/>
      <c r="AA7" s="84"/>
      <c r="AB7" s="87"/>
      <c r="AC7" s="84"/>
      <c r="AD7" s="87"/>
      <c r="AE7" s="87"/>
      <c r="AF7" s="105"/>
      <c r="AG7" s="106"/>
    </row>
    <row r="8" spans="2:33" s="5" customFormat="1" ht="27.75" customHeight="1">
      <c r="B8" s="99"/>
      <c r="C8" s="100"/>
      <c r="D8" s="90"/>
      <c r="E8" s="90"/>
      <c r="F8" s="90"/>
      <c r="G8" s="87"/>
      <c r="H8" s="87"/>
      <c r="I8" s="90"/>
      <c r="J8" s="87"/>
      <c r="K8" s="87"/>
      <c r="L8" s="87"/>
      <c r="M8" s="87"/>
      <c r="N8" s="87"/>
      <c r="O8" s="87"/>
      <c r="P8" s="87"/>
      <c r="Q8" s="84"/>
      <c r="R8" s="87"/>
      <c r="S8" s="87"/>
      <c r="T8" s="84"/>
      <c r="U8" s="87"/>
      <c r="V8" s="87"/>
      <c r="W8" s="84"/>
      <c r="X8" s="87"/>
      <c r="Y8" s="84"/>
      <c r="Z8" s="87"/>
      <c r="AA8" s="84"/>
      <c r="AB8" s="87"/>
      <c r="AC8" s="84"/>
      <c r="AD8" s="87"/>
      <c r="AE8" s="87"/>
      <c r="AF8" s="105"/>
      <c r="AG8" s="106"/>
    </row>
    <row r="9" spans="2:33" s="5" customFormat="1" ht="27.75" customHeight="1">
      <c r="B9" s="99"/>
      <c r="C9" s="100"/>
      <c r="D9" s="90"/>
      <c r="E9" s="90"/>
      <c r="F9" s="90"/>
      <c r="G9" s="87"/>
      <c r="H9" s="87"/>
      <c r="I9" s="90"/>
      <c r="J9" s="87"/>
      <c r="K9" s="87"/>
      <c r="L9" s="87"/>
      <c r="M9" s="87"/>
      <c r="N9" s="87"/>
      <c r="O9" s="87"/>
      <c r="P9" s="87"/>
      <c r="Q9" s="84"/>
      <c r="R9" s="87"/>
      <c r="S9" s="87"/>
      <c r="T9" s="84"/>
      <c r="U9" s="87"/>
      <c r="V9" s="87"/>
      <c r="W9" s="84"/>
      <c r="X9" s="87"/>
      <c r="Y9" s="84"/>
      <c r="Z9" s="87"/>
      <c r="AA9" s="84"/>
      <c r="AB9" s="87"/>
      <c r="AC9" s="84"/>
      <c r="AD9" s="87"/>
      <c r="AE9" s="87"/>
      <c r="AF9" s="105"/>
      <c r="AG9" s="106"/>
    </row>
    <row r="10" spans="2:33" s="5" customFormat="1" ht="27.75" customHeight="1">
      <c r="B10" s="99"/>
      <c r="C10" s="100"/>
      <c r="D10" s="90"/>
      <c r="E10" s="90"/>
      <c r="F10" s="90"/>
      <c r="G10" s="87"/>
      <c r="H10" s="87"/>
      <c r="I10" s="90"/>
      <c r="J10" s="87"/>
      <c r="K10" s="87"/>
      <c r="L10" s="87"/>
      <c r="M10" s="87"/>
      <c r="N10" s="87"/>
      <c r="O10" s="87"/>
      <c r="P10" s="87"/>
      <c r="Q10" s="84"/>
      <c r="R10" s="87"/>
      <c r="S10" s="87"/>
      <c r="T10" s="84"/>
      <c r="U10" s="87"/>
      <c r="V10" s="87"/>
      <c r="W10" s="84"/>
      <c r="X10" s="87"/>
      <c r="Y10" s="84"/>
      <c r="Z10" s="87"/>
      <c r="AA10" s="84"/>
      <c r="AB10" s="87"/>
      <c r="AC10" s="84"/>
      <c r="AD10" s="87"/>
      <c r="AE10" s="87"/>
      <c r="AF10" s="105"/>
      <c r="AG10" s="106"/>
    </row>
    <row r="11" spans="2:33" s="8" customFormat="1" ht="27.75" customHeight="1">
      <c r="B11" s="101"/>
      <c r="C11" s="102"/>
      <c r="D11" s="91"/>
      <c r="E11" s="91"/>
      <c r="F11" s="91"/>
      <c r="G11" s="88"/>
      <c r="H11" s="88"/>
      <c r="I11" s="91"/>
      <c r="J11" s="88"/>
      <c r="K11" s="88"/>
      <c r="L11" s="88"/>
      <c r="M11" s="88"/>
      <c r="N11" s="88"/>
      <c r="O11" s="88"/>
      <c r="P11" s="88"/>
      <c r="Q11" s="85"/>
      <c r="R11" s="88"/>
      <c r="S11" s="88"/>
      <c r="T11" s="85"/>
      <c r="U11" s="88"/>
      <c r="V11" s="88"/>
      <c r="W11" s="85"/>
      <c r="X11" s="88"/>
      <c r="Y11" s="85"/>
      <c r="Z11" s="88"/>
      <c r="AA11" s="85"/>
      <c r="AB11" s="88"/>
      <c r="AC11" s="85"/>
      <c r="AD11" s="88"/>
      <c r="AE11" s="88"/>
      <c r="AF11" s="105"/>
      <c r="AG11" s="106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11"/>
      <c r="I12" s="11" t="s">
        <v>9</v>
      </c>
      <c r="J12" s="11" t="s">
        <v>9</v>
      </c>
      <c r="K12" s="11"/>
      <c r="L12" s="11"/>
      <c r="M12" s="11"/>
      <c r="N12" s="11"/>
      <c r="O12" s="11"/>
      <c r="P12" s="11"/>
      <c r="Q12" s="37"/>
      <c r="R12" s="11"/>
      <c r="S12" s="11" t="s">
        <v>85</v>
      </c>
      <c r="T12" s="37"/>
      <c r="U12" s="11"/>
      <c r="V12" s="11"/>
      <c r="W12" s="37"/>
      <c r="X12" s="11"/>
      <c r="Y12" s="37"/>
      <c r="Z12" s="11"/>
      <c r="AA12" s="37"/>
      <c r="AB12" s="11"/>
      <c r="AC12" s="37"/>
      <c r="AD12" s="11"/>
      <c r="AE12" s="11"/>
      <c r="AF12" s="105"/>
      <c r="AG12" s="106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05"/>
      <c r="AG13" s="106"/>
    </row>
    <row r="14" spans="1:33" s="5" customFormat="1" ht="21.75" customHeight="1">
      <c r="A14" s="12">
        <f>A13+1</f>
        <v>2</v>
      </c>
      <c r="B14" s="77" t="s">
        <v>86</v>
      </c>
      <c r="C14" s="78"/>
      <c r="D14" s="78"/>
      <c r="E14" s="78"/>
      <c r="F14" s="78"/>
      <c r="G14" s="78"/>
      <c r="H14" s="78"/>
      <c r="I14" s="7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05"/>
      <c r="AG14" s="106"/>
    </row>
    <row r="15" spans="1:33" s="5" customFormat="1" ht="21.75" customHeight="1">
      <c r="A15" s="12">
        <f>A14+1</f>
        <v>3</v>
      </c>
      <c r="B15" s="19" t="s">
        <v>26</v>
      </c>
      <c r="C15" s="55"/>
      <c r="D15" s="15"/>
      <c r="E15" s="16"/>
      <c r="F15" s="22"/>
      <c r="G15" s="18"/>
      <c r="H15" s="16"/>
      <c r="I15" s="16"/>
      <c r="J15" s="16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05"/>
      <c r="AG15" s="106"/>
    </row>
    <row r="16" spans="1:33" s="5" customFormat="1" ht="21.75" customHeight="1">
      <c r="A16" s="12">
        <f>A15+1</f>
        <v>4</v>
      </c>
      <c r="B16" s="13">
        <v>37150</v>
      </c>
      <c r="C16" s="14">
        <v>38274.74</v>
      </c>
      <c r="D16" s="15" t="s">
        <v>30</v>
      </c>
      <c r="E16" s="16">
        <f aca="true" t="shared" si="0" ref="E16:E22">C16-B16</f>
        <v>1124.739999999998</v>
      </c>
      <c r="F16" s="17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59">
        <f aca="true" t="shared" si="1" ref="S16:S22">ROUND(($E16/S$72),3)</f>
        <v>0.213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05"/>
      <c r="AG16" s="106"/>
    </row>
    <row r="17" spans="1:33" s="5" customFormat="1" ht="21.75" customHeight="1">
      <c r="A17" s="12">
        <f aca="true" t="shared" si="2" ref="A17:A66">A16+1</f>
        <v>5</v>
      </c>
      <c r="B17" s="13">
        <v>38824.9</v>
      </c>
      <c r="C17" s="14">
        <v>42486.43</v>
      </c>
      <c r="D17" s="15" t="s">
        <v>30</v>
      </c>
      <c r="E17" s="16">
        <f t="shared" si="0"/>
        <v>3661.529999999999</v>
      </c>
      <c r="F17" s="17"/>
      <c r="G17" s="1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59">
        <f t="shared" si="1"/>
        <v>0.693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05"/>
      <c r="AG17" s="106"/>
    </row>
    <row r="18" spans="1:33" s="5" customFormat="1" ht="21.75" customHeight="1">
      <c r="A18" s="12">
        <f t="shared" si="2"/>
        <v>6</v>
      </c>
      <c r="B18" s="13">
        <v>42692</v>
      </c>
      <c r="C18" s="14">
        <v>42888.1</v>
      </c>
      <c r="D18" s="15" t="s">
        <v>30</v>
      </c>
      <c r="E18" s="16">
        <f t="shared" si="0"/>
        <v>196.09999999999854</v>
      </c>
      <c r="F18" s="16"/>
      <c r="G18" s="1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59">
        <f t="shared" si="1"/>
        <v>0.037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05"/>
      <c r="AG18" s="106"/>
    </row>
    <row r="19" spans="1:33" s="5" customFormat="1" ht="21.75" customHeight="1">
      <c r="A19" s="12">
        <f t="shared" si="2"/>
        <v>7</v>
      </c>
      <c r="B19" s="13">
        <v>43101.84</v>
      </c>
      <c r="C19" s="14">
        <v>46946.33</v>
      </c>
      <c r="D19" s="15" t="s">
        <v>30</v>
      </c>
      <c r="E19" s="16">
        <f t="shared" si="0"/>
        <v>3844.4900000000052</v>
      </c>
      <c r="F19" s="54"/>
      <c r="G19" s="18"/>
      <c r="H19" s="52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59">
        <f t="shared" si="1"/>
        <v>0.728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05"/>
      <c r="AG19" s="106"/>
    </row>
    <row r="20" spans="1:33" s="5" customFormat="1" ht="21.75" customHeight="1">
      <c r="A20" s="12">
        <f t="shared" si="2"/>
        <v>8</v>
      </c>
      <c r="B20" s="13">
        <v>37150</v>
      </c>
      <c r="C20" s="14">
        <v>42501.96</v>
      </c>
      <c r="D20" s="15" t="s">
        <v>29</v>
      </c>
      <c r="E20" s="16">
        <f t="shared" si="0"/>
        <v>5351.959999999999</v>
      </c>
      <c r="F20" s="17"/>
      <c r="G20" s="1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59">
        <f t="shared" si="1"/>
        <v>1.014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05"/>
      <c r="AG20" s="106"/>
    </row>
    <row r="21" spans="1:33" s="5" customFormat="1" ht="21.75" customHeight="1">
      <c r="A21" s="12">
        <f t="shared" si="2"/>
        <v>9</v>
      </c>
      <c r="B21" s="13">
        <v>42707.53</v>
      </c>
      <c r="C21" s="14">
        <v>42899.15</v>
      </c>
      <c r="D21" s="15" t="s">
        <v>29</v>
      </c>
      <c r="E21" s="16">
        <f t="shared" si="0"/>
        <v>191.62000000000262</v>
      </c>
      <c r="F21" s="17"/>
      <c r="G21" s="18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9">
        <f t="shared" si="1"/>
        <v>0.036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05"/>
      <c r="AG21" s="106"/>
    </row>
    <row r="22" spans="1:33" s="5" customFormat="1" ht="21.75" customHeight="1">
      <c r="A22" s="12">
        <f t="shared" si="2"/>
        <v>10</v>
      </c>
      <c r="B22" s="13">
        <v>43113.7</v>
      </c>
      <c r="C22" s="14">
        <v>46946.33</v>
      </c>
      <c r="D22" s="15" t="s">
        <v>29</v>
      </c>
      <c r="E22" s="16">
        <f t="shared" si="0"/>
        <v>3832.6300000000047</v>
      </c>
      <c r="F22" s="17"/>
      <c r="G22" s="1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59">
        <f t="shared" si="1"/>
        <v>0.726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05"/>
      <c r="AG22" s="106"/>
    </row>
    <row r="23" spans="1:33" s="5" customFormat="1" ht="21.75" customHeight="1">
      <c r="A23" s="12">
        <f t="shared" si="2"/>
        <v>11</v>
      </c>
      <c r="B23" s="13"/>
      <c r="C23" s="14"/>
      <c r="D23" s="15"/>
      <c r="E23" s="16"/>
      <c r="F23" s="17"/>
      <c r="G23" s="1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59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05"/>
      <c r="AG23" s="106"/>
    </row>
    <row r="24" spans="1:33" s="5" customFormat="1" ht="21.75" customHeight="1">
      <c r="A24" s="12">
        <f t="shared" si="2"/>
        <v>12</v>
      </c>
      <c r="B24" s="13"/>
      <c r="C24" s="14"/>
      <c r="D24" s="15"/>
      <c r="E24" s="16"/>
      <c r="F24" s="17"/>
      <c r="G24" s="1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59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05"/>
      <c r="AG24" s="106"/>
    </row>
    <row r="25" spans="1:33" s="5" customFormat="1" ht="21.75" customHeight="1">
      <c r="A25" s="12">
        <f t="shared" si="2"/>
        <v>13</v>
      </c>
      <c r="B25" s="19" t="s">
        <v>39</v>
      </c>
      <c r="C25" s="14"/>
      <c r="D25" s="15"/>
      <c r="E25" s="16"/>
      <c r="F25" s="17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59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05"/>
      <c r="AG25" s="106"/>
    </row>
    <row r="26" spans="1:33" s="5" customFormat="1" ht="21.75" customHeight="1">
      <c r="A26" s="12">
        <f t="shared" si="2"/>
        <v>14</v>
      </c>
      <c r="B26" s="13">
        <v>39137.36</v>
      </c>
      <c r="C26" s="14">
        <v>42523.89</v>
      </c>
      <c r="D26" s="15" t="s">
        <v>40</v>
      </c>
      <c r="E26" s="16">
        <f aca="true" t="shared" si="3" ref="E26:E31">C26-B26</f>
        <v>3386.529999999999</v>
      </c>
      <c r="F26" s="17"/>
      <c r="G26" s="1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59">
        <f aca="true" t="shared" si="4" ref="S26:S31">ROUND(($E26/S$72),3)</f>
        <v>0.641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05"/>
      <c r="AG26" s="106"/>
    </row>
    <row r="27" spans="1:33" s="5" customFormat="1" ht="21.75" customHeight="1">
      <c r="A27" s="12">
        <f t="shared" si="2"/>
        <v>15</v>
      </c>
      <c r="B27" s="13">
        <v>42729.45</v>
      </c>
      <c r="C27" s="14">
        <v>42914.88</v>
      </c>
      <c r="D27" s="15" t="s">
        <v>40</v>
      </c>
      <c r="E27" s="16">
        <f t="shared" si="3"/>
        <v>185.4300000000003</v>
      </c>
      <c r="F27" s="17"/>
      <c r="G27" s="18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59">
        <f t="shared" si="4"/>
        <v>0.035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05"/>
      <c r="AG27" s="106"/>
    </row>
    <row r="28" spans="1:33" s="5" customFormat="1" ht="21.75" customHeight="1">
      <c r="A28" s="12">
        <f t="shared" si="2"/>
        <v>16</v>
      </c>
      <c r="B28" s="13">
        <v>43130.58</v>
      </c>
      <c r="C28" s="14">
        <v>46946.33</v>
      </c>
      <c r="D28" s="15" t="s">
        <v>40</v>
      </c>
      <c r="E28" s="16">
        <f t="shared" si="3"/>
        <v>3815.75</v>
      </c>
      <c r="F28" s="17"/>
      <c r="G28" s="1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59">
        <f t="shared" si="4"/>
        <v>0.723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05"/>
      <c r="AG28" s="106"/>
    </row>
    <row r="29" spans="1:33" s="5" customFormat="1" ht="21.75" customHeight="1">
      <c r="A29" s="12">
        <f t="shared" si="2"/>
        <v>17</v>
      </c>
      <c r="B29" s="13">
        <v>39137.36</v>
      </c>
      <c r="C29" s="14">
        <v>42508.36</v>
      </c>
      <c r="D29" s="15" t="s">
        <v>41</v>
      </c>
      <c r="E29" s="16">
        <f t="shared" si="3"/>
        <v>3371</v>
      </c>
      <c r="F29" s="17"/>
      <c r="G29" s="18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9">
        <f t="shared" si="4"/>
        <v>0.638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05"/>
      <c r="AG29" s="106"/>
    </row>
    <row r="30" spans="1:33" s="5" customFormat="1" ht="21.75" customHeight="1">
      <c r="A30" s="12">
        <f t="shared" si="2"/>
        <v>18</v>
      </c>
      <c r="B30" s="13">
        <v>42713.92</v>
      </c>
      <c r="C30" s="14">
        <v>42903.72</v>
      </c>
      <c r="D30" s="15" t="s">
        <v>41</v>
      </c>
      <c r="E30" s="16">
        <f t="shared" si="3"/>
        <v>189.8000000000029</v>
      </c>
      <c r="F30" s="17"/>
      <c r="G30" s="1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59">
        <f t="shared" si="4"/>
        <v>0.036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05"/>
      <c r="AG30" s="106"/>
    </row>
    <row r="31" spans="1:33" s="5" customFormat="1" ht="21.75" customHeight="1">
      <c r="A31" s="12">
        <f t="shared" si="2"/>
        <v>19</v>
      </c>
      <c r="B31" s="13">
        <v>43118.6</v>
      </c>
      <c r="C31" s="14">
        <v>46946.33</v>
      </c>
      <c r="D31" s="15" t="s">
        <v>41</v>
      </c>
      <c r="E31" s="16">
        <f t="shared" si="3"/>
        <v>3827.730000000003</v>
      </c>
      <c r="F31" s="54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59">
        <f t="shared" si="4"/>
        <v>0.725</v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05"/>
      <c r="AG31" s="106"/>
    </row>
    <row r="32" spans="1:33" s="5" customFormat="1" ht="21.75" customHeight="1">
      <c r="A32" s="12">
        <f t="shared" si="2"/>
        <v>20</v>
      </c>
      <c r="B32" s="13"/>
      <c r="C32" s="14"/>
      <c r="D32" s="15"/>
      <c r="E32" s="16"/>
      <c r="F32" s="16"/>
      <c r="G32" s="18"/>
      <c r="H32" s="52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59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05"/>
      <c r="AG32" s="106"/>
    </row>
    <row r="33" spans="1:33" s="5" customFormat="1" ht="21.75" customHeight="1">
      <c r="A33" s="12">
        <f t="shared" si="2"/>
        <v>21</v>
      </c>
      <c r="B33" s="13"/>
      <c r="C33" s="14"/>
      <c r="D33" s="15"/>
      <c r="E33" s="16"/>
      <c r="F33" s="17"/>
      <c r="G33" s="1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59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05"/>
      <c r="AG33" s="106"/>
    </row>
    <row r="34" spans="1:33" s="5" customFormat="1" ht="21.75" customHeight="1">
      <c r="A34" s="12">
        <f t="shared" si="2"/>
        <v>22</v>
      </c>
      <c r="B34" s="19" t="s">
        <v>32</v>
      </c>
      <c r="C34" s="14"/>
      <c r="D34" s="15"/>
      <c r="E34" s="16"/>
      <c r="F34" s="16"/>
      <c r="G34" s="18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59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05"/>
      <c r="AG34" s="106"/>
    </row>
    <row r="35" spans="1:33" s="5" customFormat="1" ht="21.75" customHeight="1">
      <c r="A35" s="12">
        <f t="shared" si="2"/>
        <v>23</v>
      </c>
      <c r="B35" s="13">
        <v>46946.96</v>
      </c>
      <c r="C35" s="14">
        <v>48564.96</v>
      </c>
      <c r="D35" s="15" t="s">
        <v>33</v>
      </c>
      <c r="E35" s="16">
        <f>C35-B35</f>
        <v>1618</v>
      </c>
      <c r="F35" s="16"/>
      <c r="G35" s="18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59">
        <f>ROUND(($E35/S$72),3)</f>
        <v>0.306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05"/>
      <c r="AG35" s="106"/>
    </row>
    <row r="36" spans="1:33" s="5" customFormat="1" ht="21.75" customHeight="1">
      <c r="A36" s="12">
        <f t="shared" si="2"/>
        <v>24</v>
      </c>
      <c r="B36" s="13">
        <v>49384.83</v>
      </c>
      <c r="C36" s="14">
        <v>51485</v>
      </c>
      <c r="D36" s="15" t="s">
        <v>33</v>
      </c>
      <c r="E36" s="16">
        <f>C36-B36</f>
        <v>2100.1699999999983</v>
      </c>
      <c r="F36" s="17"/>
      <c r="G36" s="1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59">
        <f>ROUND(($E36/S$72),3)</f>
        <v>0.398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05"/>
      <c r="AG36" s="106"/>
    </row>
    <row r="37" spans="1:33" s="5" customFormat="1" ht="21.75" customHeight="1">
      <c r="A37" s="12">
        <f t="shared" si="2"/>
        <v>25</v>
      </c>
      <c r="B37" s="13">
        <v>46946.96</v>
      </c>
      <c r="C37" s="14">
        <v>47600</v>
      </c>
      <c r="D37" s="15" t="s">
        <v>28</v>
      </c>
      <c r="E37" s="16">
        <f>C37-B37</f>
        <v>653.0400000000009</v>
      </c>
      <c r="F37" s="16"/>
      <c r="G37" s="18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59">
        <f>ROUND(($E37/S$72),3)</f>
        <v>0.124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05"/>
      <c r="AG37" s="106"/>
    </row>
    <row r="38" spans="1:33" s="5" customFormat="1" ht="21.75" customHeight="1">
      <c r="A38" s="12">
        <f t="shared" si="2"/>
        <v>26</v>
      </c>
      <c r="B38" s="13">
        <v>48017.43</v>
      </c>
      <c r="C38" s="14">
        <v>49666.26</v>
      </c>
      <c r="D38" s="15" t="s">
        <v>28</v>
      </c>
      <c r="E38" s="16">
        <f>C38-B38</f>
        <v>1648.8300000000017</v>
      </c>
      <c r="F38" s="16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59">
        <f>ROUND(($E38/S$72),3)</f>
        <v>0.312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05"/>
      <c r="AG38" s="106"/>
    </row>
    <row r="39" spans="1:33" s="5" customFormat="1" ht="21.75" customHeight="1">
      <c r="A39" s="12">
        <f t="shared" si="2"/>
        <v>27</v>
      </c>
      <c r="B39" s="13">
        <v>50211.45</v>
      </c>
      <c r="C39" s="14">
        <v>51139.58</v>
      </c>
      <c r="D39" s="15" t="s">
        <v>28</v>
      </c>
      <c r="E39" s="16">
        <f>C39-B39</f>
        <v>928.1300000000047</v>
      </c>
      <c r="F39" s="16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59">
        <f>ROUND(($E39/S$72),3)</f>
        <v>0.176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05"/>
      <c r="AG39" s="106"/>
    </row>
    <row r="40" spans="1:33" s="5" customFormat="1" ht="21.75" customHeight="1">
      <c r="A40" s="12">
        <f t="shared" si="2"/>
        <v>28</v>
      </c>
      <c r="B40" s="13"/>
      <c r="C40" s="14"/>
      <c r="D40" s="15"/>
      <c r="E40" s="16"/>
      <c r="F40" s="17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59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05"/>
      <c r="AG40" s="106"/>
    </row>
    <row r="41" spans="1:33" s="5" customFormat="1" ht="21.75" customHeight="1">
      <c r="A41" s="12">
        <f t="shared" si="2"/>
        <v>29</v>
      </c>
      <c r="B41" s="13"/>
      <c r="C41" s="14"/>
      <c r="D41" s="15"/>
      <c r="E41" s="16"/>
      <c r="F41" s="17"/>
      <c r="G41" s="18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59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05"/>
      <c r="AG41" s="106"/>
    </row>
    <row r="42" spans="1:33" s="5" customFormat="1" ht="21.75" customHeight="1">
      <c r="A42" s="12">
        <f t="shared" si="2"/>
        <v>30</v>
      </c>
      <c r="B42" s="19" t="s">
        <v>37</v>
      </c>
      <c r="C42" s="14"/>
      <c r="D42" s="55"/>
      <c r="E42" s="16"/>
      <c r="F42" s="55"/>
      <c r="G42" s="1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59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05"/>
      <c r="AG42" s="106"/>
    </row>
    <row r="43" spans="1:33" s="5" customFormat="1" ht="21.75" customHeight="1">
      <c r="A43" s="12">
        <f t="shared" si="2"/>
        <v>31</v>
      </c>
      <c r="B43" s="13">
        <v>46942.49</v>
      </c>
      <c r="C43" s="14">
        <v>48663.69</v>
      </c>
      <c r="D43" s="15" t="s">
        <v>33</v>
      </c>
      <c r="E43" s="16">
        <f>C43-B43</f>
        <v>1721.2000000000044</v>
      </c>
      <c r="F43" s="17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59">
        <f>ROUND(($E43/S$72),3)</f>
        <v>0.326</v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05"/>
      <c r="AG43" s="106"/>
    </row>
    <row r="44" spans="1:33" s="5" customFormat="1" ht="21.75" customHeight="1">
      <c r="A44" s="12">
        <f t="shared" si="2"/>
        <v>32</v>
      </c>
      <c r="B44" s="13">
        <v>49033.35</v>
      </c>
      <c r="C44" s="14">
        <v>49444.48</v>
      </c>
      <c r="D44" s="15" t="s">
        <v>33</v>
      </c>
      <c r="E44" s="16">
        <f>C44-B44</f>
        <v>411.13000000000466</v>
      </c>
      <c r="F44" s="55"/>
      <c r="G44" s="18"/>
      <c r="H44" s="5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59">
        <f>ROUND(($E44/S$72),3)</f>
        <v>0.078</v>
      </c>
      <c r="T44" s="16"/>
      <c r="U44" s="16"/>
      <c r="V44" s="16"/>
      <c r="W44" s="16"/>
      <c r="X44" s="16"/>
      <c r="Y44" s="16"/>
      <c r="Z44" s="16"/>
      <c r="AA44" s="16"/>
      <c r="AB44" s="16"/>
      <c r="AD44" s="16"/>
      <c r="AE44" s="16"/>
      <c r="AF44" s="105"/>
      <c r="AG44" s="106"/>
    </row>
    <row r="45" spans="1:33" s="5" customFormat="1" ht="21.75" customHeight="1">
      <c r="A45" s="12">
        <f t="shared" si="2"/>
        <v>33</v>
      </c>
      <c r="B45" s="13">
        <v>46942.49</v>
      </c>
      <c r="C45" s="14">
        <v>49444.48</v>
      </c>
      <c r="D45" s="15" t="s">
        <v>28</v>
      </c>
      <c r="E45" s="16">
        <f>C45-B45</f>
        <v>2501.9900000000052</v>
      </c>
      <c r="F45" s="54"/>
      <c r="G45" s="18"/>
      <c r="H45" s="52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59">
        <f>ROUND(($E45/S$72),3)</f>
        <v>0.474</v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05"/>
      <c r="AG45" s="106"/>
    </row>
    <row r="46" spans="1:33" s="5" customFormat="1" ht="21.75" customHeight="1">
      <c r="A46" s="12">
        <f t="shared" si="2"/>
        <v>34</v>
      </c>
      <c r="B46" s="13"/>
      <c r="C46" s="14"/>
      <c r="D46" s="15"/>
      <c r="E46" s="16"/>
      <c r="F46" s="17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59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05"/>
      <c r="AG46" s="106"/>
    </row>
    <row r="47" spans="1:33" s="5" customFormat="1" ht="21.75" customHeight="1">
      <c r="A47" s="12">
        <f t="shared" si="2"/>
        <v>35</v>
      </c>
      <c r="B47" s="13"/>
      <c r="C47" s="14"/>
      <c r="D47" s="15"/>
      <c r="E47" s="16"/>
      <c r="F47" s="17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59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05"/>
      <c r="AG47" s="106"/>
    </row>
    <row r="48" spans="1:33" s="5" customFormat="1" ht="21.75" customHeight="1">
      <c r="A48" s="12">
        <f t="shared" si="2"/>
        <v>36</v>
      </c>
      <c r="B48" s="19" t="s">
        <v>57</v>
      </c>
      <c r="C48" s="14"/>
      <c r="D48" s="15"/>
      <c r="E48" s="16"/>
      <c r="F48" s="17"/>
      <c r="G48" s="18"/>
      <c r="H48" s="16"/>
      <c r="I48" s="16"/>
      <c r="J48" s="16"/>
      <c r="K48" s="16"/>
      <c r="L48" s="16"/>
      <c r="M48" s="16"/>
      <c r="N48" s="16"/>
      <c r="O48" s="16"/>
      <c r="P48" s="41"/>
      <c r="Q48" s="16"/>
      <c r="R48" s="16"/>
      <c r="S48" s="59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05"/>
      <c r="AG48" s="106"/>
    </row>
    <row r="49" spans="1:33" s="5" customFormat="1" ht="21.75" customHeight="1">
      <c r="A49" s="12">
        <f t="shared" si="2"/>
        <v>37</v>
      </c>
      <c r="B49" s="13">
        <v>8267.98</v>
      </c>
      <c r="C49" s="14">
        <v>8818.25</v>
      </c>
      <c r="D49" s="15" t="s">
        <v>28</v>
      </c>
      <c r="E49" s="16">
        <f>C49-B49</f>
        <v>550.2700000000004</v>
      </c>
      <c r="F49" s="17"/>
      <c r="G49" s="1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59">
        <f>ROUND(($E49/S$72),3)</f>
        <v>0.104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05"/>
      <c r="AG49" s="106"/>
    </row>
    <row r="50" spans="1:33" s="5" customFormat="1" ht="21.75" customHeight="1" thickBot="1">
      <c r="A50" s="12">
        <f t="shared" si="2"/>
        <v>38</v>
      </c>
      <c r="B50" s="13"/>
      <c r="C50" s="14"/>
      <c r="D50" s="15"/>
      <c r="E50" s="16"/>
      <c r="F50" s="17"/>
      <c r="G50" s="1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59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07"/>
      <c r="AG50" s="108"/>
    </row>
    <row r="51" spans="1:33" s="5" customFormat="1" ht="21.75" customHeight="1">
      <c r="A51" s="12">
        <f t="shared" si="2"/>
        <v>39</v>
      </c>
      <c r="B51" s="13"/>
      <c r="C51" s="14"/>
      <c r="D51" s="15"/>
      <c r="E51" s="16"/>
      <c r="F51" s="54"/>
      <c r="G51" s="18"/>
      <c r="H51" s="52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59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03" t="s">
        <v>93</v>
      </c>
      <c r="AG51" s="104"/>
    </row>
    <row r="52" spans="1:33" s="5" customFormat="1" ht="21.75" customHeight="1">
      <c r="A52" s="12">
        <f t="shared" si="2"/>
        <v>40</v>
      </c>
      <c r="B52" s="19" t="s">
        <v>38</v>
      </c>
      <c r="C52" s="14"/>
      <c r="D52" s="15"/>
      <c r="E52" s="16"/>
      <c r="F52" s="17"/>
      <c r="G52" s="1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59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05"/>
      <c r="AG52" s="106"/>
    </row>
    <row r="53" spans="1:33" s="5" customFormat="1" ht="21.75" customHeight="1">
      <c r="A53" s="12">
        <f t="shared" si="2"/>
        <v>41</v>
      </c>
      <c r="B53" s="13">
        <v>8663.69</v>
      </c>
      <c r="C53" s="14">
        <v>9027.54</v>
      </c>
      <c r="D53" s="15" t="s">
        <v>33</v>
      </c>
      <c r="E53" s="16">
        <f>C53-B53</f>
        <v>363.85000000000036</v>
      </c>
      <c r="F53" s="17"/>
      <c r="G53" s="1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59">
        <f>ROUND(($E53/S$72),3)</f>
        <v>0.069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05"/>
      <c r="AG53" s="106"/>
    </row>
    <row r="54" spans="1:33" s="5" customFormat="1" ht="21.75" customHeight="1">
      <c r="A54" s="12">
        <f t="shared" si="2"/>
        <v>42</v>
      </c>
      <c r="B54" s="13">
        <v>10671.4</v>
      </c>
      <c r="C54" s="14">
        <v>11413.78</v>
      </c>
      <c r="D54" s="15" t="s">
        <v>33</v>
      </c>
      <c r="E54" s="16">
        <f>C54-B54</f>
        <v>742.380000000001</v>
      </c>
      <c r="F54" s="17"/>
      <c r="G54" s="1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59">
        <f>ROUND(($E54/S$72),3)</f>
        <v>0.141</v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05"/>
      <c r="AG54" s="106"/>
    </row>
    <row r="55" spans="1:33" s="5" customFormat="1" ht="21.75" customHeight="1">
      <c r="A55" s="12">
        <f t="shared" si="2"/>
        <v>43</v>
      </c>
      <c r="B55" s="13" t="s">
        <v>61</v>
      </c>
      <c r="C55" s="13" t="s">
        <v>62</v>
      </c>
      <c r="D55" s="15" t="s">
        <v>28</v>
      </c>
      <c r="E55" s="16">
        <v>37.85</v>
      </c>
      <c r="F55" s="17"/>
      <c r="G55" s="18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59">
        <f>ROUND(($E55/S$72),3)</f>
        <v>0.007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05"/>
      <c r="AG55" s="106"/>
    </row>
    <row r="56" spans="1:33" s="5" customFormat="1" ht="21.75" customHeight="1">
      <c r="A56" s="12">
        <f t="shared" si="2"/>
        <v>44</v>
      </c>
      <c r="B56" s="13"/>
      <c r="C56" s="14"/>
      <c r="D56" s="15"/>
      <c r="E56" s="16"/>
      <c r="F56" s="17"/>
      <c r="G56" s="1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59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05"/>
      <c r="AG56" s="106"/>
    </row>
    <row r="57" spans="1:33" s="5" customFormat="1" ht="21.75" customHeight="1">
      <c r="A57" s="12">
        <f t="shared" si="2"/>
        <v>45</v>
      </c>
      <c r="B57" s="13"/>
      <c r="C57" s="14"/>
      <c r="D57" s="15"/>
      <c r="E57" s="16"/>
      <c r="F57" s="17"/>
      <c r="G57" s="18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59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05"/>
      <c r="AG57" s="106"/>
    </row>
    <row r="58" spans="1:33" s="5" customFormat="1" ht="21.75" customHeight="1">
      <c r="A58" s="12">
        <f t="shared" si="2"/>
        <v>46</v>
      </c>
      <c r="B58" s="19" t="s">
        <v>59</v>
      </c>
      <c r="C58" s="14"/>
      <c r="D58" s="15"/>
      <c r="E58" s="16"/>
      <c r="F58" s="17"/>
      <c r="G58" s="18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59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05"/>
      <c r="AG58" s="106"/>
    </row>
    <row r="59" spans="1:33" s="5" customFormat="1" ht="21.75" customHeight="1">
      <c r="A59" s="12">
        <f t="shared" si="2"/>
        <v>47</v>
      </c>
      <c r="B59" s="13">
        <v>41954.46</v>
      </c>
      <c r="C59" s="14">
        <v>42139.23</v>
      </c>
      <c r="D59" s="15" t="s">
        <v>33</v>
      </c>
      <c r="E59" s="16">
        <f>C59-B59</f>
        <v>184.77000000000407</v>
      </c>
      <c r="F59" s="17"/>
      <c r="G59" s="18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59">
        <f>ROUND(($E59/S$72),3)</f>
        <v>0.035</v>
      </c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05"/>
      <c r="AG59" s="106"/>
    </row>
    <row r="60" spans="1:33" s="24" customFormat="1" ht="21.75" customHeight="1">
      <c r="A60" s="12">
        <f t="shared" si="2"/>
        <v>48</v>
      </c>
      <c r="B60" s="13"/>
      <c r="C60" s="14"/>
      <c r="D60" s="15"/>
      <c r="E60" s="16"/>
      <c r="F60" s="17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59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05"/>
      <c r="AG60" s="106"/>
    </row>
    <row r="61" spans="1:33" s="24" customFormat="1" ht="21.75" customHeight="1">
      <c r="A61" s="12">
        <f t="shared" si="2"/>
        <v>49</v>
      </c>
      <c r="B61" s="13"/>
      <c r="C61" s="14"/>
      <c r="D61" s="15"/>
      <c r="E61" s="16"/>
      <c r="F61" s="17"/>
      <c r="G61" s="18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59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05"/>
      <c r="AG61" s="106"/>
    </row>
    <row r="62" spans="1:33" s="24" customFormat="1" ht="21.75" customHeight="1">
      <c r="A62" s="12">
        <f t="shared" si="2"/>
        <v>50</v>
      </c>
      <c r="B62" s="19" t="s">
        <v>60</v>
      </c>
      <c r="C62" s="14"/>
      <c r="D62" s="15"/>
      <c r="E62" s="16"/>
      <c r="F62" s="17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59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05"/>
      <c r="AG62" s="106"/>
    </row>
    <row r="63" spans="1:33" s="24" customFormat="1" ht="21.75" customHeight="1">
      <c r="A63" s="12">
        <f t="shared" si="2"/>
        <v>51</v>
      </c>
      <c r="B63" s="13">
        <v>28564.96</v>
      </c>
      <c r="C63" s="14">
        <v>29380.97</v>
      </c>
      <c r="D63" s="15" t="s">
        <v>33</v>
      </c>
      <c r="E63" s="16">
        <f>C63-B63</f>
        <v>816.010000000002</v>
      </c>
      <c r="F63" s="17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59">
        <f>ROUND(($E63/S$72),3)</f>
        <v>0.155</v>
      </c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05"/>
      <c r="AG63" s="106"/>
    </row>
    <row r="64" spans="1:33" s="24" customFormat="1" ht="21.75" customHeight="1">
      <c r="A64" s="12">
        <f t="shared" si="2"/>
        <v>52</v>
      </c>
      <c r="B64" s="13">
        <v>3031.93</v>
      </c>
      <c r="C64" s="14">
        <v>3382</v>
      </c>
      <c r="D64" s="15" t="s">
        <v>28</v>
      </c>
      <c r="E64" s="16">
        <f>C64-B64</f>
        <v>350.07000000000016</v>
      </c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59">
        <f>ROUND(($E64/S$72),3)</f>
        <v>0.066</v>
      </c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12"/>
      <c r="AG64" s="106"/>
    </row>
    <row r="65" spans="1:33" s="24" customFormat="1" ht="21.75" customHeight="1">
      <c r="A65" s="12">
        <f t="shared" si="2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12"/>
      <c r="AG65" s="106"/>
    </row>
    <row r="66" spans="1:33" s="24" customFormat="1" ht="21.75" customHeight="1" thickBot="1">
      <c r="A66" s="12">
        <f t="shared" si="2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13"/>
      <c r="AG66" s="108"/>
    </row>
    <row r="67" spans="2:33" s="25" customFormat="1" ht="46.5" customHeight="1">
      <c r="B67" s="93" t="s">
        <v>8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5"/>
      <c r="Q67" s="110" t="str">
        <f aca="true" t="shared" si="5" ref="Q67:AE67">IF(SUM(Q13:Q66)=0," ",ROUNDUP(SUM(Q13:Q66),0))</f>
        <v> </v>
      </c>
      <c r="R67" s="110" t="str">
        <f t="shared" si="5"/>
        <v> </v>
      </c>
      <c r="S67" s="110">
        <f t="shared" si="5"/>
        <v>10</v>
      </c>
      <c r="T67" s="110" t="str">
        <f t="shared" si="5"/>
        <v> </v>
      </c>
      <c r="U67" s="110" t="str">
        <f t="shared" si="5"/>
        <v> </v>
      </c>
      <c r="V67" s="110" t="str">
        <f t="shared" si="5"/>
        <v> </v>
      </c>
      <c r="W67" s="110" t="str">
        <f t="shared" si="5"/>
        <v> </v>
      </c>
      <c r="X67" s="110" t="str">
        <f t="shared" si="5"/>
        <v> </v>
      </c>
      <c r="Y67" s="110" t="str">
        <f t="shared" si="5"/>
        <v> </v>
      </c>
      <c r="Z67" s="110" t="str">
        <f t="shared" si="5"/>
        <v> </v>
      </c>
      <c r="AA67" s="110" t="str">
        <f t="shared" si="5"/>
        <v> </v>
      </c>
      <c r="AB67" s="110" t="str">
        <f t="shared" si="5"/>
        <v> </v>
      </c>
      <c r="AC67" s="110" t="str">
        <f t="shared" si="5"/>
        <v> </v>
      </c>
      <c r="AD67" s="110" t="str">
        <f t="shared" si="5"/>
        <v> </v>
      </c>
      <c r="AE67" s="110" t="str">
        <f t="shared" si="5"/>
        <v> </v>
      </c>
      <c r="AF67" s="120">
        <v>14</v>
      </c>
      <c r="AG67" s="121"/>
    </row>
    <row r="68" spans="2:33" s="25" customFormat="1" ht="46.5" customHeight="1" thickBot="1"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8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4">
        <v>15</v>
      </c>
      <c r="AG68" s="115"/>
    </row>
    <row r="69" spans="1:34" ht="36" customHeight="1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T69" s="27"/>
      <c r="U69" s="27"/>
      <c r="V69" s="1"/>
      <c r="W69" s="27"/>
      <c r="X69" s="27"/>
      <c r="Y69" s="27"/>
      <c r="Z69" s="27"/>
      <c r="AA69" s="27"/>
      <c r="AB69" s="27"/>
      <c r="AF69" s="27"/>
      <c r="AG69" s="27"/>
      <c r="AH69" s="28"/>
    </row>
    <row r="70" spans="2:33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T70" s="27"/>
      <c r="U70" s="27"/>
      <c r="V70" s="1"/>
      <c r="W70" s="27"/>
      <c r="X70" s="27"/>
      <c r="Y70" s="27"/>
      <c r="Z70" s="27"/>
      <c r="AA70" s="27"/>
      <c r="AB70" s="27"/>
      <c r="AF70" s="27"/>
      <c r="AG70" s="27"/>
    </row>
    <row r="71" spans="2:33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T71" s="27"/>
      <c r="U71" s="27"/>
      <c r="V71" s="1"/>
      <c r="W71" s="27"/>
      <c r="X71" s="27"/>
      <c r="Y71" s="27"/>
      <c r="Z71" s="27"/>
      <c r="AA71" s="27"/>
      <c r="AB71" s="27"/>
      <c r="AF71" s="27"/>
      <c r="AG71" s="27"/>
    </row>
    <row r="72" spans="2:33" ht="15.75">
      <c r="B72" s="126" t="s">
        <v>34</v>
      </c>
      <c r="C72" s="127"/>
      <c r="D72" s="127"/>
      <c r="E72" s="127"/>
      <c r="F72" s="127"/>
      <c r="G72" s="128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3">
        <v>5280</v>
      </c>
      <c r="T72" s="43"/>
      <c r="U72" s="43"/>
      <c r="V72" s="43"/>
      <c r="W72" s="44"/>
      <c r="X72" s="44"/>
      <c r="Y72" s="43"/>
      <c r="Z72" s="43"/>
      <c r="AA72" s="43"/>
      <c r="AB72" s="43"/>
      <c r="AC72" s="43"/>
      <c r="AD72" s="43"/>
      <c r="AF72" s="27"/>
      <c r="AG72" s="27"/>
    </row>
    <row r="73" spans="2:33" ht="1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3"/>
      <c r="R73" s="23"/>
      <c r="T73" s="42"/>
      <c r="U73" s="42"/>
      <c r="V73" s="1"/>
      <c r="W73" s="45"/>
      <c r="X73" s="27"/>
      <c r="Y73" s="27"/>
      <c r="Z73" s="27"/>
      <c r="AA73" s="27"/>
      <c r="AB73" s="27"/>
      <c r="AF73" s="27"/>
      <c r="AG73" s="27"/>
    </row>
    <row r="74" spans="2:33" ht="15">
      <c r="B74" s="27"/>
      <c r="C74" s="29"/>
      <c r="D74" s="27"/>
      <c r="E74" s="27"/>
      <c r="F74" s="27"/>
      <c r="G74" s="27"/>
      <c r="H74" s="27"/>
      <c r="I74" s="27"/>
      <c r="J74" s="92"/>
      <c r="K74" s="124"/>
      <c r="L74" s="124"/>
      <c r="M74" s="124"/>
      <c r="N74" s="124"/>
      <c r="O74" s="124"/>
      <c r="P74" s="124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27"/>
      <c r="AG74" s="27"/>
    </row>
  </sheetData>
  <sheetProtection/>
  <mergeCells count="54">
    <mergeCell ref="O3:O11"/>
    <mergeCell ref="P3:P11"/>
    <mergeCell ref="B3:C11"/>
    <mergeCell ref="D3:D11"/>
    <mergeCell ref="E3:E11"/>
    <mergeCell ref="F3:F11"/>
    <mergeCell ref="G3:G11"/>
    <mergeCell ref="H3:H11"/>
    <mergeCell ref="I3:I11"/>
    <mergeCell ref="J3:J11"/>
    <mergeCell ref="K3:K11"/>
    <mergeCell ref="L3:L11"/>
    <mergeCell ref="M3:M11"/>
    <mergeCell ref="N3:N11"/>
    <mergeCell ref="AF67:AG67"/>
    <mergeCell ref="AF68:AG68"/>
    <mergeCell ref="AF51:AG66"/>
    <mergeCell ref="W4:W11"/>
    <mergeCell ref="X4:X11"/>
    <mergeCell ref="Y4:Y11"/>
    <mergeCell ref="AC4:AC11"/>
    <mergeCell ref="AD4:AD11"/>
    <mergeCell ref="AE4:AE11"/>
    <mergeCell ref="Q4:Q11"/>
    <mergeCell ref="R4:R11"/>
    <mergeCell ref="S4:S11"/>
    <mergeCell ref="T4:T11"/>
    <mergeCell ref="U4:U11"/>
    <mergeCell ref="V4:V11"/>
    <mergeCell ref="S67:S68"/>
    <mergeCell ref="V67:V68"/>
    <mergeCell ref="W67:W68"/>
    <mergeCell ref="Z4:Z11"/>
    <mergeCell ref="AA4:AA11"/>
    <mergeCell ref="AB4:AB11"/>
    <mergeCell ref="AB67:AB68"/>
    <mergeCell ref="B14:I14"/>
    <mergeCell ref="B72:G72"/>
    <mergeCell ref="J74:P74"/>
    <mergeCell ref="AF6:AG50"/>
    <mergeCell ref="AF3:AF5"/>
    <mergeCell ref="AG3:AG5"/>
    <mergeCell ref="AE67:AE68"/>
    <mergeCell ref="B67:P68"/>
    <mergeCell ref="Q67:Q68"/>
    <mergeCell ref="R67:R68"/>
    <mergeCell ref="AC67:AC68"/>
    <mergeCell ref="AD67:AD68"/>
    <mergeCell ref="AA67:AA68"/>
    <mergeCell ref="T67:T68"/>
    <mergeCell ref="U67:U68"/>
    <mergeCell ref="X67:X68"/>
    <mergeCell ref="Y67:Y68"/>
    <mergeCell ref="Z67:Z68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AG69" sqref="AG69"/>
    </sheetView>
  </sheetViews>
  <sheetFormatPr defaultColWidth="9.140625" defaultRowHeight="12.75"/>
  <cols>
    <col min="1" max="3" width="24.7109375" style="1" customWidth="1"/>
    <col min="4" max="21" width="15.7109375" style="1" customWidth="1"/>
    <col min="22" max="22" width="15.7109375" style="46" customWidth="1"/>
    <col min="23" max="31" width="15.7109375" style="1" customWidth="1"/>
    <col min="32" max="34" width="6.7109375" style="1" customWidth="1"/>
    <col min="35" max="16384" width="9.140625" style="1" customWidth="1"/>
  </cols>
  <sheetData>
    <row r="1" spans="18:27" ht="12.75">
      <c r="R1" s="48"/>
      <c r="S1" s="48"/>
      <c r="T1" s="48"/>
      <c r="U1" s="48"/>
      <c r="V1" s="49"/>
      <c r="W1" s="48"/>
      <c r="X1" s="48"/>
      <c r="Z1" s="48"/>
      <c r="AA1" s="48"/>
    </row>
    <row r="2" spans="1:34" s="4" customFormat="1" ht="36" customHeight="1" thickBot="1">
      <c r="A2" s="2"/>
      <c r="B2" s="31" t="s">
        <v>14</v>
      </c>
      <c r="C2" s="32"/>
      <c r="D2" s="33"/>
      <c r="E2" s="33"/>
      <c r="F2" s="33"/>
      <c r="G2" s="33"/>
      <c r="H2" s="34"/>
      <c r="I2" s="33"/>
      <c r="J2" s="33"/>
      <c r="K2" s="33"/>
      <c r="L2" s="33"/>
      <c r="M2" s="33"/>
      <c r="N2" s="33"/>
      <c r="O2" s="33"/>
      <c r="P2" s="34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47"/>
      <c r="AH2" s="3"/>
    </row>
    <row r="3" spans="2:34" s="5" customFormat="1" ht="21.75" customHeight="1">
      <c r="B3" s="93" t="s">
        <v>0</v>
      </c>
      <c r="C3" s="95"/>
      <c r="D3" s="89" t="s">
        <v>3</v>
      </c>
      <c r="E3" s="89" t="s">
        <v>4</v>
      </c>
      <c r="F3" s="89" t="s">
        <v>5</v>
      </c>
      <c r="G3" s="86" t="s">
        <v>12</v>
      </c>
      <c r="H3" s="86" t="s">
        <v>94</v>
      </c>
      <c r="I3" s="89" t="s">
        <v>6</v>
      </c>
      <c r="J3" s="86" t="s">
        <v>10</v>
      </c>
      <c r="K3" s="86"/>
      <c r="L3" s="86"/>
      <c r="M3" s="86"/>
      <c r="N3" s="86"/>
      <c r="O3" s="86"/>
      <c r="P3" s="86"/>
      <c r="Q3" s="35"/>
      <c r="R3" s="36"/>
      <c r="S3" s="36">
        <v>618</v>
      </c>
      <c r="T3" s="35"/>
      <c r="U3" s="36"/>
      <c r="V3" s="36"/>
      <c r="W3" s="35"/>
      <c r="X3" s="36"/>
      <c r="Y3" s="35"/>
      <c r="Z3" s="35">
        <v>442</v>
      </c>
      <c r="AA3" s="35"/>
      <c r="AB3" s="36"/>
      <c r="AC3" s="35"/>
      <c r="AD3" s="36"/>
      <c r="AE3" s="36"/>
      <c r="AF3" s="116" t="s">
        <v>11</v>
      </c>
      <c r="AG3" s="116" t="s">
        <v>13</v>
      </c>
      <c r="AH3" s="6"/>
    </row>
    <row r="4" spans="2:34" s="5" customFormat="1" ht="27.75" customHeight="1">
      <c r="B4" s="99"/>
      <c r="C4" s="100"/>
      <c r="D4" s="90"/>
      <c r="E4" s="90"/>
      <c r="F4" s="90"/>
      <c r="G4" s="87"/>
      <c r="H4" s="87"/>
      <c r="I4" s="90"/>
      <c r="J4" s="87"/>
      <c r="K4" s="87"/>
      <c r="L4" s="87"/>
      <c r="M4" s="87"/>
      <c r="N4" s="87"/>
      <c r="O4" s="87"/>
      <c r="P4" s="87"/>
      <c r="Q4" s="83"/>
      <c r="R4" s="109"/>
      <c r="S4" s="109" t="s">
        <v>89</v>
      </c>
      <c r="T4" s="83"/>
      <c r="U4" s="109"/>
      <c r="V4" s="109"/>
      <c r="W4" s="83"/>
      <c r="X4" s="109"/>
      <c r="Y4" s="83"/>
      <c r="Z4" s="83" t="s">
        <v>83</v>
      </c>
      <c r="AA4" s="83"/>
      <c r="AB4" s="109"/>
      <c r="AC4" s="83"/>
      <c r="AD4" s="109"/>
      <c r="AE4" s="109"/>
      <c r="AF4" s="117"/>
      <c r="AG4" s="119"/>
      <c r="AH4" s="7"/>
    </row>
    <row r="5" spans="2:33" s="5" customFormat="1" ht="27.75" customHeight="1" thickBot="1">
      <c r="B5" s="99"/>
      <c r="C5" s="100"/>
      <c r="D5" s="90"/>
      <c r="E5" s="90"/>
      <c r="F5" s="90"/>
      <c r="G5" s="87"/>
      <c r="H5" s="87"/>
      <c r="I5" s="90"/>
      <c r="J5" s="87"/>
      <c r="K5" s="87"/>
      <c r="L5" s="87"/>
      <c r="M5" s="87"/>
      <c r="N5" s="87"/>
      <c r="O5" s="87"/>
      <c r="P5" s="87"/>
      <c r="Q5" s="84"/>
      <c r="R5" s="87"/>
      <c r="S5" s="87"/>
      <c r="T5" s="84"/>
      <c r="U5" s="87"/>
      <c r="V5" s="87"/>
      <c r="W5" s="84"/>
      <c r="X5" s="87"/>
      <c r="Y5" s="84"/>
      <c r="Z5" s="84"/>
      <c r="AA5" s="84"/>
      <c r="AB5" s="87"/>
      <c r="AC5" s="84"/>
      <c r="AD5" s="87"/>
      <c r="AE5" s="87"/>
      <c r="AF5" s="118"/>
      <c r="AG5" s="119"/>
    </row>
    <row r="6" spans="2:33" s="5" customFormat="1" ht="27.75" customHeight="1">
      <c r="B6" s="99"/>
      <c r="C6" s="100"/>
      <c r="D6" s="90"/>
      <c r="E6" s="90"/>
      <c r="F6" s="90"/>
      <c r="G6" s="87"/>
      <c r="H6" s="87"/>
      <c r="I6" s="90"/>
      <c r="J6" s="87"/>
      <c r="K6" s="87"/>
      <c r="L6" s="87"/>
      <c r="M6" s="87"/>
      <c r="N6" s="87"/>
      <c r="O6" s="87"/>
      <c r="P6" s="87"/>
      <c r="Q6" s="84"/>
      <c r="R6" s="87"/>
      <c r="S6" s="87"/>
      <c r="T6" s="84"/>
      <c r="U6" s="87"/>
      <c r="V6" s="87"/>
      <c r="W6" s="84"/>
      <c r="X6" s="87"/>
      <c r="Y6" s="84"/>
      <c r="Z6" s="84"/>
      <c r="AA6" s="84"/>
      <c r="AB6" s="87"/>
      <c r="AC6" s="84"/>
      <c r="AD6" s="87"/>
      <c r="AE6" s="87"/>
      <c r="AF6" s="103" t="s">
        <v>81</v>
      </c>
      <c r="AG6" s="104"/>
    </row>
    <row r="7" spans="2:33" s="5" customFormat="1" ht="27.75" customHeight="1">
      <c r="B7" s="99"/>
      <c r="C7" s="100"/>
      <c r="D7" s="90"/>
      <c r="E7" s="90"/>
      <c r="F7" s="90"/>
      <c r="G7" s="87"/>
      <c r="H7" s="87"/>
      <c r="I7" s="90"/>
      <c r="J7" s="87"/>
      <c r="K7" s="87"/>
      <c r="L7" s="87"/>
      <c r="M7" s="87"/>
      <c r="N7" s="87"/>
      <c r="O7" s="87"/>
      <c r="P7" s="87"/>
      <c r="Q7" s="84"/>
      <c r="R7" s="87"/>
      <c r="S7" s="87"/>
      <c r="T7" s="84"/>
      <c r="U7" s="87"/>
      <c r="V7" s="87"/>
      <c r="W7" s="84"/>
      <c r="X7" s="87"/>
      <c r="Y7" s="84"/>
      <c r="Z7" s="84"/>
      <c r="AA7" s="84"/>
      <c r="AB7" s="87"/>
      <c r="AC7" s="84"/>
      <c r="AD7" s="87"/>
      <c r="AE7" s="87"/>
      <c r="AF7" s="105"/>
      <c r="AG7" s="106"/>
    </row>
    <row r="8" spans="2:33" s="5" customFormat="1" ht="27.75" customHeight="1">
      <c r="B8" s="99"/>
      <c r="C8" s="100"/>
      <c r="D8" s="90"/>
      <c r="E8" s="90"/>
      <c r="F8" s="90"/>
      <c r="G8" s="87"/>
      <c r="H8" s="87"/>
      <c r="I8" s="90"/>
      <c r="J8" s="87"/>
      <c r="K8" s="87"/>
      <c r="L8" s="87"/>
      <c r="M8" s="87"/>
      <c r="N8" s="87"/>
      <c r="O8" s="87"/>
      <c r="P8" s="87"/>
      <c r="Q8" s="84"/>
      <c r="R8" s="87"/>
      <c r="S8" s="87"/>
      <c r="T8" s="84"/>
      <c r="U8" s="87"/>
      <c r="V8" s="87"/>
      <c r="W8" s="84"/>
      <c r="X8" s="87"/>
      <c r="Y8" s="84"/>
      <c r="Z8" s="84"/>
      <c r="AA8" s="84"/>
      <c r="AB8" s="87"/>
      <c r="AC8" s="84"/>
      <c r="AD8" s="87"/>
      <c r="AE8" s="87"/>
      <c r="AF8" s="105"/>
      <c r="AG8" s="106"/>
    </row>
    <row r="9" spans="2:33" s="5" customFormat="1" ht="27.75" customHeight="1">
      <c r="B9" s="99"/>
      <c r="C9" s="100"/>
      <c r="D9" s="90"/>
      <c r="E9" s="90"/>
      <c r="F9" s="90"/>
      <c r="G9" s="87"/>
      <c r="H9" s="87"/>
      <c r="I9" s="90"/>
      <c r="J9" s="87"/>
      <c r="K9" s="87"/>
      <c r="L9" s="87"/>
      <c r="M9" s="87"/>
      <c r="N9" s="87"/>
      <c r="O9" s="87"/>
      <c r="P9" s="87"/>
      <c r="Q9" s="84"/>
      <c r="R9" s="87"/>
      <c r="S9" s="87"/>
      <c r="T9" s="84"/>
      <c r="U9" s="87"/>
      <c r="V9" s="87"/>
      <c r="W9" s="84"/>
      <c r="X9" s="87"/>
      <c r="Y9" s="84"/>
      <c r="Z9" s="84"/>
      <c r="AA9" s="84"/>
      <c r="AB9" s="87"/>
      <c r="AC9" s="84"/>
      <c r="AD9" s="87"/>
      <c r="AE9" s="87"/>
      <c r="AF9" s="105"/>
      <c r="AG9" s="106"/>
    </row>
    <row r="10" spans="2:33" s="5" customFormat="1" ht="27.75" customHeight="1">
      <c r="B10" s="99"/>
      <c r="C10" s="100"/>
      <c r="D10" s="90"/>
      <c r="E10" s="90"/>
      <c r="F10" s="90"/>
      <c r="G10" s="87"/>
      <c r="H10" s="87"/>
      <c r="I10" s="90"/>
      <c r="J10" s="87"/>
      <c r="K10" s="87"/>
      <c r="L10" s="87"/>
      <c r="M10" s="87"/>
      <c r="N10" s="87"/>
      <c r="O10" s="87"/>
      <c r="P10" s="87"/>
      <c r="Q10" s="84"/>
      <c r="R10" s="87"/>
      <c r="S10" s="87"/>
      <c r="T10" s="84"/>
      <c r="U10" s="87"/>
      <c r="V10" s="87"/>
      <c r="W10" s="84"/>
      <c r="X10" s="87"/>
      <c r="Y10" s="84"/>
      <c r="Z10" s="84"/>
      <c r="AA10" s="84"/>
      <c r="AB10" s="87"/>
      <c r="AC10" s="84"/>
      <c r="AD10" s="87"/>
      <c r="AE10" s="87"/>
      <c r="AF10" s="105"/>
      <c r="AG10" s="106"/>
    </row>
    <row r="11" spans="2:33" s="8" customFormat="1" ht="27.75" customHeight="1">
      <c r="B11" s="101"/>
      <c r="C11" s="102"/>
      <c r="D11" s="91"/>
      <c r="E11" s="91"/>
      <c r="F11" s="91"/>
      <c r="G11" s="88"/>
      <c r="H11" s="88"/>
      <c r="I11" s="91"/>
      <c r="J11" s="88"/>
      <c r="K11" s="88"/>
      <c r="L11" s="88"/>
      <c r="M11" s="88"/>
      <c r="N11" s="88"/>
      <c r="O11" s="88"/>
      <c r="P11" s="88"/>
      <c r="Q11" s="85"/>
      <c r="R11" s="88"/>
      <c r="S11" s="88"/>
      <c r="T11" s="85"/>
      <c r="U11" s="88"/>
      <c r="V11" s="88"/>
      <c r="W11" s="85"/>
      <c r="X11" s="88"/>
      <c r="Y11" s="85"/>
      <c r="Z11" s="85"/>
      <c r="AA11" s="85"/>
      <c r="AB11" s="88"/>
      <c r="AC11" s="85"/>
      <c r="AD11" s="88"/>
      <c r="AE11" s="88"/>
      <c r="AF11" s="105"/>
      <c r="AG11" s="106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11"/>
      <c r="I12" s="11" t="s">
        <v>9</v>
      </c>
      <c r="J12" s="11" t="s">
        <v>9</v>
      </c>
      <c r="K12" s="11"/>
      <c r="L12" s="11"/>
      <c r="M12" s="11"/>
      <c r="N12" s="11"/>
      <c r="O12" s="11"/>
      <c r="P12" s="11"/>
      <c r="Q12" s="37"/>
      <c r="R12" s="11"/>
      <c r="S12" s="11" t="s">
        <v>85</v>
      </c>
      <c r="T12" s="37"/>
      <c r="U12" s="11"/>
      <c r="V12" s="11"/>
      <c r="W12" s="37"/>
      <c r="X12" s="11"/>
      <c r="Y12" s="37"/>
      <c r="Z12" s="37" t="s">
        <v>24</v>
      </c>
      <c r="AA12" s="37"/>
      <c r="AB12" s="11"/>
      <c r="AC12" s="37"/>
      <c r="AD12" s="11"/>
      <c r="AE12" s="11"/>
      <c r="AF12" s="105"/>
      <c r="AG12" s="106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05"/>
      <c r="AG13" s="106"/>
    </row>
    <row r="14" spans="1:33" s="5" customFormat="1" ht="21.75" customHeight="1">
      <c r="A14" s="12">
        <f>A13+1</f>
        <v>2</v>
      </c>
      <c r="B14" s="77" t="s">
        <v>87</v>
      </c>
      <c r="C14" s="78"/>
      <c r="D14" s="78"/>
      <c r="E14" s="78"/>
      <c r="F14" s="78"/>
      <c r="G14" s="78"/>
      <c r="H14" s="78"/>
      <c r="I14" s="7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05"/>
      <c r="AG14" s="106"/>
    </row>
    <row r="15" spans="1:33" s="5" customFormat="1" ht="21.75" customHeight="1">
      <c r="A15" s="12">
        <f>A14+1</f>
        <v>3</v>
      </c>
      <c r="B15" s="58" t="s">
        <v>63</v>
      </c>
      <c r="C15" s="55"/>
      <c r="D15" s="15"/>
      <c r="E15" s="16"/>
      <c r="F15" s="22"/>
      <c r="G15" s="18"/>
      <c r="H15" s="16"/>
      <c r="I15" s="16"/>
      <c r="J15" s="16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05"/>
      <c r="AG15" s="106"/>
    </row>
    <row r="16" spans="1:33" s="5" customFormat="1" ht="21.75" customHeight="1">
      <c r="A16" s="12">
        <f>A15+1</f>
        <v>4</v>
      </c>
      <c r="B16" s="13">
        <v>57600</v>
      </c>
      <c r="C16" s="14">
        <v>58023.48</v>
      </c>
      <c r="D16" s="15" t="s">
        <v>28</v>
      </c>
      <c r="E16" s="16">
        <f>C16-B16</f>
        <v>423.4800000000032</v>
      </c>
      <c r="F16" s="17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59">
        <f>ROUND(($E16/S$72),3)</f>
        <v>0.08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05"/>
      <c r="AG16" s="106"/>
    </row>
    <row r="17" spans="1:33" s="5" customFormat="1" ht="21.75" customHeight="1">
      <c r="A17" s="12">
        <f aca="true" t="shared" si="0" ref="A17:A66">A16+1</f>
        <v>5</v>
      </c>
      <c r="B17" s="13">
        <v>60342.51</v>
      </c>
      <c r="C17" s="14">
        <v>60667.88</v>
      </c>
      <c r="D17" s="15" t="s">
        <v>28</v>
      </c>
      <c r="E17" s="16">
        <f>C17-B17</f>
        <v>325.36999999999534</v>
      </c>
      <c r="F17" s="17"/>
      <c r="G17" s="1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59">
        <f>ROUND(($E17/S$72),3)</f>
        <v>0.062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05"/>
      <c r="AG17" s="106"/>
    </row>
    <row r="18" spans="1:33" s="5" customFormat="1" ht="21.75" customHeight="1">
      <c r="A18" s="12">
        <f t="shared" si="0"/>
        <v>6</v>
      </c>
      <c r="B18" s="13" t="s">
        <v>64</v>
      </c>
      <c r="C18" s="13" t="s">
        <v>66</v>
      </c>
      <c r="D18" s="15" t="s">
        <v>28</v>
      </c>
      <c r="E18" s="16">
        <v>200</v>
      </c>
      <c r="F18" s="16"/>
      <c r="G18" s="1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59">
        <f>ROUND(($E18/S$72),3)</f>
        <v>0.038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05"/>
      <c r="AG18" s="106"/>
    </row>
    <row r="19" spans="1:33" s="5" customFormat="1" ht="21.75" customHeight="1">
      <c r="A19" s="12">
        <f t="shared" si="0"/>
        <v>7</v>
      </c>
      <c r="B19" s="13"/>
      <c r="C19" s="14"/>
      <c r="D19" s="15"/>
      <c r="E19" s="16"/>
      <c r="F19" s="54"/>
      <c r="G19" s="18"/>
      <c r="H19" s="52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59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05"/>
      <c r="AG19" s="106"/>
    </row>
    <row r="20" spans="1:33" s="5" customFormat="1" ht="21.75" customHeight="1">
      <c r="A20" s="12">
        <f t="shared" si="0"/>
        <v>8</v>
      </c>
      <c r="B20" s="13"/>
      <c r="C20" s="14"/>
      <c r="D20" s="15"/>
      <c r="E20" s="16"/>
      <c r="F20" s="17"/>
      <c r="G20" s="1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59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05"/>
      <c r="AG20" s="106"/>
    </row>
    <row r="21" spans="1:33" s="5" customFormat="1" ht="21.75" customHeight="1">
      <c r="A21" s="12">
        <f t="shared" si="0"/>
        <v>9</v>
      </c>
      <c r="B21" s="19" t="s">
        <v>68</v>
      </c>
      <c r="C21" s="14"/>
      <c r="D21" s="15"/>
      <c r="E21" s="16"/>
      <c r="F21" s="17"/>
      <c r="G21" s="18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9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05"/>
      <c r="AG21" s="106"/>
    </row>
    <row r="22" spans="1:33" s="5" customFormat="1" ht="21.75" customHeight="1">
      <c r="A22" s="12">
        <f t="shared" si="0"/>
        <v>10</v>
      </c>
      <c r="B22" s="13">
        <v>67955.22</v>
      </c>
      <c r="C22" s="14">
        <v>68196.95</v>
      </c>
      <c r="D22" s="15" t="s">
        <v>28</v>
      </c>
      <c r="E22" s="16">
        <f>C22-B22</f>
        <v>241.72999999999593</v>
      </c>
      <c r="F22" s="17"/>
      <c r="G22" s="1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59">
        <f>ROUND(($E22/S$72),3)</f>
        <v>0.046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05"/>
      <c r="AG22" s="106"/>
    </row>
    <row r="23" spans="1:33" s="5" customFormat="1" ht="21.75" customHeight="1">
      <c r="A23" s="12">
        <f t="shared" si="0"/>
        <v>11</v>
      </c>
      <c r="B23" s="13">
        <v>69666.15</v>
      </c>
      <c r="C23" s="14">
        <v>70211.45</v>
      </c>
      <c r="D23" s="15" t="s">
        <v>28</v>
      </c>
      <c r="E23" s="16">
        <f>C23-B23</f>
        <v>545.3000000000029</v>
      </c>
      <c r="F23" s="17"/>
      <c r="G23" s="1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59">
        <f>ROUND(($E23/S$72),3)</f>
        <v>0.103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05"/>
      <c r="AG23" s="106"/>
    </row>
    <row r="24" spans="1:33" s="5" customFormat="1" ht="21.75" customHeight="1">
      <c r="A24" s="12">
        <f t="shared" si="0"/>
        <v>12</v>
      </c>
      <c r="B24" s="13"/>
      <c r="C24" s="14"/>
      <c r="D24" s="15"/>
      <c r="E24" s="16"/>
      <c r="F24" s="17"/>
      <c r="G24" s="1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59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05"/>
      <c r="AG24" s="106"/>
    </row>
    <row r="25" spans="1:33" s="5" customFormat="1" ht="21.75" customHeight="1">
      <c r="A25" s="12">
        <f t="shared" si="0"/>
        <v>13</v>
      </c>
      <c r="B25" s="19"/>
      <c r="C25" s="14"/>
      <c r="D25" s="15"/>
      <c r="E25" s="16"/>
      <c r="F25" s="17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59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05"/>
      <c r="AG25" s="106"/>
    </row>
    <row r="26" spans="1:33" s="5" customFormat="1" ht="21.75" customHeight="1">
      <c r="A26" s="12">
        <f t="shared" si="0"/>
        <v>14</v>
      </c>
      <c r="B26" s="19" t="s">
        <v>70</v>
      </c>
      <c r="C26" s="14"/>
      <c r="D26" s="15"/>
      <c r="E26" s="16"/>
      <c r="F26" s="17"/>
      <c r="G26" s="1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59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05"/>
      <c r="AG26" s="106"/>
    </row>
    <row r="27" spans="1:33" s="5" customFormat="1" ht="21.75" customHeight="1">
      <c r="A27" s="12">
        <f t="shared" si="0"/>
        <v>15</v>
      </c>
      <c r="B27" s="13" t="s">
        <v>73</v>
      </c>
      <c r="C27" s="13" t="s">
        <v>72</v>
      </c>
      <c r="D27" s="15" t="s">
        <v>33</v>
      </c>
      <c r="E27" s="16">
        <v>385</v>
      </c>
      <c r="F27" s="17"/>
      <c r="G27" s="18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59">
        <f>ROUND(($E27/S$72),3)</f>
        <v>0.073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05"/>
      <c r="AG27" s="106"/>
    </row>
    <row r="28" spans="1:33" s="5" customFormat="1" ht="21.75" customHeight="1">
      <c r="A28" s="12">
        <f t="shared" si="0"/>
        <v>16</v>
      </c>
      <c r="B28" s="13">
        <v>88798.38</v>
      </c>
      <c r="C28" s="14">
        <v>89168.04</v>
      </c>
      <c r="D28" s="15" t="s">
        <v>28</v>
      </c>
      <c r="E28" s="16">
        <f>C28-B28</f>
        <v>369.65999999998894</v>
      </c>
      <c r="F28" s="17"/>
      <c r="G28" s="1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59">
        <f>ROUND(($E28/S$72),3)</f>
        <v>0.07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05"/>
      <c r="AG28" s="106"/>
    </row>
    <row r="29" spans="1:33" s="5" customFormat="1" ht="21.75" customHeight="1">
      <c r="A29" s="12">
        <f t="shared" si="0"/>
        <v>17</v>
      </c>
      <c r="B29" s="13">
        <v>91152.31</v>
      </c>
      <c r="C29" s="14">
        <v>91489.43</v>
      </c>
      <c r="D29" s="15" t="s">
        <v>28</v>
      </c>
      <c r="E29" s="16">
        <f>C29-B29</f>
        <v>337.11999999999534</v>
      </c>
      <c r="F29" s="17"/>
      <c r="G29" s="18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9">
        <f>ROUND(($E29/S$72),3)</f>
        <v>0.064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05"/>
      <c r="AG29" s="106"/>
    </row>
    <row r="30" spans="1:33" s="5" customFormat="1" ht="21.75" customHeight="1">
      <c r="A30" s="12">
        <f t="shared" si="0"/>
        <v>18</v>
      </c>
      <c r="B30" s="13"/>
      <c r="C30" s="14"/>
      <c r="D30" s="15"/>
      <c r="E30" s="16"/>
      <c r="F30" s="17"/>
      <c r="G30" s="1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59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05"/>
      <c r="AG30" s="106"/>
    </row>
    <row r="31" spans="1:33" s="5" customFormat="1" ht="21.75" customHeight="1">
      <c r="A31" s="12">
        <f t="shared" si="0"/>
        <v>19</v>
      </c>
      <c r="B31" s="13"/>
      <c r="C31" s="14"/>
      <c r="D31" s="15"/>
      <c r="E31" s="16"/>
      <c r="F31" s="54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59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05"/>
      <c r="AG31" s="106"/>
    </row>
    <row r="32" spans="1:33" s="5" customFormat="1" ht="21.75" customHeight="1">
      <c r="A32" s="12">
        <f t="shared" si="0"/>
        <v>20</v>
      </c>
      <c r="B32" s="19" t="s">
        <v>88</v>
      </c>
      <c r="C32" s="14"/>
      <c r="D32" s="15"/>
      <c r="E32" s="16"/>
      <c r="F32" s="16"/>
      <c r="G32" s="18"/>
      <c r="H32" s="52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59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05"/>
      <c r="AG32" s="106"/>
    </row>
    <row r="33" spans="1:33" s="5" customFormat="1" ht="21.75" customHeight="1">
      <c r="A33" s="12">
        <f t="shared" si="0"/>
        <v>21</v>
      </c>
      <c r="B33" s="13">
        <v>22850</v>
      </c>
      <c r="C33" s="14">
        <v>24880.74</v>
      </c>
      <c r="D33" s="15" t="s">
        <v>33</v>
      </c>
      <c r="E33" s="16">
        <f>C33-B33</f>
        <v>2030.7400000000016</v>
      </c>
      <c r="F33" s="16"/>
      <c r="G33" s="1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59">
        <f>ROUND(($E33/S$72),3)</f>
        <v>0.385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05"/>
      <c r="AG33" s="106"/>
    </row>
    <row r="34" spans="1:33" s="5" customFormat="1" ht="21.75" customHeight="1">
      <c r="A34" s="12">
        <f t="shared" si="0"/>
        <v>22</v>
      </c>
      <c r="B34" s="13">
        <v>25675.5</v>
      </c>
      <c r="C34" s="14">
        <v>26570.74</v>
      </c>
      <c r="D34" s="15" t="s">
        <v>33</v>
      </c>
      <c r="E34" s="16">
        <f>C34-B34</f>
        <v>895.2400000000016</v>
      </c>
      <c r="F34" s="16"/>
      <c r="G34" s="18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59">
        <f>ROUND(($E34/S$72),3)</f>
        <v>0.17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05"/>
      <c r="AG34" s="106"/>
    </row>
    <row r="35" spans="1:33" s="5" customFormat="1" ht="21.75" customHeight="1">
      <c r="A35" s="12">
        <f t="shared" si="0"/>
        <v>23</v>
      </c>
      <c r="B35" s="13">
        <v>24479.53</v>
      </c>
      <c r="C35" s="14">
        <v>25129.29</v>
      </c>
      <c r="D35" s="15" t="s">
        <v>28</v>
      </c>
      <c r="E35" s="16">
        <f>C35-B35</f>
        <v>649.760000000002</v>
      </c>
      <c r="F35" s="17"/>
      <c r="G35" s="18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59">
        <f>ROUND(($E35/S$72),3)</f>
        <v>0.123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05"/>
      <c r="AG35" s="106"/>
    </row>
    <row r="36" spans="1:33" s="5" customFormat="1" ht="21.75" customHeight="1">
      <c r="A36" s="12">
        <f t="shared" si="0"/>
        <v>24</v>
      </c>
      <c r="B36" s="13">
        <v>25976.94</v>
      </c>
      <c r="C36" s="14">
        <v>26076.94</v>
      </c>
      <c r="D36" s="15" t="s">
        <v>28</v>
      </c>
      <c r="E36" s="16">
        <f>C36-B36</f>
        <v>100</v>
      </c>
      <c r="F36" s="16"/>
      <c r="G36" s="1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59">
        <f>ROUND(($E36/S$72),3)</f>
        <v>0.019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05"/>
      <c r="AG36" s="106"/>
    </row>
    <row r="37" spans="1:33" s="5" customFormat="1" ht="21.75" customHeight="1">
      <c r="A37" s="12">
        <f t="shared" si="0"/>
        <v>25</v>
      </c>
      <c r="B37" s="13">
        <v>27144.1</v>
      </c>
      <c r="C37" s="14">
        <v>27424.7</v>
      </c>
      <c r="D37" s="15" t="s">
        <v>28</v>
      </c>
      <c r="E37" s="16">
        <f>C37-B37</f>
        <v>280.6000000000022</v>
      </c>
      <c r="F37" s="16"/>
      <c r="G37" s="18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59">
        <f>ROUND(($E37/S$72),3)</f>
        <v>0.053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05"/>
      <c r="AG37" s="106"/>
    </row>
    <row r="38" spans="1:33" s="5" customFormat="1" ht="21.75" customHeight="1">
      <c r="A38" s="12">
        <f t="shared" si="0"/>
        <v>26</v>
      </c>
      <c r="B38" s="13"/>
      <c r="C38" s="14"/>
      <c r="D38" s="15"/>
      <c r="E38" s="16"/>
      <c r="F38" s="16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05"/>
      <c r="AG38" s="106"/>
    </row>
    <row r="39" spans="1:33" s="5" customFormat="1" ht="21.75" customHeight="1">
      <c r="A39" s="12">
        <f t="shared" si="0"/>
        <v>27</v>
      </c>
      <c r="B39" s="13"/>
      <c r="C39" s="14"/>
      <c r="D39" s="15"/>
      <c r="E39" s="16"/>
      <c r="F39" s="17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05"/>
      <c r="AG39" s="106"/>
    </row>
    <row r="40" spans="1:33" s="5" customFormat="1" ht="21.75" customHeight="1">
      <c r="A40" s="12">
        <f t="shared" si="0"/>
        <v>28</v>
      </c>
      <c r="B40" s="13"/>
      <c r="C40" s="14"/>
      <c r="D40" s="15"/>
      <c r="E40" s="16"/>
      <c r="F40" s="17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05"/>
      <c r="AG40" s="106"/>
    </row>
    <row r="41" spans="1:33" s="5" customFormat="1" ht="21.75" customHeight="1">
      <c r="A41" s="12">
        <f t="shared" si="0"/>
        <v>29</v>
      </c>
      <c r="B41" s="13"/>
      <c r="C41" s="14"/>
      <c r="D41" s="15"/>
      <c r="E41" s="16"/>
      <c r="F41" s="17"/>
      <c r="G41" s="18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05"/>
      <c r="AG41" s="106"/>
    </row>
    <row r="42" spans="1:33" s="5" customFormat="1" ht="21.75" customHeight="1">
      <c r="A42" s="12">
        <f t="shared" si="0"/>
        <v>30</v>
      </c>
      <c r="B42" s="19"/>
      <c r="C42" s="14"/>
      <c r="D42" s="55"/>
      <c r="E42" s="16"/>
      <c r="F42" s="55"/>
      <c r="G42" s="1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05"/>
      <c r="AG42" s="106"/>
    </row>
    <row r="43" spans="1:33" s="5" customFormat="1" ht="21.75" customHeight="1">
      <c r="A43" s="12">
        <f t="shared" si="0"/>
        <v>31</v>
      </c>
      <c r="B43" s="13"/>
      <c r="C43" s="14"/>
      <c r="D43" s="15"/>
      <c r="E43" s="16"/>
      <c r="F43" s="17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05"/>
      <c r="AG43" s="106"/>
    </row>
    <row r="44" spans="1:33" s="5" customFormat="1" ht="21.75" customHeight="1">
      <c r="A44" s="12">
        <f t="shared" si="0"/>
        <v>32</v>
      </c>
      <c r="B44" s="13"/>
      <c r="C44" s="14"/>
      <c r="D44" s="15"/>
      <c r="E44" s="16"/>
      <c r="F44" s="55"/>
      <c r="G44" s="18"/>
      <c r="H44" s="5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D44" s="16"/>
      <c r="AE44" s="16"/>
      <c r="AF44" s="105"/>
      <c r="AG44" s="106"/>
    </row>
    <row r="45" spans="1:33" s="5" customFormat="1" ht="21.75" customHeight="1">
      <c r="A45" s="12">
        <f t="shared" si="0"/>
        <v>33</v>
      </c>
      <c r="B45" s="77" t="s">
        <v>92</v>
      </c>
      <c r="C45" s="78"/>
      <c r="D45" s="78"/>
      <c r="E45" s="78"/>
      <c r="F45" s="78"/>
      <c r="G45" s="78"/>
      <c r="H45" s="79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05"/>
      <c r="AG45" s="106"/>
    </row>
    <row r="46" spans="1:33" s="5" customFormat="1" ht="21.75" customHeight="1">
      <c r="A46" s="12">
        <f t="shared" si="0"/>
        <v>34</v>
      </c>
      <c r="B46" s="19" t="s">
        <v>91</v>
      </c>
      <c r="C46" s="55"/>
      <c r="D46" s="15"/>
      <c r="E46" s="16"/>
      <c r="F46" s="22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05"/>
      <c r="AG46" s="106"/>
    </row>
    <row r="47" spans="1:33" s="5" customFormat="1" ht="21.75" customHeight="1">
      <c r="A47" s="12">
        <f t="shared" si="0"/>
        <v>35</v>
      </c>
      <c r="B47" s="74">
        <v>37150</v>
      </c>
      <c r="C47" s="74">
        <v>39800</v>
      </c>
      <c r="D47" s="15" t="s">
        <v>90</v>
      </c>
      <c r="E47" s="16">
        <f>C47-B47</f>
        <v>2650</v>
      </c>
      <c r="F47" s="17">
        <v>2.81</v>
      </c>
      <c r="G47" s="18"/>
      <c r="H47" s="16"/>
      <c r="I47" s="16">
        <f>IF($G47=0,ROUND($E47*$F47,2),ROUND($E47*$F47*$G47,2))</f>
        <v>7446.5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>
        <f>ROUND(-((($I47+$J47)*(Z$72/12))/27),2)</f>
        <v>-34.47</v>
      </c>
      <c r="AA47" s="16"/>
      <c r="AB47" s="16"/>
      <c r="AC47" s="16"/>
      <c r="AD47" s="16"/>
      <c r="AE47" s="16"/>
      <c r="AF47" s="105"/>
      <c r="AG47" s="106"/>
    </row>
    <row r="48" spans="1:33" s="5" customFormat="1" ht="21.75" customHeight="1">
      <c r="A48" s="12">
        <f t="shared" si="0"/>
        <v>36</v>
      </c>
      <c r="B48" s="74">
        <v>39800</v>
      </c>
      <c r="C48" s="74">
        <v>42100</v>
      </c>
      <c r="D48" s="15" t="s">
        <v>90</v>
      </c>
      <c r="E48" s="16">
        <f>C48-B48</f>
        <v>2300</v>
      </c>
      <c r="F48" s="17">
        <v>2.81</v>
      </c>
      <c r="G48" s="18"/>
      <c r="H48" s="16"/>
      <c r="I48" s="16">
        <f>IF($G48=0,ROUND($E48*$F48,2),ROUND($E48*$F48*$G48,2))</f>
        <v>6463</v>
      </c>
      <c r="J48" s="16"/>
      <c r="K48" s="16"/>
      <c r="L48" s="16"/>
      <c r="M48" s="16"/>
      <c r="N48" s="16"/>
      <c r="O48" s="16"/>
      <c r="P48" s="41"/>
      <c r="Q48" s="16"/>
      <c r="R48" s="16"/>
      <c r="S48" s="16"/>
      <c r="T48" s="16"/>
      <c r="U48" s="16"/>
      <c r="V48" s="16"/>
      <c r="W48" s="16"/>
      <c r="X48" s="16"/>
      <c r="Y48" s="16"/>
      <c r="Z48" s="16">
        <f>ROUND(-((($I48+$J48)*(Z$72/12))/27),2)</f>
        <v>-29.92</v>
      </c>
      <c r="AA48" s="16"/>
      <c r="AB48" s="16"/>
      <c r="AC48" s="16"/>
      <c r="AD48" s="16"/>
      <c r="AE48" s="16"/>
      <c r="AF48" s="105"/>
      <c r="AG48" s="106"/>
    </row>
    <row r="49" spans="1:33" s="5" customFormat="1" ht="21.75" customHeight="1">
      <c r="A49" s="12">
        <f t="shared" si="0"/>
        <v>37</v>
      </c>
      <c r="B49" s="74">
        <v>42100</v>
      </c>
      <c r="C49" s="74">
        <v>42505.16</v>
      </c>
      <c r="D49" s="15" t="s">
        <v>90</v>
      </c>
      <c r="E49" s="16">
        <f>C49-B49</f>
        <v>405.1600000000035</v>
      </c>
      <c r="F49" s="17">
        <v>2.81</v>
      </c>
      <c r="G49" s="18"/>
      <c r="H49" s="16"/>
      <c r="I49" s="16">
        <f>IF($G49=0,ROUND($E49*$F49,2),ROUND($E49*$F49*$G49,2))</f>
        <v>1138.5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>
        <f>ROUND(-((($I49+$J49)*(Z$72/12))/27),2)</f>
        <v>-5.27</v>
      </c>
      <c r="AA49" s="16"/>
      <c r="AB49" s="16"/>
      <c r="AC49" s="16"/>
      <c r="AD49" s="16"/>
      <c r="AE49" s="16"/>
      <c r="AF49" s="105"/>
      <c r="AG49" s="106"/>
    </row>
    <row r="50" spans="1:33" s="5" customFormat="1" ht="21.75" customHeight="1" thickBot="1">
      <c r="A50" s="12">
        <f t="shared" si="0"/>
        <v>38</v>
      </c>
      <c r="B50" s="74">
        <v>42710.73</v>
      </c>
      <c r="C50" s="74">
        <v>42901.43</v>
      </c>
      <c r="D50" s="15" t="s">
        <v>90</v>
      </c>
      <c r="E50" s="16">
        <f>C50-B50</f>
        <v>190.6999999999971</v>
      </c>
      <c r="F50" s="17">
        <v>2.81</v>
      </c>
      <c r="G50" s="18"/>
      <c r="H50" s="16"/>
      <c r="I50" s="16">
        <f>IF($G50=0,ROUND($E50*$F50,2),ROUND($E50*$F50*$G50,2))</f>
        <v>535.87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>
        <f>ROUND(-((($I50+$J50)*(Z$72/12))/27),2)</f>
        <v>-2.48</v>
      </c>
      <c r="AA50" s="16"/>
      <c r="AB50" s="16"/>
      <c r="AC50" s="16"/>
      <c r="AD50" s="16"/>
      <c r="AE50" s="16"/>
      <c r="AF50" s="107"/>
      <c r="AG50" s="108"/>
    </row>
    <row r="51" spans="1:33" s="5" customFormat="1" ht="21.75" customHeight="1">
      <c r="A51" s="12">
        <f t="shared" si="0"/>
        <v>39</v>
      </c>
      <c r="B51" s="74">
        <v>43116.15</v>
      </c>
      <c r="C51" s="74">
        <v>46936.72</v>
      </c>
      <c r="D51" s="15" t="s">
        <v>90</v>
      </c>
      <c r="E51" s="16">
        <f>C51-B51</f>
        <v>3820.5699999999997</v>
      </c>
      <c r="F51" s="17">
        <v>2.81</v>
      </c>
      <c r="G51" s="18"/>
      <c r="H51" s="16"/>
      <c r="I51" s="16">
        <f>IF($G51=0,ROUND($E51*$F51,2),ROUND($E51*$F51*$G51,2))</f>
        <v>10735.8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>
        <f>ROUND(-((($I51+$J51)*(Z$72/12))/27),2)</f>
        <v>-49.7</v>
      </c>
      <c r="AA51" s="16"/>
      <c r="AB51" s="16"/>
      <c r="AC51" s="16"/>
      <c r="AD51" s="16"/>
      <c r="AE51" s="16"/>
      <c r="AF51" s="103" t="s">
        <v>93</v>
      </c>
      <c r="AG51" s="104"/>
    </row>
    <row r="52" spans="1:33" s="5" customFormat="1" ht="21.75" customHeight="1">
      <c r="A52" s="12">
        <f t="shared" si="0"/>
        <v>40</v>
      </c>
      <c r="B52" s="19"/>
      <c r="C52" s="14"/>
      <c r="D52" s="15"/>
      <c r="E52" s="16"/>
      <c r="F52" s="17"/>
      <c r="G52" s="1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05"/>
      <c r="AG52" s="106"/>
    </row>
    <row r="53" spans="1:33" s="5" customFormat="1" ht="21.75" customHeight="1">
      <c r="A53" s="12">
        <f t="shared" si="0"/>
        <v>41</v>
      </c>
      <c r="B53" s="13"/>
      <c r="C53" s="14"/>
      <c r="D53" s="15"/>
      <c r="E53" s="16"/>
      <c r="F53" s="17"/>
      <c r="G53" s="1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05"/>
      <c r="AG53" s="106"/>
    </row>
    <row r="54" spans="1:33" s="5" customFormat="1" ht="21.75" customHeight="1">
      <c r="A54" s="12">
        <f t="shared" si="0"/>
        <v>42</v>
      </c>
      <c r="B54" s="13"/>
      <c r="C54" s="14"/>
      <c r="D54" s="15"/>
      <c r="E54" s="16"/>
      <c r="F54" s="17"/>
      <c r="G54" s="1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05"/>
      <c r="AG54" s="106"/>
    </row>
    <row r="55" spans="1:33" s="5" customFormat="1" ht="21.75" customHeight="1">
      <c r="A55" s="12">
        <f t="shared" si="0"/>
        <v>43</v>
      </c>
      <c r="B55" s="13"/>
      <c r="C55" s="13"/>
      <c r="D55" s="15"/>
      <c r="E55" s="16"/>
      <c r="F55" s="17"/>
      <c r="G55" s="18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05"/>
      <c r="AG55" s="106"/>
    </row>
    <row r="56" spans="1:33" s="5" customFormat="1" ht="21.75" customHeight="1">
      <c r="A56" s="12">
        <f t="shared" si="0"/>
        <v>44</v>
      </c>
      <c r="B56" s="13"/>
      <c r="C56" s="14"/>
      <c r="D56" s="15"/>
      <c r="E56" s="16"/>
      <c r="F56" s="17"/>
      <c r="G56" s="1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05"/>
      <c r="AG56" s="106"/>
    </row>
    <row r="57" spans="1:33" s="5" customFormat="1" ht="21.75" customHeight="1">
      <c r="A57" s="12">
        <f t="shared" si="0"/>
        <v>45</v>
      </c>
      <c r="B57" s="13"/>
      <c r="C57" s="14"/>
      <c r="D57" s="15"/>
      <c r="E57" s="16"/>
      <c r="F57" s="17"/>
      <c r="G57" s="18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05"/>
      <c r="AG57" s="106"/>
    </row>
    <row r="58" spans="1:33" s="5" customFormat="1" ht="21.75" customHeight="1">
      <c r="A58" s="12">
        <f t="shared" si="0"/>
        <v>46</v>
      </c>
      <c r="B58" s="19"/>
      <c r="C58" s="14"/>
      <c r="D58" s="15"/>
      <c r="E58" s="16"/>
      <c r="F58" s="17"/>
      <c r="G58" s="18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05"/>
      <c r="AG58" s="106"/>
    </row>
    <row r="59" spans="1:33" s="5" customFormat="1" ht="21.75" customHeight="1">
      <c r="A59" s="12">
        <f t="shared" si="0"/>
        <v>47</v>
      </c>
      <c r="B59" s="13"/>
      <c r="C59" s="14"/>
      <c r="D59" s="15"/>
      <c r="E59" s="16"/>
      <c r="F59" s="17"/>
      <c r="G59" s="18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05"/>
      <c r="AG59" s="106"/>
    </row>
    <row r="60" spans="1:33" s="24" customFormat="1" ht="21.75" customHeight="1">
      <c r="A60" s="12">
        <f t="shared" si="0"/>
        <v>48</v>
      </c>
      <c r="B60" s="13"/>
      <c r="C60" s="14"/>
      <c r="D60" s="15"/>
      <c r="E60" s="16"/>
      <c r="F60" s="17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05"/>
      <c r="AG60" s="106"/>
    </row>
    <row r="61" spans="1:33" s="24" customFormat="1" ht="21.75" customHeight="1">
      <c r="A61" s="12">
        <f t="shared" si="0"/>
        <v>49</v>
      </c>
      <c r="B61" s="13"/>
      <c r="C61" s="14"/>
      <c r="D61" s="15"/>
      <c r="E61" s="16"/>
      <c r="F61" s="17"/>
      <c r="G61" s="18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05"/>
      <c r="AG61" s="106"/>
    </row>
    <row r="62" spans="1:33" s="24" customFormat="1" ht="21.75" customHeight="1">
      <c r="A62" s="12">
        <f t="shared" si="0"/>
        <v>50</v>
      </c>
      <c r="B62" s="19"/>
      <c r="C62" s="14"/>
      <c r="D62" s="15"/>
      <c r="E62" s="16"/>
      <c r="F62" s="17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05"/>
      <c r="AG62" s="106"/>
    </row>
    <row r="63" spans="1:33" s="24" customFormat="1" ht="21.75" customHeight="1">
      <c r="A63" s="12">
        <f t="shared" si="0"/>
        <v>51</v>
      </c>
      <c r="B63" s="13"/>
      <c r="C63" s="14"/>
      <c r="D63" s="15"/>
      <c r="E63" s="16"/>
      <c r="F63" s="17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05"/>
      <c r="AG63" s="106"/>
    </row>
    <row r="64" spans="1:33" s="24" customFormat="1" ht="21.75" customHeight="1">
      <c r="A64" s="12">
        <f t="shared" si="0"/>
        <v>52</v>
      </c>
      <c r="B64" s="13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12"/>
      <c r="AG64" s="106"/>
    </row>
    <row r="65" spans="1:33" s="24" customFormat="1" ht="21.75" customHeight="1">
      <c r="A65" s="12">
        <f t="shared" si="0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12"/>
      <c r="AG65" s="106"/>
    </row>
    <row r="66" spans="1:33" s="24" customFormat="1" ht="21.75" customHeight="1" thickBot="1">
      <c r="A66" s="12">
        <f t="shared" si="0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13"/>
      <c r="AG66" s="108"/>
    </row>
    <row r="67" spans="2:33" s="25" customFormat="1" ht="46.5" customHeight="1">
      <c r="B67" s="93" t="s">
        <v>8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5"/>
      <c r="Q67" s="110" t="str">
        <f aca="true" t="shared" si="1" ref="Q67:AE67">IF(SUM(Q13:Q66)=0," ",ROUNDUP(SUM(Q13:Q66),0))</f>
        <v> </v>
      </c>
      <c r="R67" s="110" t="str">
        <f t="shared" si="1"/>
        <v> </v>
      </c>
      <c r="S67" s="110">
        <f t="shared" si="1"/>
        <v>2</v>
      </c>
      <c r="T67" s="110" t="str">
        <f t="shared" si="1"/>
        <v> </v>
      </c>
      <c r="U67" s="110" t="str">
        <f t="shared" si="1"/>
        <v> </v>
      </c>
      <c r="V67" s="110" t="str">
        <f t="shared" si="1"/>
        <v> </v>
      </c>
      <c r="W67" s="110" t="str">
        <f t="shared" si="1"/>
        <v> </v>
      </c>
      <c r="X67" s="110" t="str">
        <f t="shared" si="1"/>
        <v> </v>
      </c>
      <c r="Y67" s="110" t="str">
        <f t="shared" si="1"/>
        <v> </v>
      </c>
      <c r="Z67" s="110">
        <f t="shared" si="1"/>
        <v>-122</v>
      </c>
      <c r="AA67" s="110" t="str">
        <f t="shared" si="1"/>
        <v> </v>
      </c>
      <c r="AB67" s="110" t="str">
        <f t="shared" si="1"/>
        <v> </v>
      </c>
      <c r="AC67" s="110" t="str">
        <f t="shared" si="1"/>
        <v> </v>
      </c>
      <c r="AD67" s="110" t="str">
        <f t="shared" si="1"/>
        <v> </v>
      </c>
      <c r="AE67" s="110" t="str">
        <f t="shared" si="1"/>
        <v> </v>
      </c>
      <c r="AF67" s="120">
        <v>15</v>
      </c>
      <c r="AG67" s="121"/>
    </row>
    <row r="68" spans="2:33" s="25" customFormat="1" ht="46.5" customHeight="1" thickBot="1"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8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4">
        <v>15</v>
      </c>
      <c r="AG68" s="115"/>
    </row>
    <row r="69" spans="1:34" ht="36" customHeight="1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T69" s="27"/>
      <c r="U69" s="27"/>
      <c r="V69" s="1"/>
      <c r="W69" s="27"/>
      <c r="X69" s="27"/>
      <c r="Y69" s="27"/>
      <c r="Z69" s="27"/>
      <c r="AA69" s="27"/>
      <c r="AB69" s="27"/>
      <c r="AF69" s="27"/>
      <c r="AG69" s="27"/>
      <c r="AH69" s="28"/>
    </row>
    <row r="70" spans="2:33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T70" s="27"/>
      <c r="U70" s="27"/>
      <c r="V70" s="1"/>
      <c r="W70" s="27"/>
      <c r="X70" s="27"/>
      <c r="Y70" s="27"/>
      <c r="Z70" s="27"/>
      <c r="AA70" s="27"/>
      <c r="AB70" s="27"/>
      <c r="AF70" s="27"/>
      <c r="AG70" s="27"/>
    </row>
    <row r="71" spans="2:33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T71" s="27"/>
      <c r="U71" s="27"/>
      <c r="V71" s="1"/>
      <c r="W71" s="27"/>
      <c r="X71" s="27"/>
      <c r="Y71" s="27"/>
      <c r="Z71" s="27"/>
      <c r="AA71" s="27"/>
      <c r="AB71" s="27"/>
      <c r="AF71" s="27"/>
      <c r="AG71" s="27"/>
    </row>
    <row r="72" spans="2:33" ht="15.75">
      <c r="B72" s="126" t="s">
        <v>34</v>
      </c>
      <c r="C72" s="127"/>
      <c r="D72" s="127"/>
      <c r="E72" s="127"/>
      <c r="F72" s="127"/>
      <c r="G72" s="128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3">
        <v>5280</v>
      </c>
      <c r="T72" s="43"/>
      <c r="U72" s="43"/>
      <c r="V72" s="43"/>
      <c r="W72" s="44"/>
      <c r="X72" s="44"/>
      <c r="Y72" s="43"/>
      <c r="Z72" s="43">
        <v>1.5</v>
      </c>
      <c r="AA72" s="43"/>
      <c r="AB72" s="43"/>
      <c r="AC72" s="43"/>
      <c r="AD72" s="43"/>
      <c r="AF72" s="27"/>
      <c r="AG72" s="27"/>
    </row>
    <row r="73" spans="2:33" ht="1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3"/>
      <c r="R73" s="23"/>
      <c r="T73" s="42"/>
      <c r="U73" s="42"/>
      <c r="V73" s="1"/>
      <c r="W73" s="45"/>
      <c r="X73" s="27"/>
      <c r="Y73" s="27"/>
      <c r="Z73" s="27"/>
      <c r="AA73" s="27"/>
      <c r="AB73" s="27"/>
      <c r="AF73" s="27"/>
      <c r="AG73" s="27"/>
    </row>
    <row r="74" spans="2:33" ht="15">
      <c r="B74" s="27"/>
      <c r="C74" s="29"/>
      <c r="D74" s="27"/>
      <c r="E74" s="27"/>
      <c r="F74" s="27"/>
      <c r="G74" s="27"/>
      <c r="H74" s="27"/>
      <c r="I74" s="27"/>
      <c r="J74" s="92"/>
      <c r="K74" s="124"/>
      <c r="L74" s="124"/>
      <c r="M74" s="124"/>
      <c r="N74" s="124"/>
      <c r="O74" s="124"/>
      <c r="P74" s="124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27"/>
      <c r="AG74" s="27"/>
    </row>
  </sheetData>
  <sheetProtection/>
  <mergeCells count="55">
    <mergeCell ref="B3:C11"/>
    <mergeCell ref="D3:D11"/>
    <mergeCell ref="E3:E11"/>
    <mergeCell ref="F3:F11"/>
    <mergeCell ref="G3:G11"/>
    <mergeCell ref="H3:H11"/>
    <mergeCell ref="U4:U11"/>
    <mergeCell ref="V4:V11"/>
    <mergeCell ref="I3:I11"/>
    <mergeCell ref="J3:J11"/>
    <mergeCell ref="K3:K11"/>
    <mergeCell ref="L3:L11"/>
    <mergeCell ref="M3:M11"/>
    <mergeCell ref="N3:N11"/>
    <mergeCell ref="O3:O11"/>
    <mergeCell ref="P3:P11"/>
    <mergeCell ref="Q4:Q11"/>
    <mergeCell ref="R4:R11"/>
    <mergeCell ref="S4:S11"/>
    <mergeCell ref="T4:T11"/>
    <mergeCell ref="AE67:AE68"/>
    <mergeCell ref="AF67:AG67"/>
    <mergeCell ref="AF51:AG66"/>
    <mergeCell ref="W4:W11"/>
    <mergeCell ref="X4:X11"/>
    <mergeCell ref="Y4:Y11"/>
    <mergeCell ref="R67:R68"/>
    <mergeCell ref="S67:S68"/>
    <mergeCell ref="AF68:AG68"/>
    <mergeCell ref="V67:V68"/>
    <mergeCell ref="Z4:Z11"/>
    <mergeCell ref="AA4:AA11"/>
    <mergeCell ref="AB4:AB11"/>
    <mergeCell ref="AC4:AC11"/>
    <mergeCell ref="AD4:AD11"/>
    <mergeCell ref="AE4:AE11"/>
    <mergeCell ref="B14:I14"/>
    <mergeCell ref="B72:G72"/>
    <mergeCell ref="J74:P74"/>
    <mergeCell ref="B45:H45"/>
    <mergeCell ref="AF6:AG50"/>
    <mergeCell ref="AF3:AF5"/>
    <mergeCell ref="AG3:AG5"/>
    <mergeCell ref="AD67:AD68"/>
    <mergeCell ref="B67:P68"/>
    <mergeCell ref="Q67:Q68"/>
    <mergeCell ref="AB67:AB68"/>
    <mergeCell ref="AC67:AC68"/>
    <mergeCell ref="Z67:Z68"/>
    <mergeCell ref="AA67:AA68"/>
    <mergeCell ref="T67:T68"/>
    <mergeCell ref="U67:U68"/>
    <mergeCell ref="W67:W68"/>
    <mergeCell ref="X67:X68"/>
    <mergeCell ref="Y67:Y68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AA4" sqref="AA4:AA11"/>
    </sheetView>
  </sheetViews>
  <sheetFormatPr defaultColWidth="9.140625" defaultRowHeight="12.75"/>
  <cols>
    <col min="1" max="3" width="24.7109375" style="1" customWidth="1"/>
    <col min="4" max="22" width="15.7109375" style="1" customWidth="1"/>
    <col min="23" max="23" width="15.7109375" style="46" customWidth="1"/>
    <col min="24" max="31" width="15.7109375" style="1" customWidth="1"/>
    <col min="32" max="34" width="6.7109375" style="1" customWidth="1"/>
    <col min="35" max="16384" width="9.140625" style="1" customWidth="1"/>
  </cols>
  <sheetData>
    <row r="1" spans="19:31" ht="12.75">
      <c r="S1" s="48"/>
      <c r="T1" s="48"/>
      <c r="U1" s="48"/>
      <c r="V1" s="48"/>
      <c r="W1" s="49"/>
      <c r="X1" s="48"/>
      <c r="Z1" s="48"/>
      <c r="AA1" s="48"/>
      <c r="AE1" s="48"/>
    </row>
    <row r="2" spans="1:34" s="4" customFormat="1" ht="36" customHeight="1" thickBot="1">
      <c r="A2" s="2"/>
      <c r="B2" s="31" t="s">
        <v>14</v>
      </c>
      <c r="C2" s="32"/>
      <c r="D2" s="33"/>
      <c r="E2" s="33"/>
      <c r="F2" s="33"/>
      <c r="G2" s="33"/>
      <c r="I2" s="34"/>
      <c r="J2" s="33"/>
      <c r="K2" s="33"/>
      <c r="L2" s="33"/>
      <c r="M2" s="33"/>
      <c r="N2" s="33"/>
      <c r="O2" s="33"/>
      <c r="P2" s="33"/>
      <c r="Q2" s="34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47"/>
      <c r="AE2" s="50"/>
      <c r="AH2" s="3"/>
    </row>
    <row r="3" spans="2:34" s="5" customFormat="1" ht="21.75" customHeight="1">
      <c r="B3" s="93" t="s">
        <v>0</v>
      </c>
      <c r="C3" s="95"/>
      <c r="D3" s="89" t="s">
        <v>3</v>
      </c>
      <c r="E3" s="89" t="s">
        <v>4</v>
      </c>
      <c r="F3" s="89" t="s">
        <v>5</v>
      </c>
      <c r="G3" s="86" t="s">
        <v>12</v>
      </c>
      <c r="H3" s="86" t="s">
        <v>94</v>
      </c>
      <c r="I3" s="89" t="s">
        <v>6</v>
      </c>
      <c r="J3" s="86" t="s">
        <v>10</v>
      </c>
      <c r="K3" s="86" t="s">
        <v>15</v>
      </c>
      <c r="L3" s="86" t="s">
        <v>16</v>
      </c>
      <c r="M3" s="86" t="s">
        <v>17</v>
      </c>
      <c r="N3" s="86" t="s">
        <v>18</v>
      </c>
      <c r="O3" s="86" t="s">
        <v>19</v>
      </c>
      <c r="P3" s="86" t="s">
        <v>20</v>
      </c>
      <c r="Q3" s="86" t="s">
        <v>21</v>
      </c>
      <c r="R3" s="86" t="s">
        <v>84</v>
      </c>
      <c r="S3" s="35"/>
      <c r="T3" s="35">
        <v>302</v>
      </c>
      <c r="U3" s="35">
        <v>304</v>
      </c>
      <c r="V3" s="35"/>
      <c r="W3" s="35">
        <v>407</v>
      </c>
      <c r="X3" s="35"/>
      <c r="Y3" s="35"/>
      <c r="Z3" s="35">
        <v>442</v>
      </c>
      <c r="AA3" s="35">
        <v>442</v>
      </c>
      <c r="AB3" s="35">
        <v>442</v>
      </c>
      <c r="AC3" s="35"/>
      <c r="AD3" s="36">
        <v>609</v>
      </c>
      <c r="AE3" s="36"/>
      <c r="AF3" s="116" t="s">
        <v>11</v>
      </c>
      <c r="AG3" s="116" t="s">
        <v>13</v>
      </c>
      <c r="AH3" s="6"/>
    </row>
    <row r="4" spans="2:34" s="5" customFormat="1" ht="27.75" customHeight="1">
      <c r="B4" s="99"/>
      <c r="C4" s="100"/>
      <c r="D4" s="90"/>
      <c r="E4" s="90"/>
      <c r="F4" s="90"/>
      <c r="G4" s="87"/>
      <c r="H4" s="87"/>
      <c r="I4" s="90"/>
      <c r="J4" s="122"/>
      <c r="K4" s="122"/>
      <c r="L4" s="87"/>
      <c r="M4" s="87"/>
      <c r="N4" s="87"/>
      <c r="O4" s="87"/>
      <c r="P4" s="87"/>
      <c r="Q4" s="87"/>
      <c r="R4" s="87"/>
      <c r="S4" s="83"/>
      <c r="T4" s="83" t="s">
        <v>22</v>
      </c>
      <c r="U4" s="83" t="s">
        <v>96</v>
      </c>
      <c r="V4" s="83"/>
      <c r="W4" s="83" t="s">
        <v>82</v>
      </c>
      <c r="X4" s="83"/>
      <c r="Y4" s="109"/>
      <c r="Z4" s="83" t="s">
        <v>83</v>
      </c>
      <c r="AA4" s="109" t="s">
        <v>97</v>
      </c>
      <c r="AB4" s="109" t="s">
        <v>23</v>
      </c>
      <c r="AC4" s="83"/>
      <c r="AD4" s="109" t="s">
        <v>95</v>
      </c>
      <c r="AE4" s="109"/>
      <c r="AF4" s="117"/>
      <c r="AG4" s="119"/>
      <c r="AH4" s="7"/>
    </row>
    <row r="5" spans="2:33" s="5" customFormat="1" ht="27.75" customHeight="1" thickBot="1">
      <c r="B5" s="99"/>
      <c r="C5" s="100"/>
      <c r="D5" s="90"/>
      <c r="E5" s="90"/>
      <c r="F5" s="90"/>
      <c r="G5" s="87"/>
      <c r="H5" s="87"/>
      <c r="I5" s="90"/>
      <c r="J5" s="122"/>
      <c r="K5" s="122"/>
      <c r="L5" s="87"/>
      <c r="M5" s="87"/>
      <c r="N5" s="87"/>
      <c r="O5" s="87"/>
      <c r="P5" s="87"/>
      <c r="Q5" s="87"/>
      <c r="R5" s="87"/>
      <c r="S5" s="84"/>
      <c r="T5" s="84"/>
      <c r="U5" s="84"/>
      <c r="V5" s="84"/>
      <c r="W5" s="84"/>
      <c r="X5" s="84"/>
      <c r="Y5" s="87"/>
      <c r="Z5" s="84"/>
      <c r="AA5" s="87"/>
      <c r="AB5" s="87"/>
      <c r="AC5" s="84"/>
      <c r="AD5" s="87"/>
      <c r="AE5" s="87"/>
      <c r="AF5" s="118"/>
      <c r="AG5" s="119"/>
    </row>
    <row r="6" spans="2:33" s="5" customFormat="1" ht="27.75" customHeight="1">
      <c r="B6" s="99"/>
      <c r="C6" s="100"/>
      <c r="D6" s="90"/>
      <c r="E6" s="90"/>
      <c r="F6" s="90"/>
      <c r="G6" s="87"/>
      <c r="H6" s="87"/>
      <c r="I6" s="90"/>
      <c r="J6" s="122"/>
      <c r="K6" s="122"/>
      <c r="L6" s="87"/>
      <c r="M6" s="87"/>
      <c r="N6" s="87"/>
      <c r="O6" s="87"/>
      <c r="P6" s="87"/>
      <c r="Q6" s="87"/>
      <c r="R6" s="87"/>
      <c r="S6" s="84"/>
      <c r="T6" s="84"/>
      <c r="U6" s="84"/>
      <c r="V6" s="84"/>
      <c r="W6" s="84"/>
      <c r="X6" s="84"/>
      <c r="Y6" s="87"/>
      <c r="Z6" s="84"/>
      <c r="AA6" s="87"/>
      <c r="AB6" s="87"/>
      <c r="AC6" s="84"/>
      <c r="AD6" s="87"/>
      <c r="AE6" s="87"/>
      <c r="AF6" s="103" t="s">
        <v>81</v>
      </c>
      <c r="AG6" s="104"/>
    </row>
    <row r="7" spans="2:33" s="5" customFormat="1" ht="27.75" customHeight="1">
      <c r="B7" s="99"/>
      <c r="C7" s="100"/>
      <c r="D7" s="90"/>
      <c r="E7" s="90"/>
      <c r="F7" s="90"/>
      <c r="G7" s="87"/>
      <c r="H7" s="87"/>
      <c r="I7" s="90"/>
      <c r="J7" s="122"/>
      <c r="K7" s="122"/>
      <c r="L7" s="87"/>
      <c r="M7" s="87"/>
      <c r="N7" s="87"/>
      <c r="O7" s="87"/>
      <c r="P7" s="87"/>
      <c r="Q7" s="87"/>
      <c r="R7" s="87"/>
      <c r="S7" s="84"/>
      <c r="T7" s="84"/>
      <c r="U7" s="84"/>
      <c r="V7" s="84"/>
      <c r="W7" s="84"/>
      <c r="X7" s="84"/>
      <c r="Y7" s="87"/>
      <c r="Z7" s="84"/>
      <c r="AA7" s="87"/>
      <c r="AB7" s="87"/>
      <c r="AC7" s="84"/>
      <c r="AD7" s="87"/>
      <c r="AE7" s="87"/>
      <c r="AF7" s="105"/>
      <c r="AG7" s="106"/>
    </row>
    <row r="8" spans="2:33" s="5" customFormat="1" ht="27.75" customHeight="1">
      <c r="B8" s="99"/>
      <c r="C8" s="100"/>
      <c r="D8" s="90"/>
      <c r="E8" s="90"/>
      <c r="F8" s="90"/>
      <c r="G8" s="87"/>
      <c r="H8" s="87"/>
      <c r="I8" s="90"/>
      <c r="J8" s="122"/>
      <c r="K8" s="122"/>
      <c r="L8" s="87"/>
      <c r="M8" s="87"/>
      <c r="N8" s="87"/>
      <c r="O8" s="87"/>
      <c r="P8" s="87"/>
      <c r="Q8" s="87"/>
      <c r="R8" s="87"/>
      <c r="S8" s="84"/>
      <c r="T8" s="84"/>
      <c r="U8" s="84"/>
      <c r="V8" s="84"/>
      <c r="W8" s="84"/>
      <c r="X8" s="84"/>
      <c r="Y8" s="87"/>
      <c r="Z8" s="84"/>
      <c r="AA8" s="87"/>
      <c r="AB8" s="87"/>
      <c r="AC8" s="84"/>
      <c r="AD8" s="87"/>
      <c r="AE8" s="87"/>
      <c r="AF8" s="105"/>
      <c r="AG8" s="106"/>
    </row>
    <row r="9" spans="2:33" s="5" customFormat="1" ht="27.75" customHeight="1">
      <c r="B9" s="99"/>
      <c r="C9" s="100"/>
      <c r="D9" s="90"/>
      <c r="E9" s="90"/>
      <c r="F9" s="90"/>
      <c r="G9" s="87"/>
      <c r="H9" s="87"/>
      <c r="I9" s="90"/>
      <c r="J9" s="122"/>
      <c r="K9" s="122"/>
      <c r="L9" s="87"/>
      <c r="M9" s="87"/>
      <c r="N9" s="87"/>
      <c r="O9" s="87"/>
      <c r="P9" s="87"/>
      <c r="Q9" s="87"/>
      <c r="R9" s="87"/>
      <c r="S9" s="84"/>
      <c r="T9" s="84"/>
      <c r="U9" s="84"/>
      <c r="V9" s="84"/>
      <c r="W9" s="84"/>
      <c r="X9" s="84"/>
      <c r="Y9" s="87"/>
      <c r="Z9" s="84"/>
      <c r="AA9" s="87"/>
      <c r="AB9" s="87"/>
      <c r="AC9" s="84"/>
      <c r="AD9" s="87"/>
      <c r="AE9" s="87"/>
      <c r="AF9" s="105"/>
      <c r="AG9" s="106"/>
    </row>
    <row r="10" spans="2:33" s="5" customFormat="1" ht="27.75" customHeight="1">
      <c r="B10" s="99"/>
      <c r="C10" s="100"/>
      <c r="D10" s="90"/>
      <c r="E10" s="90"/>
      <c r="F10" s="90"/>
      <c r="G10" s="87"/>
      <c r="H10" s="87"/>
      <c r="I10" s="90"/>
      <c r="J10" s="122"/>
      <c r="K10" s="122"/>
      <c r="L10" s="87"/>
      <c r="M10" s="87"/>
      <c r="N10" s="87"/>
      <c r="O10" s="87"/>
      <c r="P10" s="87"/>
      <c r="Q10" s="87"/>
      <c r="R10" s="87"/>
      <c r="S10" s="84"/>
      <c r="T10" s="84"/>
      <c r="U10" s="84"/>
      <c r="V10" s="84"/>
      <c r="W10" s="84"/>
      <c r="X10" s="84"/>
      <c r="Y10" s="87"/>
      <c r="Z10" s="84"/>
      <c r="AA10" s="87"/>
      <c r="AB10" s="87"/>
      <c r="AC10" s="84"/>
      <c r="AD10" s="87"/>
      <c r="AE10" s="87"/>
      <c r="AF10" s="105"/>
      <c r="AG10" s="106"/>
    </row>
    <row r="11" spans="2:33" s="8" customFormat="1" ht="27.75" customHeight="1">
      <c r="B11" s="101"/>
      <c r="C11" s="102"/>
      <c r="D11" s="91"/>
      <c r="E11" s="91"/>
      <c r="F11" s="91"/>
      <c r="G11" s="88"/>
      <c r="H11" s="88"/>
      <c r="I11" s="91"/>
      <c r="J11" s="123"/>
      <c r="K11" s="123"/>
      <c r="L11" s="88"/>
      <c r="M11" s="88"/>
      <c r="N11" s="88"/>
      <c r="O11" s="88"/>
      <c r="P11" s="88"/>
      <c r="Q11" s="88"/>
      <c r="R11" s="88"/>
      <c r="S11" s="85"/>
      <c r="T11" s="85"/>
      <c r="U11" s="85"/>
      <c r="V11" s="85"/>
      <c r="W11" s="85"/>
      <c r="X11" s="85"/>
      <c r="Y11" s="88"/>
      <c r="Z11" s="85"/>
      <c r="AA11" s="88"/>
      <c r="AB11" s="88"/>
      <c r="AC11" s="85"/>
      <c r="AD11" s="88"/>
      <c r="AE11" s="88"/>
      <c r="AF11" s="105"/>
      <c r="AG11" s="106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11"/>
      <c r="I12" s="11" t="s">
        <v>9</v>
      </c>
      <c r="J12" s="11" t="s">
        <v>9</v>
      </c>
      <c r="K12" s="11" t="s">
        <v>9</v>
      </c>
      <c r="L12" s="11" t="s">
        <v>9</v>
      </c>
      <c r="M12" s="11" t="s">
        <v>9</v>
      </c>
      <c r="N12" s="11" t="s">
        <v>9</v>
      </c>
      <c r="O12" s="11" t="s">
        <v>9</v>
      </c>
      <c r="P12" s="11" t="s">
        <v>9</v>
      </c>
      <c r="Q12" s="11" t="s">
        <v>9</v>
      </c>
      <c r="R12" s="11" t="s">
        <v>9</v>
      </c>
      <c r="S12" s="37"/>
      <c r="T12" s="37" t="s">
        <v>24</v>
      </c>
      <c r="U12" s="37" t="s">
        <v>24</v>
      </c>
      <c r="V12" s="37"/>
      <c r="W12" s="37" t="s">
        <v>25</v>
      </c>
      <c r="X12" s="37"/>
      <c r="Y12" s="37"/>
      <c r="Z12" s="37" t="s">
        <v>24</v>
      </c>
      <c r="AA12" s="37" t="s">
        <v>24</v>
      </c>
      <c r="AB12" s="37" t="s">
        <v>24</v>
      </c>
      <c r="AC12" s="37"/>
      <c r="AD12" s="11" t="s">
        <v>7</v>
      </c>
      <c r="AE12" s="11"/>
      <c r="AF12" s="105"/>
      <c r="AG12" s="106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05"/>
      <c r="AG13" s="106"/>
    </row>
    <row r="14" spans="1:33" s="5" customFormat="1" ht="21.75" customHeight="1">
      <c r="A14" s="12">
        <f>A13+1</f>
        <v>2</v>
      </c>
      <c r="B14" s="77" t="s">
        <v>74</v>
      </c>
      <c r="C14" s="78"/>
      <c r="D14" s="78"/>
      <c r="E14" s="78"/>
      <c r="F14" s="78"/>
      <c r="G14" s="78"/>
      <c r="H14" s="78"/>
      <c r="I14" s="7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05"/>
      <c r="AG14" s="106"/>
    </row>
    <row r="15" spans="1:33" s="5" customFormat="1" ht="21.75" customHeight="1">
      <c r="A15" s="12">
        <f aca="true" t="shared" si="0" ref="A15:A29">A14+1</f>
        <v>3</v>
      </c>
      <c r="B15" s="19" t="s">
        <v>36</v>
      </c>
      <c r="C15" s="20"/>
      <c r="D15" s="15"/>
      <c r="E15" s="16"/>
      <c r="F15" s="16"/>
      <c r="G15" s="16"/>
      <c r="H15" s="16"/>
      <c r="I15" s="16"/>
      <c r="J15" s="16"/>
      <c r="K15" s="16"/>
      <c r="L15" s="5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05"/>
      <c r="AG15" s="106"/>
    </row>
    <row r="16" spans="1:33" s="5" customFormat="1" ht="21.75" customHeight="1">
      <c r="A16" s="12">
        <f t="shared" si="0"/>
        <v>4</v>
      </c>
      <c r="B16" s="73">
        <v>37150</v>
      </c>
      <c r="C16" s="14">
        <v>37702.12</v>
      </c>
      <c r="D16" s="15" t="s">
        <v>29</v>
      </c>
      <c r="E16" s="16">
        <f>C16-B16</f>
        <v>552.1200000000026</v>
      </c>
      <c r="F16" s="80" t="s">
        <v>31</v>
      </c>
      <c r="G16" s="81"/>
      <c r="H16" s="81"/>
      <c r="I16" s="82"/>
      <c r="J16" s="16">
        <v>12310.94</v>
      </c>
      <c r="K16" s="16"/>
      <c r="L16" s="57"/>
      <c r="M16" s="15"/>
      <c r="N16" s="15"/>
      <c r="O16" s="15"/>
      <c r="P16" s="16"/>
      <c r="Q16" s="16"/>
      <c r="R16" s="16"/>
      <c r="S16" s="16"/>
      <c r="T16" s="16">
        <f>ROUND(((($I16+$J16)*(T$72/12)+($K16)*(T$73/12)+($M16)*(T$73/12))/27),2)</f>
        <v>303.97</v>
      </c>
      <c r="U16" s="16">
        <f>ROUND(((($I16+$J16+$N16+$O16+$P16+$Q16)*(U$72/12))/27),2)</f>
        <v>227.98</v>
      </c>
      <c r="V16" s="16"/>
      <c r="W16" s="16">
        <f>ROUND(((($I16+$J16)/9)*$W$72)+((($I16+$J16+$K16)/9)*$W$72)+((($I16+$J16+$M16)/9)*$W$72),2)</f>
        <v>225.7</v>
      </c>
      <c r="X16" s="16"/>
      <c r="Y16" s="16"/>
      <c r="Z16" s="16">
        <f aca="true" t="shared" si="1" ref="Z16:AA20">ROUND(((($I16+$J16)*(Z$72/12))/27),2)</f>
        <v>57</v>
      </c>
      <c r="AA16" s="16">
        <f t="shared" si="1"/>
        <v>66.49</v>
      </c>
      <c r="AB16" s="16"/>
      <c r="AC16" s="16"/>
      <c r="AD16" s="16"/>
      <c r="AE16" s="16"/>
      <c r="AF16" s="105"/>
      <c r="AG16" s="106"/>
    </row>
    <row r="17" spans="1:33" s="5" customFormat="1" ht="21.75" customHeight="1">
      <c r="A17" s="12">
        <f t="shared" si="0"/>
        <v>5</v>
      </c>
      <c r="B17" s="13">
        <f>C16</f>
        <v>37702.12</v>
      </c>
      <c r="C17" s="14">
        <v>38050</v>
      </c>
      <c r="D17" s="15" t="s">
        <v>29</v>
      </c>
      <c r="E17" s="16">
        <f>C17-B17</f>
        <v>347.8799999999974</v>
      </c>
      <c r="F17" s="17">
        <f>ROUND(AVERAGE(17.265,13.786),2)</f>
        <v>15.53</v>
      </c>
      <c r="G17" s="18"/>
      <c r="H17" s="16"/>
      <c r="I17" s="16">
        <f>IF(G17=0,ROUND($E17*$F17,2),ROUND($E17*$F17*$G17,2))</f>
        <v>5402.58</v>
      </c>
      <c r="J17" s="16"/>
      <c r="K17" s="16"/>
      <c r="L17" s="57"/>
      <c r="M17" s="16"/>
      <c r="N17" s="16"/>
      <c r="O17" s="16"/>
      <c r="P17" s="16"/>
      <c r="Q17" s="16"/>
      <c r="R17" s="16"/>
      <c r="S17" s="16"/>
      <c r="T17" s="16">
        <f>ROUND(((($I17+$J17)*(T$72/12)+($K17)*(T$73/12)+($M17)*(T$73/12))/27),2)</f>
        <v>133.4</v>
      </c>
      <c r="U17" s="16">
        <f>ROUND(((($I17+$J17+$N17+$O17+$P17+$Q17)*(U$72/12))/27),2)</f>
        <v>100.05</v>
      </c>
      <c r="V17" s="16"/>
      <c r="W17" s="16">
        <f>ROUND(((($I17+$J17)/9)*$W$72)+((($I17+$J17+$K17)/9)*$W$72)+((($I17+$J17+$M17)/9)*$W$72),2)</f>
        <v>99.05</v>
      </c>
      <c r="X17" s="16"/>
      <c r="Y17" s="16"/>
      <c r="Z17" s="16">
        <f t="shared" si="1"/>
        <v>25.01</v>
      </c>
      <c r="AA17" s="16">
        <f t="shared" si="1"/>
        <v>29.18</v>
      </c>
      <c r="AB17" s="16"/>
      <c r="AC17" s="16"/>
      <c r="AD17" s="16"/>
      <c r="AE17" s="16"/>
      <c r="AF17" s="105"/>
      <c r="AG17" s="106"/>
    </row>
    <row r="18" spans="1:33" s="5" customFormat="1" ht="21.75" customHeight="1">
      <c r="A18" s="12">
        <f t="shared" si="0"/>
        <v>6</v>
      </c>
      <c r="B18" s="13">
        <f>C17</f>
        <v>38050</v>
      </c>
      <c r="C18" s="14">
        <v>39137.36</v>
      </c>
      <c r="D18" s="15" t="s">
        <v>29</v>
      </c>
      <c r="E18" s="16">
        <f>C18-B18</f>
        <v>1087.3600000000006</v>
      </c>
      <c r="F18" s="17">
        <v>13.79</v>
      </c>
      <c r="G18" s="18"/>
      <c r="H18" s="16"/>
      <c r="I18" s="16">
        <f>IF(G18=0,ROUND($E18*$F18,2),ROUND($E18*$F18*$G18,2))</f>
        <v>14994.69</v>
      </c>
      <c r="J18" s="16"/>
      <c r="K18" s="16"/>
      <c r="L18" s="57"/>
      <c r="M18" s="16"/>
      <c r="N18" s="16"/>
      <c r="O18" s="16"/>
      <c r="P18" s="16"/>
      <c r="Q18" s="16"/>
      <c r="R18" s="16"/>
      <c r="S18" s="16"/>
      <c r="T18" s="16">
        <f>ROUND(((($I18+$J18)*(T$72/12)+($K18)*(T$73/12)+($M18)*(T$73/12))/27),2)</f>
        <v>370.24</v>
      </c>
      <c r="U18" s="16">
        <f>ROUND(((($I18+$J18+$N18+$O18+$P18+$Q18)*(U$72/12))/27),2)</f>
        <v>277.68</v>
      </c>
      <c r="V18" s="16"/>
      <c r="W18" s="16">
        <f>ROUND(((($I18+$J18)/9)*$W$72)+((($I18+$J18+$K18)/9)*$W$72)+((($I18+$J18+$M18)/9)*$W$72),2)</f>
        <v>274.9</v>
      </c>
      <c r="X18" s="16"/>
      <c r="Y18" s="16"/>
      <c r="Z18" s="16">
        <f t="shared" si="1"/>
        <v>69.42</v>
      </c>
      <c r="AA18" s="16">
        <f t="shared" si="1"/>
        <v>80.99</v>
      </c>
      <c r="AB18" s="16"/>
      <c r="AC18" s="16"/>
      <c r="AD18" s="16"/>
      <c r="AE18" s="16"/>
      <c r="AF18" s="105"/>
      <c r="AG18" s="106"/>
    </row>
    <row r="19" spans="1:33" s="5" customFormat="1" ht="21.75" customHeight="1">
      <c r="A19" s="12">
        <f t="shared" si="0"/>
        <v>7</v>
      </c>
      <c r="B19" s="13">
        <f>C18</f>
        <v>39137.36</v>
      </c>
      <c r="C19" s="14">
        <v>40459.11</v>
      </c>
      <c r="D19" s="15" t="s">
        <v>29</v>
      </c>
      <c r="E19" s="16">
        <f>C19-B19</f>
        <v>1321.75</v>
      </c>
      <c r="F19" s="17">
        <v>12</v>
      </c>
      <c r="G19" s="18">
        <f>ROUND((21630.9102+($F19/2))/21630.9102,4)</f>
        <v>1.0003</v>
      </c>
      <c r="H19" s="18">
        <f>ROUND((21630.9102+($F19))/21630.9102,4)</f>
        <v>1.0006</v>
      </c>
      <c r="I19" s="16">
        <f>IF(G19=0,ROUND($E19*$F19,2),ROUND($E19*$F19*$G19,2))</f>
        <v>15865.76</v>
      </c>
      <c r="J19" s="16"/>
      <c r="K19" s="16"/>
      <c r="L19" s="57"/>
      <c r="M19" s="16"/>
      <c r="N19" s="16"/>
      <c r="O19" s="16"/>
      <c r="P19" s="16"/>
      <c r="Q19" s="16"/>
      <c r="R19" s="16"/>
      <c r="S19" s="16"/>
      <c r="T19" s="16">
        <f>ROUND(((($I19+$J19)*(T$72/12)+($K19)*(T$73/12)+($M19)*(T$73/12))/27),2)</f>
        <v>391.75</v>
      </c>
      <c r="U19" s="16">
        <f>ROUND(((($I19+$J19+$N19+$O19+$P19+$Q19)*(U$72/12))/27),2)</f>
        <v>293.81</v>
      </c>
      <c r="V19" s="16"/>
      <c r="W19" s="16">
        <f>ROUND(((($I19+$J19)/9)*$W$72)+((($I19+$J19+$K19)/9)*$W$72)+((($I19+$J19+$M19)/9)*$W$72),2)</f>
        <v>290.87</v>
      </c>
      <c r="X19" s="16"/>
      <c r="Y19" s="16"/>
      <c r="Z19" s="16">
        <f t="shared" si="1"/>
        <v>73.45</v>
      </c>
      <c r="AA19" s="16">
        <f t="shared" si="1"/>
        <v>85.69</v>
      </c>
      <c r="AB19" s="16"/>
      <c r="AC19" s="16"/>
      <c r="AD19" s="16"/>
      <c r="AE19" s="16"/>
      <c r="AF19" s="105"/>
      <c r="AG19" s="106"/>
    </row>
    <row r="20" spans="1:33" s="5" customFormat="1" ht="21.75" customHeight="1">
      <c r="A20" s="12">
        <f t="shared" si="0"/>
        <v>8</v>
      </c>
      <c r="B20" s="14">
        <f>C19</f>
        <v>40459.11</v>
      </c>
      <c r="C20" s="38">
        <v>42503.33</v>
      </c>
      <c r="D20" s="15" t="s">
        <v>29</v>
      </c>
      <c r="E20" s="16">
        <f>C20-B20</f>
        <v>2044.2200000000012</v>
      </c>
      <c r="F20" s="17">
        <v>12</v>
      </c>
      <c r="G20" s="18"/>
      <c r="H20" s="16"/>
      <c r="I20" s="16">
        <f>IF(G20=0,ROUND($E20*$F20,2),ROUND($E20*$F20*$G20,2))</f>
        <v>24530.64</v>
      </c>
      <c r="J20" s="16"/>
      <c r="K20" s="16"/>
      <c r="L20" s="57"/>
      <c r="M20" s="16"/>
      <c r="N20" s="16"/>
      <c r="O20" s="16"/>
      <c r="P20" s="16"/>
      <c r="Q20" s="16"/>
      <c r="R20" s="16"/>
      <c r="S20" s="16"/>
      <c r="T20" s="16">
        <f>ROUND(((($I20+$J20)*(T$72/12)+($K20)*(T$73/12)+($M20)*(T$73/12))/27),2)</f>
        <v>605.69</v>
      </c>
      <c r="U20" s="16">
        <f>ROUND(((($I20+$J20+$N20+$O20+$P20+$Q20)*(U$72/12))/27),2)</f>
        <v>454.27</v>
      </c>
      <c r="V20" s="16"/>
      <c r="W20" s="16">
        <f>ROUND(((($I20+$J20)/9)*$W$72)+((($I20+$J20+$K20)/9)*$W$72)+((($I20+$J20+$M20)/9)*$W$72),2)</f>
        <v>449.73</v>
      </c>
      <c r="X20" s="16"/>
      <c r="Y20" s="16"/>
      <c r="Z20" s="16">
        <f t="shared" si="1"/>
        <v>113.57</v>
      </c>
      <c r="AA20" s="16">
        <f t="shared" si="1"/>
        <v>132.5</v>
      </c>
      <c r="AB20" s="16"/>
      <c r="AC20" s="16"/>
      <c r="AD20" s="16"/>
      <c r="AE20" s="16"/>
      <c r="AF20" s="105"/>
      <c r="AG20" s="106"/>
    </row>
    <row r="21" spans="1:33" s="5" customFormat="1" ht="21.75" customHeight="1">
      <c r="A21" s="12">
        <f t="shared" si="0"/>
        <v>9</v>
      </c>
      <c r="B21" s="13"/>
      <c r="C21" s="14"/>
      <c r="D21" s="15"/>
      <c r="E21" s="16"/>
      <c r="F21" s="17"/>
      <c r="G21" s="18"/>
      <c r="H21" s="16"/>
      <c r="I21" s="16"/>
      <c r="J21" s="16"/>
      <c r="K21" s="16"/>
      <c r="L21" s="5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05"/>
      <c r="AG21" s="106"/>
    </row>
    <row r="22" spans="1:33" s="5" customFormat="1" ht="21.75" customHeight="1">
      <c r="A22" s="12">
        <f t="shared" si="0"/>
        <v>10</v>
      </c>
      <c r="B22" s="14">
        <v>42708.9</v>
      </c>
      <c r="C22" s="14">
        <v>42841.24</v>
      </c>
      <c r="D22" s="15" t="s">
        <v>29</v>
      </c>
      <c r="E22" s="16">
        <f>C22-B22</f>
        <v>132.3399999999965</v>
      </c>
      <c r="F22" s="17">
        <v>12</v>
      </c>
      <c r="G22" s="18"/>
      <c r="H22" s="16"/>
      <c r="I22" s="16">
        <f>IF(G22=0,ROUND($E22*$F22,2),ROUND($E22*$F22*$G22,2))</f>
        <v>1588.08</v>
      </c>
      <c r="J22" s="16"/>
      <c r="K22" s="16"/>
      <c r="L22" s="57"/>
      <c r="M22" s="16"/>
      <c r="N22" s="16"/>
      <c r="O22" s="16"/>
      <c r="P22" s="16"/>
      <c r="Q22" s="16"/>
      <c r="R22" s="16"/>
      <c r="S22" s="16"/>
      <c r="T22" s="16">
        <f>ROUND(((($I22+$J22)*(T$72/12)+($K22)*(T$73/12)+($M22)*(T$73/12))/27),2)</f>
        <v>39.21</v>
      </c>
      <c r="U22" s="16">
        <f>ROUND(((($I22+$J22+$N22+$O22+$P22+$Q22)*(U$72/12))/27),2)</f>
        <v>29.41</v>
      </c>
      <c r="V22" s="16"/>
      <c r="W22" s="16">
        <f>ROUND(((($I22+$J22)/9)*$W$72)+((($I22+$J22+$K22)/9)*$W$72)+((($I22+$J22+$M22)/9)*$W$72),2)</f>
        <v>29.11</v>
      </c>
      <c r="X22" s="16"/>
      <c r="Y22" s="16"/>
      <c r="Z22" s="16">
        <f>ROUND(((($I22+$J22)*(Z$72/12))/27),2)</f>
        <v>7.35</v>
      </c>
      <c r="AA22" s="16">
        <f>ROUND(((($I22+$J22)*(AA$72/12))/27),2)</f>
        <v>8.58</v>
      </c>
      <c r="AB22" s="16"/>
      <c r="AC22" s="16"/>
      <c r="AD22" s="16"/>
      <c r="AE22" s="16"/>
      <c r="AF22" s="105"/>
      <c r="AG22" s="106"/>
    </row>
    <row r="23" spans="1:33" s="5" customFormat="1" ht="21.75" customHeight="1">
      <c r="A23" s="12">
        <f t="shared" si="0"/>
        <v>11</v>
      </c>
      <c r="B23" s="14">
        <f>C22</f>
        <v>42841.24</v>
      </c>
      <c r="C23" s="14">
        <v>42900.13</v>
      </c>
      <c r="D23" s="15" t="s">
        <v>29</v>
      </c>
      <c r="E23" s="16">
        <f>C23-B23</f>
        <v>58.88999999999942</v>
      </c>
      <c r="F23" s="17">
        <v>12</v>
      </c>
      <c r="G23" s="18">
        <f>ROUND((14228.562+($F23/2))/14228.562,4)</f>
        <v>1.0004</v>
      </c>
      <c r="H23" s="18">
        <f>ROUND((14228.562+($F23))/14228.562,4)</f>
        <v>1.0008</v>
      </c>
      <c r="I23" s="16">
        <f>IF(G23=0,ROUND($E23*$F23,2),ROUND($E23*$F23*$G23,2))</f>
        <v>706.96</v>
      </c>
      <c r="J23" s="16"/>
      <c r="K23" s="16"/>
      <c r="L23" s="57"/>
      <c r="M23" s="16"/>
      <c r="N23" s="16"/>
      <c r="O23" s="16"/>
      <c r="P23" s="16"/>
      <c r="Q23" s="16"/>
      <c r="R23" s="16"/>
      <c r="S23" s="16"/>
      <c r="T23" s="16">
        <f>ROUND(((($I23+$J23)*(T$72/12)+($K23)*(T$73/12)+($M23)*(T$73/12))/27),2)</f>
        <v>17.46</v>
      </c>
      <c r="U23" s="16">
        <f>ROUND(((($I23+$J23+$N23+$O23+$P23+$Q23)*(U$72/12))/27),2)</f>
        <v>13.09</v>
      </c>
      <c r="V23" s="16"/>
      <c r="W23" s="16">
        <f>ROUND(((($I23+$J23)/9)*$W$72)+((($I23+$J23+$K23)/9)*$W$72)+((($I23+$J23+$M23)/9)*$W$72),2)</f>
        <v>12.96</v>
      </c>
      <c r="X23" s="16"/>
      <c r="Y23" s="16"/>
      <c r="Z23" s="16">
        <f>ROUND(((($I23+$J23)*(Z$72/12))/27),2)</f>
        <v>3.27</v>
      </c>
      <c r="AA23" s="16">
        <f>ROUND(((($I23+$J23)*(AA$72/12))/27),2)</f>
        <v>3.82</v>
      </c>
      <c r="AB23" s="16"/>
      <c r="AC23" s="16"/>
      <c r="AD23" s="16"/>
      <c r="AE23" s="16"/>
      <c r="AF23" s="105"/>
      <c r="AG23" s="106"/>
    </row>
    <row r="24" spans="1:33" s="5" customFormat="1" ht="21.75" customHeight="1">
      <c r="A24" s="12">
        <f t="shared" si="0"/>
        <v>12</v>
      </c>
      <c r="B24" s="13"/>
      <c r="C24" s="14"/>
      <c r="D24" s="15"/>
      <c r="E24" s="16"/>
      <c r="F24" s="22"/>
      <c r="G24" s="18"/>
      <c r="H24" s="16"/>
      <c r="I24" s="16"/>
      <c r="J24" s="16"/>
      <c r="K24" s="16"/>
      <c r="L24" s="5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05"/>
      <c r="AG24" s="106"/>
    </row>
    <row r="25" spans="1:33" s="5" customFormat="1" ht="21.75" customHeight="1">
      <c r="A25" s="12">
        <f t="shared" si="0"/>
        <v>13</v>
      </c>
      <c r="B25" s="13">
        <v>43114.75</v>
      </c>
      <c r="C25" s="14">
        <v>44823.91</v>
      </c>
      <c r="D25" s="15" t="s">
        <v>29</v>
      </c>
      <c r="E25" s="16">
        <f aca="true" t="shared" si="2" ref="E25:E30">C25-B25</f>
        <v>1709.1600000000035</v>
      </c>
      <c r="F25" s="17">
        <v>12</v>
      </c>
      <c r="G25" s="18">
        <f>ROUND((14228.562+($F25/2))/14228.562,4)</f>
        <v>1.0004</v>
      </c>
      <c r="H25" s="18">
        <f>ROUND((14228.562+($F25))/14228.562,4)</f>
        <v>1.0008</v>
      </c>
      <c r="I25" s="16">
        <f aca="true" t="shared" si="3" ref="I25:I30">IF(G25=0,ROUND($E25*$F25,2),ROUND($E25*$F25*$G25,2))</f>
        <v>20518.12</v>
      </c>
      <c r="J25" s="16"/>
      <c r="K25" s="16"/>
      <c r="L25" s="57"/>
      <c r="M25" s="16"/>
      <c r="N25" s="16"/>
      <c r="O25" s="16"/>
      <c r="P25" s="16"/>
      <c r="Q25" s="16"/>
      <c r="R25" s="16"/>
      <c r="S25" s="16"/>
      <c r="T25" s="16">
        <f aca="true" t="shared" si="4" ref="T25:T30">ROUND(((($I25+$J25)*(T$72/12)+($K25)*(T$73/12)+($M25)*(T$73/12))/27),2)</f>
        <v>506.62</v>
      </c>
      <c r="U25" s="16">
        <f aca="true" t="shared" si="5" ref="U25:U30">ROUND(((($I25+$J25+$N25+$O25+$P25+$Q25)*(U$72/12))/27),2)</f>
        <v>379.97</v>
      </c>
      <c r="V25" s="16"/>
      <c r="W25" s="16">
        <f aca="true" t="shared" si="6" ref="W25:W30">ROUND(((($I25+$J25)/9)*$W$72)+((($I25+$J25+$K25)/9)*$W$72)+((($I25+$J25+$M25)/9)*$W$72),2)</f>
        <v>376.17</v>
      </c>
      <c r="X25" s="16"/>
      <c r="Y25" s="16"/>
      <c r="Z25" s="16">
        <f aca="true" t="shared" si="7" ref="Z25:AA30">ROUND(((($I25+$J25)*(Z$72/12))/27),2)</f>
        <v>94.99</v>
      </c>
      <c r="AA25" s="16">
        <f t="shared" si="7"/>
        <v>110.82</v>
      </c>
      <c r="AB25" s="16"/>
      <c r="AC25" s="16"/>
      <c r="AD25" s="16"/>
      <c r="AE25" s="16"/>
      <c r="AF25" s="105"/>
      <c r="AG25" s="106"/>
    </row>
    <row r="26" spans="1:33" s="5" customFormat="1" ht="21.75" customHeight="1">
      <c r="A26" s="12">
        <f t="shared" si="0"/>
        <v>14</v>
      </c>
      <c r="B26" s="13">
        <f>C25</f>
        <v>44823.91</v>
      </c>
      <c r="C26" s="14">
        <v>45110</v>
      </c>
      <c r="D26" s="15" t="s">
        <v>29</v>
      </c>
      <c r="E26" s="16">
        <f t="shared" si="2"/>
        <v>286.0899999999965</v>
      </c>
      <c r="F26" s="17">
        <v>12</v>
      </c>
      <c r="G26" s="18"/>
      <c r="H26" s="16"/>
      <c r="I26" s="16">
        <f t="shared" si="3"/>
        <v>3433.08</v>
      </c>
      <c r="J26" s="16"/>
      <c r="K26" s="16"/>
      <c r="L26" s="57"/>
      <c r="M26" s="16"/>
      <c r="N26" s="16"/>
      <c r="O26" s="16"/>
      <c r="P26" s="16"/>
      <c r="Q26" s="16"/>
      <c r="R26" s="16"/>
      <c r="S26" s="16"/>
      <c r="T26" s="16">
        <f t="shared" si="4"/>
        <v>84.77</v>
      </c>
      <c r="U26" s="16">
        <f t="shared" si="5"/>
        <v>63.58</v>
      </c>
      <c r="V26" s="16"/>
      <c r="W26" s="16">
        <f t="shared" si="6"/>
        <v>62.94</v>
      </c>
      <c r="X26" s="16"/>
      <c r="Y26" s="16"/>
      <c r="Z26" s="16">
        <f t="shared" si="7"/>
        <v>15.89</v>
      </c>
      <c r="AA26" s="16">
        <f t="shared" si="7"/>
        <v>18.54</v>
      </c>
      <c r="AB26" s="16"/>
      <c r="AC26" s="16"/>
      <c r="AD26" s="16"/>
      <c r="AE26" s="16"/>
      <c r="AF26" s="105"/>
      <c r="AG26" s="106"/>
    </row>
    <row r="27" spans="1:33" s="5" customFormat="1" ht="21.75" customHeight="1">
      <c r="A27" s="12">
        <f t="shared" si="0"/>
        <v>15</v>
      </c>
      <c r="B27" s="14">
        <f>C26</f>
        <v>45110</v>
      </c>
      <c r="C27" s="14">
        <v>45950</v>
      </c>
      <c r="D27" s="15" t="s">
        <v>29</v>
      </c>
      <c r="E27" s="16">
        <f t="shared" si="2"/>
        <v>840</v>
      </c>
      <c r="F27" s="17">
        <f>ROUND(AVERAGE(12,24),2)</f>
        <v>18</v>
      </c>
      <c r="G27" s="18"/>
      <c r="H27" s="16"/>
      <c r="I27" s="16">
        <f t="shared" si="3"/>
        <v>15120</v>
      </c>
      <c r="J27" s="16"/>
      <c r="K27" s="16"/>
      <c r="L27" s="57"/>
      <c r="M27" s="16"/>
      <c r="N27" s="16"/>
      <c r="O27" s="16"/>
      <c r="P27" s="16"/>
      <c r="Q27" s="16"/>
      <c r="R27" s="16"/>
      <c r="S27" s="16"/>
      <c r="T27" s="16">
        <f t="shared" si="4"/>
        <v>373.33</v>
      </c>
      <c r="U27" s="16">
        <f t="shared" si="5"/>
        <v>280</v>
      </c>
      <c r="V27" s="16"/>
      <c r="W27" s="16">
        <f t="shared" si="6"/>
        <v>277.2</v>
      </c>
      <c r="X27" s="16"/>
      <c r="Y27" s="16"/>
      <c r="Z27" s="16">
        <f t="shared" si="7"/>
        <v>70</v>
      </c>
      <c r="AA27" s="16">
        <f t="shared" si="7"/>
        <v>81.67</v>
      </c>
      <c r="AB27" s="16"/>
      <c r="AC27" s="16"/>
      <c r="AD27" s="16"/>
      <c r="AE27" s="16"/>
      <c r="AF27" s="105"/>
      <c r="AG27" s="106"/>
    </row>
    <row r="28" spans="1:33" s="5" customFormat="1" ht="21.75" customHeight="1">
      <c r="A28" s="12">
        <f t="shared" si="0"/>
        <v>16</v>
      </c>
      <c r="B28" s="13">
        <f>C27</f>
        <v>45950</v>
      </c>
      <c r="C28" s="14">
        <v>46050</v>
      </c>
      <c r="D28" s="15" t="s">
        <v>29</v>
      </c>
      <c r="E28" s="16">
        <f t="shared" si="2"/>
        <v>100</v>
      </c>
      <c r="F28" s="17">
        <f>ROUND(AVERAGE(12,24),2)</f>
        <v>18</v>
      </c>
      <c r="G28" s="18"/>
      <c r="H28" s="16"/>
      <c r="I28" s="16">
        <f t="shared" si="3"/>
        <v>1800</v>
      </c>
      <c r="J28" s="16"/>
      <c r="K28" s="16"/>
      <c r="L28" s="57"/>
      <c r="M28" s="16"/>
      <c r="N28" s="16"/>
      <c r="O28" s="16"/>
      <c r="P28" s="16"/>
      <c r="Q28" s="16"/>
      <c r="R28" s="16"/>
      <c r="S28" s="16"/>
      <c r="T28" s="16">
        <f t="shared" si="4"/>
        <v>44.44</v>
      </c>
      <c r="U28" s="16">
        <f t="shared" si="5"/>
        <v>33.33</v>
      </c>
      <c r="V28" s="16"/>
      <c r="W28" s="16">
        <f t="shared" si="6"/>
        <v>33</v>
      </c>
      <c r="X28" s="16"/>
      <c r="Y28" s="16"/>
      <c r="Z28" s="16">
        <f t="shared" si="7"/>
        <v>8.33</v>
      </c>
      <c r="AA28" s="16">
        <f t="shared" si="7"/>
        <v>9.72</v>
      </c>
      <c r="AB28" s="16"/>
      <c r="AC28" s="16"/>
      <c r="AD28" s="16"/>
      <c r="AE28" s="16"/>
      <c r="AF28" s="105"/>
      <c r="AG28" s="106"/>
    </row>
    <row r="29" spans="1:33" s="5" customFormat="1" ht="21.75" customHeight="1">
      <c r="A29" s="12">
        <f t="shared" si="0"/>
        <v>17</v>
      </c>
      <c r="B29" s="13">
        <f>C28</f>
        <v>46050</v>
      </c>
      <c r="C29" s="14">
        <v>46936.72</v>
      </c>
      <c r="D29" s="15" t="s">
        <v>29</v>
      </c>
      <c r="E29" s="16">
        <f t="shared" si="2"/>
        <v>886.7200000000012</v>
      </c>
      <c r="F29" s="17">
        <v>12</v>
      </c>
      <c r="G29" s="18"/>
      <c r="H29" s="16"/>
      <c r="I29" s="16">
        <f t="shared" si="3"/>
        <v>10640.64</v>
      </c>
      <c r="J29" s="16"/>
      <c r="K29" s="16"/>
      <c r="L29" s="57"/>
      <c r="M29" s="16"/>
      <c r="N29" s="16"/>
      <c r="O29" s="16"/>
      <c r="P29" s="16"/>
      <c r="Q29" s="16"/>
      <c r="R29" s="16"/>
      <c r="S29" s="16"/>
      <c r="T29" s="16">
        <f t="shared" si="4"/>
        <v>262.73</v>
      </c>
      <c r="U29" s="16">
        <f t="shared" si="5"/>
        <v>197.05</v>
      </c>
      <c r="V29" s="16"/>
      <c r="W29" s="16">
        <f t="shared" si="6"/>
        <v>195.08</v>
      </c>
      <c r="X29" s="16"/>
      <c r="Y29" s="16"/>
      <c r="Z29" s="16">
        <f t="shared" si="7"/>
        <v>49.26</v>
      </c>
      <c r="AA29" s="16">
        <f t="shared" si="7"/>
        <v>57.47</v>
      </c>
      <c r="AB29" s="16"/>
      <c r="AC29" s="16"/>
      <c r="AD29" s="16"/>
      <c r="AE29" s="16"/>
      <c r="AF29" s="105"/>
      <c r="AG29" s="106"/>
    </row>
    <row r="30" spans="1:33" s="5" customFormat="1" ht="21.75" customHeight="1">
      <c r="A30" s="12">
        <f aca="true" t="shared" si="8" ref="A30:A66">A29+1</f>
        <v>18</v>
      </c>
      <c r="B30" s="13">
        <f>C29</f>
        <v>46936.72</v>
      </c>
      <c r="C30" s="14">
        <v>46946.33</v>
      </c>
      <c r="D30" s="15" t="s">
        <v>29</v>
      </c>
      <c r="E30" s="16">
        <f t="shared" si="2"/>
        <v>9.610000000000582</v>
      </c>
      <c r="F30" s="17">
        <f>ROUND(AVERAGE(8.898,9.058),2)</f>
        <v>8.98</v>
      </c>
      <c r="G30" s="18"/>
      <c r="H30" s="16"/>
      <c r="I30" s="16">
        <f t="shared" si="3"/>
        <v>86.3</v>
      </c>
      <c r="J30" s="16"/>
      <c r="K30" s="16"/>
      <c r="L30" s="57"/>
      <c r="M30" s="16"/>
      <c r="N30" s="16"/>
      <c r="O30" s="16"/>
      <c r="P30" s="16"/>
      <c r="Q30" s="16"/>
      <c r="R30" s="16"/>
      <c r="S30" s="16"/>
      <c r="T30" s="16">
        <f t="shared" si="4"/>
        <v>2.13</v>
      </c>
      <c r="U30" s="16">
        <f t="shared" si="5"/>
        <v>1.6</v>
      </c>
      <c r="V30" s="16"/>
      <c r="W30" s="16">
        <f t="shared" si="6"/>
        <v>1.58</v>
      </c>
      <c r="X30" s="16"/>
      <c r="Y30" s="16"/>
      <c r="Z30" s="16">
        <f t="shared" si="7"/>
        <v>0.4</v>
      </c>
      <c r="AA30" s="16">
        <f t="shared" si="7"/>
        <v>0.47</v>
      </c>
      <c r="AB30" s="16"/>
      <c r="AC30" s="16"/>
      <c r="AD30" s="16"/>
      <c r="AE30" s="16"/>
      <c r="AF30" s="105"/>
      <c r="AG30" s="106"/>
    </row>
    <row r="31" spans="1:33" s="5" customFormat="1" ht="21.75" customHeight="1">
      <c r="A31" s="12">
        <f t="shared" si="8"/>
        <v>19</v>
      </c>
      <c r="B31" s="14"/>
      <c r="C31" s="21"/>
      <c r="D31" s="15"/>
      <c r="E31" s="16"/>
      <c r="F31" s="17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05"/>
      <c r="AG31" s="106"/>
    </row>
    <row r="32" spans="1:33" s="5" customFormat="1" ht="21.75" customHeight="1">
      <c r="A32" s="12">
        <f t="shared" si="8"/>
        <v>20</v>
      </c>
      <c r="B32" s="13"/>
      <c r="C32" s="14"/>
      <c r="D32" s="15"/>
      <c r="E32" s="16"/>
      <c r="F32" s="17"/>
      <c r="G32" s="18"/>
      <c r="H32" s="16"/>
      <c r="I32" s="16"/>
      <c r="J32" s="16"/>
      <c r="K32" s="16"/>
      <c r="L32" s="39"/>
      <c r="M32" s="15"/>
      <c r="N32" s="15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05"/>
      <c r="AG32" s="106"/>
    </row>
    <row r="33" spans="1:33" s="5" customFormat="1" ht="21.75" customHeight="1">
      <c r="A33" s="12">
        <f t="shared" si="8"/>
        <v>21</v>
      </c>
      <c r="B33" s="13"/>
      <c r="C33" s="14"/>
      <c r="D33" s="15"/>
      <c r="E33" s="16"/>
      <c r="F33" s="17"/>
      <c r="G33" s="18"/>
      <c r="H33" s="16"/>
      <c r="I33" s="16"/>
      <c r="J33" s="16"/>
      <c r="K33" s="16"/>
      <c r="L33" s="39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05"/>
      <c r="AG33" s="106"/>
    </row>
    <row r="34" spans="1:33" s="5" customFormat="1" ht="21.75" customHeight="1">
      <c r="A34" s="12">
        <f t="shared" si="8"/>
        <v>22</v>
      </c>
      <c r="B34" s="13"/>
      <c r="C34" s="14"/>
      <c r="D34" s="15"/>
      <c r="E34" s="16"/>
      <c r="F34" s="17"/>
      <c r="G34" s="18"/>
      <c r="H34" s="16"/>
      <c r="I34" s="16"/>
      <c r="J34" s="16"/>
      <c r="K34" s="16"/>
      <c r="L34" s="39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05"/>
      <c r="AG34" s="106"/>
    </row>
    <row r="35" spans="1:33" s="5" customFormat="1" ht="21.75" customHeight="1">
      <c r="A35" s="12">
        <f t="shared" si="8"/>
        <v>23</v>
      </c>
      <c r="B35" s="14"/>
      <c r="C35" s="14"/>
      <c r="D35" s="15"/>
      <c r="E35" s="16"/>
      <c r="F35" s="17"/>
      <c r="G35" s="18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05"/>
      <c r="AG35" s="106"/>
    </row>
    <row r="36" spans="1:33" s="5" customFormat="1" ht="21.75" customHeight="1">
      <c r="A36" s="12">
        <f t="shared" si="8"/>
        <v>24</v>
      </c>
      <c r="B36" s="14"/>
      <c r="C36" s="14"/>
      <c r="D36" s="15"/>
      <c r="E36" s="16"/>
      <c r="F36" s="17"/>
      <c r="G36" s="1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05"/>
      <c r="AG36" s="106"/>
    </row>
    <row r="37" spans="1:33" s="5" customFormat="1" ht="21.75" customHeight="1">
      <c r="A37" s="12">
        <f t="shared" si="8"/>
        <v>25</v>
      </c>
      <c r="B37" s="14"/>
      <c r="C37" s="14"/>
      <c r="D37" s="15"/>
      <c r="E37" s="16"/>
      <c r="F37" s="17"/>
      <c r="G37" s="18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05"/>
      <c r="AG37" s="106"/>
    </row>
    <row r="38" spans="1:33" s="5" customFormat="1" ht="21.75" customHeight="1">
      <c r="A38" s="12">
        <f t="shared" si="8"/>
        <v>26</v>
      </c>
      <c r="B38" s="14"/>
      <c r="C38" s="14"/>
      <c r="D38" s="15"/>
      <c r="E38" s="16"/>
      <c r="F38" s="17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05"/>
      <c r="AG38" s="106"/>
    </row>
    <row r="39" spans="1:33" s="5" customFormat="1" ht="21.75" customHeight="1">
      <c r="A39" s="12">
        <f t="shared" si="8"/>
        <v>27</v>
      </c>
      <c r="B39" s="77" t="s">
        <v>39</v>
      </c>
      <c r="C39" s="78"/>
      <c r="D39" s="78"/>
      <c r="E39" s="78"/>
      <c r="F39" s="78"/>
      <c r="G39" s="78"/>
      <c r="H39" s="78"/>
      <c r="I39" s="79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05"/>
      <c r="AG39" s="106"/>
    </row>
    <row r="40" spans="1:33" s="5" customFormat="1" ht="21.75" customHeight="1">
      <c r="A40" s="12">
        <f t="shared" si="8"/>
        <v>28</v>
      </c>
      <c r="B40" s="19" t="s">
        <v>27</v>
      </c>
      <c r="C40" s="20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05"/>
      <c r="AG40" s="106"/>
    </row>
    <row r="41" spans="1:33" s="5" customFormat="1" ht="21.75" customHeight="1">
      <c r="A41" s="12">
        <f t="shared" si="8"/>
        <v>29</v>
      </c>
      <c r="B41" s="73">
        <v>39137.36</v>
      </c>
      <c r="C41" s="21">
        <v>39200</v>
      </c>
      <c r="D41" s="15" t="s">
        <v>33</v>
      </c>
      <c r="E41" s="16">
        <f>C41-B41</f>
        <v>62.63999999999942</v>
      </c>
      <c r="F41" s="17">
        <f>ROUND((48.586+48)/2,2)</f>
        <v>48.29</v>
      </c>
      <c r="G41" s="18">
        <f>ROUND((21630.9102-((17.554+18)/2)-($F41/2))/21630.9102,4)</f>
        <v>0.9981</v>
      </c>
      <c r="H41" s="16"/>
      <c r="I41" s="16">
        <f>IF($G41=0,ROUND($E41*$F41,2),ROUND($E41*$F41*$G41,2))</f>
        <v>3019.14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>
        <f>ROUND(((($I41+$J41)*(T$72/12))/27),2)</f>
        <v>74.55</v>
      </c>
      <c r="U41" s="16">
        <f>ROUND(((($I41+$J41+$N41+$O41+$P41+$Q41)*(U$72/12))/27),2)</f>
        <v>55.91</v>
      </c>
      <c r="V41" s="16"/>
      <c r="W41" s="16">
        <f>ROUND((((($I41+$J41)/9)*W$72)*3),2)</f>
        <v>55.35</v>
      </c>
      <c r="X41" s="16"/>
      <c r="Y41" s="16"/>
      <c r="Z41" s="16">
        <f>ROUND(((($I41+$J41)*(Z$72/12))/27),2)</f>
        <v>13.98</v>
      </c>
      <c r="AA41" s="16">
        <f>ROUND(((($I41+$J41)*(AA$72/12))/27),2)</f>
        <v>16.31</v>
      </c>
      <c r="AB41" s="16">
        <f>$AA41+$Z41</f>
        <v>30.29</v>
      </c>
      <c r="AC41" s="16"/>
      <c r="AD41" s="16"/>
      <c r="AE41" s="16"/>
      <c r="AF41" s="105"/>
      <c r="AG41" s="106"/>
    </row>
    <row r="42" spans="1:33" s="5" customFormat="1" ht="21.75" customHeight="1">
      <c r="A42" s="12">
        <f t="shared" si="8"/>
        <v>30</v>
      </c>
      <c r="B42" s="13">
        <f>C41</f>
        <v>39200</v>
      </c>
      <c r="C42" s="14">
        <v>39800</v>
      </c>
      <c r="D42" s="15" t="s">
        <v>33</v>
      </c>
      <c r="E42" s="16">
        <f>C42-B42</f>
        <v>600</v>
      </c>
      <c r="F42" s="17">
        <v>48</v>
      </c>
      <c r="G42" s="18">
        <f>ROUND((21630.9102-((12+18)/2)-($F42/2))/21630.9102,4)</f>
        <v>0.9982</v>
      </c>
      <c r="H42" s="16"/>
      <c r="I42" s="16">
        <f>IF($G42=0,ROUND($E42*$F42,2),ROUND($E42*$F42*$G42,2))</f>
        <v>28748.16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>
        <f aca="true" t="shared" si="9" ref="T42:T52">ROUND(((($I42+$J42)*(T$72/12))/27),2)</f>
        <v>709.83</v>
      </c>
      <c r="U42" s="16">
        <f>ROUND(((($I42+$J42+$N42+$O42+$P42+$Q42)*(U$72/12))/27),2)</f>
        <v>532.37</v>
      </c>
      <c r="V42" s="16"/>
      <c r="W42" s="16">
        <f aca="true" t="shared" si="10" ref="W42:W52">ROUND((((($I42+$J42)/9)*W$72)*3),2)</f>
        <v>527.05</v>
      </c>
      <c r="X42" s="16"/>
      <c r="Y42" s="16"/>
      <c r="Z42" s="16">
        <f aca="true" t="shared" si="11" ref="Z42:AA52">ROUND(((($I42+$J42)*(Z$72/12))/27),2)</f>
        <v>133.09</v>
      </c>
      <c r="AA42" s="16">
        <f t="shared" si="11"/>
        <v>155.28</v>
      </c>
      <c r="AB42" s="16">
        <f aca="true" t="shared" si="12" ref="AB42:AB52">$AA42+$Z42</f>
        <v>288.37</v>
      </c>
      <c r="AC42" s="16"/>
      <c r="AD42" s="16"/>
      <c r="AE42" s="16"/>
      <c r="AF42" s="105"/>
      <c r="AG42" s="106"/>
    </row>
    <row r="43" spans="1:33" s="5" customFormat="1" ht="21.75" customHeight="1">
      <c r="A43" s="12">
        <f t="shared" si="8"/>
        <v>31</v>
      </c>
      <c r="B43" s="13">
        <f>C42</f>
        <v>39800</v>
      </c>
      <c r="C43" s="14">
        <v>40459.11</v>
      </c>
      <c r="D43" s="15" t="s">
        <v>33</v>
      </c>
      <c r="E43" s="16">
        <f>C43-B43</f>
        <v>659.1100000000006</v>
      </c>
      <c r="F43" s="17">
        <v>48</v>
      </c>
      <c r="G43" s="18">
        <f>ROUND((21630.9102-12-($F43/2))/21630.9102,4)</f>
        <v>0.9983</v>
      </c>
      <c r="H43" s="16"/>
      <c r="I43" s="16">
        <f>IF($G43=0,ROUND($E43*$F43,2),ROUND($E43*$F43*$G43,2))</f>
        <v>31583.5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>
        <f t="shared" si="9"/>
        <v>779.84</v>
      </c>
      <c r="U43" s="16">
        <f>ROUND(((($I43+$J43+$N43+$O43+$P43+$Q43)*(U$72/12))/27),2)</f>
        <v>584.88</v>
      </c>
      <c r="V43" s="16"/>
      <c r="W43" s="16">
        <f t="shared" si="10"/>
        <v>579.03</v>
      </c>
      <c r="X43" s="16"/>
      <c r="Y43" s="16"/>
      <c r="Z43" s="16">
        <f t="shared" si="11"/>
        <v>146.22</v>
      </c>
      <c r="AA43" s="16">
        <f t="shared" si="11"/>
        <v>170.59</v>
      </c>
      <c r="AB43" s="16">
        <f t="shared" si="12"/>
        <v>316.81</v>
      </c>
      <c r="AC43" s="16"/>
      <c r="AD43" s="16"/>
      <c r="AE43" s="16"/>
      <c r="AF43" s="105"/>
      <c r="AG43" s="106"/>
    </row>
    <row r="44" spans="1:33" s="5" customFormat="1" ht="21.75" customHeight="1">
      <c r="A44" s="12">
        <f t="shared" si="8"/>
        <v>32</v>
      </c>
      <c r="B44" s="13">
        <f>C43</f>
        <v>40459.11</v>
      </c>
      <c r="C44" s="14">
        <v>42516.12</v>
      </c>
      <c r="D44" s="15" t="s">
        <v>33</v>
      </c>
      <c r="E44" s="16">
        <f>C44-B44</f>
        <v>2057.010000000002</v>
      </c>
      <c r="F44" s="17">
        <v>48</v>
      </c>
      <c r="G44" s="18"/>
      <c r="H44" s="16"/>
      <c r="I44" s="16">
        <f>IF($G44=0,ROUND($E44*$F44,2),ROUND($E44*$F44*$G44,2))</f>
        <v>98736.48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>
        <f t="shared" si="9"/>
        <v>2437.94</v>
      </c>
      <c r="U44" s="16">
        <f>ROUND(((($I44+$J44+$N44+$O44+$P44+$Q44)*(U$72/12))/27),2)</f>
        <v>1828.45</v>
      </c>
      <c r="V44" s="16"/>
      <c r="W44" s="16">
        <f t="shared" si="10"/>
        <v>1810.17</v>
      </c>
      <c r="X44" s="16"/>
      <c r="Y44" s="16"/>
      <c r="Z44" s="16">
        <f t="shared" si="11"/>
        <v>457.11</v>
      </c>
      <c r="AA44" s="16">
        <f t="shared" si="11"/>
        <v>533.3</v>
      </c>
      <c r="AB44" s="16">
        <f t="shared" si="12"/>
        <v>990.41</v>
      </c>
      <c r="AC44" s="16"/>
      <c r="AD44" s="16"/>
      <c r="AE44" s="16"/>
      <c r="AF44" s="105"/>
      <c r="AG44" s="106"/>
    </row>
    <row r="45" spans="1:33" s="5" customFormat="1" ht="21.75" customHeight="1">
      <c r="A45" s="12">
        <f t="shared" si="8"/>
        <v>33</v>
      </c>
      <c r="B45" s="13"/>
      <c r="C45" s="14"/>
      <c r="D45" s="15"/>
      <c r="E45" s="16"/>
      <c r="F45" s="17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05"/>
      <c r="AG45" s="106"/>
    </row>
    <row r="46" spans="1:33" s="5" customFormat="1" ht="21.75" customHeight="1">
      <c r="A46" s="12">
        <f t="shared" si="8"/>
        <v>34</v>
      </c>
      <c r="B46" s="13">
        <v>42721.69</v>
      </c>
      <c r="C46" s="14">
        <v>42841.24</v>
      </c>
      <c r="D46" s="15" t="s">
        <v>33</v>
      </c>
      <c r="E46" s="16">
        <f>C46-B46</f>
        <v>119.54999999999563</v>
      </c>
      <c r="F46" s="17">
        <v>48</v>
      </c>
      <c r="G46" s="18"/>
      <c r="H46" s="16"/>
      <c r="I46" s="16">
        <f>IF(G46=0,ROUND($E46*$F46,2),ROUND($E46*$F46*$G46,2))</f>
        <v>5738.4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>
        <f t="shared" si="9"/>
        <v>141.69</v>
      </c>
      <c r="U46" s="16">
        <f>ROUND(((($I46+$J46+$N46+$O46+$P46+$Q46)*(U$72/12))/27),2)</f>
        <v>106.27</v>
      </c>
      <c r="V46" s="16"/>
      <c r="W46" s="16">
        <f t="shared" si="10"/>
        <v>105.2</v>
      </c>
      <c r="X46" s="16"/>
      <c r="Y46" s="16"/>
      <c r="Z46" s="16">
        <f t="shared" si="11"/>
        <v>26.57</v>
      </c>
      <c r="AA46" s="16">
        <f t="shared" si="11"/>
        <v>30.99</v>
      </c>
      <c r="AB46" s="16">
        <f t="shared" si="12"/>
        <v>57.56</v>
      </c>
      <c r="AC46" s="16"/>
      <c r="AD46" s="16"/>
      <c r="AE46" s="16"/>
      <c r="AF46" s="105"/>
      <c r="AG46" s="106"/>
    </row>
    <row r="47" spans="1:33" s="5" customFormat="1" ht="21.75" customHeight="1">
      <c r="A47" s="12">
        <f t="shared" si="8"/>
        <v>35</v>
      </c>
      <c r="B47" s="13">
        <f>C46</f>
        <v>42841.24</v>
      </c>
      <c r="C47" s="14">
        <v>42909.29</v>
      </c>
      <c r="D47" s="15" t="s">
        <v>33</v>
      </c>
      <c r="E47" s="16">
        <f>C47-B47</f>
        <v>68.05000000000291</v>
      </c>
      <c r="F47" s="17">
        <v>48</v>
      </c>
      <c r="G47" s="18">
        <f>ROUND((14228.562-12-($F47/2))/14228.562,4)</f>
        <v>0.9975</v>
      </c>
      <c r="H47" s="16"/>
      <c r="I47" s="16">
        <f>IF(G47=0,ROUND($E47*$F47,2),ROUND($E47*$F47*$G47,2))</f>
        <v>3258.23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>
        <f t="shared" si="9"/>
        <v>80.45</v>
      </c>
      <c r="U47" s="16">
        <f>ROUND(((($I47+$J47+$N47+$O47+$P47+$Q47)*(U$72/12))/27),2)</f>
        <v>60.34</v>
      </c>
      <c r="V47" s="16"/>
      <c r="W47" s="16">
        <f t="shared" si="10"/>
        <v>59.73</v>
      </c>
      <c r="X47" s="16"/>
      <c r="Y47" s="16"/>
      <c r="Z47" s="16">
        <f t="shared" si="11"/>
        <v>15.08</v>
      </c>
      <c r="AA47" s="16">
        <f t="shared" si="11"/>
        <v>17.6</v>
      </c>
      <c r="AB47" s="16">
        <f t="shared" si="12"/>
        <v>32.68</v>
      </c>
      <c r="AC47" s="16"/>
      <c r="AD47" s="16"/>
      <c r="AE47" s="16"/>
      <c r="AF47" s="105"/>
      <c r="AG47" s="106"/>
    </row>
    <row r="48" spans="1:33" s="5" customFormat="1" ht="21.75" customHeight="1">
      <c r="A48" s="12">
        <f t="shared" si="8"/>
        <v>36</v>
      </c>
      <c r="B48" s="13"/>
      <c r="C48" s="14"/>
      <c r="D48" s="15"/>
      <c r="E48" s="16"/>
      <c r="F48" s="17"/>
      <c r="G48" s="18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05"/>
      <c r="AG48" s="106"/>
    </row>
    <row r="49" spans="1:33" s="5" customFormat="1" ht="21.75" customHeight="1">
      <c r="A49" s="12">
        <f t="shared" si="8"/>
        <v>37</v>
      </c>
      <c r="B49" s="13">
        <v>43124.58</v>
      </c>
      <c r="C49" s="14">
        <v>43150</v>
      </c>
      <c r="D49" s="15" t="s">
        <v>33</v>
      </c>
      <c r="E49" s="16">
        <f>C49-B49</f>
        <v>25.419999999998254</v>
      </c>
      <c r="F49" s="17">
        <v>48</v>
      </c>
      <c r="G49" s="18">
        <f>ROUND((14228.562-12-($F49/2))/14228.562,4)</f>
        <v>0.9975</v>
      </c>
      <c r="H49" s="16"/>
      <c r="I49" s="16">
        <f>IF(G49=0,ROUND($E49*$F49,2),ROUND($E49*$F49*$G49,2))</f>
        <v>1217.11</v>
      </c>
      <c r="J49" s="16"/>
      <c r="K49" s="16"/>
      <c r="L49" s="16"/>
      <c r="M49" s="16"/>
      <c r="N49" s="16"/>
      <c r="O49" s="16"/>
      <c r="P49" s="16"/>
      <c r="Q49" s="41"/>
      <c r="R49" s="16"/>
      <c r="S49" s="16"/>
      <c r="T49" s="16">
        <f t="shared" si="9"/>
        <v>30.05</v>
      </c>
      <c r="U49" s="16">
        <f>ROUND(((($I49+$J49+$N49+$O49+$P49+$Q49)*(U$72/12))/27),2)</f>
        <v>22.54</v>
      </c>
      <c r="V49" s="16"/>
      <c r="W49" s="16">
        <f t="shared" si="10"/>
        <v>22.31</v>
      </c>
      <c r="X49" s="16"/>
      <c r="Y49" s="16"/>
      <c r="Z49" s="16">
        <f t="shared" si="11"/>
        <v>5.63</v>
      </c>
      <c r="AA49" s="16">
        <f t="shared" si="11"/>
        <v>6.57</v>
      </c>
      <c r="AB49" s="16">
        <f t="shared" si="12"/>
        <v>12.2</v>
      </c>
      <c r="AC49" s="16"/>
      <c r="AD49" s="16"/>
      <c r="AE49" s="16"/>
      <c r="AF49" s="105"/>
      <c r="AG49" s="106"/>
    </row>
    <row r="50" spans="1:33" s="5" customFormat="1" ht="21.75" customHeight="1" thickBot="1">
      <c r="A50" s="12">
        <f t="shared" si="8"/>
        <v>38</v>
      </c>
      <c r="B50" s="13">
        <f>C49</f>
        <v>43150</v>
      </c>
      <c r="C50" s="14">
        <v>43990</v>
      </c>
      <c r="D50" s="15" t="s">
        <v>33</v>
      </c>
      <c r="E50" s="16">
        <f>C50-B50</f>
        <v>840</v>
      </c>
      <c r="F50" s="17">
        <f>ROUND(AVERAGE(48,60),2)</f>
        <v>54</v>
      </c>
      <c r="G50" s="18">
        <f>ROUND((14228.562-12-($F50/2))/14228.562,4)</f>
        <v>0.9973</v>
      </c>
      <c r="H50" s="16"/>
      <c r="I50" s="16">
        <f>IF(G50=0,ROUND($E50*$F50,2),ROUND($E50*$F50*$G50,2))</f>
        <v>45237.53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>
        <f t="shared" si="9"/>
        <v>1116.98</v>
      </c>
      <c r="U50" s="16">
        <f>ROUND(((($I50+$J50+$N50+$O50+$P50+$Q50)*(U$72/12))/27),2)</f>
        <v>837.73</v>
      </c>
      <c r="V50" s="16"/>
      <c r="W50" s="16">
        <f t="shared" si="10"/>
        <v>829.35</v>
      </c>
      <c r="X50" s="16"/>
      <c r="Y50" s="16"/>
      <c r="Z50" s="16">
        <f t="shared" si="11"/>
        <v>209.43</v>
      </c>
      <c r="AA50" s="16">
        <f t="shared" si="11"/>
        <v>244.34</v>
      </c>
      <c r="AB50" s="16">
        <f t="shared" si="12"/>
        <v>453.77</v>
      </c>
      <c r="AC50" s="16"/>
      <c r="AD50" s="16"/>
      <c r="AE50" s="16"/>
      <c r="AF50" s="107"/>
      <c r="AG50" s="108"/>
    </row>
    <row r="51" spans="1:33" s="5" customFormat="1" ht="21.75" customHeight="1">
      <c r="A51" s="12">
        <f t="shared" si="8"/>
        <v>39</v>
      </c>
      <c r="B51" s="13">
        <f>C50</f>
        <v>43990</v>
      </c>
      <c r="C51" s="14">
        <v>44823.91</v>
      </c>
      <c r="D51" s="15" t="s">
        <v>33</v>
      </c>
      <c r="E51" s="16">
        <f>C51-B51</f>
        <v>833.9100000000035</v>
      </c>
      <c r="F51" s="17">
        <v>60</v>
      </c>
      <c r="G51" s="18">
        <f>ROUND((14228.562-12-($F51/2))/14228.562,4)</f>
        <v>0.997</v>
      </c>
      <c r="H51" s="16"/>
      <c r="I51" s="16">
        <f>IF(G51=0,ROUND($E51*$F51,2),ROUND($E51*$F51*$G51,2))</f>
        <v>49884.5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>
        <f t="shared" si="9"/>
        <v>1231.72</v>
      </c>
      <c r="U51" s="16">
        <f>ROUND(((($I51+$J51+$N51+$O51+$P51+$Q51)*(U$72/12))/27),2)</f>
        <v>923.79</v>
      </c>
      <c r="V51" s="16"/>
      <c r="W51" s="16">
        <f t="shared" si="10"/>
        <v>914.55</v>
      </c>
      <c r="X51" s="16"/>
      <c r="Y51" s="16"/>
      <c r="Z51" s="16">
        <f t="shared" si="11"/>
        <v>230.95</v>
      </c>
      <c r="AA51" s="16">
        <f t="shared" si="11"/>
        <v>269.44</v>
      </c>
      <c r="AB51" s="16">
        <f t="shared" si="12"/>
        <v>500.39</v>
      </c>
      <c r="AC51" s="16"/>
      <c r="AD51" s="16"/>
      <c r="AE51" s="16"/>
      <c r="AF51" s="103" t="s">
        <v>93</v>
      </c>
      <c r="AG51" s="104"/>
    </row>
    <row r="52" spans="1:33" s="5" customFormat="1" ht="21.75" customHeight="1">
      <c r="A52" s="12">
        <f t="shared" si="8"/>
        <v>40</v>
      </c>
      <c r="B52" s="13">
        <f>C51</f>
        <v>44823.91</v>
      </c>
      <c r="C52" s="14">
        <v>46946.33</v>
      </c>
      <c r="D52" s="15" t="s">
        <v>33</v>
      </c>
      <c r="E52" s="16">
        <f>C52-B52</f>
        <v>2122.4199999999983</v>
      </c>
      <c r="F52" s="17">
        <v>60</v>
      </c>
      <c r="G52" s="18"/>
      <c r="H52" s="16"/>
      <c r="I52" s="16">
        <f>IF(G52=0,ROUND($E52*$F52,2),ROUND($E52*$F52*$G52,2))</f>
        <v>127345.2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>
        <f t="shared" si="9"/>
        <v>3144.33</v>
      </c>
      <c r="U52" s="16">
        <f>ROUND(((($I52+$J52+$N52+$O52+$P52+$Q52)*(U$72/12))/27),2)</f>
        <v>2358.24</v>
      </c>
      <c r="V52" s="16"/>
      <c r="W52" s="16">
        <f t="shared" si="10"/>
        <v>2334.66</v>
      </c>
      <c r="X52" s="16"/>
      <c r="Y52" s="16"/>
      <c r="Z52" s="16">
        <f t="shared" si="11"/>
        <v>589.56</v>
      </c>
      <c r="AA52" s="16">
        <f t="shared" si="11"/>
        <v>687.82</v>
      </c>
      <c r="AB52" s="16">
        <f t="shared" si="12"/>
        <v>1277.38</v>
      </c>
      <c r="AC52" s="16"/>
      <c r="AD52" s="16"/>
      <c r="AE52" s="16"/>
      <c r="AF52" s="105"/>
      <c r="AG52" s="106"/>
    </row>
    <row r="53" spans="1:33" s="5" customFormat="1" ht="21.75" customHeight="1">
      <c r="A53" s="12">
        <f t="shared" si="8"/>
        <v>41</v>
      </c>
      <c r="B53" s="14"/>
      <c r="C53" s="14"/>
      <c r="D53" s="15"/>
      <c r="E53" s="16"/>
      <c r="F53" s="22"/>
      <c r="G53" s="1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05"/>
      <c r="AG53" s="106"/>
    </row>
    <row r="54" spans="1:33" s="5" customFormat="1" ht="21.75" customHeight="1">
      <c r="A54" s="12">
        <f t="shared" si="8"/>
        <v>42</v>
      </c>
      <c r="B54" s="19" t="s">
        <v>35</v>
      </c>
      <c r="C54" s="14"/>
      <c r="D54" s="15"/>
      <c r="E54" s="16"/>
      <c r="F54" s="22"/>
      <c r="G54" s="1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05"/>
      <c r="AG54" s="106"/>
    </row>
    <row r="55" spans="1:33" s="5" customFormat="1" ht="21.75" customHeight="1">
      <c r="A55" s="12">
        <f t="shared" si="8"/>
        <v>43</v>
      </c>
      <c r="B55" s="14">
        <v>39137.36</v>
      </c>
      <c r="C55" s="38">
        <v>39200</v>
      </c>
      <c r="D55" s="15" t="s">
        <v>40</v>
      </c>
      <c r="E55" s="16">
        <f aca="true" t="shared" si="13" ref="E55:E62">C55-B55</f>
        <v>62.63999999999942</v>
      </c>
      <c r="F55" s="17">
        <f>ROUND(AVERAGE(12.285,10),2)</f>
        <v>11.14</v>
      </c>
      <c r="G55" s="18">
        <f>ROUND((21630.9102-((17.554+18)/2)-((48.586+48)/2)-($F55/2))/21630.9102,4)</f>
        <v>0.9967</v>
      </c>
      <c r="H55" s="18">
        <f>ROUND((21630.9102-((17.554+18)/2)-((48.586+48)/2)-($F55))/21630.9102,4)</f>
        <v>0.9964</v>
      </c>
      <c r="I55" s="16">
        <f aca="true" t="shared" si="14" ref="I55:I61">IF(G55=0,ROUND($E55*$F55,2),ROUND($E55*$F55*$G55,2))</f>
        <v>695.51</v>
      </c>
      <c r="J55" s="16"/>
      <c r="K55" s="16">
        <f>IF($H55=0,ROUND($E55*(K$72/12),2),ROUND($E55*(K$72/12)*$H55,2))</f>
        <v>20.8</v>
      </c>
      <c r="L55" s="16"/>
      <c r="M55" s="16">
        <f aca="true" t="shared" si="15" ref="M55:N57">IF($H55=0,ROUND($E55*(M$72/12),2),ROUND($E55*(M$72/12)*$H55,2))</f>
        <v>52.01</v>
      </c>
      <c r="N55" s="16">
        <f t="shared" si="15"/>
        <v>83.22</v>
      </c>
      <c r="O55" s="16"/>
      <c r="P55" s="16"/>
      <c r="Q55" s="16"/>
      <c r="R55" s="16"/>
      <c r="S55" s="16"/>
      <c r="T55" s="16">
        <f>ROUND(((($I55+$J55)*(T$72/12)+($K55)*(T$73/12)+($M55)*(T$73/12))/27),2)</f>
        <v>18.07</v>
      </c>
      <c r="U55" s="16">
        <f>ROUND(((($I55+$J55+$N55+$O55+$P55+$Q55)*(U$72/12))/27),2)</f>
        <v>14.42</v>
      </c>
      <c r="V55" s="16"/>
      <c r="W55" s="16">
        <f>ROUND(((($I55+$J55)/9)*$W$72)+((($I55+$J55+$K55)/9)*$W$72)+((($I55+$J55+$M55)/9)*$W$72),2)</f>
        <v>13.2</v>
      </c>
      <c r="X55" s="16"/>
      <c r="Y55" s="16"/>
      <c r="Z55" s="16">
        <f>ROUND(((($I55+$J55)*(Z$72/12))/27),2)</f>
        <v>3.22</v>
      </c>
      <c r="AA55" s="16">
        <f>ROUND(((($I55+$J55)*(AA$72/12))/27),2)</f>
        <v>3.76</v>
      </c>
      <c r="AB55" s="16"/>
      <c r="AC55" s="16"/>
      <c r="AD55" s="16"/>
      <c r="AE55" s="16"/>
      <c r="AF55" s="105"/>
      <c r="AG55" s="106"/>
    </row>
    <row r="56" spans="1:33" s="5" customFormat="1" ht="21.75" customHeight="1">
      <c r="A56" s="12">
        <f t="shared" si="8"/>
        <v>44</v>
      </c>
      <c r="B56" s="14">
        <f aca="true" t="shared" si="16" ref="B56:B62">C55</f>
        <v>39200</v>
      </c>
      <c r="C56" s="38">
        <v>39385</v>
      </c>
      <c r="D56" s="15" t="s">
        <v>40</v>
      </c>
      <c r="E56" s="16">
        <f t="shared" si="13"/>
        <v>185</v>
      </c>
      <c r="F56" s="17">
        <v>10</v>
      </c>
      <c r="G56" s="18">
        <f>ROUND((21630.9102-((16.15+18)/2)-48-($F56/2))/21630.9102,4)</f>
        <v>0.9968</v>
      </c>
      <c r="H56" s="18">
        <f>ROUND((21630.9102-((16.15+18)/2)-48-($F56))/21630.9102,4)</f>
        <v>0.9965</v>
      </c>
      <c r="I56" s="16">
        <f t="shared" si="14"/>
        <v>1844.08</v>
      </c>
      <c r="J56" s="16"/>
      <c r="K56" s="16">
        <f>IF($H56=0,ROUND($E56*(K$72/12),2),ROUND($E56*(K$72/12)*$H56,2))</f>
        <v>61.45</v>
      </c>
      <c r="L56" s="16"/>
      <c r="M56" s="16">
        <f t="shared" si="15"/>
        <v>153.63</v>
      </c>
      <c r="N56" s="16">
        <f t="shared" si="15"/>
        <v>245.8</v>
      </c>
      <c r="O56" s="16"/>
      <c r="P56" s="16"/>
      <c r="Q56" s="16"/>
      <c r="R56" s="16"/>
      <c r="S56" s="16"/>
      <c r="T56" s="16">
        <f>ROUND(((($I56+$J56)*(T$72/12)+($K56)*(T$73/12)+($M56)*(T$73/12))/27),2)</f>
        <v>48.19</v>
      </c>
      <c r="U56" s="16">
        <f>ROUND(((($I56+$J56+$N56+$O56+$P56+$Q56)*(U$72/12))/27),2)</f>
        <v>38.7</v>
      </c>
      <c r="V56" s="16"/>
      <c r="W56" s="16">
        <f aca="true" t="shared" si="17" ref="W56:W61">ROUND(((($I56+$J56)/9)*$W$72)+((($I56+$J56+$K56)/9)*$W$72)+((($I56+$J56+$M56)/9)*$W$72),2)</f>
        <v>35.12</v>
      </c>
      <c r="X56" s="16"/>
      <c r="Y56" s="16"/>
      <c r="Z56" s="16">
        <f aca="true" t="shared" si="18" ref="Z56:AA62">ROUND(((($I56+$J56)*(Z$72/12))/27),2)</f>
        <v>8.54</v>
      </c>
      <c r="AA56" s="16">
        <f t="shared" si="18"/>
        <v>9.96</v>
      </c>
      <c r="AB56" s="16"/>
      <c r="AC56" s="16"/>
      <c r="AD56" s="16"/>
      <c r="AE56" s="16"/>
      <c r="AF56" s="105"/>
      <c r="AG56" s="106"/>
    </row>
    <row r="57" spans="1:33" s="5" customFormat="1" ht="21.75" customHeight="1">
      <c r="A57" s="12">
        <f t="shared" si="8"/>
        <v>45</v>
      </c>
      <c r="B57" s="14">
        <f t="shared" si="16"/>
        <v>39385</v>
      </c>
      <c r="C57" s="38">
        <v>39454.3</v>
      </c>
      <c r="D57" s="15" t="s">
        <v>40</v>
      </c>
      <c r="E57" s="16">
        <f t="shared" si="13"/>
        <v>69.30000000000291</v>
      </c>
      <c r="F57" s="17">
        <v>10</v>
      </c>
      <c r="G57" s="18">
        <f>ROUND((21630.9102-((16.15+15.457)/2)-48-($F57/2))/21630.9102,4)</f>
        <v>0.9968</v>
      </c>
      <c r="H57" s="18">
        <f>ROUND((21630.9102-((16.15+15.457)/2)-48-($F57))/21630.9102,4)</f>
        <v>0.9966</v>
      </c>
      <c r="I57" s="16">
        <f t="shared" si="14"/>
        <v>690.78</v>
      </c>
      <c r="J57" s="16"/>
      <c r="K57" s="16"/>
      <c r="L57" s="16">
        <f>IF($H57=0,ROUND($E57*(L$72/12),2),ROUND($E57*(L$72/12)*$H57,2))</f>
        <v>34.53</v>
      </c>
      <c r="M57" s="16">
        <f t="shared" si="15"/>
        <v>57.55</v>
      </c>
      <c r="N57" s="16">
        <f t="shared" si="15"/>
        <v>92.09</v>
      </c>
      <c r="O57" s="16"/>
      <c r="P57" s="16">
        <f>IF($H57=0,ROUND($E57*(P$72/12),2),ROUND($E57*(P$72/12)*$H57,2))</f>
        <v>115.11</v>
      </c>
      <c r="Q57" s="16">
        <f>IF($H57=0,ROUND($E57*(Q$72/12),2),ROUND($E57*(Q$72/12)*$H57,2))</f>
        <v>126.62</v>
      </c>
      <c r="R57" s="16"/>
      <c r="S57" s="16"/>
      <c r="T57" s="16">
        <f>ROUND(((($I57+$J57+$P57)*(T$72/12)+($M57)*(T$73/12)+($N57)*(T$73/12))/27),2)</f>
        <v>21.75</v>
      </c>
      <c r="U57" s="16">
        <f>ROUND(((($I57+$J57+$P57+$Q57)*(U$72/12))/27),2)</f>
        <v>17.27</v>
      </c>
      <c r="V57" s="16"/>
      <c r="W57" s="16">
        <f>ROUND(((($I57+$J57+$L57+$P57)/9)*$W$72)+((($I57+$J57+$M57+$P57)/9)*$W$72)+((($I57+$J57+$N57+$P57)/9)*$W$72),2)</f>
        <v>15.9</v>
      </c>
      <c r="X57" s="16"/>
      <c r="Y57" s="16"/>
      <c r="Z57" s="16">
        <f>ROUND(((($I57+$J57)*(Z$72/12))/27),2)</f>
        <v>3.2</v>
      </c>
      <c r="AA57" s="16">
        <f>ROUND(((($I57+$J57+$P57+$L57)*(AA$72/12))/27),2)</f>
        <v>4.54</v>
      </c>
      <c r="AB57" s="16"/>
      <c r="AC57" s="16"/>
      <c r="AD57" s="16"/>
      <c r="AE57" s="16"/>
      <c r="AF57" s="105"/>
      <c r="AG57" s="106"/>
    </row>
    <row r="58" spans="1:33" s="24" customFormat="1" ht="21.75" customHeight="1">
      <c r="A58" s="12">
        <f t="shared" si="8"/>
        <v>46</v>
      </c>
      <c r="B58" s="13">
        <f t="shared" si="16"/>
        <v>39454.3</v>
      </c>
      <c r="C58" s="14">
        <v>39472.51</v>
      </c>
      <c r="D58" s="15" t="s">
        <v>40</v>
      </c>
      <c r="E58" s="16">
        <f t="shared" si="13"/>
        <v>18.209999999999127</v>
      </c>
      <c r="F58" s="17">
        <v>10</v>
      </c>
      <c r="G58" s="18">
        <f>ROUND((21630.9102-((15.275+15.457)/2)-48-($F58/2))/21630.9102,4)</f>
        <v>0.9968</v>
      </c>
      <c r="H58" s="18">
        <f>ROUND((21630.9102-((15.275+15.457)/2)-48-($F58))/21630.9102,4)</f>
        <v>0.9966</v>
      </c>
      <c r="I58" s="16">
        <f t="shared" si="14"/>
        <v>181.52</v>
      </c>
      <c r="J58" s="16"/>
      <c r="K58" s="16"/>
      <c r="L58" s="16"/>
      <c r="M58" s="16"/>
      <c r="N58" s="16"/>
      <c r="O58" s="16">
        <f>IF($H58=0,ROUND($E58*(O$72/12),2),ROUND($E58*(O$72/12)*$H58,2))</f>
        <v>27.22</v>
      </c>
      <c r="P58" s="16"/>
      <c r="Q58" s="16"/>
      <c r="R58" s="16"/>
      <c r="S58" s="16"/>
      <c r="T58" s="16">
        <f>ROUND(((($I58+$J58)*(T$72/12)+($K58)*(T$73/12)+($M58)*(T$73/12))/27),2)</f>
        <v>4.48</v>
      </c>
      <c r="U58" s="16">
        <f>ROUND(((($I58+$J58+$N58+$O58+$P58+$Q58)*(U$72/12))/27),2)</f>
        <v>3.87</v>
      </c>
      <c r="V58" s="16"/>
      <c r="W58" s="16">
        <f>ROUND(((($I58+$J58)/9)*$W$72)+((($I58+$J58+$K58)/9)*$W$72)+((($I58+$J58+$M58)/9)*$W$72),2)</f>
        <v>3.33</v>
      </c>
      <c r="X58" s="16"/>
      <c r="Y58" s="16"/>
      <c r="Z58" s="16">
        <f>ROUND(((($I58+$J58)*(Z$72/12))/27),2)</f>
        <v>0.84</v>
      </c>
      <c r="AA58" s="16">
        <f>ROUND(((($I58+$J58)*(AA$72/12))/27),2)</f>
        <v>0.98</v>
      </c>
      <c r="AB58" s="16"/>
      <c r="AC58" s="16"/>
      <c r="AD58" s="16">
        <f>IF($H58=0,$E58,ROUND($E58*$H58,2))</f>
        <v>18.15</v>
      </c>
      <c r="AE58" s="16"/>
      <c r="AF58" s="105"/>
      <c r="AG58" s="106"/>
    </row>
    <row r="59" spans="1:33" s="24" customFormat="1" ht="21.75" customHeight="1">
      <c r="A59" s="12">
        <f t="shared" si="8"/>
        <v>47</v>
      </c>
      <c r="B59" s="13">
        <f t="shared" si="16"/>
        <v>39472.51</v>
      </c>
      <c r="C59" s="14">
        <v>39800</v>
      </c>
      <c r="D59" s="15" t="s">
        <v>40</v>
      </c>
      <c r="E59" s="16">
        <f t="shared" si="13"/>
        <v>327.48999999999796</v>
      </c>
      <c r="F59" s="17">
        <v>10</v>
      </c>
      <c r="G59" s="18">
        <f>ROUND((21630.9102-((15.275+12)/2)-48-($F59/2))/21630.9102,4)</f>
        <v>0.9969</v>
      </c>
      <c r="H59" s="18">
        <f>ROUND((21630.9102-((15.275+12)/2)-48-($F59))/21630.9102,4)</f>
        <v>0.9967</v>
      </c>
      <c r="I59" s="16">
        <f t="shared" si="14"/>
        <v>3264.75</v>
      </c>
      <c r="J59" s="16"/>
      <c r="K59" s="16">
        <f>IF($H59=0,ROUND($E59*(K$72/12),2),ROUND($E59*(K$72/12)*$H59,2))</f>
        <v>108.8</v>
      </c>
      <c r="L59" s="16"/>
      <c r="M59" s="16">
        <f aca="true" t="shared" si="19" ref="M59:N62">IF($H59=0,ROUND($E59*(M$72/12),2),ROUND($E59*(M$72/12)*$H59,2))</f>
        <v>272.01</v>
      </c>
      <c r="N59" s="16">
        <f t="shared" si="19"/>
        <v>435.21</v>
      </c>
      <c r="O59" s="16"/>
      <c r="P59" s="16"/>
      <c r="Q59" s="16"/>
      <c r="R59" s="16"/>
      <c r="S59" s="16"/>
      <c r="T59" s="16">
        <f>ROUND(((($I59+$J59)*(T$72/12)+($K59)*(T$73/12)+($M59)*(T$73/12))/27),2)</f>
        <v>85.31</v>
      </c>
      <c r="U59" s="16">
        <f>ROUND(((($I59+$J59+$N59+$O59+$P59+$Q59)*(U$72/12))/27),2)</f>
        <v>68.52</v>
      </c>
      <c r="V59" s="16"/>
      <c r="W59" s="16">
        <f>ROUND(((($I59+$J59)/9)*$W$72)+((($I59+$J59+$K59)/9)*$W$72)+((($I59+$J59+$M59)/9)*$W$72),2)</f>
        <v>62.18</v>
      </c>
      <c r="X59" s="16"/>
      <c r="Y59" s="16"/>
      <c r="Z59" s="16">
        <f t="shared" si="18"/>
        <v>15.11</v>
      </c>
      <c r="AA59" s="16">
        <f t="shared" si="18"/>
        <v>17.63</v>
      </c>
      <c r="AB59" s="16"/>
      <c r="AC59" s="16"/>
      <c r="AD59" s="16"/>
      <c r="AE59" s="16"/>
      <c r="AF59" s="105"/>
      <c r="AG59" s="106"/>
    </row>
    <row r="60" spans="1:33" s="24" customFormat="1" ht="21.75" customHeight="1">
      <c r="A60" s="12">
        <f t="shared" si="8"/>
        <v>48</v>
      </c>
      <c r="B60" s="13">
        <f t="shared" si="16"/>
        <v>39800</v>
      </c>
      <c r="C60" s="14">
        <v>40459.11</v>
      </c>
      <c r="D60" s="15" t="s">
        <v>40</v>
      </c>
      <c r="E60" s="16">
        <f t="shared" si="13"/>
        <v>659.1100000000006</v>
      </c>
      <c r="F60" s="22">
        <v>10</v>
      </c>
      <c r="G60" s="18">
        <f>ROUND((21630.9102-12-48-($F60/2))/21630.9102,4)</f>
        <v>0.997</v>
      </c>
      <c r="H60" s="18">
        <f>ROUND((21630.9102-12-48-($F60))/21630.9102,4)</f>
        <v>0.9968</v>
      </c>
      <c r="I60" s="16">
        <f t="shared" si="14"/>
        <v>6571.33</v>
      </c>
      <c r="J60" s="16"/>
      <c r="K60" s="16">
        <f>IF($H60=0,ROUND($E60*(K$72/12),2),ROUND($E60*(K$72/12)*$H60,2))</f>
        <v>219</v>
      </c>
      <c r="L60" s="16"/>
      <c r="M60" s="16">
        <f t="shared" si="19"/>
        <v>547.5</v>
      </c>
      <c r="N60" s="16">
        <f>IF($H60=0,ROUND($E60*(N$72/12),2),ROUND($E60*(N$72/12)*$H60,2))</f>
        <v>876</v>
      </c>
      <c r="O60" s="16"/>
      <c r="P60" s="16"/>
      <c r="Q60" s="16"/>
      <c r="R60" s="16"/>
      <c r="S60" s="16"/>
      <c r="T60" s="16">
        <f>ROUND(((($I60+$J60)*(T$72/12)+($K60)*(T$73/12)+($M60)*(T$73/12))/27),2)</f>
        <v>171.72</v>
      </c>
      <c r="U60" s="16">
        <f>ROUND(((($I60+$J60+$N60+$O60+$P60+$Q60)*(U$72/12))/27),2)</f>
        <v>137.91</v>
      </c>
      <c r="V60" s="16"/>
      <c r="W60" s="16">
        <f t="shared" si="17"/>
        <v>125.16</v>
      </c>
      <c r="X60" s="16"/>
      <c r="Y60" s="16"/>
      <c r="Z60" s="16">
        <f t="shared" si="18"/>
        <v>30.42</v>
      </c>
      <c r="AA60" s="16">
        <f t="shared" si="18"/>
        <v>35.49</v>
      </c>
      <c r="AB60" s="16"/>
      <c r="AC60" s="16"/>
      <c r="AD60" s="16"/>
      <c r="AE60" s="16"/>
      <c r="AF60" s="105"/>
      <c r="AG60" s="106"/>
    </row>
    <row r="61" spans="1:33" s="24" customFormat="1" ht="21.75" customHeight="1">
      <c r="A61" s="12">
        <f t="shared" si="8"/>
        <v>49</v>
      </c>
      <c r="B61" s="13">
        <f t="shared" si="16"/>
        <v>40459.11</v>
      </c>
      <c r="C61" s="14">
        <v>42355</v>
      </c>
      <c r="D61" s="15" t="s">
        <v>40</v>
      </c>
      <c r="E61" s="16">
        <f t="shared" si="13"/>
        <v>1895.8899999999994</v>
      </c>
      <c r="F61" s="22">
        <v>10</v>
      </c>
      <c r="G61" s="18"/>
      <c r="H61" s="16"/>
      <c r="I61" s="16">
        <f t="shared" si="14"/>
        <v>18958.9</v>
      </c>
      <c r="J61" s="16"/>
      <c r="K61" s="16">
        <f>IF($H61=0,ROUND($E61*(K$72/12),2),ROUND($E61*(K$72/12)*$H61,2))</f>
        <v>631.96</v>
      </c>
      <c r="L61" s="16"/>
      <c r="M61" s="16">
        <f t="shared" si="19"/>
        <v>1579.91</v>
      </c>
      <c r="N61" s="16">
        <f>IF($H61=0,ROUND($E61*(N$72/12),2),ROUND($E61*(N$72/12)*$H61,2))</f>
        <v>2527.85</v>
      </c>
      <c r="O61" s="16"/>
      <c r="P61" s="16"/>
      <c r="Q61" s="16"/>
      <c r="R61" s="16"/>
      <c r="S61" s="16"/>
      <c r="T61" s="16">
        <f>ROUND(((($I61+$J61)*(T$72/12)+($K61)*(T$73/12)+($M61)*(T$73/12))/27),2)</f>
        <v>495.43</v>
      </c>
      <c r="U61" s="16">
        <f>ROUND(((($I61+$J61+$N61+$O61+$P61+$Q61)*(U$72/12))/27),2)</f>
        <v>397.9</v>
      </c>
      <c r="V61" s="16"/>
      <c r="W61" s="16">
        <f t="shared" si="17"/>
        <v>361.1</v>
      </c>
      <c r="X61" s="16"/>
      <c r="Y61" s="16"/>
      <c r="Z61" s="16">
        <f t="shared" si="18"/>
        <v>87.77</v>
      </c>
      <c r="AA61" s="16">
        <f t="shared" si="18"/>
        <v>102.4</v>
      </c>
      <c r="AB61" s="16"/>
      <c r="AC61" s="16"/>
      <c r="AD61" s="16"/>
      <c r="AE61" s="16"/>
      <c r="AF61" s="105"/>
      <c r="AG61" s="106"/>
    </row>
    <row r="62" spans="1:33" s="24" customFormat="1" ht="21.75" customHeight="1">
      <c r="A62" s="12">
        <f t="shared" si="8"/>
        <v>50</v>
      </c>
      <c r="B62" s="13">
        <f t="shared" si="16"/>
        <v>42355</v>
      </c>
      <c r="C62" s="14">
        <v>42528.59</v>
      </c>
      <c r="D62" s="15" t="s">
        <v>40</v>
      </c>
      <c r="E62" s="16">
        <f t="shared" si="13"/>
        <v>173.5899999999965</v>
      </c>
      <c r="F62" s="80" t="s">
        <v>31</v>
      </c>
      <c r="G62" s="81"/>
      <c r="H62" s="81"/>
      <c r="I62" s="82"/>
      <c r="J62" s="16">
        <f>ROUND(2294.8374,2)</f>
        <v>2294.84</v>
      </c>
      <c r="K62" s="16">
        <f>IF($H62=0,ROUND($E62*(K$72/12),2),ROUND($E62*(K$72/12)*$H62,2))</f>
        <v>57.86</v>
      </c>
      <c r="L62" s="16"/>
      <c r="M62" s="16">
        <f t="shared" si="19"/>
        <v>144.66</v>
      </c>
      <c r="N62" s="16">
        <f t="shared" si="19"/>
        <v>231.45</v>
      </c>
      <c r="O62" s="16"/>
      <c r="P62" s="16"/>
      <c r="Q62" s="16"/>
      <c r="R62" s="16"/>
      <c r="S62" s="16"/>
      <c r="T62" s="16">
        <f>ROUND(((($I62+$J62)*(T$72/12)+($K62)*(T$73/12)+($M62)*(T$73/12))/27),2)</f>
        <v>59.16</v>
      </c>
      <c r="U62" s="16">
        <f>ROUND(((($I62+$J62+$N62+$O62+$P62+$Q62)*(U$72/12))/27),2)</f>
        <v>46.78</v>
      </c>
      <c r="V62" s="16"/>
      <c r="W62" s="16">
        <f>ROUND(((($I62+$J62)/9)*$W$72)+((($I62+$J62+$K62)/9)*$W$72)+((($I62+$J62+$M62)/9)*$W$72),2)</f>
        <v>43.31</v>
      </c>
      <c r="X62" s="16"/>
      <c r="Y62" s="16"/>
      <c r="Z62" s="16">
        <f t="shared" si="18"/>
        <v>10.62</v>
      </c>
      <c r="AA62" s="16">
        <f t="shared" si="18"/>
        <v>12.39</v>
      </c>
      <c r="AB62" s="16"/>
      <c r="AC62" s="16"/>
      <c r="AD62" s="16"/>
      <c r="AE62" s="16"/>
      <c r="AF62" s="105"/>
      <c r="AG62" s="106"/>
    </row>
    <row r="63" spans="1:33" s="24" customFormat="1" ht="21.75" customHeight="1">
      <c r="A63" s="12">
        <f t="shared" si="8"/>
        <v>51</v>
      </c>
      <c r="B63" s="13"/>
      <c r="C63" s="14"/>
      <c r="D63" s="15"/>
      <c r="E63" s="16"/>
      <c r="F63" s="17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05"/>
      <c r="AG63" s="106"/>
    </row>
    <row r="64" spans="1:33" s="24" customFormat="1" ht="21.75" customHeight="1">
      <c r="A64" s="12">
        <f t="shared" si="8"/>
        <v>52</v>
      </c>
      <c r="B64" s="13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12"/>
      <c r="AG64" s="106"/>
    </row>
    <row r="65" spans="1:33" s="24" customFormat="1" ht="21.75" customHeight="1">
      <c r="A65" s="12">
        <f t="shared" si="8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12"/>
      <c r="AG65" s="106"/>
    </row>
    <row r="66" spans="1:33" s="24" customFormat="1" ht="21.75" customHeight="1" thickBot="1">
      <c r="A66" s="12">
        <f t="shared" si="8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13"/>
      <c r="AG66" s="108"/>
    </row>
    <row r="67" spans="2:33" s="25" customFormat="1" ht="46.5" customHeight="1">
      <c r="B67" s="93" t="s">
        <v>8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5"/>
      <c r="S67" s="110" t="str">
        <f aca="true" t="shared" si="20" ref="S67:AE67">IF(SUM(S13:S66)=0," ",ROUNDUP(SUM(S13:S66),0))</f>
        <v> </v>
      </c>
      <c r="T67" s="110">
        <f t="shared" si="20"/>
        <v>13788</v>
      </c>
      <c r="U67" s="110">
        <f t="shared" si="20"/>
        <v>10388</v>
      </c>
      <c r="V67" s="110" t="str">
        <f t="shared" si="20"/>
        <v> </v>
      </c>
      <c r="W67" s="110">
        <f t="shared" si="20"/>
        <v>10225</v>
      </c>
      <c r="X67" s="110" t="str">
        <f t="shared" si="20"/>
        <v> </v>
      </c>
      <c r="Y67" s="110" t="str">
        <f t="shared" si="20"/>
        <v> </v>
      </c>
      <c r="Z67" s="110">
        <f t="shared" si="20"/>
        <v>2576</v>
      </c>
      <c r="AA67" s="110">
        <f t="shared" si="20"/>
        <v>3006</v>
      </c>
      <c r="AB67" s="110">
        <f t="shared" si="20"/>
        <v>3960</v>
      </c>
      <c r="AC67" s="110" t="str">
        <f t="shared" si="20"/>
        <v> </v>
      </c>
      <c r="AD67" s="110">
        <f t="shared" si="20"/>
        <v>19</v>
      </c>
      <c r="AE67" s="110" t="str">
        <f t="shared" si="20"/>
        <v> </v>
      </c>
      <c r="AF67" s="120">
        <v>3</v>
      </c>
      <c r="AG67" s="121"/>
    </row>
    <row r="68" spans="2:33" s="25" customFormat="1" ht="46.5" customHeight="1" thickBot="1"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8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4">
        <v>15</v>
      </c>
      <c r="AG68" s="115"/>
    </row>
    <row r="69" spans="1:34" ht="36" customHeight="1">
      <c r="A69" s="26"/>
      <c r="B69" s="27"/>
      <c r="C69" s="27"/>
      <c r="D69" s="27"/>
      <c r="E69" s="27"/>
      <c r="F69" s="27"/>
      <c r="G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U69" s="27"/>
      <c r="V69" s="27"/>
      <c r="W69" s="1"/>
      <c r="X69" s="27"/>
      <c r="Y69" s="27"/>
      <c r="Z69" s="27"/>
      <c r="AA69" s="27"/>
      <c r="AB69" s="27"/>
      <c r="AE69" s="27"/>
      <c r="AF69" s="27"/>
      <c r="AG69" s="27"/>
      <c r="AH69" s="28"/>
    </row>
    <row r="70" spans="2:33" ht="12.75">
      <c r="B70" s="27"/>
      <c r="C70" s="27"/>
      <c r="D70" s="27"/>
      <c r="E70" s="27"/>
      <c r="F70" s="27"/>
      <c r="G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U70" s="27"/>
      <c r="V70" s="27"/>
      <c r="W70" s="1"/>
      <c r="X70" s="27"/>
      <c r="Y70" s="27"/>
      <c r="Z70" s="27"/>
      <c r="AA70" s="27"/>
      <c r="AB70" s="27"/>
      <c r="AE70" s="27"/>
      <c r="AF70" s="27"/>
      <c r="AG70" s="27"/>
    </row>
    <row r="71" spans="2:33" ht="12.75">
      <c r="B71" s="27"/>
      <c r="C71" s="27"/>
      <c r="D71" s="27"/>
      <c r="E71" s="27"/>
      <c r="F71" s="27"/>
      <c r="G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U71" s="27"/>
      <c r="V71" s="27"/>
      <c r="W71" s="1"/>
      <c r="X71" s="27"/>
      <c r="Y71" s="27"/>
      <c r="Z71" s="27"/>
      <c r="AA71" s="27"/>
      <c r="AB71" s="27"/>
      <c r="AE71" s="27"/>
      <c r="AF71" s="27"/>
      <c r="AG71" s="27"/>
    </row>
    <row r="72" spans="2:33" ht="15.75">
      <c r="B72" s="60" t="s">
        <v>34</v>
      </c>
      <c r="C72" s="61"/>
      <c r="D72" s="61"/>
      <c r="E72" s="61"/>
      <c r="F72" s="61"/>
      <c r="G72" s="62"/>
      <c r="I72" s="42"/>
      <c r="J72" s="42"/>
      <c r="K72" s="42">
        <v>4</v>
      </c>
      <c r="L72" s="42">
        <v>6</v>
      </c>
      <c r="M72" s="42">
        <v>10</v>
      </c>
      <c r="N72" s="42">
        <v>16</v>
      </c>
      <c r="O72" s="42">
        <v>18</v>
      </c>
      <c r="P72" s="42">
        <v>20</v>
      </c>
      <c r="Q72" s="42">
        <v>22</v>
      </c>
      <c r="R72" s="42">
        <v>22.875</v>
      </c>
      <c r="S72" s="42"/>
      <c r="T72" s="42">
        <v>8</v>
      </c>
      <c r="U72" s="43">
        <v>6</v>
      </c>
      <c r="V72" s="44"/>
      <c r="W72" s="44">
        <v>0.055</v>
      </c>
      <c r="X72" s="44"/>
      <c r="Y72" s="43"/>
      <c r="Z72" s="43">
        <v>1.5</v>
      </c>
      <c r="AA72" s="43">
        <v>1.75</v>
      </c>
      <c r="AB72" s="43"/>
      <c r="AC72" s="43"/>
      <c r="AD72" s="43"/>
      <c r="AE72" s="44"/>
      <c r="AF72" s="27"/>
      <c r="AG72" s="27"/>
    </row>
    <row r="73" spans="2:33" ht="15">
      <c r="B73" s="27"/>
      <c r="C73" s="27"/>
      <c r="D73" s="27"/>
      <c r="E73" s="27"/>
      <c r="F73" s="27"/>
      <c r="G73" s="27"/>
      <c r="I73" s="27"/>
      <c r="J73" s="27"/>
      <c r="K73" s="27"/>
      <c r="L73" s="27"/>
      <c r="M73" s="27"/>
      <c r="N73" s="27"/>
      <c r="O73" s="27"/>
      <c r="P73" s="27"/>
      <c r="Q73" s="27"/>
      <c r="R73" s="23"/>
      <c r="S73" s="23"/>
      <c r="T73" s="23">
        <f>T72/2</f>
        <v>4</v>
      </c>
      <c r="V73" s="42"/>
      <c r="W73" s="1"/>
      <c r="X73" s="45"/>
      <c r="Y73" s="27"/>
      <c r="Z73" s="27"/>
      <c r="AA73" s="27"/>
      <c r="AB73" s="27"/>
      <c r="AE73" s="27"/>
      <c r="AF73" s="27"/>
      <c r="AG73" s="27"/>
    </row>
    <row r="74" spans="2:33" ht="15">
      <c r="B74" s="27"/>
      <c r="C74" s="29"/>
      <c r="D74" s="27"/>
      <c r="E74" s="27"/>
      <c r="F74" s="27"/>
      <c r="G74" s="27"/>
      <c r="H74" s="30"/>
      <c r="I74" s="27"/>
      <c r="J74" s="27"/>
      <c r="K74" s="92"/>
      <c r="L74" s="124"/>
      <c r="M74" s="124"/>
      <c r="N74" s="124"/>
      <c r="O74" s="124"/>
      <c r="P74" s="124"/>
      <c r="Q74" s="124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27"/>
      <c r="AG74" s="27"/>
    </row>
  </sheetData>
  <sheetProtection/>
  <mergeCells count="54">
    <mergeCell ref="U67:U68"/>
    <mergeCell ref="V67:V68"/>
    <mergeCell ref="K74:Q74"/>
    <mergeCell ref="AB67:AB68"/>
    <mergeCell ref="AF51:AG66"/>
    <mergeCell ref="AF6:AG50"/>
    <mergeCell ref="AC67:AC68"/>
    <mergeCell ref="AD67:AD68"/>
    <mergeCell ref="S67:S68"/>
    <mergeCell ref="T67:T68"/>
    <mergeCell ref="AF68:AG68"/>
    <mergeCell ref="W67:W68"/>
    <mergeCell ref="AE67:AE68"/>
    <mergeCell ref="Y67:Y68"/>
    <mergeCell ref="Z67:Z68"/>
    <mergeCell ref="AA67:AA68"/>
    <mergeCell ref="X67:X68"/>
    <mergeCell ref="AG3:AG5"/>
    <mergeCell ref="AF3:AF5"/>
    <mergeCell ref="AB4:AB11"/>
    <mergeCell ref="AC4:AC11"/>
    <mergeCell ref="AD4:AD11"/>
    <mergeCell ref="AF67:AG67"/>
    <mergeCell ref="Z4:Z11"/>
    <mergeCell ref="AE4:AE11"/>
    <mergeCell ref="Y4:Y11"/>
    <mergeCell ref="W4:W11"/>
    <mergeCell ref="X4:X11"/>
    <mergeCell ref="T4:T11"/>
    <mergeCell ref="U4:U11"/>
    <mergeCell ref="V4:V11"/>
    <mergeCell ref="AA4:AA11"/>
    <mergeCell ref="Q3:Q11"/>
    <mergeCell ref="L3:L11"/>
    <mergeCell ref="M3:M11"/>
    <mergeCell ref="N3:N11"/>
    <mergeCell ref="S4:S11"/>
    <mergeCell ref="R3:R11"/>
    <mergeCell ref="K3:K11"/>
    <mergeCell ref="B3:C11"/>
    <mergeCell ref="B67:R68"/>
    <mergeCell ref="B14:I14"/>
    <mergeCell ref="B39:I39"/>
    <mergeCell ref="F62:I62"/>
    <mergeCell ref="F16:I16"/>
    <mergeCell ref="O3:O11"/>
    <mergeCell ref="I3:I11"/>
    <mergeCell ref="P3:P11"/>
    <mergeCell ref="H3:H11"/>
    <mergeCell ref="G3:G11"/>
    <mergeCell ref="F3:F11"/>
    <mergeCell ref="E3:E11"/>
    <mergeCell ref="D3:D11"/>
    <mergeCell ref="J3:J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AA4" sqref="AA4:AA11"/>
    </sheetView>
  </sheetViews>
  <sheetFormatPr defaultColWidth="9.140625" defaultRowHeight="12.75"/>
  <cols>
    <col min="1" max="3" width="24.7109375" style="1" customWidth="1"/>
    <col min="4" max="22" width="15.7109375" style="1" customWidth="1"/>
    <col min="23" max="23" width="15.7109375" style="46" customWidth="1"/>
    <col min="24" max="31" width="15.7109375" style="1" customWidth="1"/>
    <col min="32" max="34" width="6.7109375" style="1" customWidth="1"/>
    <col min="35" max="16384" width="9.140625" style="1" customWidth="1"/>
  </cols>
  <sheetData>
    <row r="1" spans="19:31" ht="12.75">
      <c r="S1" s="48"/>
      <c r="T1" s="48"/>
      <c r="U1" s="48"/>
      <c r="V1" s="48"/>
      <c r="W1" s="49"/>
      <c r="X1" s="48"/>
      <c r="Z1" s="48"/>
      <c r="AA1" s="48"/>
      <c r="AE1" s="48"/>
    </row>
    <row r="2" spans="1:34" s="4" customFormat="1" ht="36" customHeight="1" thickBot="1">
      <c r="A2" s="2"/>
      <c r="B2" s="31" t="s">
        <v>14</v>
      </c>
      <c r="C2" s="32"/>
      <c r="D2" s="33"/>
      <c r="E2" s="33"/>
      <c r="F2" s="33"/>
      <c r="G2" s="33"/>
      <c r="I2" s="34"/>
      <c r="J2" s="33"/>
      <c r="K2" s="33"/>
      <c r="L2" s="33"/>
      <c r="M2" s="33"/>
      <c r="N2" s="33"/>
      <c r="O2" s="33"/>
      <c r="P2" s="33"/>
      <c r="Q2" s="34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47"/>
      <c r="AE2" s="50"/>
      <c r="AH2" s="3"/>
    </row>
    <row r="3" spans="2:34" s="5" customFormat="1" ht="21.75" customHeight="1">
      <c r="B3" s="93" t="s">
        <v>0</v>
      </c>
      <c r="C3" s="95"/>
      <c r="D3" s="89" t="s">
        <v>3</v>
      </c>
      <c r="E3" s="89" t="s">
        <v>4</v>
      </c>
      <c r="F3" s="89" t="s">
        <v>5</v>
      </c>
      <c r="G3" s="86" t="s">
        <v>12</v>
      </c>
      <c r="H3" s="86" t="s">
        <v>94</v>
      </c>
      <c r="I3" s="89" t="s">
        <v>6</v>
      </c>
      <c r="J3" s="86" t="s">
        <v>10</v>
      </c>
      <c r="K3" s="86" t="s">
        <v>15</v>
      </c>
      <c r="L3" s="86" t="s">
        <v>16</v>
      </c>
      <c r="M3" s="86" t="s">
        <v>17</v>
      </c>
      <c r="N3" s="86" t="s">
        <v>18</v>
      </c>
      <c r="O3" s="86" t="s">
        <v>19</v>
      </c>
      <c r="P3" s="86" t="s">
        <v>20</v>
      </c>
      <c r="Q3" s="86" t="s">
        <v>21</v>
      </c>
      <c r="R3" s="86" t="s">
        <v>84</v>
      </c>
      <c r="S3" s="35"/>
      <c r="T3" s="35">
        <v>302</v>
      </c>
      <c r="U3" s="35">
        <v>304</v>
      </c>
      <c r="V3" s="35"/>
      <c r="W3" s="35">
        <v>407</v>
      </c>
      <c r="X3" s="35"/>
      <c r="Y3" s="35"/>
      <c r="Z3" s="35">
        <v>442</v>
      </c>
      <c r="AA3" s="35">
        <v>442</v>
      </c>
      <c r="AB3" s="35">
        <v>442</v>
      </c>
      <c r="AC3" s="35"/>
      <c r="AD3" s="36">
        <v>609</v>
      </c>
      <c r="AE3" s="36"/>
      <c r="AF3" s="116" t="s">
        <v>11</v>
      </c>
      <c r="AG3" s="116" t="s">
        <v>13</v>
      </c>
      <c r="AH3" s="6"/>
    </row>
    <row r="4" spans="2:34" s="5" customFormat="1" ht="27.75" customHeight="1">
      <c r="B4" s="99"/>
      <c r="C4" s="100"/>
      <c r="D4" s="90"/>
      <c r="E4" s="90"/>
      <c r="F4" s="90"/>
      <c r="G4" s="87"/>
      <c r="H4" s="87"/>
      <c r="I4" s="90"/>
      <c r="J4" s="87"/>
      <c r="K4" s="87"/>
      <c r="L4" s="87"/>
      <c r="M4" s="87"/>
      <c r="N4" s="87"/>
      <c r="O4" s="87"/>
      <c r="P4" s="87"/>
      <c r="Q4" s="87"/>
      <c r="R4" s="87"/>
      <c r="S4" s="83"/>
      <c r="T4" s="83" t="s">
        <v>22</v>
      </c>
      <c r="U4" s="83" t="s">
        <v>96</v>
      </c>
      <c r="V4" s="83"/>
      <c r="W4" s="83" t="s">
        <v>82</v>
      </c>
      <c r="X4" s="83"/>
      <c r="Y4" s="109"/>
      <c r="Z4" s="83" t="s">
        <v>83</v>
      </c>
      <c r="AA4" s="109" t="s">
        <v>97</v>
      </c>
      <c r="AB4" s="109" t="s">
        <v>23</v>
      </c>
      <c r="AC4" s="83"/>
      <c r="AD4" s="109" t="s">
        <v>95</v>
      </c>
      <c r="AE4" s="109"/>
      <c r="AF4" s="117"/>
      <c r="AG4" s="119"/>
      <c r="AH4" s="7"/>
    </row>
    <row r="5" spans="2:33" s="5" customFormat="1" ht="27.75" customHeight="1" thickBot="1">
      <c r="B5" s="99"/>
      <c r="C5" s="100"/>
      <c r="D5" s="90"/>
      <c r="E5" s="90"/>
      <c r="F5" s="90"/>
      <c r="G5" s="87"/>
      <c r="H5" s="87"/>
      <c r="I5" s="90"/>
      <c r="J5" s="87"/>
      <c r="K5" s="87"/>
      <c r="L5" s="87"/>
      <c r="M5" s="87"/>
      <c r="N5" s="87"/>
      <c r="O5" s="87"/>
      <c r="P5" s="87"/>
      <c r="Q5" s="87"/>
      <c r="R5" s="87"/>
      <c r="S5" s="84"/>
      <c r="T5" s="84"/>
      <c r="U5" s="84"/>
      <c r="V5" s="84"/>
      <c r="W5" s="84"/>
      <c r="X5" s="84"/>
      <c r="Y5" s="87"/>
      <c r="Z5" s="84"/>
      <c r="AA5" s="87"/>
      <c r="AB5" s="87"/>
      <c r="AC5" s="84"/>
      <c r="AD5" s="87"/>
      <c r="AE5" s="87"/>
      <c r="AF5" s="118"/>
      <c r="AG5" s="119"/>
    </row>
    <row r="6" spans="2:33" s="5" customFormat="1" ht="27.75" customHeight="1">
      <c r="B6" s="99"/>
      <c r="C6" s="100"/>
      <c r="D6" s="90"/>
      <c r="E6" s="90"/>
      <c r="F6" s="90"/>
      <c r="G6" s="87"/>
      <c r="H6" s="87"/>
      <c r="I6" s="90"/>
      <c r="J6" s="87"/>
      <c r="K6" s="87"/>
      <c r="L6" s="87"/>
      <c r="M6" s="87"/>
      <c r="N6" s="87"/>
      <c r="O6" s="87"/>
      <c r="P6" s="87"/>
      <c r="Q6" s="87"/>
      <c r="R6" s="87"/>
      <c r="S6" s="84"/>
      <c r="T6" s="84"/>
      <c r="U6" s="84"/>
      <c r="V6" s="84"/>
      <c r="W6" s="84"/>
      <c r="X6" s="84"/>
      <c r="Y6" s="87"/>
      <c r="Z6" s="84"/>
      <c r="AA6" s="87"/>
      <c r="AB6" s="87"/>
      <c r="AC6" s="84"/>
      <c r="AD6" s="87"/>
      <c r="AE6" s="87"/>
      <c r="AF6" s="103" t="s">
        <v>81</v>
      </c>
      <c r="AG6" s="104"/>
    </row>
    <row r="7" spans="2:33" s="5" customFormat="1" ht="27.75" customHeight="1">
      <c r="B7" s="99"/>
      <c r="C7" s="100"/>
      <c r="D7" s="90"/>
      <c r="E7" s="90"/>
      <c r="F7" s="90"/>
      <c r="G7" s="87"/>
      <c r="H7" s="87"/>
      <c r="I7" s="90"/>
      <c r="J7" s="87"/>
      <c r="K7" s="87"/>
      <c r="L7" s="87"/>
      <c r="M7" s="87"/>
      <c r="N7" s="87"/>
      <c r="O7" s="87"/>
      <c r="P7" s="87"/>
      <c r="Q7" s="87"/>
      <c r="R7" s="87"/>
      <c r="S7" s="84"/>
      <c r="T7" s="84"/>
      <c r="U7" s="84"/>
      <c r="V7" s="84"/>
      <c r="W7" s="84"/>
      <c r="X7" s="84"/>
      <c r="Y7" s="87"/>
      <c r="Z7" s="84"/>
      <c r="AA7" s="87"/>
      <c r="AB7" s="87"/>
      <c r="AC7" s="84"/>
      <c r="AD7" s="87"/>
      <c r="AE7" s="87"/>
      <c r="AF7" s="105"/>
      <c r="AG7" s="106"/>
    </row>
    <row r="8" spans="2:33" s="5" customFormat="1" ht="27.75" customHeight="1">
      <c r="B8" s="99"/>
      <c r="C8" s="100"/>
      <c r="D8" s="90"/>
      <c r="E8" s="90"/>
      <c r="F8" s="90"/>
      <c r="G8" s="87"/>
      <c r="H8" s="87"/>
      <c r="I8" s="90"/>
      <c r="J8" s="87"/>
      <c r="K8" s="87"/>
      <c r="L8" s="87"/>
      <c r="M8" s="87"/>
      <c r="N8" s="87"/>
      <c r="O8" s="87"/>
      <c r="P8" s="87"/>
      <c r="Q8" s="87"/>
      <c r="R8" s="87"/>
      <c r="S8" s="84"/>
      <c r="T8" s="84"/>
      <c r="U8" s="84"/>
      <c r="V8" s="84"/>
      <c r="W8" s="84"/>
      <c r="X8" s="84"/>
      <c r="Y8" s="87"/>
      <c r="Z8" s="84"/>
      <c r="AA8" s="87"/>
      <c r="AB8" s="87"/>
      <c r="AC8" s="84"/>
      <c r="AD8" s="87"/>
      <c r="AE8" s="87"/>
      <c r="AF8" s="105"/>
      <c r="AG8" s="106"/>
    </row>
    <row r="9" spans="2:33" s="5" customFormat="1" ht="27.75" customHeight="1">
      <c r="B9" s="99"/>
      <c r="C9" s="100"/>
      <c r="D9" s="90"/>
      <c r="E9" s="90"/>
      <c r="F9" s="90"/>
      <c r="G9" s="87"/>
      <c r="H9" s="87"/>
      <c r="I9" s="90"/>
      <c r="J9" s="87"/>
      <c r="K9" s="87"/>
      <c r="L9" s="87"/>
      <c r="M9" s="87"/>
      <c r="N9" s="87"/>
      <c r="O9" s="87"/>
      <c r="P9" s="87"/>
      <c r="Q9" s="87"/>
      <c r="R9" s="87"/>
      <c r="S9" s="84"/>
      <c r="T9" s="84"/>
      <c r="U9" s="84"/>
      <c r="V9" s="84"/>
      <c r="W9" s="84"/>
      <c r="X9" s="84"/>
      <c r="Y9" s="87"/>
      <c r="Z9" s="84"/>
      <c r="AA9" s="87"/>
      <c r="AB9" s="87"/>
      <c r="AC9" s="84"/>
      <c r="AD9" s="87"/>
      <c r="AE9" s="87"/>
      <c r="AF9" s="105"/>
      <c r="AG9" s="106"/>
    </row>
    <row r="10" spans="2:33" s="5" customFormat="1" ht="27.75" customHeight="1">
      <c r="B10" s="99"/>
      <c r="C10" s="100"/>
      <c r="D10" s="90"/>
      <c r="E10" s="90"/>
      <c r="F10" s="90"/>
      <c r="G10" s="87"/>
      <c r="H10" s="87"/>
      <c r="I10" s="90"/>
      <c r="J10" s="87"/>
      <c r="K10" s="87"/>
      <c r="L10" s="87"/>
      <c r="M10" s="87"/>
      <c r="N10" s="87"/>
      <c r="O10" s="87"/>
      <c r="P10" s="87"/>
      <c r="Q10" s="87"/>
      <c r="R10" s="87"/>
      <c r="S10" s="84"/>
      <c r="T10" s="84"/>
      <c r="U10" s="84"/>
      <c r="V10" s="84"/>
      <c r="W10" s="84"/>
      <c r="X10" s="84"/>
      <c r="Y10" s="87"/>
      <c r="Z10" s="84"/>
      <c r="AA10" s="87"/>
      <c r="AB10" s="87"/>
      <c r="AC10" s="84"/>
      <c r="AD10" s="87"/>
      <c r="AE10" s="87"/>
      <c r="AF10" s="105"/>
      <c r="AG10" s="106"/>
    </row>
    <row r="11" spans="2:33" s="8" customFormat="1" ht="27.75" customHeight="1">
      <c r="B11" s="101"/>
      <c r="C11" s="102"/>
      <c r="D11" s="91"/>
      <c r="E11" s="91"/>
      <c r="F11" s="91"/>
      <c r="G11" s="88"/>
      <c r="H11" s="88"/>
      <c r="I11" s="91"/>
      <c r="J11" s="88"/>
      <c r="K11" s="88"/>
      <c r="L11" s="88"/>
      <c r="M11" s="88"/>
      <c r="N11" s="88"/>
      <c r="O11" s="88"/>
      <c r="P11" s="88"/>
      <c r="Q11" s="88"/>
      <c r="R11" s="88"/>
      <c r="S11" s="85"/>
      <c r="T11" s="85"/>
      <c r="U11" s="85"/>
      <c r="V11" s="85"/>
      <c r="W11" s="85"/>
      <c r="X11" s="85"/>
      <c r="Y11" s="88"/>
      <c r="Z11" s="85"/>
      <c r="AA11" s="88"/>
      <c r="AB11" s="88"/>
      <c r="AC11" s="85"/>
      <c r="AD11" s="88"/>
      <c r="AE11" s="88"/>
      <c r="AF11" s="105"/>
      <c r="AG11" s="106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11"/>
      <c r="I12" s="11" t="s">
        <v>9</v>
      </c>
      <c r="J12" s="11" t="s">
        <v>9</v>
      </c>
      <c r="K12" s="11" t="s">
        <v>9</v>
      </c>
      <c r="L12" s="11" t="s">
        <v>9</v>
      </c>
      <c r="M12" s="11" t="s">
        <v>9</v>
      </c>
      <c r="N12" s="11" t="s">
        <v>9</v>
      </c>
      <c r="O12" s="11" t="s">
        <v>9</v>
      </c>
      <c r="P12" s="11" t="s">
        <v>9</v>
      </c>
      <c r="Q12" s="11" t="s">
        <v>9</v>
      </c>
      <c r="R12" s="11" t="s">
        <v>9</v>
      </c>
      <c r="S12" s="37"/>
      <c r="T12" s="37" t="s">
        <v>24</v>
      </c>
      <c r="U12" s="37" t="s">
        <v>24</v>
      </c>
      <c r="V12" s="37"/>
      <c r="W12" s="37" t="s">
        <v>25</v>
      </c>
      <c r="X12" s="37"/>
      <c r="Y12" s="37"/>
      <c r="Z12" s="37" t="s">
        <v>24</v>
      </c>
      <c r="AA12" s="37" t="s">
        <v>24</v>
      </c>
      <c r="AB12" s="37" t="s">
        <v>24</v>
      </c>
      <c r="AC12" s="37"/>
      <c r="AD12" s="11" t="s">
        <v>7</v>
      </c>
      <c r="AE12" s="11"/>
      <c r="AF12" s="105"/>
      <c r="AG12" s="106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05"/>
      <c r="AG13" s="106"/>
    </row>
    <row r="14" spans="1:33" s="5" customFormat="1" ht="21.75" customHeight="1">
      <c r="A14" s="12">
        <f>A13+1</f>
        <v>2</v>
      </c>
      <c r="B14" s="77" t="s">
        <v>75</v>
      </c>
      <c r="C14" s="78"/>
      <c r="D14" s="78"/>
      <c r="E14" s="78"/>
      <c r="F14" s="78"/>
      <c r="G14" s="78"/>
      <c r="H14" s="78"/>
      <c r="I14" s="7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05"/>
      <c r="AG14" s="106"/>
    </row>
    <row r="15" spans="1:33" s="5" customFormat="1" ht="21.75" customHeight="1">
      <c r="A15" s="12">
        <f>A14+1</f>
        <v>3</v>
      </c>
      <c r="B15" s="19" t="s">
        <v>36</v>
      </c>
      <c r="C15" s="20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05"/>
      <c r="AG15" s="106"/>
    </row>
    <row r="16" spans="1:33" s="5" customFormat="1" ht="21.75" customHeight="1">
      <c r="A16" s="12">
        <f aca="true" t="shared" si="0" ref="A16:A66">A15+1</f>
        <v>4</v>
      </c>
      <c r="B16" s="13">
        <v>42734.41</v>
      </c>
      <c r="C16" s="14">
        <v>42752.06</v>
      </c>
      <c r="D16" s="15" t="s">
        <v>40</v>
      </c>
      <c r="E16" s="16">
        <f>C16-B16</f>
        <v>17.64999999999418</v>
      </c>
      <c r="F16" s="80" t="s">
        <v>31</v>
      </c>
      <c r="G16" s="81"/>
      <c r="H16" s="81"/>
      <c r="I16" s="82"/>
      <c r="J16" s="16">
        <f>ROUND(361.866,2)</f>
        <v>361.87</v>
      </c>
      <c r="K16" s="16"/>
      <c r="L16" s="16"/>
      <c r="M16" s="15"/>
      <c r="N16" s="15"/>
      <c r="O16" s="16">
        <f>IF($H16=0,ROUND($E16*(O$72/12),2),ROUND($E16*(O$72/12)*$H16,2))</f>
        <v>26.47</v>
      </c>
      <c r="P16" s="16"/>
      <c r="Q16" s="16"/>
      <c r="R16" s="16"/>
      <c r="S16" s="16"/>
      <c r="T16" s="16">
        <f>ROUND(((($I16+$J16)*(T$72/12)+($K16)*(T$73/12)+($M16)*(T$73/12))/27),2)</f>
        <v>8.94</v>
      </c>
      <c r="U16" s="16">
        <f>ROUND(((($I16+$J16+$N16+$O16+$P16+$Q16)*(U$72/12))/27),2)</f>
        <v>7.19</v>
      </c>
      <c r="V16" s="16"/>
      <c r="W16" s="16">
        <f>ROUND(((($I16+$J16)/9)*$W$72)+((($I16+$J16+$K16)/9)*$W$72)+((($I16+$J16+$M16)/9)*$W$72),2)</f>
        <v>6.63</v>
      </c>
      <c r="X16" s="16"/>
      <c r="Y16" s="16"/>
      <c r="Z16" s="16">
        <f aca="true" t="shared" si="1" ref="Z16:AA20">ROUND(((($I16+$J16)*(Z$72/12))/27),2)</f>
        <v>1.68</v>
      </c>
      <c r="AA16" s="16">
        <f t="shared" si="1"/>
        <v>1.95</v>
      </c>
      <c r="AB16" s="16"/>
      <c r="AC16" s="16"/>
      <c r="AD16" s="16">
        <v>17.65</v>
      </c>
      <c r="AE16" s="16"/>
      <c r="AF16" s="105"/>
      <c r="AG16" s="106"/>
    </row>
    <row r="17" spans="1:33" s="5" customFormat="1" ht="21.75" customHeight="1">
      <c r="A17" s="12">
        <f t="shared" si="0"/>
        <v>5</v>
      </c>
      <c r="B17" s="13">
        <f>C16</f>
        <v>42752.06</v>
      </c>
      <c r="C17" s="14">
        <v>42760</v>
      </c>
      <c r="D17" s="15" t="s">
        <v>40</v>
      </c>
      <c r="E17" s="16">
        <f>C17-B17</f>
        <v>7.940000000002328</v>
      </c>
      <c r="F17" s="22">
        <v>17.78</v>
      </c>
      <c r="G17" s="18"/>
      <c r="H17" s="16"/>
      <c r="I17" s="16">
        <f>IF(G17=0,ROUND($E17*$F17,2),ROUND($E17*$F17*$G17,2))</f>
        <v>141.17</v>
      </c>
      <c r="J17" s="16"/>
      <c r="K17" s="16">
        <f>IF($H17=0,ROUND($E17*(K$72/12),2),ROUND($E17*(K$72/12)*$H17,2))</f>
        <v>2.65</v>
      </c>
      <c r="L17" s="16"/>
      <c r="M17" s="16">
        <f aca="true" t="shared" si="2" ref="M17:N20">IF($H17=0,ROUND($E17*(M$72/12),2),ROUND($E17*(M$72/12)*$H17,2))</f>
        <v>6.62</v>
      </c>
      <c r="N17" s="16">
        <f t="shared" si="2"/>
        <v>10.59</v>
      </c>
      <c r="O17" s="16"/>
      <c r="P17" s="16"/>
      <c r="Q17" s="16"/>
      <c r="R17" s="16"/>
      <c r="S17" s="16"/>
      <c r="T17" s="16">
        <f>ROUND(((($I17+$J17)*(T$72/12)+($K17)*(T$73/12)+($M17)*(T$73/12))/27),2)</f>
        <v>3.6</v>
      </c>
      <c r="U17" s="16">
        <f>ROUND(((($I17+$J17+$N17+$O17+$P17+$Q17)*(U$72/12))/27),2)</f>
        <v>2.81</v>
      </c>
      <c r="V17" s="16"/>
      <c r="W17" s="16">
        <f>ROUND(((($I17+$J17)/9)*$W$72)+((($I17+$J17+$K17)/9)*$W$72)+((($I17+$J17+$M17)/9)*$W$72),2)</f>
        <v>2.64</v>
      </c>
      <c r="X17" s="16"/>
      <c r="Y17" s="16"/>
      <c r="Z17" s="16">
        <f t="shared" si="1"/>
        <v>0.65</v>
      </c>
      <c r="AA17" s="16">
        <f t="shared" si="1"/>
        <v>0.76</v>
      </c>
      <c r="AB17" s="16"/>
      <c r="AC17" s="16"/>
      <c r="AD17" s="16"/>
      <c r="AE17" s="16"/>
      <c r="AF17" s="105"/>
      <c r="AG17" s="106"/>
    </row>
    <row r="18" spans="1:33" s="5" customFormat="1" ht="21.75" customHeight="1">
      <c r="A18" s="12">
        <f t="shared" si="0"/>
        <v>6</v>
      </c>
      <c r="B18" s="13">
        <f>C17</f>
        <v>42760</v>
      </c>
      <c r="C18" s="14">
        <v>42767</v>
      </c>
      <c r="D18" s="15" t="s">
        <v>40</v>
      </c>
      <c r="E18" s="16">
        <f>C18-B18</f>
        <v>7</v>
      </c>
      <c r="F18" s="17">
        <f>ROUND(AVERAGE(17.5,17.78),2)</f>
        <v>17.64</v>
      </c>
      <c r="G18" s="18"/>
      <c r="H18" s="16"/>
      <c r="I18" s="16">
        <f>IF(G18=0,ROUND($E18*$F18,2),ROUND($E18*$F18*$G18,2))</f>
        <v>123.48</v>
      </c>
      <c r="J18" s="16"/>
      <c r="K18" s="16">
        <f>IF($H18=0,ROUND($E18*(K$72/12),2),ROUND($E18*(K$72/12)*$H18,2))</f>
        <v>2.33</v>
      </c>
      <c r="L18" s="16"/>
      <c r="M18" s="16">
        <f t="shared" si="2"/>
        <v>5.83</v>
      </c>
      <c r="N18" s="16">
        <f t="shared" si="2"/>
        <v>9.33</v>
      </c>
      <c r="O18" s="16"/>
      <c r="P18" s="16"/>
      <c r="Q18" s="16"/>
      <c r="R18" s="16"/>
      <c r="S18" s="16"/>
      <c r="T18" s="16">
        <f>ROUND(((($I18+$J18)*(T$72/12)+($K18)*(T$73/12)+($M18)*(T$73/12))/27),2)</f>
        <v>3.15</v>
      </c>
      <c r="U18" s="16">
        <f>ROUND(((($I18+$J18+$N18+$O18+$P18+$Q18)*(U$72/12))/27),2)</f>
        <v>2.46</v>
      </c>
      <c r="V18" s="16"/>
      <c r="W18" s="16">
        <f>ROUND(((($I18+$J18)/9)*$W$72)+((($I18+$J18+$K18)/9)*$W$72)+((($I18+$J18+$M18)/9)*$W$72),2)</f>
        <v>2.31</v>
      </c>
      <c r="X18" s="16"/>
      <c r="Y18" s="16"/>
      <c r="Z18" s="16">
        <f t="shared" si="1"/>
        <v>0.57</v>
      </c>
      <c r="AA18" s="16">
        <f t="shared" si="1"/>
        <v>0.67</v>
      </c>
      <c r="AB18" s="16"/>
      <c r="AC18" s="16"/>
      <c r="AD18" s="16"/>
      <c r="AE18" s="16"/>
      <c r="AF18" s="105"/>
      <c r="AG18" s="106"/>
    </row>
    <row r="19" spans="1:33" s="5" customFormat="1" ht="21.75" customHeight="1">
      <c r="A19" s="12">
        <f t="shared" si="0"/>
        <v>7</v>
      </c>
      <c r="B19" s="13">
        <f>C18</f>
        <v>42767</v>
      </c>
      <c r="C19" s="14">
        <v>42841.24</v>
      </c>
      <c r="D19" s="15" t="s">
        <v>40</v>
      </c>
      <c r="E19" s="16">
        <f>C19-B19</f>
        <v>74.23999999999796</v>
      </c>
      <c r="F19" s="17">
        <v>17.5</v>
      </c>
      <c r="G19" s="18"/>
      <c r="H19" s="16"/>
      <c r="I19" s="16">
        <f>IF(G19=0,ROUND($E19*$F19,2),ROUND($E19*$F19*$G19,2))</f>
        <v>1299.2</v>
      </c>
      <c r="J19" s="16"/>
      <c r="K19" s="16">
        <f>IF($H19=0,ROUND($E19*(K$72/12),2),ROUND($E19*(K$72/12)*$H19,2))</f>
        <v>24.75</v>
      </c>
      <c r="L19" s="16"/>
      <c r="M19" s="16">
        <f t="shared" si="2"/>
        <v>61.87</v>
      </c>
      <c r="N19" s="16">
        <f t="shared" si="2"/>
        <v>98.99</v>
      </c>
      <c r="O19" s="16"/>
      <c r="P19" s="16"/>
      <c r="Q19" s="16"/>
      <c r="R19" s="16"/>
      <c r="S19" s="16"/>
      <c r="T19" s="16">
        <f>ROUND(((($I19+$J19)*(T$72/12)+($K19)*(T$73/12)+($M19)*(T$73/12))/27),2)</f>
        <v>33.15</v>
      </c>
      <c r="U19" s="16">
        <f>ROUND(((($I19+$J19+$N19+$O19+$P19+$Q19)*(U$72/12))/27),2)</f>
        <v>25.89</v>
      </c>
      <c r="V19" s="16"/>
      <c r="W19" s="16">
        <f>ROUND(((($I19+$J19)/9)*$W$72)+((($I19+$J19+$K19)/9)*$W$72)+((($I19+$J19+$M19)/9)*$W$72),2)</f>
        <v>24.35</v>
      </c>
      <c r="X19" s="16"/>
      <c r="Y19" s="16"/>
      <c r="Z19" s="16">
        <f t="shared" si="1"/>
        <v>6.01</v>
      </c>
      <c r="AA19" s="16">
        <f t="shared" si="1"/>
        <v>7.02</v>
      </c>
      <c r="AB19" s="16"/>
      <c r="AC19" s="16"/>
      <c r="AD19" s="16"/>
      <c r="AE19" s="16"/>
      <c r="AF19" s="105"/>
      <c r="AG19" s="106"/>
    </row>
    <row r="20" spans="1:33" s="5" customFormat="1" ht="21.75" customHeight="1">
      <c r="A20" s="12">
        <f t="shared" si="0"/>
        <v>8</v>
      </c>
      <c r="B20" s="13">
        <f>C19</f>
        <v>42841.24</v>
      </c>
      <c r="C20" s="76">
        <v>42918.4</v>
      </c>
      <c r="D20" s="15" t="s">
        <v>40</v>
      </c>
      <c r="E20" s="16">
        <f>C20-B20</f>
        <v>77.16000000000349</v>
      </c>
      <c r="F20" s="80" t="s">
        <v>31</v>
      </c>
      <c r="G20" s="81"/>
      <c r="H20" s="81"/>
      <c r="I20" s="82"/>
      <c r="J20" s="16">
        <f>ROUND(1310.3381,2)</f>
        <v>1310.34</v>
      </c>
      <c r="K20" s="16">
        <f>IF($H20=0,ROUND($E20*(K$72/12),2),ROUND($E20*(K$72/12)*$H20,2))</f>
        <v>25.72</v>
      </c>
      <c r="L20" s="16"/>
      <c r="M20" s="16">
        <f t="shared" si="2"/>
        <v>64.3</v>
      </c>
      <c r="N20" s="16">
        <f t="shared" si="2"/>
        <v>102.88</v>
      </c>
      <c r="O20" s="16"/>
      <c r="P20" s="16"/>
      <c r="Q20" s="16"/>
      <c r="R20" s="16"/>
      <c r="S20" s="16"/>
      <c r="T20" s="16">
        <f>ROUND(((($I20+$J20)*(T$72/12)+($K20)*(T$73/12)+($M20)*(T$73/12))/27),2)</f>
        <v>33.47</v>
      </c>
      <c r="U20" s="16">
        <f>ROUND(((($I20+$J20+$N20+$O20+$P20+$Q20)*(U$72/12))/27),2)</f>
        <v>26.17</v>
      </c>
      <c r="V20" s="16"/>
      <c r="W20" s="16">
        <f>ROUND(((($I20+$J20)/9)*$W$72)+((($I20+$J20+$K20)/9)*$W$72)+((($I20+$J20+$M20)/9)*$W$72),2)</f>
        <v>24.57</v>
      </c>
      <c r="X20" s="16"/>
      <c r="Y20" s="16"/>
      <c r="Z20" s="16">
        <f t="shared" si="1"/>
        <v>6.07</v>
      </c>
      <c r="AA20" s="16">
        <f t="shared" si="1"/>
        <v>7.08</v>
      </c>
      <c r="AB20" s="16"/>
      <c r="AC20" s="16"/>
      <c r="AD20" s="16"/>
      <c r="AE20" s="16"/>
      <c r="AF20" s="105"/>
      <c r="AG20" s="106"/>
    </row>
    <row r="21" spans="1:33" s="5" customFormat="1" ht="21.75" customHeight="1">
      <c r="A21" s="12">
        <f t="shared" si="0"/>
        <v>9</v>
      </c>
      <c r="B21" s="13"/>
      <c r="C21" s="14"/>
      <c r="D21" s="15"/>
      <c r="E21" s="16"/>
      <c r="F21" s="17"/>
      <c r="G21" s="18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05"/>
      <c r="AG21" s="106"/>
    </row>
    <row r="22" spans="1:33" s="5" customFormat="1" ht="21.75" customHeight="1">
      <c r="A22" s="12">
        <f t="shared" si="0"/>
        <v>10</v>
      </c>
      <c r="B22" s="14">
        <v>43134.35</v>
      </c>
      <c r="C22" s="38">
        <v>43180</v>
      </c>
      <c r="D22" s="15" t="s">
        <v>40</v>
      </c>
      <c r="E22" s="16">
        <f aca="true" t="shared" si="3" ref="E22:E29">C22-B22</f>
        <v>45.650000000001455</v>
      </c>
      <c r="F22" s="80" t="s">
        <v>31</v>
      </c>
      <c r="G22" s="81"/>
      <c r="H22" s="81"/>
      <c r="I22" s="82"/>
      <c r="J22" s="16">
        <f>ROUND(824.5296,2)</f>
        <v>824.53</v>
      </c>
      <c r="K22" s="16"/>
      <c r="L22" s="16"/>
      <c r="M22" s="16"/>
      <c r="N22" s="16"/>
      <c r="O22" s="16">
        <f>IF($H22=0,ROUND($E22*(O$72/12),2),ROUND($E22*(O$72/12)*$H22,2))</f>
        <v>68.48</v>
      </c>
      <c r="P22" s="16"/>
      <c r="Q22" s="16"/>
      <c r="R22" s="16"/>
      <c r="S22" s="16"/>
      <c r="T22" s="16">
        <f aca="true" t="shared" si="4" ref="T22:T28">ROUND(((($I22+$J22)*(T$72/12)+($K22)*(T$73/12)+($M22)*(T$73/12))/27),2)</f>
        <v>20.36</v>
      </c>
      <c r="U22" s="16">
        <f aca="true" t="shared" si="5" ref="U22:U28">ROUND(((($I22+$J22+$N22+$O22+$P22+$Q22)*(U$72/12))/27),2)</f>
        <v>16.54</v>
      </c>
      <c r="V22" s="16"/>
      <c r="W22" s="16">
        <f aca="true" t="shared" si="6" ref="W22:W28">ROUND(((($I22+$J22)/9)*$W$72)+((($I22+$J22+$K22)/9)*$W$72)+((($I22+$J22+$M22)/9)*$W$72),2)</f>
        <v>15.12</v>
      </c>
      <c r="X22" s="16"/>
      <c r="Y22" s="16"/>
      <c r="Z22" s="16">
        <f aca="true" t="shared" si="7" ref="Z22:AA28">ROUND(((($I22+$J22)*(Z$72/12))/27),2)</f>
        <v>3.82</v>
      </c>
      <c r="AA22" s="16">
        <f t="shared" si="7"/>
        <v>4.45</v>
      </c>
      <c r="AB22" s="16"/>
      <c r="AC22" s="16"/>
      <c r="AD22" s="16">
        <v>45.4</v>
      </c>
      <c r="AE22" s="16"/>
      <c r="AF22" s="105"/>
      <c r="AG22" s="106"/>
    </row>
    <row r="23" spans="1:33" s="5" customFormat="1" ht="21.75" customHeight="1">
      <c r="A23" s="12">
        <f t="shared" si="0"/>
        <v>11</v>
      </c>
      <c r="B23" s="14">
        <f aca="true" t="shared" si="8" ref="B23:B29">C22</f>
        <v>43180</v>
      </c>
      <c r="C23" s="14">
        <v>43213</v>
      </c>
      <c r="D23" s="15" t="s">
        <v>40</v>
      </c>
      <c r="E23" s="16">
        <f t="shared" si="3"/>
        <v>33</v>
      </c>
      <c r="F23" s="17">
        <f>ROUND(AVERAGE(10,17.071),2)</f>
        <v>13.54</v>
      </c>
      <c r="G23" s="18">
        <f>ROUND((14228.562-12-((48.429+48.9)/2)-($F23/2))/14228.562,4)</f>
        <v>0.9953</v>
      </c>
      <c r="H23" s="18">
        <f>ROUND((14228.562-12-((48.429+48.9)/2)-($F23))/14228.562,4)</f>
        <v>0.9948</v>
      </c>
      <c r="I23" s="16">
        <f aca="true" t="shared" si="9" ref="I23:I29">IF(G23=0,ROUND($E23*$F23,2),ROUND($E23*$F23*$G23,2))</f>
        <v>444.72</v>
      </c>
      <c r="J23" s="16"/>
      <c r="K23" s="16">
        <f aca="true" t="shared" si="10" ref="K23:K28">IF($H23=0,ROUND($E23*(K$72/12),2),ROUND($E23*(K$72/12)*$H23,2))</f>
        <v>10.94</v>
      </c>
      <c r="L23" s="16"/>
      <c r="M23" s="16">
        <f aca="true" t="shared" si="11" ref="M23:N29">IF($H23=0,ROUND($E23*(M$72/12),2),ROUND($E23*(M$72/12)*$H23,2))</f>
        <v>27.36</v>
      </c>
      <c r="N23" s="16">
        <f t="shared" si="11"/>
        <v>43.77</v>
      </c>
      <c r="O23" s="16"/>
      <c r="P23" s="16"/>
      <c r="Q23" s="16"/>
      <c r="R23" s="16"/>
      <c r="S23" s="16"/>
      <c r="T23" s="16">
        <f t="shared" si="4"/>
        <v>11.45</v>
      </c>
      <c r="U23" s="16">
        <f t="shared" si="5"/>
        <v>9.05</v>
      </c>
      <c r="V23" s="16"/>
      <c r="W23" s="16">
        <f t="shared" si="6"/>
        <v>8.39</v>
      </c>
      <c r="X23" s="16"/>
      <c r="Y23" s="16"/>
      <c r="Z23" s="16">
        <f t="shared" si="7"/>
        <v>2.06</v>
      </c>
      <c r="AA23" s="16">
        <f t="shared" si="7"/>
        <v>2.4</v>
      </c>
      <c r="AB23" s="16"/>
      <c r="AC23" s="16"/>
      <c r="AD23" s="16"/>
      <c r="AE23" s="16"/>
      <c r="AF23" s="105"/>
      <c r="AG23" s="106"/>
    </row>
    <row r="24" spans="1:33" s="5" customFormat="1" ht="21.75" customHeight="1">
      <c r="A24" s="12">
        <f t="shared" si="0"/>
        <v>12</v>
      </c>
      <c r="B24" s="14">
        <f t="shared" si="8"/>
        <v>43213</v>
      </c>
      <c r="C24" s="14">
        <v>43990</v>
      </c>
      <c r="D24" s="15" t="s">
        <v>40</v>
      </c>
      <c r="E24" s="16">
        <f t="shared" si="3"/>
        <v>777</v>
      </c>
      <c r="F24" s="17">
        <v>10</v>
      </c>
      <c r="G24" s="18">
        <f>ROUND((14228.562-12-((60+48.9)/2)-($F24/2))/14228.562,4)</f>
        <v>0.995</v>
      </c>
      <c r="H24" s="18">
        <f>ROUND((14228.562-12-((60+48.9)/2)-($F24))/14228.562,4)</f>
        <v>0.9946</v>
      </c>
      <c r="I24" s="16">
        <f t="shared" si="9"/>
        <v>7731.15</v>
      </c>
      <c r="J24" s="16"/>
      <c r="K24" s="16">
        <f t="shared" si="10"/>
        <v>257.6</v>
      </c>
      <c r="L24" s="16"/>
      <c r="M24" s="16">
        <f t="shared" si="11"/>
        <v>644</v>
      </c>
      <c r="N24" s="16">
        <f t="shared" si="11"/>
        <v>1030.41</v>
      </c>
      <c r="O24" s="16"/>
      <c r="P24" s="16"/>
      <c r="Q24" s="16"/>
      <c r="R24" s="16"/>
      <c r="S24" s="16"/>
      <c r="T24" s="16">
        <f t="shared" si="4"/>
        <v>202.02</v>
      </c>
      <c r="U24" s="16">
        <f t="shared" si="5"/>
        <v>162.25</v>
      </c>
      <c r="V24" s="16"/>
      <c r="W24" s="16">
        <f t="shared" si="6"/>
        <v>147.25</v>
      </c>
      <c r="X24" s="16"/>
      <c r="Y24" s="16"/>
      <c r="Z24" s="16">
        <f t="shared" si="7"/>
        <v>35.79</v>
      </c>
      <c r="AA24" s="16">
        <f t="shared" si="7"/>
        <v>41.76</v>
      </c>
      <c r="AB24" s="16"/>
      <c r="AC24" s="16"/>
      <c r="AD24" s="16"/>
      <c r="AE24" s="16"/>
      <c r="AF24" s="105"/>
      <c r="AG24" s="106"/>
    </row>
    <row r="25" spans="1:33" s="5" customFormat="1" ht="21.75" customHeight="1">
      <c r="A25" s="12">
        <f t="shared" si="0"/>
        <v>13</v>
      </c>
      <c r="B25" s="14">
        <f t="shared" si="8"/>
        <v>43990</v>
      </c>
      <c r="C25" s="14">
        <v>44823.91</v>
      </c>
      <c r="D25" s="15" t="s">
        <v>40</v>
      </c>
      <c r="E25" s="16">
        <f t="shared" si="3"/>
        <v>833.9100000000035</v>
      </c>
      <c r="F25" s="17">
        <v>10</v>
      </c>
      <c r="G25" s="18">
        <f>ROUND((14228.562-12-60-($F25/2))/14228.562,4)</f>
        <v>0.9946</v>
      </c>
      <c r="H25" s="18">
        <f>ROUND((14228.562-12-60-($F25))/14228.562,4)</f>
        <v>0.9942</v>
      </c>
      <c r="I25" s="16">
        <f t="shared" si="9"/>
        <v>8294.07</v>
      </c>
      <c r="J25" s="16"/>
      <c r="K25" s="16">
        <f t="shared" si="10"/>
        <v>276.36</v>
      </c>
      <c r="L25" s="16"/>
      <c r="M25" s="16">
        <f t="shared" si="11"/>
        <v>690.89</v>
      </c>
      <c r="N25" s="16">
        <f t="shared" si="11"/>
        <v>1105.43</v>
      </c>
      <c r="O25" s="16"/>
      <c r="P25" s="16"/>
      <c r="Q25" s="16"/>
      <c r="R25" s="16"/>
      <c r="S25" s="16"/>
      <c r="T25" s="16">
        <f t="shared" si="4"/>
        <v>216.73</v>
      </c>
      <c r="U25" s="16">
        <f t="shared" si="5"/>
        <v>174.06</v>
      </c>
      <c r="V25" s="16"/>
      <c r="W25" s="16">
        <f t="shared" si="6"/>
        <v>157.97</v>
      </c>
      <c r="X25" s="16"/>
      <c r="Y25" s="16"/>
      <c r="Z25" s="16">
        <f t="shared" si="7"/>
        <v>38.4</v>
      </c>
      <c r="AA25" s="16">
        <f t="shared" si="7"/>
        <v>44.8</v>
      </c>
      <c r="AB25" s="16"/>
      <c r="AC25" s="16"/>
      <c r="AD25" s="16"/>
      <c r="AE25" s="16"/>
      <c r="AF25" s="105"/>
      <c r="AG25" s="106"/>
    </row>
    <row r="26" spans="1:33" s="5" customFormat="1" ht="21.75" customHeight="1">
      <c r="A26" s="12">
        <f t="shared" si="0"/>
        <v>14</v>
      </c>
      <c r="B26" s="13">
        <f t="shared" si="8"/>
        <v>44823.91</v>
      </c>
      <c r="C26" s="14">
        <v>46867.5</v>
      </c>
      <c r="D26" s="15" t="s">
        <v>40</v>
      </c>
      <c r="E26" s="16">
        <f t="shared" si="3"/>
        <v>2043.5899999999965</v>
      </c>
      <c r="F26" s="17">
        <v>10</v>
      </c>
      <c r="G26" s="18"/>
      <c r="H26" s="18"/>
      <c r="I26" s="16">
        <f t="shared" si="9"/>
        <v>20435.9</v>
      </c>
      <c r="J26" s="16"/>
      <c r="K26" s="16">
        <f t="shared" si="10"/>
        <v>681.2</v>
      </c>
      <c r="L26" s="16"/>
      <c r="M26" s="16">
        <f t="shared" si="11"/>
        <v>1702.99</v>
      </c>
      <c r="N26" s="16">
        <f t="shared" si="11"/>
        <v>2724.79</v>
      </c>
      <c r="O26" s="16"/>
      <c r="P26" s="16"/>
      <c r="Q26" s="16"/>
      <c r="R26" s="16"/>
      <c r="S26" s="16"/>
      <c r="T26" s="16">
        <f t="shared" si="4"/>
        <v>534.02</v>
      </c>
      <c r="U26" s="16">
        <f t="shared" si="5"/>
        <v>428.9</v>
      </c>
      <c r="V26" s="16"/>
      <c r="W26" s="16">
        <f t="shared" si="6"/>
        <v>389.23</v>
      </c>
      <c r="X26" s="16"/>
      <c r="Y26" s="16"/>
      <c r="Z26" s="16">
        <f t="shared" si="7"/>
        <v>94.61</v>
      </c>
      <c r="AA26" s="16">
        <f t="shared" si="7"/>
        <v>110.38</v>
      </c>
      <c r="AB26" s="16"/>
      <c r="AC26" s="16"/>
      <c r="AD26" s="16"/>
      <c r="AE26" s="16"/>
      <c r="AF26" s="105"/>
      <c r="AG26" s="106"/>
    </row>
    <row r="27" spans="1:33" s="5" customFormat="1" ht="21.75" customHeight="1">
      <c r="A27" s="12">
        <f t="shared" si="0"/>
        <v>15</v>
      </c>
      <c r="B27" s="13">
        <f t="shared" si="8"/>
        <v>46867.5</v>
      </c>
      <c r="C27" s="14">
        <v>46890</v>
      </c>
      <c r="D27" s="15" t="s">
        <v>40</v>
      </c>
      <c r="E27" s="16">
        <f t="shared" si="3"/>
        <v>22.5</v>
      </c>
      <c r="F27" s="17">
        <f>ROUND(AVERAGE(10,5.5),2)</f>
        <v>7.75</v>
      </c>
      <c r="G27" s="18"/>
      <c r="H27" s="18"/>
      <c r="I27" s="16">
        <f t="shared" si="9"/>
        <v>174.38</v>
      </c>
      <c r="J27" s="16"/>
      <c r="K27" s="16">
        <f t="shared" si="10"/>
        <v>7.5</v>
      </c>
      <c r="L27" s="16"/>
      <c r="M27" s="16">
        <f t="shared" si="11"/>
        <v>18.75</v>
      </c>
      <c r="N27" s="16">
        <f t="shared" si="11"/>
        <v>30</v>
      </c>
      <c r="O27" s="16"/>
      <c r="P27" s="16"/>
      <c r="Q27" s="16"/>
      <c r="R27" s="16"/>
      <c r="S27" s="16"/>
      <c r="T27" s="16">
        <f t="shared" si="4"/>
        <v>4.63</v>
      </c>
      <c r="U27" s="16">
        <f t="shared" si="5"/>
        <v>3.78</v>
      </c>
      <c r="V27" s="16"/>
      <c r="W27" s="16">
        <f t="shared" si="6"/>
        <v>3.36</v>
      </c>
      <c r="X27" s="16"/>
      <c r="Y27" s="16"/>
      <c r="Z27" s="16">
        <f t="shared" si="7"/>
        <v>0.81</v>
      </c>
      <c r="AA27" s="16">
        <f t="shared" si="7"/>
        <v>0.94</v>
      </c>
      <c r="AB27" s="16"/>
      <c r="AC27" s="16"/>
      <c r="AD27" s="16"/>
      <c r="AE27" s="16"/>
      <c r="AF27" s="105"/>
      <c r="AG27" s="106"/>
    </row>
    <row r="28" spans="1:33" s="5" customFormat="1" ht="21.75" customHeight="1">
      <c r="A28" s="12">
        <f t="shared" si="0"/>
        <v>16</v>
      </c>
      <c r="B28" s="13">
        <f t="shared" si="8"/>
        <v>46890</v>
      </c>
      <c r="C28" s="14">
        <v>46915</v>
      </c>
      <c r="D28" s="15" t="s">
        <v>40</v>
      </c>
      <c r="E28" s="16">
        <f t="shared" si="3"/>
        <v>25</v>
      </c>
      <c r="F28" s="22">
        <v>5.5</v>
      </c>
      <c r="G28" s="18"/>
      <c r="H28" s="18"/>
      <c r="I28" s="16">
        <f t="shared" si="9"/>
        <v>137.5</v>
      </c>
      <c r="J28" s="16"/>
      <c r="K28" s="16">
        <f t="shared" si="10"/>
        <v>8.33</v>
      </c>
      <c r="L28" s="16"/>
      <c r="M28" s="16">
        <f t="shared" si="11"/>
        <v>20.83</v>
      </c>
      <c r="N28" s="16">
        <f t="shared" si="11"/>
        <v>33.33</v>
      </c>
      <c r="O28" s="16"/>
      <c r="P28" s="16"/>
      <c r="Q28" s="16"/>
      <c r="R28" s="16"/>
      <c r="S28" s="16"/>
      <c r="T28" s="16">
        <f t="shared" si="4"/>
        <v>3.76</v>
      </c>
      <c r="U28" s="16">
        <f t="shared" si="5"/>
        <v>3.16</v>
      </c>
      <c r="V28" s="16"/>
      <c r="W28" s="16">
        <f t="shared" si="6"/>
        <v>2.7</v>
      </c>
      <c r="X28" s="16"/>
      <c r="Y28" s="16"/>
      <c r="Z28" s="16">
        <f t="shared" si="7"/>
        <v>0.64</v>
      </c>
      <c r="AA28" s="16">
        <f t="shared" si="7"/>
        <v>0.74</v>
      </c>
      <c r="AB28" s="16"/>
      <c r="AC28" s="16"/>
      <c r="AD28" s="16"/>
      <c r="AE28" s="16"/>
      <c r="AF28" s="105"/>
      <c r="AG28" s="106"/>
    </row>
    <row r="29" spans="1:33" s="5" customFormat="1" ht="21.75" customHeight="1">
      <c r="A29" s="12">
        <f t="shared" si="0"/>
        <v>17</v>
      </c>
      <c r="B29" s="13">
        <f t="shared" si="8"/>
        <v>46915</v>
      </c>
      <c r="C29" s="14">
        <v>46946.33</v>
      </c>
      <c r="D29" s="15" t="s">
        <v>40</v>
      </c>
      <c r="E29" s="16">
        <f t="shared" si="3"/>
        <v>31.330000000001746</v>
      </c>
      <c r="F29" s="22">
        <v>5.5</v>
      </c>
      <c r="G29" s="18"/>
      <c r="H29" s="18"/>
      <c r="I29" s="16">
        <f t="shared" si="9"/>
        <v>172.32</v>
      </c>
      <c r="J29" s="16"/>
      <c r="K29" s="16"/>
      <c r="L29" s="16">
        <f>IF($H29=0,ROUND($E29*(L$72/12),2),ROUND($E29*(L$72/12)*$H29,2))</f>
        <v>15.67</v>
      </c>
      <c r="M29" s="16">
        <f t="shared" si="11"/>
        <v>26.11</v>
      </c>
      <c r="N29" s="16">
        <f t="shared" si="11"/>
        <v>41.77</v>
      </c>
      <c r="O29" s="16"/>
      <c r="P29" s="16">
        <f>IF($H29=0,ROUND($E29*(P$72/12),2),ROUND($E29*(P$72/12)*$H29,2))</f>
        <v>52.22</v>
      </c>
      <c r="Q29" s="16">
        <f>IF($H29=0,ROUND($E29*(Q$72/12),2),ROUND($E29*(Q$72/12)*$H29,2))</f>
        <v>57.44</v>
      </c>
      <c r="R29" s="16"/>
      <c r="S29" s="16"/>
      <c r="T29" s="16">
        <f>ROUND(((($I29+$J29+$P29)*(T$72/12)+($M29)*(T$73/12)+($N29)*(T$73/12))/27),2)</f>
        <v>6.38</v>
      </c>
      <c r="U29" s="16">
        <f>ROUND(((($I29+$J29+$P29+$Q29)*(U$72/12))/27),2)</f>
        <v>5.22</v>
      </c>
      <c r="V29" s="16"/>
      <c r="W29" s="16">
        <f>ROUND(((($I29+$J29+$L29+$P29)/9)*$W$72)+((($I29+$J29+$M29+$P29)/9)*$W$72)+((($I29+$J29+$N29+$P29)/9)*$W$72),2)</f>
        <v>4.63</v>
      </c>
      <c r="X29" s="16"/>
      <c r="Y29" s="16"/>
      <c r="Z29" s="16">
        <f>ROUND(((($I29+$J29)*(Z$72/12))/27),2)</f>
        <v>0.8</v>
      </c>
      <c r="AA29" s="16">
        <f>ROUND(((($I29+$J29+$P29+$L29)*(AA$72/12))/27),2)</f>
        <v>1.3</v>
      </c>
      <c r="AB29" s="16"/>
      <c r="AC29" s="16"/>
      <c r="AD29" s="16"/>
      <c r="AE29" s="16"/>
      <c r="AF29" s="105"/>
      <c r="AG29" s="106"/>
    </row>
    <row r="30" spans="1:33" s="5" customFormat="1" ht="21.75" customHeight="1">
      <c r="A30" s="12">
        <f t="shared" si="0"/>
        <v>18</v>
      </c>
      <c r="B30" s="13"/>
      <c r="C30" s="14"/>
      <c r="D30" s="15"/>
      <c r="E30" s="16"/>
      <c r="F30" s="17"/>
      <c r="G30" s="18"/>
      <c r="H30" s="18"/>
      <c r="I30" s="5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05"/>
      <c r="AG30" s="106"/>
    </row>
    <row r="31" spans="1:33" s="5" customFormat="1" ht="21.75" customHeight="1">
      <c r="A31" s="12">
        <f t="shared" si="0"/>
        <v>19</v>
      </c>
      <c r="B31" s="14">
        <v>39137.36</v>
      </c>
      <c r="C31" s="21">
        <v>39200</v>
      </c>
      <c r="D31" s="15" t="s">
        <v>41</v>
      </c>
      <c r="E31" s="16">
        <f>C31-B31</f>
        <v>62.63999999999942</v>
      </c>
      <c r="F31" s="17">
        <f>ROUND(AVERAGE(18,17.554),2)</f>
        <v>17.78</v>
      </c>
      <c r="G31" s="18">
        <f>ROUND((21630.9102-($F31/2))/21630.9102,4)</f>
        <v>0.9996</v>
      </c>
      <c r="H31" s="18">
        <f>ROUND((21630.9102-($F31))/21630.9102,4)</f>
        <v>0.9992</v>
      </c>
      <c r="I31" s="16">
        <f>IF($G31=0,ROUND($E31*$F31,2),ROUND($E31*$F31*$G31,2))</f>
        <v>1113.29</v>
      </c>
      <c r="J31" s="16"/>
      <c r="K31" s="16"/>
      <c r="L31" s="57"/>
      <c r="M31" s="16"/>
      <c r="N31" s="16"/>
      <c r="O31" s="16"/>
      <c r="P31" s="16"/>
      <c r="Q31" s="16"/>
      <c r="R31" s="16"/>
      <c r="S31" s="16"/>
      <c r="T31" s="16">
        <f>ROUND(((($I31+$J31)*(T$72/12)+($K31)*(T$73/12)+($M31)*(T$73/12))/27),2)</f>
        <v>27.49</v>
      </c>
      <c r="U31" s="16">
        <f>ROUND(((($I31+$J31+$N31+$O31+$P31+$Q31)*(U$72/12))/27),2)</f>
        <v>20.62</v>
      </c>
      <c r="V31" s="16"/>
      <c r="W31" s="16">
        <f>ROUND(((($I31+$J31)/9)*$W$72)+((($I31+$J31+$K31)/9)*$W$72)+((($I31+$J31+$M31)/9)*$W$72),2)</f>
        <v>20.41</v>
      </c>
      <c r="X31" s="16"/>
      <c r="Y31" s="16"/>
      <c r="Z31" s="16">
        <f aca="true" t="shared" si="12" ref="Z31:AA34">ROUND(((($I31+$J31)*(Z$72/12))/27),2)</f>
        <v>5.15</v>
      </c>
      <c r="AA31" s="16">
        <f t="shared" si="12"/>
        <v>6.01</v>
      </c>
      <c r="AB31" s="16"/>
      <c r="AC31" s="16"/>
      <c r="AD31" s="16"/>
      <c r="AE31" s="16"/>
      <c r="AF31" s="105"/>
      <c r="AG31" s="106"/>
    </row>
    <row r="32" spans="1:33" s="5" customFormat="1" ht="21.75" customHeight="1">
      <c r="A32" s="12">
        <f t="shared" si="0"/>
        <v>20</v>
      </c>
      <c r="B32" s="13">
        <f>C31</f>
        <v>39200</v>
      </c>
      <c r="C32" s="14">
        <v>39800</v>
      </c>
      <c r="D32" s="15" t="s">
        <v>41</v>
      </c>
      <c r="E32" s="16">
        <f>C32-B32</f>
        <v>600</v>
      </c>
      <c r="F32" s="17">
        <f>ROUND(AVERAGE(18,12),2)</f>
        <v>15</v>
      </c>
      <c r="G32" s="18">
        <f>ROUND((21630.9102-($F32/2))/21630.9102,4)</f>
        <v>0.9997</v>
      </c>
      <c r="H32" s="18">
        <f>ROUND((21630.9102-($F32))/21630.9102,4)</f>
        <v>0.9993</v>
      </c>
      <c r="I32" s="16">
        <f>IF($G32=0,ROUND($E32*$F32,2),ROUND($E32*$F32*$G32,2))</f>
        <v>8997.3</v>
      </c>
      <c r="J32" s="16"/>
      <c r="K32" s="16"/>
      <c r="L32" s="57"/>
      <c r="M32" s="16"/>
      <c r="N32" s="16"/>
      <c r="O32" s="16"/>
      <c r="P32" s="16"/>
      <c r="Q32" s="16"/>
      <c r="R32" s="16"/>
      <c r="S32" s="16"/>
      <c r="T32" s="16">
        <f>ROUND(((($I32+$J32)*(T$72/12)+($K32)*(T$73/12)+($M32)*(T$73/12))/27),2)</f>
        <v>222.16</v>
      </c>
      <c r="U32" s="16">
        <f>ROUND(((($I32+$J32+$N32+$O32+$P32+$Q32)*(U$72/12))/27),2)</f>
        <v>166.62</v>
      </c>
      <c r="V32" s="16"/>
      <c r="W32" s="16">
        <f>ROUND(((($I32+$J32)/9)*$W$72)+((($I32+$J32+$K32)/9)*$W$72)+((($I32+$J32+$M32)/9)*$W$72),2)</f>
        <v>164.95</v>
      </c>
      <c r="X32" s="16"/>
      <c r="Y32" s="16"/>
      <c r="Z32" s="16">
        <f t="shared" si="12"/>
        <v>41.65</v>
      </c>
      <c r="AA32" s="16">
        <f t="shared" si="12"/>
        <v>48.6</v>
      </c>
      <c r="AB32" s="16"/>
      <c r="AC32" s="16"/>
      <c r="AD32" s="16"/>
      <c r="AE32" s="16"/>
      <c r="AF32" s="105"/>
      <c r="AG32" s="106"/>
    </row>
    <row r="33" spans="1:33" s="5" customFormat="1" ht="21.75" customHeight="1">
      <c r="A33" s="12">
        <f t="shared" si="0"/>
        <v>21</v>
      </c>
      <c r="B33" s="13">
        <f>C32</f>
        <v>39800</v>
      </c>
      <c r="C33" s="14">
        <v>40459.11</v>
      </c>
      <c r="D33" s="15" t="s">
        <v>41</v>
      </c>
      <c r="E33" s="16">
        <f>C33-B33</f>
        <v>659.1100000000006</v>
      </c>
      <c r="F33" s="22">
        <v>12</v>
      </c>
      <c r="G33" s="18">
        <f>ROUND((21630.9102-($F33/2))/21630.9102,4)</f>
        <v>0.9997</v>
      </c>
      <c r="H33" s="18">
        <f>ROUND((21630.9102-($F33))/21630.9102,4)</f>
        <v>0.9994</v>
      </c>
      <c r="I33" s="16">
        <f>IF($G33=0,ROUND($E33*$F33,2),ROUND($E33*$F33*$G33,2))</f>
        <v>7906.95</v>
      </c>
      <c r="J33" s="16"/>
      <c r="K33" s="16"/>
      <c r="L33" s="57"/>
      <c r="M33" s="16"/>
      <c r="N33" s="16"/>
      <c r="O33" s="16"/>
      <c r="P33" s="16"/>
      <c r="Q33" s="16"/>
      <c r="R33" s="16"/>
      <c r="S33" s="16"/>
      <c r="T33" s="16">
        <f>ROUND(((($I33+$J33)*(T$72/12)+($K33)*(T$73/12)+($M33)*(T$73/12))/27),2)</f>
        <v>195.23</v>
      </c>
      <c r="U33" s="16">
        <f>ROUND(((($I33+$J33+$N33+$O33+$P33+$Q33)*(U$72/12))/27),2)</f>
        <v>146.43</v>
      </c>
      <c r="V33" s="16"/>
      <c r="W33" s="16">
        <f>ROUND(((($I33+$J33)/9)*$W$72)+((($I33+$J33+$K33)/9)*$W$72)+((($I33+$J33+$M33)/9)*$W$72),2)</f>
        <v>144.96</v>
      </c>
      <c r="X33" s="16"/>
      <c r="Y33" s="16"/>
      <c r="Z33" s="16">
        <f t="shared" si="12"/>
        <v>36.61</v>
      </c>
      <c r="AA33" s="16">
        <f t="shared" si="12"/>
        <v>42.71</v>
      </c>
      <c r="AB33" s="16"/>
      <c r="AC33" s="16"/>
      <c r="AD33" s="16"/>
      <c r="AE33" s="16"/>
      <c r="AF33" s="105"/>
      <c r="AG33" s="106"/>
    </row>
    <row r="34" spans="1:33" s="5" customFormat="1" ht="21.75" customHeight="1">
      <c r="A34" s="12">
        <f t="shared" si="0"/>
        <v>22</v>
      </c>
      <c r="B34" s="13">
        <f>C33</f>
        <v>40459.11</v>
      </c>
      <c r="C34" s="14">
        <v>42506.99</v>
      </c>
      <c r="D34" s="15" t="s">
        <v>41</v>
      </c>
      <c r="E34" s="16">
        <f>C34-B34</f>
        <v>2047.8799999999974</v>
      </c>
      <c r="F34" s="22">
        <v>12</v>
      </c>
      <c r="G34" s="18"/>
      <c r="H34" s="18"/>
      <c r="I34" s="16">
        <f>IF($G34=0,ROUND($E34*$F34,2),ROUND($E34*$F34*$G34,2))</f>
        <v>24574.56</v>
      </c>
      <c r="J34" s="16"/>
      <c r="K34" s="16"/>
      <c r="L34" s="57"/>
      <c r="M34" s="16"/>
      <c r="N34" s="16"/>
      <c r="O34" s="16"/>
      <c r="P34" s="16"/>
      <c r="Q34" s="16"/>
      <c r="R34" s="16"/>
      <c r="S34" s="16"/>
      <c r="T34" s="16">
        <f>ROUND(((($I34+$J34)*(T$72/12)+($K34)*(T$73/12)+($M34)*(T$73/12))/27),2)</f>
        <v>606.78</v>
      </c>
      <c r="U34" s="16">
        <f>ROUND(((($I34+$J34+$N34+$O34+$P34+$Q34)*(U$72/12))/27),2)</f>
        <v>455.08</v>
      </c>
      <c r="V34" s="16"/>
      <c r="W34" s="16">
        <f>ROUND(((($I34+$J34)/9)*$W$72)+((($I34+$J34+$K34)/9)*$W$72)+((($I34+$J34+$M34)/9)*$W$72),2)</f>
        <v>450.53</v>
      </c>
      <c r="X34" s="16"/>
      <c r="Y34" s="16"/>
      <c r="Z34" s="16">
        <f t="shared" si="12"/>
        <v>113.77</v>
      </c>
      <c r="AA34" s="16">
        <f t="shared" si="12"/>
        <v>132.73</v>
      </c>
      <c r="AB34" s="16"/>
      <c r="AC34" s="16"/>
      <c r="AD34" s="16"/>
      <c r="AE34" s="16"/>
      <c r="AF34" s="105"/>
      <c r="AG34" s="106"/>
    </row>
    <row r="35" spans="1:33" s="5" customFormat="1" ht="21.75" customHeight="1">
      <c r="A35" s="12">
        <f t="shared" si="0"/>
        <v>23</v>
      </c>
      <c r="B35" s="13"/>
      <c r="C35" s="14"/>
      <c r="D35" s="15"/>
      <c r="E35" s="16"/>
      <c r="F35" s="17"/>
      <c r="G35" s="18"/>
      <c r="H35" s="18"/>
      <c r="I35" s="16"/>
      <c r="J35" s="16"/>
      <c r="K35" s="16"/>
      <c r="L35" s="57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05"/>
      <c r="AG35" s="106"/>
    </row>
    <row r="36" spans="1:33" s="5" customFormat="1" ht="21.75" customHeight="1">
      <c r="A36" s="12">
        <f t="shared" si="0"/>
        <v>24</v>
      </c>
      <c r="B36" s="13">
        <v>42712.55</v>
      </c>
      <c r="C36" s="14">
        <v>42841.24</v>
      </c>
      <c r="D36" s="15" t="s">
        <v>41</v>
      </c>
      <c r="E36" s="16">
        <f>C36-B36</f>
        <v>128.68999999999505</v>
      </c>
      <c r="F36" s="22">
        <v>12</v>
      </c>
      <c r="G36" s="18"/>
      <c r="H36" s="18"/>
      <c r="I36" s="16">
        <f>IF(G36=0,ROUND($E36*$F36,2),ROUND($E36*$F36*$G36,2))</f>
        <v>1544.28</v>
      </c>
      <c r="J36" s="16"/>
      <c r="K36" s="16"/>
      <c r="L36" s="57"/>
      <c r="M36" s="16"/>
      <c r="N36" s="16"/>
      <c r="O36" s="16"/>
      <c r="P36" s="16"/>
      <c r="Q36" s="16"/>
      <c r="R36" s="16"/>
      <c r="S36" s="16"/>
      <c r="T36" s="16">
        <f>ROUND(((($I36+$J36)*(T$72/12)+($K36)*(T$73/12)+($M36)*(T$73/12))/27),2)</f>
        <v>38.13</v>
      </c>
      <c r="U36" s="16">
        <f>ROUND(((($I36+$J36+$N36+$O36+$P36+$Q36)*(U$72/12))/27),2)</f>
        <v>28.6</v>
      </c>
      <c r="V36" s="16"/>
      <c r="W36" s="16">
        <f>ROUND(((($I36+$J36)/9)*$W$72)+((($I36+$J36+$K36)/9)*$W$72)+((($I36+$J36+$M36)/9)*$W$72),2)</f>
        <v>28.31</v>
      </c>
      <c r="X36" s="16"/>
      <c r="Y36" s="16"/>
      <c r="Z36" s="16">
        <f>ROUND(((($I36+$J36)*(Z$72/12))/27),2)</f>
        <v>7.15</v>
      </c>
      <c r="AA36" s="16">
        <f>ROUND(((($I36+$J36)*(AA$72/12))/27),2)</f>
        <v>8.34</v>
      </c>
      <c r="AB36" s="16"/>
      <c r="AC36" s="16"/>
      <c r="AD36" s="16"/>
      <c r="AE36" s="16"/>
      <c r="AF36" s="105"/>
      <c r="AG36" s="106"/>
    </row>
    <row r="37" spans="1:33" s="5" customFormat="1" ht="21.75" customHeight="1">
      <c r="A37" s="12">
        <f t="shared" si="0"/>
        <v>25</v>
      </c>
      <c r="B37" s="13">
        <f>C36</f>
        <v>42841.24</v>
      </c>
      <c r="C37" s="14">
        <v>42902.74</v>
      </c>
      <c r="D37" s="15" t="s">
        <v>41</v>
      </c>
      <c r="E37" s="16">
        <f>C37-B37</f>
        <v>61.5</v>
      </c>
      <c r="F37" s="22">
        <v>12</v>
      </c>
      <c r="G37" s="18">
        <f>ROUND((14228.562-($F37/2))/14228.562,4)</f>
        <v>0.9996</v>
      </c>
      <c r="H37" s="18">
        <f>ROUND((14228.562-($F37))/14228.562,4)</f>
        <v>0.9992</v>
      </c>
      <c r="I37" s="16">
        <f>IF(G37=0,ROUND($E37*$F37,2),ROUND($E37*$F37*$G37,2))</f>
        <v>737.7</v>
      </c>
      <c r="J37" s="16"/>
      <c r="K37" s="16"/>
      <c r="L37" s="57"/>
      <c r="M37" s="16"/>
      <c r="N37" s="16"/>
      <c r="O37" s="16"/>
      <c r="P37" s="16"/>
      <c r="Q37" s="16"/>
      <c r="R37" s="16"/>
      <c r="S37" s="16"/>
      <c r="T37" s="16">
        <f>ROUND(((($I37+$J37)*(T$72/12)+($K37)*(T$73/12)+($M37)*(T$73/12))/27),2)</f>
        <v>18.21</v>
      </c>
      <c r="U37" s="16">
        <f>ROUND(((($I37+$J37+$N37+$O37+$P37+$Q37)*(U$72/12))/27),2)</f>
        <v>13.66</v>
      </c>
      <c r="V37" s="16"/>
      <c r="W37" s="16">
        <f>ROUND(((($I37+$J37)/9)*$W$72)+((($I37+$J37+$K37)/9)*$W$72)+((($I37+$J37+$M37)/9)*$W$72),2)</f>
        <v>13.52</v>
      </c>
      <c r="X37" s="16"/>
      <c r="Y37" s="16"/>
      <c r="Z37" s="16">
        <f>ROUND(((($I37+$J37)*(Z$72/12))/27),2)</f>
        <v>3.42</v>
      </c>
      <c r="AA37" s="16">
        <f>ROUND(((($I37+$J37)*(AA$72/12))/27),2)</f>
        <v>3.98</v>
      </c>
      <c r="AB37" s="16"/>
      <c r="AC37" s="16"/>
      <c r="AD37" s="16"/>
      <c r="AE37" s="16"/>
      <c r="AF37" s="105"/>
      <c r="AG37" s="106"/>
    </row>
    <row r="38" spans="1:33" s="5" customFormat="1" ht="21.75" customHeight="1">
      <c r="A38" s="12">
        <f t="shared" si="0"/>
        <v>26</v>
      </c>
      <c r="B38" s="13"/>
      <c r="C38" s="14"/>
      <c r="D38" s="15"/>
      <c r="E38" s="16"/>
      <c r="F38" s="22"/>
      <c r="G38" s="18"/>
      <c r="H38" s="18"/>
      <c r="I38" s="16"/>
      <c r="J38" s="16"/>
      <c r="K38" s="16"/>
      <c r="L38" s="57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05"/>
      <c r="AG38" s="106"/>
    </row>
    <row r="39" spans="1:33" s="5" customFormat="1" ht="21.75" customHeight="1">
      <c r="A39" s="12">
        <f t="shared" si="0"/>
        <v>27</v>
      </c>
      <c r="B39" s="73">
        <v>43117.55</v>
      </c>
      <c r="C39" s="14">
        <v>44823.91</v>
      </c>
      <c r="D39" s="15" t="s">
        <v>41</v>
      </c>
      <c r="E39" s="16">
        <f>C39-B39</f>
        <v>1706.3600000000006</v>
      </c>
      <c r="F39" s="17">
        <v>12</v>
      </c>
      <c r="G39" s="18">
        <f>ROUND((14228.562-($F39/2))/14228.562,4)</f>
        <v>0.9996</v>
      </c>
      <c r="H39" s="18">
        <f>ROUND((14228.562-($F39))/14228.562,4)</f>
        <v>0.9992</v>
      </c>
      <c r="I39" s="16">
        <f>IF(G39=0,ROUND($E39*$F39,2),ROUND($E39*$F39*$G39,2))</f>
        <v>20468.13</v>
      </c>
      <c r="J39" s="16"/>
      <c r="K39" s="16"/>
      <c r="L39" s="57"/>
      <c r="M39" s="16"/>
      <c r="N39" s="16"/>
      <c r="O39" s="16"/>
      <c r="P39" s="16"/>
      <c r="Q39" s="16"/>
      <c r="R39" s="16"/>
      <c r="S39" s="16"/>
      <c r="T39" s="16">
        <f>ROUND(((($I39+$J39)*(T$72/12)+($K39)*(T$73/12)+($M39)*(T$73/12))/27),2)</f>
        <v>505.39</v>
      </c>
      <c r="U39" s="16">
        <f>ROUND(((($I39+$J39+$N39+$O39+$P39+$Q39)*(U$72/12))/27),2)</f>
        <v>379.04</v>
      </c>
      <c r="V39" s="16"/>
      <c r="W39" s="16">
        <f>ROUND(((($I39+$J39)/9)*$W$72)+((($I39+$J39+$K39)/9)*$W$72)+((($I39+$J39+$M39)/9)*$W$72),2)</f>
        <v>375.25</v>
      </c>
      <c r="X39" s="16"/>
      <c r="Y39" s="16"/>
      <c r="Z39" s="16">
        <f aca="true" t="shared" si="13" ref="Z39:AA41">ROUND(((($I39+$J39)*(Z$72/12))/27),2)</f>
        <v>94.76</v>
      </c>
      <c r="AA39" s="16">
        <f t="shared" si="13"/>
        <v>110.55</v>
      </c>
      <c r="AB39" s="16"/>
      <c r="AC39" s="16"/>
      <c r="AD39" s="16"/>
      <c r="AE39" s="16"/>
      <c r="AF39" s="105"/>
      <c r="AG39" s="106"/>
    </row>
    <row r="40" spans="1:33" s="5" customFormat="1" ht="21.75" customHeight="1">
      <c r="A40" s="12">
        <f t="shared" si="0"/>
        <v>28</v>
      </c>
      <c r="B40" s="13">
        <f>C39</f>
        <v>44823.91</v>
      </c>
      <c r="C40" s="14">
        <v>46936.71</v>
      </c>
      <c r="D40" s="15" t="s">
        <v>41</v>
      </c>
      <c r="E40" s="16">
        <f>C40-B40</f>
        <v>2112.7999999999956</v>
      </c>
      <c r="F40" s="17">
        <v>12</v>
      </c>
      <c r="G40" s="18"/>
      <c r="H40" s="16"/>
      <c r="I40" s="16">
        <f>IF(G40=0,ROUND($E40*$F40,2),ROUND($E40*$F40*$G40,2))</f>
        <v>25353.6</v>
      </c>
      <c r="J40" s="16"/>
      <c r="K40" s="16"/>
      <c r="L40" s="57"/>
      <c r="M40" s="16"/>
      <c r="N40" s="16"/>
      <c r="O40" s="16"/>
      <c r="P40" s="16"/>
      <c r="Q40" s="16"/>
      <c r="R40" s="16"/>
      <c r="S40" s="16"/>
      <c r="T40" s="16">
        <f>ROUND(((($I40+$J40)*(T$72/12)+($K40)*(T$73/12)+($M40)*(T$73/12))/27),2)</f>
        <v>626.01</v>
      </c>
      <c r="U40" s="16">
        <f>ROUND(((($I40+$J40+$N40+$O40+$P40+$Q40)*(U$72/12))/27),2)</f>
        <v>469.51</v>
      </c>
      <c r="V40" s="16"/>
      <c r="W40" s="16">
        <f>ROUND(((($I40+$J40)/9)*$W$72)+((($I40+$J40+$K40)/9)*$W$72)+((($I40+$J40+$M40)/9)*$W$72),2)</f>
        <v>464.82</v>
      </c>
      <c r="X40" s="16"/>
      <c r="Y40" s="16"/>
      <c r="Z40" s="16">
        <f t="shared" si="13"/>
        <v>117.38</v>
      </c>
      <c r="AA40" s="16">
        <f t="shared" si="13"/>
        <v>136.94</v>
      </c>
      <c r="AB40" s="16"/>
      <c r="AC40" s="16"/>
      <c r="AD40" s="16"/>
      <c r="AE40" s="16"/>
      <c r="AF40" s="105"/>
      <c r="AG40" s="106"/>
    </row>
    <row r="41" spans="1:33" s="5" customFormat="1" ht="21.75" customHeight="1">
      <c r="A41" s="12">
        <f t="shared" si="0"/>
        <v>29</v>
      </c>
      <c r="B41" s="13">
        <f>C40</f>
        <v>46936.71</v>
      </c>
      <c r="C41" s="14">
        <v>46946.33</v>
      </c>
      <c r="D41" s="15" t="s">
        <v>41</v>
      </c>
      <c r="E41" s="16">
        <f>C41-B41</f>
        <v>9.62000000000262</v>
      </c>
      <c r="F41" s="17">
        <f>ROUND(AVERAGE(8.911,9.069),2)</f>
        <v>8.99</v>
      </c>
      <c r="G41" s="18"/>
      <c r="H41" s="16"/>
      <c r="I41" s="16">
        <f>IF(G41=0,ROUND($E41*$F41,2),ROUND($E41*$F41*$G41,2))</f>
        <v>86.48</v>
      </c>
      <c r="J41" s="16"/>
      <c r="K41" s="16"/>
      <c r="L41" s="57"/>
      <c r="M41" s="16"/>
      <c r="N41" s="16"/>
      <c r="O41" s="16"/>
      <c r="P41" s="16"/>
      <c r="Q41" s="16"/>
      <c r="R41" s="16"/>
      <c r="S41" s="16"/>
      <c r="T41" s="16">
        <f>ROUND(((($I41+$J41)*(T$72/12)+($K41)*(T$73/12)+($M41)*(T$73/12))/27),2)</f>
        <v>2.14</v>
      </c>
      <c r="U41" s="16">
        <f>ROUND(((($I41+$J41+$N41+$O41+$P41+$Q41)*(U$72/12))/27),2)</f>
        <v>1.6</v>
      </c>
      <c r="V41" s="16"/>
      <c r="W41" s="16">
        <f>ROUND(((($I41+$J41)/9)*$W$72)+((($I41+$J41+$K41)/9)*$W$72)+((($I41+$J41+$M41)/9)*$W$72),2)</f>
        <v>1.59</v>
      </c>
      <c r="X41" s="16"/>
      <c r="Y41" s="16"/>
      <c r="Z41" s="16">
        <f t="shared" si="13"/>
        <v>0.4</v>
      </c>
      <c r="AA41" s="16">
        <f t="shared" si="13"/>
        <v>0.47</v>
      </c>
      <c r="AB41" s="16"/>
      <c r="AC41" s="16"/>
      <c r="AD41" s="16"/>
      <c r="AE41" s="16"/>
      <c r="AF41" s="105"/>
      <c r="AG41" s="106"/>
    </row>
    <row r="42" spans="1:33" s="5" customFormat="1" ht="21.75" customHeight="1">
      <c r="A42" s="12">
        <f t="shared" si="0"/>
        <v>30</v>
      </c>
      <c r="B42" s="13"/>
      <c r="C42" s="14"/>
      <c r="D42" s="15"/>
      <c r="E42" s="16"/>
      <c r="F42" s="17"/>
      <c r="G42" s="1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05"/>
      <c r="AG42" s="106"/>
    </row>
    <row r="43" spans="1:33" s="5" customFormat="1" ht="21.75" customHeight="1">
      <c r="A43" s="12">
        <f t="shared" si="0"/>
        <v>31</v>
      </c>
      <c r="B43" s="13"/>
      <c r="C43" s="14"/>
      <c r="D43" s="15"/>
      <c r="E43" s="16"/>
      <c r="F43" s="17"/>
      <c r="G43" s="18"/>
      <c r="H43" s="16"/>
      <c r="I43" s="16"/>
      <c r="J43" s="16"/>
      <c r="K43" s="39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05"/>
      <c r="AG43" s="106"/>
    </row>
    <row r="44" spans="1:33" s="5" customFormat="1" ht="21.75" customHeight="1">
      <c r="A44" s="12">
        <f t="shared" si="0"/>
        <v>32</v>
      </c>
      <c r="B44" s="13"/>
      <c r="C44" s="14"/>
      <c r="D44" s="15"/>
      <c r="E44" s="16"/>
      <c r="F44" s="17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05"/>
      <c r="AG44" s="106"/>
    </row>
    <row r="45" spans="1:33" s="5" customFormat="1" ht="21.75" customHeight="1">
      <c r="A45" s="12">
        <f t="shared" si="0"/>
        <v>33</v>
      </c>
      <c r="B45" s="13"/>
      <c r="C45" s="14"/>
      <c r="D45" s="15"/>
      <c r="E45" s="16"/>
      <c r="F45" s="17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05"/>
      <c r="AG45" s="106"/>
    </row>
    <row r="46" spans="1:33" s="5" customFormat="1" ht="21.75" customHeight="1">
      <c r="A46" s="12">
        <f t="shared" si="0"/>
        <v>34</v>
      </c>
      <c r="B46" s="13"/>
      <c r="C46" s="14"/>
      <c r="D46" s="15"/>
      <c r="E46" s="16"/>
      <c r="F46" s="17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05"/>
      <c r="AG46" s="106"/>
    </row>
    <row r="47" spans="1:33" s="5" customFormat="1" ht="21.75" customHeight="1">
      <c r="A47" s="12">
        <f t="shared" si="0"/>
        <v>35</v>
      </c>
      <c r="B47" s="77" t="s">
        <v>32</v>
      </c>
      <c r="C47" s="78"/>
      <c r="D47" s="78"/>
      <c r="E47" s="78"/>
      <c r="F47" s="78"/>
      <c r="G47" s="78"/>
      <c r="H47" s="78"/>
      <c r="I47" s="79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05"/>
      <c r="AG47" s="106"/>
    </row>
    <row r="48" spans="1:33" s="5" customFormat="1" ht="21.75" customHeight="1">
      <c r="A48" s="12">
        <f t="shared" si="0"/>
        <v>36</v>
      </c>
      <c r="B48" s="19" t="s">
        <v>27</v>
      </c>
      <c r="C48" s="14"/>
      <c r="D48" s="15"/>
      <c r="E48" s="16"/>
      <c r="F48" s="22"/>
      <c r="G48" s="18"/>
      <c r="H48" s="16"/>
      <c r="I48" s="16"/>
      <c r="J48" s="16"/>
      <c r="K48" s="41"/>
      <c r="L48" s="16"/>
      <c r="M48" s="16"/>
      <c r="N48" s="16"/>
      <c r="O48" s="16"/>
      <c r="P48" s="16"/>
      <c r="Q48" s="41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05"/>
      <c r="AG48" s="106"/>
    </row>
    <row r="49" spans="1:33" s="5" customFormat="1" ht="21.75" customHeight="1">
      <c r="A49" s="12">
        <f t="shared" si="0"/>
        <v>37</v>
      </c>
      <c r="B49" s="13">
        <v>46946.96</v>
      </c>
      <c r="C49" s="14">
        <v>47226.99</v>
      </c>
      <c r="D49" s="15" t="s">
        <v>33</v>
      </c>
      <c r="E49" s="16">
        <f>C49-B49</f>
        <v>280.02999999999884</v>
      </c>
      <c r="F49" s="17">
        <v>12</v>
      </c>
      <c r="G49" s="18"/>
      <c r="H49" s="16"/>
      <c r="I49" s="16">
        <f>IF(G49=0,ROUND($E49*$F49,2),ROUND($E49*$F49*$G49,2))</f>
        <v>3360.36</v>
      </c>
      <c r="J49" s="16"/>
      <c r="K49" s="41"/>
      <c r="L49" s="16"/>
      <c r="M49" s="16"/>
      <c r="N49" s="16"/>
      <c r="O49" s="16"/>
      <c r="P49" s="16"/>
      <c r="Q49" s="16"/>
      <c r="R49" s="16"/>
      <c r="S49" s="16"/>
      <c r="T49" s="16">
        <f>ROUND(((($I49+$J49)*(T$72/12))/27),2)</f>
        <v>82.97</v>
      </c>
      <c r="U49" s="16">
        <f>ROUND(((($I49+$J49+$N49+$O49+$P49+$Q49)*(U$72/12))/27),2)</f>
        <v>62.23</v>
      </c>
      <c r="V49" s="16"/>
      <c r="W49" s="16">
        <f>ROUND((((($I49+$J49)/9)*W$72)*3),2)</f>
        <v>61.61</v>
      </c>
      <c r="X49" s="16"/>
      <c r="Y49" s="16"/>
      <c r="Z49" s="16">
        <f aca="true" t="shared" si="14" ref="Z49:AA51">ROUND(((($I49+$J49)*(Z$72/12))/27),2)</f>
        <v>15.56</v>
      </c>
      <c r="AA49" s="16">
        <f t="shared" si="14"/>
        <v>18.15</v>
      </c>
      <c r="AB49" s="16">
        <f>$AA49+$Z49</f>
        <v>33.71</v>
      </c>
      <c r="AC49" s="16"/>
      <c r="AD49" s="16"/>
      <c r="AE49" s="16"/>
      <c r="AF49" s="105"/>
      <c r="AG49" s="106"/>
    </row>
    <row r="50" spans="1:33" s="5" customFormat="1" ht="21.75" customHeight="1" thickBot="1">
      <c r="A50" s="12">
        <f t="shared" si="0"/>
        <v>38</v>
      </c>
      <c r="B50" s="13">
        <f>C49</f>
        <v>47226.99</v>
      </c>
      <c r="C50" s="14">
        <v>47493.14</v>
      </c>
      <c r="D50" s="15" t="s">
        <v>33</v>
      </c>
      <c r="E50" s="16">
        <f>C50-B50</f>
        <v>266.15000000000146</v>
      </c>
      <c r="F50" s="17">
        <v>12</v>
      </c>
      <c r="G50" s="18"/>
      <c r="H50" s="16"/>
      <c r="I50" s="16">
        <f>IF(G50=0,ROUND($E50*$F50,2),ROUND($E50*$F50*$G50,2))</f>
        <v>3193.8</v>
      </c>
      <c r="J50" s="16"/>
      <c r="K50" s="41"/>
      <c r="L50" s="16"/>
      <c r="M50" s="16"/>
      <c r="N50" s="16"/>
      <c r="O50" s="16"/>
      <c r="P50" s="16"/>
      <c r="Q50" s="16"/>
      <c r="R50" s="16"/>
      <c r="S50" s="16"/>
      <c r="T50" s="16">
        <f>ROUND(((($I50+$J50)*(T$72/12))/27),2)</f>
        <v>78.86</v>
      </c>
      <c r="U50" s="16">
        <f>ROUND(((($I50+$J50+$N50+$O50+$P50+$Q50)*(U$72/12))/27),2)</f>
        <v>59.14</v>
      </c>
      <c r="V50" s="16"/>
      <c r="W50" s="16">
        <f>ROUND((((($I50+$J50)/9)*W$72)*3),2)</f>
        <v>58.55</v>
      </c>
      <c r="X50" s="16"/>
      <c r="Y50" s="16"/>
      <c r="Z50" s="16">
        <f t="shared" si="14"/>
        <v>14.79</v>
      </c>
      <c r="AA50" s="16">
        <f t="shared" si="14"/>
        <v>17.25</v>
      </c>
      <c r="AB50" s="16">
        <f aca="true" t="shared" si="15" ref="AB50:AB61">$AA50+$Z50</f>
        <v>32.04</v>
      </c>
      <c r="AC50" s="16"/>
      <c r="AD50" s="16"/>
      <c r="AE50" s="16"/>
      <c r="AF50" s="107"/>
      <c r="AG50" s="108"/>
    </row>
    <row r="51" spans="1:33" s="5" customFormat="1" ht="21.75" customHeight="1">
      <c r="A51" s="12">
        <f t="shared" si="0"/>
        <v>39</v>
      </c>
      <c r="B51" s="13">
        <f>C50</f>
        <v>47493.14</v>
      </c>
      <c r="C51" s="14">
        <v>48564.96</v>
      </c>
      <c r="D51" s="15" t="s">
        <v>33</v>
      </c>
      <c r="E51" s="16">
        <f>C51-B51</f>
        <v>1071.8199999999997</v>
      </c>
      <c r="F51" s="17">
        <v>12</v>
      </c>
      <c r="G51" s="18">
        <f>ROUND((3904.072-($F51/2))/3904.072,4)</f>
        <v>0.9985</v>
      </c>
      <c r="H51" s="16"/>
      <c r="I51" s="16">
        <f>IF(G51=0,ROUND($E51*$F51,2),ROUND($E51*$F51*$G51,2))</f>
        <v>12842.55</v>
      </c>
      <c r="J51" s="16"/>
      <c r="K51" s="41"/>
      <c r="L51" s="16"/>
      <c r="M51" s="16"/>
      <c r="N51" s="16"/>
      <c r="O51" s="16"/>
      <c r="P51" s="16"/>
      <c r="Q51" s="16"/>
      <c r="R51" s="16"/>
      <c r="S51" s="16"/>
      <c r="T51" s="16">
        <f>ROUND(((($I51+$J51)*(T$72/12))/27),2)</f>
        <v>317.1</v>
      </c>
      <c r="U51" s="16">
        <f>ROUND(((($I51+$J51+$N51+$O51+$P51+$Q51)*(U$72/12))/27),2)</f>
        <v>237.83</v>
      </c>
      <c r="V51" s="16"/>
      <c r="W51" s="16">
        <f>ROUND((((($I51+$J51)/9)*W$72)*3),2)</f>
        <v>235.45</v>
      </c>
      <c r="X51" s="16"/>
      <c r="Y51" s="16"/>
      <c r="Z51" s="16">
        <f t="shared" si="14"/>
        <v>59.46</v>
      </c>
      <c r="AA51" s="16">
        <f t="shared" si="14"/>
        <v>69.37</v>
      </c>
      <c r="AB51" s="16">
        <f t="shared" si="15"/>
        <v>128.83</v>
      </c>
      <c r="AC51" s="16"/>
      <c r="AD51" s="16"/>
      <c r="AE51" s="16"/>
      <c r="AF51" s="103" t="s">
        <v>93</v>
      </c>
      <c r="AG51" s="104"/>
    </row>
    <row r="52" spans="1:33" s="5" customFormat="1" ht="21.75" customHeight="1">
      <c r="A52" s="12">
        <f t="shared" si="0"/>
        <v>40</v>
      </c>
      <c r="B52" s="13"/>
      <c r="C52" s="14"/>
      <c r="D52" s="15"/>
      <c r="E52" s="16"/>
      <c r="F52" s="17"/>
      <c r="G52" s="53"/>
      <c r="H52" s="16"/>
      <c r="I52" s="16"/>
      <c r="J52" s="16"/>
      <c r="K52" s="41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05"/>
      <c r="AG52" s="106"/>
    </row>
    <row r="53" spans="1:33" s="5" customFormat="1" ht="21.75" customHeight="1">
      <c r="A53" s="12">
        <f t="shared" si="0"/>
        <v>41</v>
      </c>
      <c r="B53" s="13">
        <v>46946.96</v>
      </c>
      <c r="C53" s="14">
        <v>47226.99</v>
      </c>
      <c r="D53" s="15" t="s">
        <v>28</v>
      </c>
      <c r="E53" s="16">
        <f aca="true" t="shared" si="16" ref="E53:E61">C53-B53</f>
        <v>280.02999999999884</v>
      </c>
      <c r="F53" s="17">
        <v>48</v>
      </c>
      <c r="G53" s="18"/>
      <c r="H53" s="16"/>
      <c r="I53" s="16">
        <f>IF(G53=0,ROUND($E53*$F53,2),ROUND($E53*$F53*$G53,2))</f>
        <v>13441.44</v>
      </c>
      <c r="J53" s="16"/>
      <c r="K53" s="41"/>
      <c r="L53" s="16"/>
      <c r="M53" s="16"/>
      <c r="N53" s="16"/>
      <c r="O53" s="16"/>
      <c r="P53" s="16"/>
      <c r="Q53" s="16"/>
      <c r="R53" s="16"/>
      <c r="S53" s="16"/>
      <c r="T53" s="16">
        <f aca="true" t="shared" si="17" ref="T53:T61">ROUND(((($I53+$J53)*(T$72/12))/27),2)</f>
        <v>331.89</v>
      </c>
      <c r="U53" s="16">
        <f aca="true" t="shared" si="18" ref="U53:U61">ROUND(((($I53+$J53+$N53+$O53+$P53+$Q53)*(U$72/12))/27),2)</f>
        <v>248.92</v>
      </c>
      <c r="V53" s="16"/>
      <c r="W53" s="16">
        <f aca="true" t="shared" si="19" ref="W53:W61">ROUND((((($I53+$J53)/9)*W$72)*3),2)</f>
        <v>246.43</v>
      </c>
      <c r="X53" s="16"/>
      <c r="Y53" s="16"/>
      <c r="Z53" s="16">
        <f aca="true" t="shared" si="20" ref="Z53:AA61">ROUND(((($I53+$J53)*(Z$72/12))/27),2)</f>
        <v>62.23</v>
      </c>
      <c r="AA53" s="16">
        <f t="shared" si="20"/>
        <v>72.6</v>
      </c>
      <c r="AB53" s="16">
        <f t="shared" si="15"/>
        <v>134.82999999999998</v>
      </c>
      <c r="AC53" s="16"/>
      <c r="AD53" s="16"/>
      <c r="AE53" s="16"/>
      <c r="AF53" s="105"/>
      <c r="AG53" s="106"/>
    </row>
    <row r="54" spans="1:33" s="5" customFormat="1" ht="21.75" customHeight="1">
      <c r="A54" s="12">
        <f t="shared" si="0"/>
        <v>42</v>
      </c>
      <c r="B54" s="13">
        <f>C53</f>
        <v>47226.99</v>
      </c>
      <c r="C54" s="14">
        <v>47493.14</v>
      </c>
      <c r="D54" s="15" t="s">
        <v>28</v>
      </c>
      <c r="E54" s="16">
        <f t="shared" si="16"/>
        <v>266.15000000000146</v>
      </c>
      <c r="F54" s="17">
        <v>48</v>
      </c>
      <c r="G54" s="18"/>
      <c r="H54" s="16"/>
      <c r="I54" s="16">
        <f aca="true" t="shared" si="21" ref="I54:I61">IF(G54=0,ROUND($E54*$F54,2),ROUND($E54*$F54*$G54,2))</f>
        <v>12775.2</v>
      </c>
      <c r="J54" s="16"/>
      <c r="K54" s="41"/>
      <c r="L54" s="16"/>
      <c r="M54" s="16"/>
      <c r="N54" s="16"/>
      <c r="O54" s="16"/>
      <c r="P54" s="16"/>
      <c r="Q54" s="16"/>
      <c r="R54" s="16"/>
      <c r="S54" s="16"/>
      <c r="T54" s="16">
        <f t="shared" si="17"/>
        <v>315.44</v>
      </c>
      <c r="U54" s="16">
        <f t="shared" si="18"/>
        <v>236.58</v>
      </c>
      <c r="V54" s="16"/>
      <c r="W54" s="16">
        <f t="shared" si="19"/>
        <v>234.21</v>
      </c>
      <c r="X54" s="16"/>
      <c r="Y54" s="16"/>
      <c r="Z54" s="16">
        <f t="shared" si="20"/>
        <v>59.14</v>
      </c>
      <c r="AA54" s="16">
        <f t="shared" si="20"/>
        <v>69</v>
      </c>
      <c r="AB54" s="16">
        <f t="shared" si="15"/>
        <v>128.14</v>
      </c>
      <c r="AC54" s="16"/>
      <c r="AD54" s="16"/>
      <c r="AE54" s="16"/>
      <c r="AF54" s="105"/>
      <c r="AG54" s="106"/>
    </row>
    <row r="55" spans="1:33" s="5" customFormat="1" ht="21.75" customHeight="1">
      <c r="A55" s="12">
        <f t="shared" si="0"/>
        <v>43</v>
      </c>
      <c r="B55" s="13">
        <f aca="true" t="shared" si="22" ref="B55:B61">C54</f>
        <v>47493.14</v>
      </c>
      <c r="C55" s="14">
        <v>47600</v>
      </c>
      <c r="D55" s="15" t="s">
        <v>28</v>
      </c>
      <c r="E55" s="16">
        <f t="shared" si="16"/>
        <v>106.86000000000058</v>
      </c>
      <c r="F55" s="17">
        <v>48</v>
      </c>
      <c r="G55" s="18">
        <f>ROUND((3904.072+($F55/2))/3904.072,4)</f>
        <v>1.0061</v>
      </c>
      <c r="H55" s="16"/>
      <c r="I55" s="16">
        <f t="shared" si="21"/>
        <v>5160.57</v>
      </c>
      <c r="J55" s="16"/>
      <c r="K55" s="41"/>
      <c r="L55" s="16"/>
      <c r="M55" s="16"/>
      <c r="N55" s="16"/>
      <c r="O55" s="16"/>
      <c r="P55" s="16"/>
      <c r="Q55" s="16"/>
      <c r="R55" s="16"/>
      <c r="S55" s="16"/>
      <c r="T55" s="16">
        <f t="shared" si="17"/>
        <v>127.42</v>
      </c>
      <c r="U55" s="16">
        <f t="shared" si="18"/>
        <v>95.57</v>
      </c>
      <c r="V55" s="16"/>
      <c r="W55" s="16">
        <f t="shared" si="19"/>
        <v>94.61</v>
      </c>
      <c r="X55" s="16"/>
      <c r="Y55" s="16"/>
      <c r="Z55" s="16">
        <f t="shared" si="20"/>
        <v>23.89</v>
      </c>
      <c r="AA55" s="16">
        <f t="shared" si="20"/>
        <v>27.87</v>
      </c>
      <c r="AB55" s="16">
        <f t="shared" si="15"/>
        <v>51.760000000000005</v>
      </c>
      <c r="AC55" s="16"/>
      <c r="AD55" s="16"/>
      <c r="AE55" s="16"/>
      <c r="AF55" s="105"/>
      <c r="AG55" s="106"/>
    </row>
    <row r="56" spans="1:33" s="5" customFormat="1" ht="21.75" customHeight="1">
      <c r="A56" s="12">
        <f t="shared" si="0"/>
        <v>44</v>
      </c>
      <c r="B56" s="13">
        <f t="shared" si="22"/>
        <v>47600</v>
      </c>
      <c r="C56" s="14">
        <v>49575.59</v>
      </c>
      <c r="D56" s="15" t="s">
        <v>28</v>
      </c>
      <c r="E56" s="16">
        <f t="shared" si="16"/>
        <v>1975.5899999999965</v>
      </c>
      <c r="F56" s="17">
        <v>36</v>
      </c>
      <c r="G56" s="18">
        <f>ROUND((3904.072+($F56/2))/3904.072,4)</f>
        <v>1.0046</v>
      </c>
      <c r="H56" s="16"/>
      <c r="I56" s="16">
        <f t="shared" si="21"/>
        <v>71448.4</v>
      </c>
      <c r="J56" s="16"/>
      <c r="K56" s="41"/>
      <c r="L56" s="16"/>
      <c r="M56" s="16"/>
      <c r="N56" s="16"/>
      <c r="O56" s="16"/>
      <c r="P56" s="16"/>
      <c r="Q56" s="16"/>
      <c r="R56" s="16"/>
      <c r="S56" s="16"/>
      <c r="T56" s="16">
        <f t="shared" si="17"/>
        <v>1764.16</v>
      </c>
      <c r="U56" s="16">
        <f t="shared" si="18"/>
        <v>1323.12</v>
      </c>
      <c r="V56" s="16"/>
      <c r="W56" s="16">
        <f t="shared" si="19"/>
        <v>1309.89</v>
      </c>
      <c r="X56" s="16"/>
      <c r="Y56" s="16"/>
      <c r="Z56" s="16">
        <f t="shared" si="20"/>
        <v>330.78</v>
      </c>
      <c r="AA56" s="16">
        <f t="shared" si="20"/>
        <v>385.91</v>
      </c>
      <c r="AB56" s="16">
        <f t="shared" si="15"/>
        <v>716.69</v>
      </c>
      <c r="AC56" s="16"/>
      <c r="AD56" s="16"/>
      <c r="AE56" s="16"/>
      <c r="AF56" s="105"/>
      <c r="AG56" s="106"/>
    </row>
    <row r="57" spans="1:33" s="5" customFormat="1" ht="21.75" customHeight="1">
      <c r="A57" s="12">
        <f t="shared" si="0"/>
        <v>45</v>
      </c>
      <c r="B57" s="13">
        <f t="shared" si="22"/>
        <v>49575.59</v>
      </c>
      <c r="C57" s="14">
        <v>50211.45</v>
      </c>
      <c r="D57" s="15" t="s">
        <v>28</v>
      </c>
      <c r="E57" s="16">
        <f t="shared" si="16"/>
        <v>635.8600000000006</v>
      </c>
      <c r="F57" s="17">
        <v>36</v>
      </c>
      <c r="G57" s="18"/>
      <c r="H57" s="16"/>
      <c r="I57" s="16">
        <f t="shared" si="21"/>
        <v>22890.96</v>
      </c>
      <c r="J57" s="16"/>
      <c r="K57" s="41"/>
      <c r="L57" s="16"/>
      <c r="M57" s="16"/>
      <c r="N57" s="16"/>
      <c r="O57" s="16"/>
      <c r="P57" s="16"/>
      <c r="Q57" s="16"/>
      <c r="R57" s="16"/>
      <c r="S57" s="16"/>
      <c r="T57" s="16">
        <f t="shared" si="17"/>
        <v>565.21</v>
      </c>
      <c r="U57" s="16">
        <f t="shared" si="18"/>
        <v>423.91</v>
      </c>
      <c r="V57" s="16"/>
      <c r="W57" s="16">
        <f t="shared" si="19"/>
        <v>419.67</v>
      </c>
      <c r="X57" s="16"/>
      <c r="Y57" s="16"/>
      <c r="Z57" s="16">
        <f t="shared" si="20"/>
        <v>105.98</v>
      </c>
      <c r="AA57" s="16">
        <f t="shared" si="20"/>
        <v>123.64</v>
      </c>
      <c r="AB57" s="16">
        <f t="shared" si="15"/>
        <v>229.62</v>
      </c>
      <c r="AC57" s="16"/>
      <c r="AD57" s="16"/>
      <c r="AE57" s="16"/>
      <c r="AF57" s="105"/>
      <c r="AG57" s="106"/>
    </row>
    <row r="58" spans="1:33" s="5" customFormat="1" ht="21.75" customHeight="1">
      <c r="A58" s="12">
        <f t="shared" si="0"/>
        <v>46</v>
      </c>
      <c r="B58" s="13">
        <f t="shared" si="22"/>
        <v>50211.45</v>
      </c>
      <c r="C58" s="14">
        <v>50665.75</v>
      </c>
      <c r="D58" s="15" t="s">
        <v>28</v>
      </c>
      <c r="E58" s="16">
        <f t="shared" si="16"/>
        <v>454.3000000000029</v>
      </c>
      <c r="F58" s="17">
        <f>ROUND(AVERAGE(48,38.914),2)</f>
        <v>43.46</v>
      </c>
      <c r="G58" s="18"/>
      <c r="H58" s="16"/>
      <c r="I58" s="16">
        <f t="shared" si="21"/>
        <v>19743.88</v>
      </c>
      <c r="J58" s="16"/>
      <c r="K58" s="41"/>
      <c r="L58" s="16"/>
      <c r="M58" s="16"/>
      <c r="N58" s="16"/>
      <c r="O58" s="16"/>
      <c r="P58" s="16"/>
      <c r="Q58" s="16"/>
      <c r="R58" s="16"/>
      <c r="S58" s="16"/>
      <c r="T58" s="16">
        <f t="shared" si="17"/>
        <v>487.5</v>
      </c>
      <c r="U58" s="16">
        <f t="shared" si="18"/>
        <v>365.63</v>
      </c>
      <c r="V58" s="16"/>
      <c r="W58" s="16">
        <f t="shared" si="19"/>
        <v>361.97</v>
      </c>
      <c r="X58" s="16"/>
      <c r="Y58" s="16"/>
      <c r="Z58" s="16">
        <f t="shared" si="20"/>
        <v>91.41</v>
      </c>
      <c r="AA58" s="16">
        <f t="shared" si="20"/>
        <v>106.64</v>
      </c>
      <c r="AB58" s="16">
        <f t="shared" si="15"/>
        <v>198.05</v>
      </c>
      <c r="AC58" s="16"/>
      <c r="AD58" s="16"/>
      <c r="AE58" s="16"/>
      <c r="AF58" s="105"/>
      <c r="AG58" s="106"/>
    </row>
    <row r="59" spans="1:33" s="5" customFormat="1" ht="21.75" customHeight="1">
      <c r="A59" s="12">
        <f t="shared" si="0"/>
        <v>47</v>
      </c>
      <c r="B59" s="13">
        <f t="shared" si="22"/>
        <v>50665.75</v>
      </c>
      <c r="C59" s="14">
        <v>50811.45</v>
      </c>
      <c r="D59" s="15" t="s">
        <v>28</v>
      </c>
      <c r="E59" s="16">
        <f t="shared" si="16"/>
        <v>145.6999999999971</v>
      </c>
      <c r="F59" s="17">
        <f>ROUND(AVERAGE(36,38.914),2)</f>
        <v>37.46</v>
      </c>
      <c r="G59" s="18">
        <f>ROUND((((2291.83-($F59/2))/2291.83)+1)/2,4)</f>
        <v>0.9959</v>
      </c>
      <c r="H59" s="16"/>
      <c r="I59" s="16">
        <f t="shared" si="21"/>
        <v>5435.54</v>
      </c>
      <c r="J59" s="16"/>
      <c r="K59" s="41"/>
      <c r="L59" s="16"/>
      <c r="M59" s="16"/>
      <c r="N59" s="16"/>
      <c r="O59" s="16"/>
      <c r="P59" s="16"/>
      <c r="Q59" s="16"/>
      <c r="R59" s="16"/>
      <c r="S59" s="16"/>
      <c r="T59" s="16">
        <f t="shared" si="17"/>
        <v>134.21</v>
      </c>
      <c r="U59" s="16">
        <f t="shared" si="18"/>
        <v>100.66</v>
      </c>
      <c r="V59" s="16"/>
      <c r="W59" s="16">
        <f t="shared" si="19"/>
        <v>99.65</v>
      </c>
      <c r="X59" s="16"/>
      <c r="Y59" s="16"/>
      <c r="Z59" s="16">
        <f t="shared" si="20"/>
        <v>25.16</v>
      </c>
      <c r="AA59" s="16">
        <f t="shared" si="20"/>
        <v>29.36</v>
      </c>
      <c r="AB59" s="16">
        <f t="shared" si="15"/>
        <v>54.519999999999996</v>
      </c>
      <c r="AC59" s="16"/>
      <c r="AD59" s="16"/>
      <c r="AE59" s="16"/>
      <c r="AF59" s="105"/>
      <c r="AG59" s="106"/>
    </row>
    <row r="60" spans="1:33" s="24" customFormat="1" ht="21.75" customHeight="1">
      <c r="A60" s="12">
        <f t="shared" si="0"/>
        <v>48</v>
      </c>
      <c r="B60" s="13">
        <f t="shared" si="22"/>
        <v>50811.45</v>
      </c>
      <c r="C60" s="14">
        <v>51065.75</v>
      </c>
      <c r="D60" s="15" t="s">
        <v>28</v>
      </c>
      <c r="E60" s="16">
        <f t="shared" si="16"/>
        <v>254.3000000000029</v>
      </c>
      <c r="F60" s="17">
        <v>36</v>
      </c>
      <c r="G60" s="18">
        <f>ROUND((((2291.83-($F60/2))/2291.83)+1)/2,4)</f>
        <v>0.9961</v>
      </c>
      <c r="H60" s="16"/>
      <c r="I60" s="16">
        <f t="shared" si="21"/>
        <v>9119.1</v>
      </c>
      <c r="J60" s="16"/>
      <c r="K60" s="41"/>
      <c r="L60" s="16"/>
      <c r="M60" s="16"/>
      <c r="N60" s="16"/>
      <c r="O60" s="16"/>
      <c r="P60" s="16"/>
      <c r="Q60" s="16"/>
      <c r="R60" s="16"/>
      <c r="S60" s="16"/>
      <c r="T60" s="16">
        <f t="shared" si="17"/>
        <v>225.16</v>
      </c>
      <c r="U60" s="16">
        <f t="shared" si="18"/>
        <v>168.87</v>
      </c>
      <c r="V60" s="16"/>
      <c r="W60" s="16">
        <f t="shared" si="19"/>
        <v>167.18</v>
      </c>
      <c r="X60" s="16"/>
      <c r="Y60" s="16"/>
      <c r="Z60" s="16">
        <f t="shared" si="20"/>
        <v>42.22</v>
      </c>
      <c r="AA60" s="16">
        <f t="shared" si="20"/>
        <v>49.25</v>
      </c>
      <c r="AB60" s="16">
        <f t="shared" si="15"/>
        <v>91.47</v>
      </c>
      <c r="AC60" s="16"/>
      <c r="AD60" s="16"/>
      <c r="AE60" s="16"/>
      <c r="AF60" s="105"/>
      <c r="AG60" s="106"/>
    </row>
    <row r="61" spans="1:33" s="24" customFormat="1" ht="21.75" customHeight="1">
      <c r="A61" s="12">
        <f t="shared" si="0"/>
        <v>49</v>
      </c>
      <c r="B61" s="13">
        <f t="shared" si="22"/>
        <v>51065.75</v>
      </c>
      <c r="C61" s="14">
        <v>51485</v>
      </c>
      <c r="D61" s="15" t="s">
        <v>28</v>
      </c>
      <c r="E61" s="16">
        <f t="shared" si="16"/>
        <v>419.25</v>
      </c>
      <c r="F61" s="17">
        <v>36</v>
      </c>
      <c r="G61" s="18">
        <f>ROUND((2291.83-($F61/2))/2291.83,4)</f>
        <v>0.9921</v>
      </c>
      <c r="H61" s="16"/>
      <c r="I61" s="16">
        <f t="shared" si="21"/>
        <v>14973.77</v>
      </c>
      <c r="J61" s="16"/>
      <c r="K61" s="41"/>
      <c r="L61" s="16"/>
      <c r="M61" s="16"/>
      <c r="N61" s="16"/>
      <c r="O61" s="16"/>
      <c r="P61" s="16"/>
      <c r="Q61" s="16"/>
      <c r="R61" s="16"/>
      <c r="S61" s="16"/>
      <c r="T61" s="16">
        <f t="shared" si="17"/>
        <v>369.72</v>
      </c>
      <c r="U61" s="16">
        <f t="shared" si="18"/>
        <v>277.29</v>
      </c>
      <c r="V61" s="16"/>
      <c r="W61" s="16">
        <f t="shared" si="19"/>
        <v>274.52</v>
      </c>
      <c r="X61" s="16"/>
      <c r="Y61" s="16"/>
      <c r="Z61" s="16">
        <f t="shared" si="20"/>
        <v>69.32</v>
      </c>
      <c r="AA61" s="16">
        <f t="shared" si="20"/>
        <v>80.88</v>
      </c>
      <c r="AB61" s="16">
        <f t="shared" si="15"/>
        <v>150.2</v>
      </c>
      <c r="AC61" s="16"/>
      <c r="AD61" s="16"/>
      <c r="AE61" s="16"/>
      <c r="AF61" s="105"/>
      <c r="AG61" s="106"/>
    </row>
    <row r="62" spans="1:33" s="24" customFormat="1" ht="21.75" customHeight="1">
      <c r="A62" s="12">
        <f t="shared" si="0"/>
        <v>50</v>
      </c>
      <c r="B62" s="13"/>
      <c r="C62" s="14"/>
      <c r="D62" s="15"/>
      <c r="E62" s="16"/>
      <c r="F62" s="22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05"/>
      <c r="AG62" s="106"/>
    </row>
    <row r="63" spans="1:33" s="24" customFormat="1" ht="21.75" customHeight="1">
      <c r="A63" s="12">
        <f t="shared" si="0"/>
        <v>51</v>
      </c>
      <c r="B63" s="13"/>
      <c r="C63" s="14"/>
      <c r="D63" s="15"/>
      <c r="E63" s="16"/>
      <c r="F63" s="17"/>
      <c r="G63" s="18"/>
      <c r="H63" s="16"/>
      <c r="I63" s="16"/>
      <c r="J63" s="16"/>
      <c r="K63" s="41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05"/>
      <c r="AG63" s="106"/>
    </row>
    <row r="64" spans="1:33" s="24" customFormat="1" ht="21.75" customHeight="1">
      <c r="A64" s="12">
        <f t="shared" si="0"/>
        <v>52</v>
      </c>
      <c r="B64" s="13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12"/>
      <c r="AG64" s="106"/>
    </row>
    <row r="65" spans="1:33" s="24" customFormat="1" ht="21.75" customHeight="1">
      <c r="A65" s="12">
        <f t="shared" si="0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12"/>
      <c r="AG65" s="106"/>
    </row>
    <row r="66" spans="1:33" s="24" customFormat="1" ht="21.75" customHeight="1" thickBot="1">
      <c r="A66" s="12">
        <f t="shared" si="0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13"/>
      <c r="AG66" s="108"/>
    </row>
    <row r="67" spans="2:33" s="25" customFormat="1" ht="46.5" customHeight="1">
      <c r="B67" s="93" t="s">
        <v>8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5"/>
      <c r="S67" s="110" t="str">
        <f aca="true" t="shared" si="23" ref="S67:AE67">IF(SUM(S13:S66)=0," ",ROUNDUP(SUM(S13:S66),0))</f>
        <v> </v>
      </c>
      <c r="T67" s="110">
        <f t="shared" si="23"/>
        <v>8123</v>
      </c>
      <c r="U67" s="110">
        <f t="shared" si="23"/>
        <v>6149</v>
      </c>
      <c r="V67" s="110" t="str">
        <f t="shared" si="23"/>
        <v> </v>
      </c>
      <c r="W67" s="110">
        <f t="shared" si="23"/>
        <v>6018</v>
      </c>
      <c r="X67" s="110" t="str">
        <f t="shared" si="23"/>
        <v> </v>
      </c>
      <c r="Y67" s="110" t="str">
        <f t="shared" si="23"/>
        <v> </v>
      </c>
      <c r="Z67" s="110">
        <f t="shared" si="23"/>
        <v>1513</v>
      </c>
      <c r="AA67" s="110">
        <f t="shared" si="23"/>
        <v>1765</v>
      </c>
      <c r="AB67" s="110">
        <f t="shared" si="23"/>
        <v>1950</v>
      </c>
      <c r="AC67" s="110" t="str">
        <f t="shared" si="23"/>
        <v> </v>
      </c>
      <c r="AD67" s="110">
        <f t="shared" si="23"/>
        <v>64</v>
      </c>
      <c r="AE67" s="110" t="str">
        <f t="shared" si="23"/>
        <v> </v>
      </c>
      <c r="AF67" s="120">
        <v>4</v>
      </c>
      <c r="AG67" s="121"/>
    </row>
    <row r="68" spans="2:33" s="25" customFormat="1" ht="46.5" customHeight="1" thickBot="1"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8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4">
        <v>15</v>
      </c>
      <c r="AG68" s="115"/>
    </row>
    <row r="69" spans="1:34" ht="36" customHeight="1">
      <c r="A69" s="26"/>
      <c r="B69" s="27"/>
      <c r="C69" s="27"/>
      <c r="D69" s="27"/>
      <c r="E69" s="27"/>
      <c r="F69" s="27"/>
      <c r="G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U69" s="27"/>
      <c r="V69" s="27"/>
      <c r="W69" s="1"/>
      <c r="X69" s="27"/>
      <c r="Y69" s="27"/>
      <c r="Z69" s="27"/>
      <c r="AA69" s="27"/>
      <c r="AB69" s="27"/>
      <c r="AE69" s="27"/>
      <c r="AF69" s="27"/>
      <c r="AG69" s="27"/>
      <c r="AH69" s="28"/>
    </row>
    <row r="70" spans="2:33" ht="12.75">
      <c r="B70" s="27"/>
      <c r="C70" s="27"/>
      <c r="D70" s="27"/>
      <c r="E70" s="27"/>
      <c r="F70" s="27"/>
      <c r="G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U70" s="27"/>
      <c r="V70" s="27"/>
      <c r="W70" s="1"/>
      <c r="X70" s="27"/>
      <c r="Y70" s="27"/>
      <c r="Z70" s="27"/>
      <c r="AA70" s="27"/>
      <c r="AB70" s="27"/>
      <c r="AE70" s="27"/>
      <c r="AF70" s="27"/>
      <c r="AG70" s="27"/>
    </row>
    <row r="71" spans="2:33" ht="12.75">
      <c r="B71" s="27"/>
      <c r="C71" s="27"/>
      <c r="D71" s="27"/>
      <c r="E71" s="27"/>
      <c r="F71" s="27"/>
      <c r="G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U71" s="27"/>
      <c r="V71" s="27"/>
      <c r="W71" s="1"/>
      <c r="X71" s="27"/>
      <c r="Y71" s="27"/>
      <c r="Z71" s="27"/>
      <c r="AA71" s="27"/>
      <c r="AB71" s="27"/>
      <c r="AE71" s="27"/>
      <c r="AF71" s="27"/>
      <c r="AG71" s="27"/>
    </row>
    <row r="72" spans="2:33" ht="15.75">
      <c r="B72" s="60" t="s">
        <v>34</v>
      </c>
      <c r="C72" s="60"/>
      <c r="D72" s="60"/>
      <c r="E72" s="60"/>
      <c r="F72" s="60"/>
      <c r="G72" s="60"/>
      <c r="I72" s="42"/>
      <c r="J72" s="42"/>
      <c r="K72" s="42">
        <v>4</v>
      </c>
      <c r="L72" s="42">
        <v>6</v>
      </c>
      <c r="M72" s="42">
        <v>10</v>
      </c>
      <c r="N72" s="42">
        <v>16</v>
      </c>
      <c r="O72" s="42">
        <v>18</v>
      </c>
      <c r="P72" s="42">
        <v>20</v>
      </c>
      <c r="Q72" s="42">
        <v>22</v>
      </c>
      <c r="R72" s="42">
        <v>22.875</v>
      </c>
      <c r="S72" s="42"/>
      <c r="T72" s="42">
        <v>8</v>
      </c>
      <c r="U72" s="43">
        <v>6</v>
      </c>
      <c r="V72" s="44"/>
      <c r="W72" s="44">
        <v>0.055</v>
      </c>
      <c r="X72" s="44"/>
      <c r="Y72" s="43"/>
      <c r="Z72" s="43">
        <v>1.5</v>
      </c>
      <c r="AA72" s="43">
        <v>1.75</v>
      </c>
      <c r="AB72" s="43"/>
      <c r="AC72" s="43"/>
      <c r="AD72" s="43"/>
      <c r="AE72" s="44"/>
      <c r="AF72" s="27"/>
      <c r="AG72" s="27"/>
    </row>
    <row r="73" spans="2:33" ht="15">
      <c r="B73" s="27"/>
      <c r="C73" s="27"/>
      <c r="D73" s="27"/>
      <c r="E73" s="27"/>
      <c r="F73" s="27"/>
      <c r="G73" s="27"/>
      <c r="I73" s="27"/>
      <c r="J73" s="27"/>
      <c r="K73" s="27"/>
      <c r="L73" s="27"/>
      <c r="M73" s="27"/>
      <c r="N73" s="27"/>
      <c r="O73" s="27"/>
      <c r="P73" s="27"/>
      <c r="Q73" s="27"/>
      <c r="R73" s="23"/>
      <c r="S73" s="23"/>
      <c r="T73" s="23">
        <f>T72/2</f>
        <v>4</v>
      </c>
      <c r="V73" s="42"/>
      <c r="W73" s="1"/>
      <c r="X73" s="45"/>
      <c r="Y73" s="27"/>
      <c r="Z73" s="27"/>
      <c r="AA73" s="27"/>
      <c r="AB73" s="27"/>
      <c r="AE73" s="27"/>
      <c r="AF73" s="27"/>
      <c r="AG73" s="27"/>
    </row>
    <row r="74" spans="2:33" ht="15">
      <c r="B74" s="27"/>
      <c r="C74" s="29"/>
      <c r="D74" s="27"/>
      <c r="E74" s="27"/>
      <c r="F74" s="27"/>
      <c r="G74" s="27"/>
      <c r="H74" s="30"/>
      <c r="I74" s="27"/>
      <c r="J74" s="27"/>
      <c r="K74" s="92"/>
      <c r="L74" s="92"/>
      <c r="M74" s="92"/>
      <c r="N74" s="92"/>
      <c r="O74" s="92"/>
      <c r="P74" s="92"/>
      <c r="Q74" s="92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27"/>
      <c r="AG74" s="27"/>
    </row>
  </sheetData>
  <sheetProtection/>
  <mergeCells count="55">
    <mergeCell ref="B47:I47"/>
    <mergeCell ref="J3:J11"/>
    <mergeCell ref="K3:K11"/>
    <mergeCell ref="D3:D11"/>
    <mergeCell ref="E3:E11"/>
    <mergeCell ref="F3:F11"/>
    <mergeCell ref="G3:G11"/>
    <mergeCell ref="AF3:AF5"/>
    <mergeCell ref="AG3:AG5"/>
    <mergeCell ref="S4:S11"/>
    <mergeCell ref="T4:T11"/>
    <mergeCell ref="U4:U11"/>
    <mergeCell ref="AF6:AG50"/>
    <mergeCell ref="AE4:AE11"/>
    <mergeCell ref="Z4:Z11"/>
    <mergeCell ref="AA4:AA11"/>
    <mergeCell ref="V4:V11"/>
    <mergeCell ref="Q3:Q11"/>
    <mergeCell ref="R3:R11"/>
    <mergeCell ref="B3:C11"/>
    <mergeCell ref="AC4:AC11"/>
    <mergeCell ref="AD4:AD11"/>
    <mergeCell ref="AB4:AB11"/>
    <mergeCell ref="Y4:Y11"/>
    <mergeCell ref="I3:I11"/>
    <mergeCell ref="L3:L11"/>
    <mergeCell ref="M3:M11"/>
    <mergeCell ref="X4:X11"/>
    <mergeCell ref="AE67:AE68"/>
    <mergeCell ref="Y67:Y68"/>
    <mergeCell ref="Z67:Z68"/>
    <mergeCell ref="AD67:AD68"/>
    <mergeCell ref="W67:W68"/>
    <mergeCell ref="X67:X68"/>
    <mergeCell ref="W4:W11"/>
    <mergeCell ref="AF51:AG66"/>
    <mergeCell ref="S67:S68"/>
    <mergeCell ref="T67:T68"/>
    <mergeCell ref="U67:U68"/>
    <mergeCell ref="AF67:AG67"/>
    <mergeCell ref="AF68:AG68"/>
    <mergeCell ref="V67:V68"/>
    <mergeCell ref="AA67:AA68"/>
    <mergeCell ref="AB67:AB68"/>
    <mergeCell ref="AC67:AC68"/>
    <mergeCell ref="P3:P11"/>
    <mergeCell ref="N3:N11"/>
    <mergeCell ref="B67:R68"/>
    <mergeCell ref="H3:H11"/>
    <mergeCell ref="K74:Q74"/>
    <mergeCell ref="B14:I14"/>
    <mergeCell ref="F16:I16"/>
    <mergeCell ref="F20:I20"/>
    <mergeCell ref="F22:I22"/>
    <mergeCell ref="O3:O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AA4" sqref="AA4:AA11"/>
    </sheetView>
  </sheetViews>
  <sheetFormatPr defaultColWidth="9.140625" defaultRowHeight="12.75"/>
  <cols>
    <col min="1" max="3" width="24.7109375" style="1" customWidth="1"/>
    <col min="4" max="22" width="15.7109375" style="1" customWidth="1"/>
    <col min="23" max="23" width="15.7109375" style="46" customWidth="1"/>
    <col min="24" max="31" width="15.7109375" style="1" customWidth="1"/>
    <col min="32" max="34" width="6.7109375" style="1" customWidth="1"/>
    <col min="35" max="16384" width="9.140625" style="1" customWidth="1"/>
  </cols>
  <sheetData>
    <row r="1" spans="19:31" ht="12.75">
      <c r="S1" s="48"/>
      <c r="T1" s="48"/>
      <c r="U1" s="48"/>
      <c r="V1" s="48"/>
      <c r="W1" s="49"/>
      <c r="X1" s="48"/>
      <c r="Z1" s="48"/>
      <c r="AA1" s="48"/>
      <c r="AE1" s="48"/>
    </row>
    <row r="2" spans="1:34" s="4" customFormat="1" ht="36" customHeight="1" thickBot="1">
      <c r="A2" s="2"/>
      <c r="B2" s="31" t="s">
        <v>14</v>
      </c>
      <c r="C2" s="32"/>
      <c r="D2" s="33"/>
      <c r="E2" s="33"/>
      <c r="F2" s="33"/>
      <c r="G2" s="33"/>
      <c r="I2" s="34"/>
      <c r="J2" s="33"/>
      <c r="K2" s="33"/>
      <c r="L2" s="33"/>
      <c r="M2" s="33"/>
      <c r="N2" s="33"/>
      <c r="O2" s="33"/>
      <c r="P2" s="33"/>
      <c r="Q2" s="34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47"/>
      <c r="AE2" s="50"/>
      <c r="AH2" s="3"/>
    </row>
    <row r="3" spans="2:34" s="5" customFormat="1" ht="21.75" customHeight="1">
      <c r="B3" s="93" t="s">
        <v>0</v>
      </c>
      <c r="C3" s="95"/>
      <c r="D3" s="89" t="s">
        <v>3</v>
      </c>
      <c r="E3" s="89" t="s">
        <v>4</v>
      </c>
      <c r="F3" s="89" t="s">
        <v>5</v>
      </c>
      <c r="G3" s="86" t="s">
        <v>12</v>
      </c>
      <c r="H3" s="86" t="s">
        <v>94</v>
      </c>
      <c r="I3" s="89" t="s">
        <v>6</v>
      </c>
      <c r="J3" s="86" t="s">
        <v>10</v>
      </c>
      <c r="K3" s="86" t="s">
        <v>15</v>
      </c>
      <c r="L3" s="86" t="s">
        <v>16</v>
      </c>
      <c r="M3" s="86" t="s">
        <v>17</v>
      </c>
      <c r="N3" s="86" t="s">
        <v>18</v>
      </c>
      <c r="O3" s="86" t="s">
        <v>19</v>
      </c>
      <c r="P3" s="86" t="s">
        <v>20</v>
      </c>
      <c r="Q3" s="86" t="s">
        <v>21</v>
      </c>
      <c r="R3" s="86" t="s">
        <v>84</v>
      </c>
      <c r="S3" s="35"/>
      <c r="T3" s="35">
        <v>302</v>
      </c>
      <c r="U3" s="35">
        <v>304</v>
      </c>
      <c r="V3" s="35"/>
      <c r="W3" s="35">
        <v>407</v>
      </c>
      <c r="X3" s="35"/>
      <c r="Y3" s="35"/>
      <c r="Z3" s="35">
        <v>442</v>
      </c>
      <c r="AA3" s="35">
        <v>442</v>
      </c>
      <c r="AB3" s="35">
        <v>442</v>
      </c>
      <c r="AC3" s="35"/>
      <c r="AD3" s="36">
        <v>609</v>
      </c>
      <c r="AE3" s="36"/>
      <c r="AF3" s="116" t="s">
        <v>11</v>
      </c>
      <c r="AG3" s="116" t="s">
        <v>13</v>
      </c>
      <c r="AH3" s="6"/>
    </row>
    <row r="4" spans="2:34" s="5" customFormat="1" ht="27.75" customHeight="1">
      <c r="B4" s="99"/>
      <c r="C4" s="100"/>
      <c r="D4" s="90"/>
      <c r="E4" s="90"/>
      <c r="F4" s="90"/>
      <c r="G4" s="87"/>
      <c r="H4" s="87"/>
      <c r="I4" s="90"/>
      <c r="J4" s="122"/>
      <c r="K4" s="122"/>
      <c r="L4" s="87"/>
      <c r="M4" s="87"/>
      <c r="N4" s="87"/>
      <c r="O4" s="87"/>
      <c r="P4" s="87"/>
      <c r="Q4" s="87"/>
      <c r="R4" s="87"/>
      <c r="S4" s="83"/>
      <c r="T4" s="83" t="s">
        <v>22</v>
      </c>
      <c r="U4" s="83" t="s">
        <v>96</v>
      </c>
      <c r="V4" s="83"/>
      <c r="W4" s="83" t="s">
        <v>82</v>
      </c>
      <c r="X4" s="83"/>
      <c r="Y4" s="109"/>
      <c r="Z4" s="83" t="s">
        <v>83</v>
      </c>
      <c r="AA4" s="109" t="s">
        <v>97</v>
      </c>
      <c r="AB4" s="109" t="s">
        <v>23</v>
      </c>
      <c r="AC4" s="83"/>
      <c r="AD4" s="109" t="s">
        <v>95</v>
      </c>
      <c r="AE4" s="109"/>
      <c r="AF4" s="117"/>
      <c r="AG4" s="119"/>
      <c r="AH4" s="7"/>
    </row>
    <row r="5" spans="2:33" s="5" customFormat="1" ht="27.75" customHeight="1" thickBot="1">
      <c r="B5" s="99"/>
      <c r="C5" s="100"/>
      <c r="D5" s="90"/>
      <c r="E5" s="90"/>
      <c r="F5" s="90"/>
      <c r="G5" s="87"/>
      <c r="H5" s="87"/>
      <c r="I5" s="90"/>
      <c r="J5" s="122"/>
      <c r="K5" s="122"/>
      <c r="L5" s="87"/>
      <c r="M5" s="87"/>
      <c r="N5" s="87"/>
      <c r="O5" s="87"/>
      <c r="P5" s="87"/>
      <c r="Q5" s="87"/>
      <c r="R5" s="87"/>
      <c r="S5" s="84"/>
      <c r="T5" s="84"/>
      <c r="U5" s="84"/>
      <c r="V5" s="84"/>
      <c r="W5" s="84"/>
      <c r="X5" s="84"/>
      <c r="Y5" s="87"/>
      <c r="Z5" s="84"/>
      <c r="AA5" s="87"/>
      <c r="AB5" s="87"/>
      <c r="AC5" s="84"/>
      <c r="AD5" s="87"/>
      <c r="AE5" s="87"/>
      <c r="AF5" s="118"/>
      <c r="AG5" s="119"/>
    </row>
    <row r="6" spans="2:33" s="5" customFormat="1" ht="27.75" customHeight="1">
      <c r="B6" s="99"/>
      <c r="C6" s="100"/>
      <c r="D6" s="90"/>
      <c r="E6" s="90"/>
      <c r="F6" s="90"/>
      <c r="G6" s="87"/>
      <c r="H6" s="87"/>
      <c r="I6" s="90"/>
      <c r="J6" s="122"/>
      <c r="K6" s="122"/>
      <c r="L6" s="87"/>
      <c r="M6" s="87"/>
      <c r="N6" s="87"/>
      <c r="O6" s="87"/>
      <c r="P6" s="87"/>
      <c r="Q6" s="87"/>
      <c r="R6" s="87"/>
      <c r="S6" s="84"/>
      <c r="T6" s="84"/>
      <c r="U6" s="84"/>
      <c r="V6" s="84"/>
      <c r="W6" s="84"/>
      <c r="X6" s="84"/>
      <c r="Y6" s="87"/>
      <c r="Z6" s="84"/>
      <c r="AA6" s="87"/>
      <c r="AB6" s="87"/>
      <c r="AC6" s="84"/>
      <c r="AD6" s="87"/>
      <c r="AE6" s="87"/>
      <c r="AF6" s="103" t="s">
        <v>81</v>
      </c>
      <c r="AG6" s="104"/>
    </row>
    <row r="7" spans="2:33" s="5" customFormat="1" ht="27.75" customHeight="1">
      <c r="B7" s="99"/>
      <c r="C7" s="100"/>
      <c r="D7" s="90"/>
      <c r="E7" s="90"/>
      <c r="F7" s="90"/>
      <c r="G7" s="87"/>
      <c r="H7" s="87"/>
      <c r="I7" s="90"/>
      <c r="J7" s="122"/>
      <c r="K7" s="122"/>
      <c r="L7" s="87"/>
      <c r="M7" s="87"/>
      <c r="N7" s="87"/>
      <c r="O7" s="87"/>
      <c r="P7" s="87"/>
      <c r="Q7" s="87"/>
      <c r="R7" s="87"/>
      <c r="S7" s="84"/>
      <c r="T7" s="84"/>
      <c r="U7" s="84"/>
      <c r="V7" s="84"/>
      <c r="W7" s="84"/>
      <c r="X7" s="84"/>
      <c r="Y7" s="87"/>
      <c r="Z7" s="84"/>
      <c r="AA7" s="87"/>
      <c r="AB7" s="87"/>
      <c r="AC7" s="84"/>
      <c r="AD7" s="87"/>
      <c r="AE7" s="87"/>
      <c r="AF7" s="105"/>
      <c r="AG7" s="106"/>
    </row>
    <row r="8" spans="2:33" s="5" customFormat="1" ht="27.75" customHeight="1">
      <c r="B8" s="99"/>
      <c r="C8" s="100"/>
      <c r="D8" s="90"/>
      <c r="E8" s="90"/>
      <c r="F8" s="90"/>
      <c r="G8" s="87"/>
      <c r="H8" s="87"/>
      <c r="I8" s="90"/>
      <c r="J8" s="122"/>
      <c r="K8" s="122"/>
      <c r="L8" s="87"/>
      <c r="M8" s="87"/>
      <c r="N8" s="87"/>
      <c r="O8" s="87"/>
      <c r="P8" s="87"/>
      <c r="Q8" s="87"/>
      <c r="R8" s="87"/>
      <c r="S8" s="84"/>
      <c r="T8" s="84"/>
      <c r="U8" s="84"/>
      <c r="V8" s="84"/>
      <c r="W8" s="84"/>
      <c r="X8" s="84"/>
      <c r="Y8" s="87"/>
      <c r="Z8" s="84"/>
      <c r="AA8" s="87"/>
      <c r="AB8" s="87"/>
      <c r="AC8" s="84"/>
      <c r="AD8" s="87"/>
      <c r="AE8" s="87"/>
      <c r="AF8" s="105"/>
      <c r="AG8" s="106"/>
    </row>
    <row r="9" spans="2:33" s="5" customFormat="1" ht="27.75" customHeight="1">
      <c r="B9" s="99"/>
      <c r="C9" s="100"/>
      <c r="D9" s="90"/>
      <c r="E9" s="90"/>
      <c r="F9" s="90"/>
      <c r="G9" s="87"/>
      <c r="H9" s="87"/>
      <c r="I9" s="90"/>
      <c r="J9" s="122"/>
      <c r="K9" s="122"/>
      <c r="L9" s="87"/>
      <c r="M9" s="87"/>
      <c r="N9" s="87"/>
      <c r="O9" s="87"/>
      <c r="P9" s="87"/>
      <c r="Q9" s="87"/>
      <c r="R9" s="87"/>
      <c r="S9" s="84"/>
      <c r="T9" s="84"/>
      <c r="U9" s="84"/>
      <c r="V9" s="84"/>
      <c r="W9" s="84"/>
      <c r="X9" s="84"/>
      <c r="Y9" s="87"/>
      <c r="Z9" s="84"/>
      <c r="AA9" s="87"/>
      <c r="AB9" s="87"/>
      <c r="AC9" s="84"/>
      <c r="AD9" s="87"/>
      <c r="AE9" s="87"/>
      <c r="AF9" s="105"/>
      <c r="AG9" s="106"/>
    </row>
    <row r="10" spans="2:33" s="5" customFormat="1" ht="27.75" customHeight="1">
      <c r="B10" s="99"/>
      <c r="C10" s="100"/>
      <c r="D10" s="90"/>
      <c r="E10" s="90"/>
      <c r="F10" s="90"/>
      <c r="G10" s="87"/>
      <c r="H10" s="87"/>
      <c r="I10" s="90"/>
      <c r="J10" s="122"/>
      <c r="K10" s="122"/>
      <c r="L10" s="87"/>
      <c r="M10" s="87"/>
      <c r="N10" s="87"/>
      <c r="O10" s="87"/>
      <c r="P10" s="87"/>
      <c r="Q10" s="87"/>
      <c r="R10" s="87"/>
      <c r="S10" s="84"/>
      <c r="T10" s="84"/>
      <c r="U10" s="84"/>
      <c r="V10" s="84"/>
      <c r="W10" s="84"/>
      <c r="X10" s="84"/>
      <c r="Y10" s="87"/>
      <c r="Z10" s="84"/>
      <c r="AA10" s="87"/>
      <c r="AB10" s="87"/>
      <c r="AC10" s="84"/>
      <c r="AD10" s="87"/>
      <c r="AE10" s="87"/>
      <c r="AF10" s="105"/>
      <c r="AG10" s="106"/>
    </row>
    <row r="11" spans="2:33" s="8" customFormat="1" ht="27.75" customHeight="1">
      <c r="B11" s="101"/>
      <c r="C11" s="102"/>
      <c r="D11" s="91"/>
      <c r="E11" s="91"/>
      <c r="F11" s="91"/>
      <c r="G11" s="88"/>
      <c r="H11" s="88"/>
      <c r="I11" s="91"/>
      <c r="J11" s="123"/>
      <c r="K11" s="123"/>
      <c r="L11" s="88"/>
      <c r="M11" s="88"/>
      <c r="N11" s="88"/>
      <c r="O11" s="88"/>
      <c r="P11" s="88"/>
      <c r="Q11" s="88"/>
      <c r="R11" s="88"/>
      <c r="S11" s="85"/>
      <c r="T11" s="85"/>
      <c r="U11" s="85"/>
      <c r="V11" s="85"/>
      <c r="W11" s="85"/>
      <c r="X11" s="85"/>
      <c r="Y11" s="88"/>
      <c r="Z11" s="85"/>
      <c r="AA11" s="88"/>
      <c r="AB11" s="88"/>
      <c r="AC11" s="85"/>
      <c r="AD11" s="88"/>
      <c r="AE11" s="88"/>
      <c r="AF11" s="105"/>
      <c r="AG11" s="106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11"/>
      <c r="I12" s="11" t="s">
        <v>9</v>
      </c>
      <c r="J12" s="11" t="s">
        <v>9</v>
      </c>
      <c r="K12" s="11" t="s">
        <v>9</v>
      </c>
      <c r="L12" s="11" t="s">
        <v>9</v>
      </c>
      <c r="M12" s="11" t="s">
        <v>9</v>
      </c>
      <c r="N12" s="11" t="s">
        <v>9</v>
      </c>
      <c r="O12" s="11" t="s">
        <v>9</v>
      </c>
      <c r="P12" s="11" t="s">
        <v>9</v>
      </c>
      <c r="Q12" s="11" t="s">
        <v>9</v>
      </c>
      <c r="R12" s="11" t="s">
        <v>9</v>
      </c>
      <c r="S12" s="37"/>
      <c r="T12" s="37" t="s">
        <v>24</v>
      </c>
      <c r="U12" s="37" t="s">
        <v>24</v>
      </c>
      <c r="V12" s="37"/>
      <c r="W12" s="37" t="s">
        <v>25</v>
      </c>
      <c r="X12" s="37"/>
      <c r="Y12" s="37"/>
      <c r="Z12" s="37" t="s">
        <v>24</v>
      </c>
      <c r="AA12" s="37" t="s">
        <v>24</v>
      </c>
      <c r="AB12" s="37" t="s">
        <v>24</v>
      </c>
      <c r="AC12" s="37"/>
      <c r="AD12" s="11" t="s">
        <v>7</v>
      </c>
      <c r="AE12" s="11"/>
      <c r="AF12" s="105"/>
      <c r="AG12" s="106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05"/>
      <c r="AG13" s="106"/>
    </row>
    <row r="14" spans="1:33" s="5" customFormat="1" ht="21.75" customHeight="1">
      <c r="A14" s="12">
        <f>A13+1</f>
        <v>2</v>
      </c>
      <c r="B14" s="77" t="s">
        <v>76</v>
      </c>
      <c r="C14" s="78"/>
      <c r="D14" s="78"/>
      <c r="E14" s="78"/>
      <c r="F14" s="78"/>
      <c r="G14" s="78"/>
      <c r="H14" s="78"/>
      <c r="I14" s="7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05"/>
      <c r="AG14" s="106"/>
    </row>
    <row r="15" spans="1:33" s="5" customFormat="1" ht="21.75" customHeight="1">
      <c r="A15" s="12">
        <f>A14+1</f>
        <v>3</v>
      </c>
      <c r="B15" s="19" t="s">
        <v>35</v>
      </c>
      <c r="C15" s="20"/>
      <c r="D15" s="15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05"/>
      <c r="AG15" s="106"/>
    </row>
    <row r="16" spans="1:33" s="5" customFormat="1" ht="21.75" customHeight="1">
      <c r="A16" s="12">
        <f>A15+1</f>
        <v>4</v>
      </c>
      <c r="B16" s="13">
        <v>46946.96</v>
      </c>
      <c r="C16" s="14">
        <v>46977.12</v>
      </c>
      <c r="D16" s="15" t="s">
        <v>33</v>
      </c>
      <c r="E16" s="16">
        <f aca="true" t="shared" si="0" ref="E16:E21">C16-B16</f>
        <v>30.160000000003492</v>
      </c>
      <c r="F16" s="17">
        <f>ROUND(AVERAGE(10,9.058),2)</f>
        <v>9.53</v>
      </c>
      <c r="G16" s="18"/>
      <c r="H16" s="16"/>
      <c r="I16" s="16">
        <f>IF($G16=0,ROUND($E16*$F16,2),ROUND($E16*$F16*$G16,2))</f>
        <v>287.42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>ROUND(((($I16+$J16)*(T$72/12)+($K16)*(T$73/12)+($M16)*(T$73/12))/27),2)</f>
        <v>7.1</v>
      </c>
      <c r="U16" s="16">
        <f>ROUND(((($I16+$J16+$N16+$O16+$P16+$Q16)*(U$72/12))/27),2)</f>
        <v>5.32</v>
      </c>
      <c r="V16" s="16"/>
      <c r="W16" s="16">
        <f>ROUND(((($I16+$J16)/9)*$W$72)+((($I16+$J16+$K16)/9)*$W$72)+((($I16+$J16+$M16)/9)*$W$72),2)</f>
        <v>5.27</v>
      </c>
      <c r="X16" s="16"/>
      <c r="Y16" s="16"/>
      <c r="Z16" s="16">
        <f aca="true" t="shared" si="1" ref="Z16:AA19">ROUND(((($I16+$J16)*(Z$72/12))/27),2)</f>
        <v>1.33</v>
      </c>
      <c r="AA16" s="16">
        <f t="shared" si="1"/>
        <v>1.55</v>
      </c>
      <c r="AB16" s="16"/>
      <c r="AC16" s="16"/>
      <c r="AD16" s="16"/>
      <c r="AE16" s="16"/>
      <c r="AF16" s="105"/>
      <c r="AG16" s="106"/>
    </row>
    <row r="17" spans="1:33" s="5" customFormat="1" ht="21.75" customHeight="1">
      <c r="A17" s="12">
        <f aca="true" t="shared" si="2" ref="A17:A66">A16+1</f>
        <v>5</v>
      </c>
      <c r="B17" s="13">
        <f aca="true" t="shared" si="3" ref="B17:B22">C16</f>
        <v>46977.12</v>
      </c>
      <c r="C17" s="14">
        <v>47226.99</v>
      </c>
      <c r="D17" s="15" t="s">
        <v>33</v>
      </c>
      <c r="E17" s="16">
        <f t="shared" si="0"/>
        <v>249.86999999999534</v>
      </c>
      <c r="F17" s="17">
        <v>10</v>
      </c>
      <c r="G17" s="18"/>
      <c r="H17" s="16"/>
      <c r="I17" s="16">
        <f>IF($G17=0,ROUND($E17*$F17,2),ROUND($E17*$F17*$G17,2))</f>
        <v>2498.7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f>ROUND(((($I17+$J17)*(T$72/12)+($K17)*(T$73/12)+($M17)*(T$73/12))/27),2)</f>
        <v>61.7</v>
      </c>
      <c r="U17" s="16">
        <f>ROUND(((($I17+$J17+$N17+$O17+$P17+$Q17)*(U$72/12))/27),2)</f>
        <v>46.27</v>
      </c>
      <c r="V17" s="16"/>
      <c r="W17" s="16">
        <f>ROUND(((($I17+$J17)/9)*$W$72)+((($I17+$J17+$K17)/9)*$W$72)+((($I17+$J17+$M17)/9)*$W$72),2)</f>
        <v>45.81</v>
      </c>
      <c r="X17" s="16"/>
      <c r="Y17" s="16"/>
      <c r="Z17" s="16">
        <f t="shared" si="1"/>
        <v>11.57</v>
      </c>
      <c r="AA17" s="16">
        <f t="shared" si="1"/>
        <v>13.5</v>
      </c>
      <c r="AB17" s="16"/>
      <c r="AC17" s="16"/>
      <c r="AD17" s="16"/>
      <c r="AE17" s="16"/>
      <c r="AF17" s="105"/>
      <c r="AG17" s="106"/>
    </row>
    <row r="18" spans="1:33" s="5" customFormat="1" ht="21.75" customHeight="1">
      <c r="A18" s="12">
        <f t="shared" si="2"/>
        <v>6</v>
      </c>
      <c r="B18" s="13">
        <f t="shared" si="3"/>
        <v>47226.99</v>
      </c>
      <c r="C18" s="14">
        <v>47493.14</v>
      </c>
      <c r="D18" s="15" t="s">
        <v>33</v>
      </c>
      <c r="E18" s="16">
        <f t="shared" si="0"/>
        <v>266.15000000000146</v>
      </c>
      <c r="F18" s="22">
        <v>10</v>
      </c>
      <c r="G18" s="18"/>
      <c r="H18" s="16"/>
      <c r="I18" s="16">
        <f>IF(G18=0,ROUND($E18*$F18,2),ROUND($E18*$F18*$G18,2))</f>
        <v>2661.5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>ROUND(((($I18+$J18)*(T$72/12)+($K18)*(T$73/12)+($M18)*(T$73/12))/27),2)</f>
        <v>65.72</v>
      </c>
      <c r="U18" s="16">
        <f>ROUND(((($I18+$J18+$N18+$O18+$P18+$Q18)*(U$72/12))/27),2)</f>
        <v>49.29</v>
      </c>
      <c r="V18" s="16"/>
      <c r="W18" s="16">
        <f>ROUND(((($I18+$J18)/9)*$W$72)+((($I18+$J18+$K18)/9)*$W$72)+((($I18+$J18+$M18)/9)*$W$72),2)</f>
        <v>48.79</v>
      </c>
      <c r="X18" s="16"/>
      <c r="Y18" s="16"/>
      <c r="Z18" s="16">
        <f t="shared" si="1"/>
        <v>12.32</v>
      </c>
      <c r="AA18" s="16">
        <f t="shared" si="1"/>
        <v>14.38</v>
      </c>
      <c r="AB18" s="16"/>
      <c r="AC18" s="16"/>
      <c r="AD18" s="16"/>
      <c r="AE18" s="16"/>
      <c r="AF18" s="105"/>
      <c r="AG18" s="106"/>
    </row>
    <row r="19" spans="1:33" s="5" customFormat="1" ht="21.75" customHeight="1">
      <c r="A19" s="12">
        <f t="shared" si="2"/>
        <v>7</v>
      </c>
      <c r="B19" s="13">
        <f t="shared" si="3"/>
        <v>47493.14</v>
      </c>
      <c r="C19" s="14">
        <v>47550</v>
      </c>
      <c r="D19" s="15" t="s">
        <v>33</v>
      </c>
      <c r="E19" s="16">
        <f t="shared" si="0"/>
        <v>56.86000000000058</v>
      </c>
      <c r="F19" s="22">
        <v>10</v>
      </c>
      <c r="G19" s="18">
        <f>ROUND((3904.072-12-($F19/2))/3904.072,4)</f>
        <v>0.9956</v>
      </c>
      <c r="H19" s="18">
        <f>ROUND((3904.072-12-($F19))/3904.072,4)</f>
        <v>0.9944</v>
      </c>
      <c r="I19" s="16">
        <f>IF(G19=0,ROUND($E19*$F19,2),ROUND($E19*$F19*$G19,2))</f>
        <v>566.1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>ROUND(((($I19+$J19)*(T$72/12)+($K19)*(T$73/12)+($M19)*(T$73/12))/27),2)</f>
        <v>13.98</v>
      </c>
      <c r="U19" s="16">
        <f>ROUND(((($I19+$J19+$N19+$O19+$P19+$Q19)*(U$72/12))/27),2)</f>
        <v>10.48</v>
      </c>
      <c r="V19" s="16"/>
      <c r="W19" s="16">
        <f>ROUND(((($I19+$J19)/9)*$W$72)+((($I19+$J19+$K19)/9)*$W$72)+((($I19+$J19+$M19)/9)*$W$72),2)</f>
        <v>10.38</v>
      </c>
      <c r="X19" s="16"/>
      <c r="Y19" s="16"/>
      <c r="Z19" s="16">
        <f t="shared" si="1"/>
        <v>2.62</v>
      </c>
      <c r="AA19" s="16">
        <f t="shared" si="1"/>
        <v>3.06</v>
      </c>
      <c r="AB19" s="16"/>
      <c r="AC19" s="16"/>
      <c r="AD19" s="16"/>
      <c r="AE19" s="16"/>
      <c r="AF19" s="105"/>
      <c r="AG19" s="106"/>
    </row>
    <row r="20" spans="1:33" s="5" customFormat="1" ht="21.75" customHeight="1">
      <c r="A20" s="12">
        <f t="shared" si="2"/>
        <v>8</v>
      </c>
      <c r="B20" s="13">
        <f t="shared" si="3"/>
        <v>47550</v>
      </c>
      <c r="C20" s="14">
        <v>47564</v>
      </c>
      <c r="D20" s="15" t="s">
        <v>33</v>
      </c>
      <c r="E20" s="16">
        <f t="shared" si="0"/>
        <v>14</v>
      </c>
      <c r="F20" s="22">
        <v>10</v>
      </c>
      <c r="G20" s="18">
        <f>ROUND((3904.072-12-($F20/2))/3904.072,4)</f>
        <v>0.9956</v>
      </c>
      <c r="H20" s="18">
        <f>ROUND((3904.072-12-($F20))/3904.072,4)</f>
        <v>0.9944</v>
      </c>
      <c r="I20" s="16">
        <f>IF(G20=0,ROUND($E20*$F20,2),ROUND($E20*$F20*$G20,2))</f>
        <v>139.38</v>
      </c>
      <c r="J20" s="16"/>
      <c r="K20" s="16"/>
      <c r="L20" s="16">
        <f>IF($H20=0,ROUND($E20*(L$72/12),2),ROUND($E20*(L$72/12)*$H20,2))</f>
        <v>6.96</v>
      </c>
      <c r="M20" s="16">
        <f>IF($H20=0,ROUND($E20*(M$72/12),2),ROUND($E20*(M$72/12)*$H20,2))</f>
        <v>11.6</v>
      </c>
      <c r="N20" s="16">
        <f>IF($H20=0,ROUND($E20*(N$72/12),2),ROUND($E20*(N$72/12)*$H20,2))</f>
        <v>18.56</v>
      </c>
      <c r="O20" s="16"/>
      <c r="P20" s="16">
        <f>IF($H20=0,ROUND($E20*(P$72/12),2),ROUND($E20*(P$72/12)*$H20,2))</f>
        <v>23.2</v>
      </c>
      <c r="Q20" s="16">
        <f>IF($H20=0,ROUND($E20*(Q$72/12),2),ROUND($E20*(Q$72/12)*$H20,2))</f>
        <v>25.52</v>
      </c>
      <c r="R20" s="16"/>
      <c r="S20" s="16"/>
      <c r="T20" s="16">
        <f>ROUND(((($I20+$J20+$P20)*(T$72/12)+($M20)*(T$73/12)+($N20)*(T$73/12))/27),2)</f>
        <v>4.39</v>
      </c>
      <c r="U20" s="16">
        <f>ROUND(((($I20+$J20+$P20+$Q20)*(U$72/12))/27),2)</f>
        <v>3.48</v>
      </c>
      <c r="V20" s="16"/>
      <c r="W20" s="16">
        <f>ROUND(((($I20+$J20+$L20+$P20)/9)*$W$72)+((($I20+$J20+$M20+$P20)/9)*$W$72)+((($I20+$J20+$N20+$P20)/9)*$W$72),2)</f>
        <v>3.21</v>
      </c>
      <c r="X20" s="16"/>
      <c r="Y20" s="16"/>
      <c r="Z20" s="16">
        <f aca="true" t="shared" si="4" ref="Z20:Z25">ROUND(((($I20+$J20)*(Z$72/12))/27),2)</f>
        <v>0.65</v>
      </c>
      <c r="AA20" s="16">
        <f>ROUND(((($I20+$J20+$P20+$L20)*(AA$72/12))/27),2)</f>
        <v>0.92</v>
      </c>
      <c r="AB20" s="16"/>
      <c r="AC20" s="16"/>
      <c r="AD20" s="16"/>
      <c r="AE20" s="16"/>
      <c r="AF20" s="105"/>
      <c r="AG20" s="106"/>
    </row>
    <row r="21" spans="1:33" s="5" customFormat="1" ht="21.75" customHeight="1">
      <c r="A21" s="12">
        <f t="shared" si="2"/>
        <v>9</v>
      </c>
      <c r="B21" s="13">
        <f t="shared" si="3"/>
        <v>47564</v>
      </c>
      <c r="C21" s="14">
        <v>47605</v>
      </c>
      <c r="D21" s="15" t="s">
        <v>33</v>
      </c>
      <c r="E21" s="16">
        <f t="shared" si="0"/>
        <v>41</v>
      </c>
      <c r="F21" s="22">
        <v>10</v>
      </c>
      <c r="G21" s="18">
        <f>ROUND((3904.072-12-($F21/2))/3904.072,4)</f>
        <v>0.9956</v>
      </c>
      <c r="H21" s="18">
        <f>ROUND((3904.072-12-($F21))/3904.072,4)</f>
        <v>0.9944</v>
      </c>
      <c r="I21" s="16">
        <f>IF(G21=0,ROUND($E21*$F21,2),ROUND($E21*$F21*$G21,2))</f>
        <v>408.2</v>
      </c>
      <c r="J21" s="16"/>
      <c r="K21" s="16"/>
      <c r="L21" s="16"/>
      <c r="M21" s="16"/>
      <c r="N21" s="16"/>
      <c r="O21" s="16">
        <f>IF($H21=0,ROUND($E21*(O$72/12),2),ROUND($E21*(O$72/12)*$H21,2))</f>
        <v>61.16</v>
      </c>
      <c r="P21" s="16"/>
      <c r="Q21" s="16"/>
      <c r="R21" s="16"/>
      <c r="S21" s="16"/>
      <c r="T21" s="16">
        <f>ROUND(((($I21+$J21)*(T$72/12)+($K21)*(T$73/12)+($M21)*(T$73/12))/27),2)</f>
        <v>10.08</v>
      </c>
      <c r="U21" s="16">
        <f>ROUND(((($I21+$J21+$N21+$O21+$P21+$Q21)*(U$72/12))/27),2)</f>
        <v>8.69</v>
      </c>
      <c r="V21" s="16"/>
      <c r="W21" s="16">
        <f>ROUND(((($I21+$J21)/9)*$W$72)+((($I21+$J21+$K21)/9)*$W$72)+((($I21+$J21+$M21)/9)*$W$72),2)</f>
        <v>7.48</v>
      </c>
      <c r="X21" s="16"/>
      <c r="Y21" s="16"/>
      <c r="Z21" s="16">
        <f>ROUND(((($I21+$J21)*(Z$72/12))/27),2)</f>
        <v>1.89</v>
      </c>
      <c r="AA21" s="16">
        <f>ROUND(((($I21+$J21)*(AA$72/12))/27),2)</f>
        <v>2.2</v>
      </c>
      <c r="AB21" s="16"/>
      <c r="AC21" s="16"/>
      <c r="AD21" s="16">
        <f>IF($H21=0,$E21,ROUND($E21*$H21,2))</f>
        <v>40.77</v>
      </c>
      <c r="AE21" s="16"/>
      <c r="AF21" s="105"/>
      <c r="AG21" s="106"/>
    </row>
    <row r="22" spans="1:33" s="5" customFormat="1" ht="21.75" customHeight="1">
      <c r="A22" s="12">
        <f t="shared" si="2"/>
        <v>10</v>
      </c>
      <c r="B22" s="13">
        <f t="shared" si="3"/>
        <v>47605</v>
      </c>
      <c r="C22" s="14">
        <v>48564.96</v>
      </c>
      <c r="D22" s="15" t="s">
        <v>33</v>
      </c>
      <c r="E22" s="16">
        <f>C22-B22</f>
        <v>959.9599999999991</v>
      </c>
      <c r="F22" s="22">
        <v>10</v>
      </c>
      <c r="G22" s="18">
        <f>ROUND((3904.072-12-($F22/2))/3904.072,4)</f>
        <v>0.9956</v>
      </c>
      <c r="H22" s="18">
        <f>ROUND((3904.072-12-($F22))/3904.072,4)</f>
        <v>0.9944</v>
      </c>
      <c r="I22" s="16">
        <f>IF(G22=0,ROUND($E22*$F22,2),ROUND($E22*$F22*$G22,2))</f>
        <v>9557.36</v>
      </c>
      <c r="J22" s="16"/>
      <c r="K22" s="16">
        <f>IF($H22=0,ROUND($E22*(K$72/12),2),ROUND($E22*(K$72/12)*$H22,2))</f>
        <v>318.19</v>
      </c>
      <c r="L22" s="16"/>
      <c r="M22" s="16">
        <f>IF($H22=0,ROUND($E22*(M$72/12),2),ROUND($E22*(M$72/12)*$H22,2))</f>
        <v>795.49</v>
      </c>
      <c r="N22" s="16">
        <f>IF($H22=0,ROUND($E22*(N$72/12),2),ROUND($E22*(N$72/12)*$H22,2))</f>
        <v>1272.78</v>
      </c>
      <c r="O22" s="16"/>
      <c r="P22" s="16"/>
      <c r="Q22" s="16"/>
      <c r="R22" s="16"/>
      <c r="S22" s="16"/>
      <c r="T22" s="16">
        <f>ROUND(((($I22+$J22)*(T$72/12)+($K22)*(T$73/12)+($M22)*(T$73/12))/27),2)</f>
        <v>249.73</v>
      </c>
      <c r="U22" s="16">
        <f>ROUND(((($I22+$J22+$N22+$O22+$P22+$Q22)*(U$72/12))/27),2)</f>
        <v>200.56</v>
      </c>
      <c r="V22" s="16"/>
      <c r="W22" s="16">
        <f>ROUND(((($I22+$J22)/9)*$W$72)+((($I22+$J22+$K22)/9)*$W$72)+((($I22+$J22+$M22)/9)*$W$72),2)</f>
        <v>182.02</v>
      </c>
      <c r="X22" s="16"/>
      <c r="Y22" s="16"/>
      <c r="Z22" s="16">
        <f>ROUND(((($I22+$J22)*(Z$72/12))/27),2)</f>
        <v>44.25</v>
      </c>
      <c r="AA22" s="16">
        <f>ROUND(((($I22+$J22)*(AA$72/12))/27),2)</f>
        <v>51.62</v>
      </c>
      <c r="AB22" s="16"/>
      <c r="AC22" s="16"/>
      <c r="AD22" s="16"/>
      <c r="AE22" s="16"/>
      <c r="AF22" s="105"/>
      <c r="AG22" s="106"/>
    </row>
    <row r="23" spans="1:33" s="5" customFormat="1" ht="21.75" customHeight="1">
      <c r="A23" s="12">
        <f t="shared" si="2"/>
        <v>11</v>
      </c>
      <c r="B23" s="14"/>
      <c r="C23" s="14"/>
      <c r="D23" s="15"/>
      <c r="E23" s="16"/>
      <c r="F23" s="17"/>
      <c r="G23" s="18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05"/>
      <c r="AG23" s="106"/>
    </row>
    <row r="24" spans="1:33" s="5" customFormat="1" ht="21.75" customHeight="1">
      <c r="A24" s="12">
        <f t="shared" si="2"/>
        <v>12</v>
      </c>
      <c r="B24" s="13">
        <v>49484.83</v>
      </c>
      <c r="C24" s="14">
        <v>49575.59</v>
      </c>
      <c r="D24" s="15" t="s">
        <v>33</v>
      </c>
      <c r="E24" s="16">
        <f aca="true" t="shared" si="5" ref="E24:E29">C24-B24</f>
        <v>90.75999999999476</v>
      </c>
      <c r="F24" s="22">
        <v>10</v>
      </c>
      <c r="G24" s="18">
        <f>ROUND((3904.072-($F24/2))/3904.072,4)</f>
        <v>0.9987</v>
      </c>
      <c r="H24" s="18">
        <f>ROUND((3904.072-($F24))/3904.072,4)</f>
        <v>0.9974</v>
      </c>
      <c r="I24" s="16">
        <f aca="true" t="shared" si="6" ref="I24:I29">IF(G24=0,ROUND($E24*$F24,2),ROUND($E24*$F24*$G24,2))</f>
        <v>906.42</v>
      </c>
      <c r="J24" s="16"/>
      <c r="K24" s="16"/>
      <c r="L24" s="16">
        <f aca="true" t="shared" si="7" ref="L24:N29">IF($H24=0,ROUND($E24*(L$72/12),2),ROUND($E24*(L$72/12)*$H24,2))</f>
        <v>45.26</v>
      </c>
      <c r="M24" s="16">
        <f t="shared" si="7"/>
        <v>75.44</v>
      </c>
      <c r="N24" s="16">
        <f t="shared" si="7"/>
        <v>120.7</v>
      </c>
      <c r="O24" s="16"/>
      <c r="P24" s="16">
        <f>IF($H24=0,ROUND($E24*(P$72/12),2),ROUND($E24*(P$72/12)*$H24,2))</f>
        <v>150.87</v>
      </c>
      <c r="Q24" s="16">
        <f>IF($H24=0,ROUND($E24*(Q$72/12),2),ROUND($E24*(Q$72/12)*$H24,2))</f>
        <v>165.96</v>
      </c>
      <c r="R24" s="16"/>
      <c r="S24" s="16"/>
      <c r="T24" s="16">
        <f>ROUND(((($I24+$J24+$P24)*(T$72/12)+($M24)*(T$73/12)+($N24)*(T$73/12))/27),2)</f>
        <v>28.53</v>
      </c>
      <c r="U24" s="16">
        <f>ROUND(((($I24+$J24+$P24+$Q24)*(U$72/12))/27),2)</f>
        <v>22.65</v>
      </c>
      <c r="V24" s="16"/>
      <c r="W24" s="16">
        <f>ROUND(((($I24+$J24+$L24+$P24)/9)*$W$72)+((($I24+$J24+$M24+$P24)/9)*$W$72)+((($I24+$J24+$N24+$P24)/9)*$W$72),2)</f>
        <v>20.86</v>
      </c>
      <c r="X24" s="16"/>
      <c r="Y24" s="16"/>
      <c r="Z24" s="16">
        <f t="shared" si="4"/>
        <v>4.2</v>
      </c>
      <c r="AA24" s="16">
        <f>ROUND(((($I24+$J24+$P24+$L24)*(AA$72/12))/27),2)</f>
        <v>5.96</v>
      </c>
      <c r="AB24" s="16"/>
      <c r="AC24" s="16"/>
      <c r="AD24" s="16"/>
      <c r="AE24" s="16"/>
      <c r="AF24" s="105"/>
      <c r="AG24" s="106"/>
    </row>
    <row r="25" spans="1:33" s="5" customFormat="1" ht="21.75" customHeight="1">
      <c r="A25" s="12">
        <f t="shared" si="2"/>
        <v>13</v>
      </c>
      <c r="B25" s="13">
        <f>C24</f>
        <v>49575.59</v>
      </c>
      <c r="C25" s="14">
        <v>49600</v>
      </c>
      <c r="D25" s="15" t="s">
        <v>33</v>
      </c>
      <c r="E25" s="16">
        <f t="shared" si="5"/>
        <v>24.410000000003492</v>
      </c>
      <c r="F25" s="22">
        <v>10</v>
      </c>
      <c r="G25" s="18"/>
      <c r="H25" s="18"/>
      <c r="I25" s="16">
        <f t="shared" si="6"/>
        <v>244.1</v>
      </c>
      <c r="J25" s="16"/>
      <c r="K25" s="16"/>
      <c r="L25" s="16">
        <f t="shared" si="7"/>
        <v>12.21</v>
      </c>
      <c r="M25" s="16">
        <f t="shared" si="7"/>
        <v>20.34</v>
      </c>
      <c r="N25" s="16">
        <f t="shared" si="7"/>
        <v>32.55</v>
      </c>
      <c r="O25" s="16"/>
      <c r="P25" s="16">
        <f>IF($H25=0,ROUND($E25*(P$72/12),2),ROUND($E25*(P$72/12)*$H25,2))</f>
        <v>40.68</v>
      </c>
      <c r="Q25" s="16">
        <f>IF($H25=0,ROUND($E25*(Q$72/12),2),ROUND($E25*(Q$72/12)*$H25,2))</f>
        <v>44.75</v>
      </c>
      <c r="R25" s="16"/>
      <c r="S25" s="16"/>
      <c r="T25" s="16">
        <f>ROUND(((($I25+$J25+$P25)*(T$72/12)+($M25)*(T$73/12)+($N25)*(T$73/12))/27),2)</f>
        <v>7.68</v>
      </c>
      <c r="U25" s="16">
        <f>ROUND(((($I25+$J25+$P25+$Q25)*(U$72/12))/27),2)</f>
        <v>6.1</v>
      </c>
      <c r="V25" s="16"/>
      <c r="W25" s="16">
        <f>ROUND(((($I25+$J25+$L25+$P25)/9)*$W$72)+((($I25+$J25+$M25+$P25)/9)*$W$72)+((($I25+$J25+$N25+$P25)/9)*$W$72),2)</f>
        <v>5.62</v>
      </c>
      <c r="X25" s="16"/>
      <c r="Y25" s="16"/>
      <c r="Z25" s="16">
        <f t="shared" si="4"/>
        <v>1.13</v>
      </c>
      <c r="AA25" s="16">
        <f>ROUND(((($I25+$J25+$P25+$L25)*(AA$72/12))/27),2)</f>
        <v>1.6</v>
      </c>
      <c r="AB25" s="16"/>
      <c r="AC25" s="16"/>
      <c r="AD25" s="16"/>
      <c r="AE25" s="16"/>
      <c r="AF25" s="105"/>
      <c r="AG25" s="106"/>
    </row>
    <row r="26" spans="1:33" s="5" customFormat="1" ht="21.75" customHeight="1">
      <c r="A26" s="12">
        <f>A25+1</f>
        <v>14</v>
      </c>
      <c r="B26" s="13">
        <f>C25</f>
        <v>49600</v>
      </c>
      <c r="C26" s="14">
        <v>50665.75</v>
      </c>
      <c r="D26" s="15" t="s">
        <v>33</v>
      </c>
      <c r="E26" s="16">
        <f t="shared" si="5"/>
        <v>1065.75</v>
      </c>
      <c r="F26" s="22">
        <v>10</v>
      </c>
      <c r="G26" s="18"/>
      <c r="H26" s="18"/>
      <c r="I26" s="16">
        <f t="shared" si="6"/>
        <v>10657.5</v>
      </c>
      <c r="J26" s="16"/>
      <c r="K26" s="16">
        <f>IF($H26=0,ROUND($E26*(K$72/12),2),ROUND($E26*(K$72/12)*$H26,2))</f>
        <v>355.25</v>
      </c>
      <c r="L26" s="16"/>
      <c r="M26" s="16">
        <f t="shared" si="7"/>
        <v>888.13</v>
      </c>
      <c r="N26" s="16">
        <f t="shared" si="7"/>
        <v>1421</v>
      </c>
      <c r="O26" s="16"/>
      <c r="P26" s="16"/>
      <c r="Q26" s="16"/>
      <c r="R26" s="16"/>
      <c r="S26" s="16"/>
      <c r="T26" s="16">
        <f>ROUND(((($I26+$J26)*(T$72/12)+($K26)*(T$73/12)+($M26)*(T$73/12))/27),2)</f>
        <v>278.5</v>
      </c>
      <c r="U26" s="16">
        <f>ROUND(((($I26+$J26+$N26+$O26+$P26+$Q26)*(U$72/12))/27),2)</f>
        <v>223.68</v>
      </c>
      <c r="V26" s="16"/>
      <c r="W26" s="16">
        <f>ROUND(((($I26+$J26)/9)*$W$72)+((($I26+$J26+$K26)/9)*$W$72)+((($I26+$J26+$M26)/9)*$W$72),2)</f>
        <v>202.99</v>
      </c>
      <c r="X26" s="16"/>
      <c r="Y26" s="16"/>
      <c r="Z26" s="16">
        <f aca="true" t="shared" si="8" ref="Z26:AA29">ROUND(((($I26+$J26)*(Z$72/12))/27),2)</f>
        <v>49.34</v>
      </c>
      <c r="AA26" s="16">
        <f t="shared" si="8"/>
        <v>57.56</v>
      </c>
      <c r="AB26" s="16"/>
      <c r="AC26" s="16"/>
      <c r="AD26" s="16"/>
      <c r="AE26" s="16"/>
      <c r="AF26" s="105"/>
      <c r="AG26" s="106"/>
    </row>
    <row r="27" spans="1:33" s="5" customFormat="1" ht="21.75" customHeight="1">
      <c r="A27" s="12">
        <f t="shared" si="2"/>
        <v>15</v>
      </c>
      <c r="B27" s="13">
        <f>C26</f>
        <v>50665.75</v>
      </c>
      <c r="C27" s="14">
        <v>51065.75</v>
      </c>
      <c r="D27" s="15" t="s">
        <v>33</v>
      </c>
      <c r="E27" s="16">
        <f t="shared" si="5"/>
        <v>400</v>
      </c>
      <c r="F27" s="22">
        <v>10</v>
      </c>
      <c r="G27" s="18">
        <f>ROUND((((2291.83+($F27/2))/2291.83)+1)/2,4)</f>
        <v>1.0011</v>
      </c>
      <c r="H27" s="18">
        <f>ROUND((((2291.83+($F27))/2291.83)+1)/2,4)</f>
        <v>1.0022</v>
      </c>
      <c r="I27" s="16">
        <f t="shared" si="6"/>
        <v>4004.4</v>
      </c>
      <c r="J27" s="16"/>
      <c r="K27" s="16">
        <f>IF($H27=0,ROUND($E27*(K$72/12),2),ROUND($E27*(K$72/12)*$H27,2))</f>
        <v>133.63</v>
      </c>
      <c r="L27" s="16"/>
      <c r="M27" s="16">
        <f t="shared" si="7"/>
        <v>334.07</v>
      </c>
      <c r="N27" s="16">
        <f t="shared" si="7"/>
        <v>534.51</v>
      </c>
      <c r="O27" s="16"/>
      <c r="P27" s="16"/>
      <c r="Q27" s="16"/>
      <c r="R27" s="16"/>
      <c r="S27" s="16"/>
      <c r="T27" s="16">
        <f>ROUND(((($I27+$J27)*(T$72/12)+($K27)*(T$73/12)+($M27)*(T$73/12))/27),2)</f>
        <v>104.65</v>
      </c>
      <c r="U27" s="16">
        <f>ROUND(((($I27+$J27+$N27+$O27+$P27+$Q27)*(U$72/12))/27),2)</f>
        <v>84.05</v>
      </c>
      <c r="V27" s="16"/>
      <c r="W27" s="16">
        <f>ROUND(((($I27+$J27)/9)*$W$72)+((($I27+$J27+$K27)/9)*$W$72)+((($I27+$J27+$M27)/9)*$W$72),2)</f>
        <v>76.27</v>
      </c>
      <c r="X27" s="16"/>
      <c r="Y27" s="16"/>
      <c r="Z27" s="16">
        <f t="shared" si="8"/>
        <v>18.54</v>
      </c>
      <c r="AA27" s="16">
        <f t="shared" si="8"/>
        <v>21.63</v>
      </c>
      <c r="AB27" s="16"/>
      <c r="AC27" s="16"/>
      <c r="AD27" s="16"/>
      <c r="AE27" s="16"/>
      <c r="AF27" s="105"/>
      <c r="AG27" s="106"/>
    </row>
    <row r="28" spans="1:33" s="5" customFormat="1" ht="21.75" customHeight="1">
      <c r="A28" s="12">
        <f t="shared" si="2"/>
        <v>16</v>
      </c>
      <c r="B28" s="13">
        <f>C27</f>
        <v>51065.75</v>
      </c>
      <c r="C28" s="14">
        <v>51412.5</v>
      </c>
      <c r="D28" s="15" t="s">
        <v>33</v>
      </c>
      <c r="E28" s="16">
        <f t="shared" si="5"/>
        <v>346.75</v>
      </c>
      <c r="F28" s="22">
        <v>10</v>
      </c>
      <c r="G28" s="18">
        <f>ROUND((2291.83+($F28/2))/2291.83,4)</f>
        <v>1.0022</v>
      </c>
      <c r="H28" s="18">
        <f>ROUND((2291.83+($F28))/2291.83,4)</f>
        <v>1.0044</v>
      </c>
      <c r="I28" s="16">
        <f t="shared" si="6"/>
        <v>3475.13</v>
      </c>
      <c r="J28" s="16"/>
      <c r="K28" s="16">
        <f>IF($H28=0,ROUND($E28*(K$72/12),2),ROUND($E28*(K$72/12)*$H28,2))</f>
        <v>116.09</v>
      </c>
      <c r="L28" s="16"/>
      <c r="M28" s="16">
        <f t="shared" si="7"/>
        <v>290.23</v>
      </c>
      <c r="N28" s="16">
        <f t="shared" si="7"/>
        <v>464.37</v>
      </c>
      <c r="O28" s="16"/>
      <c r="P28" s="16"/>
      <c r="Q28" s="16"/>
      <c r="R28" s="16"/>
      <c r="S28" s="16"/>
      <c r="T28" s="16">
        <f>ROUND(((($I28+$J28)*(T$72/12)+($K28)*(T$73/12)+($M28)*(T$73/12))/27),2)</f>
        <v>90.82</v>
      </c>
      <c r="U28" s="16">
        <f>ROUND(((($I28+$J28+$N28+$O28+$P28+$Q28)*(U$72/12))/27),2)</f>
        <v>72.95</v>
      </c>
      <c r="V28" s="16"/>
      <c r="W28" s="16">
        <f>ROUND(((($I28+$J28)/9)*$W$72)+((($I28+$J28+$K28)/9)*$W$72)+((($I28+$J28+$M28)/9)*$W$72),2)</f>
        <v>66.19</v>
      </c>
      <c r="X28" s="16"/>
      <c r="Y28" s="16"/>
      <c r="Z28" s="16">
        <f t="shared" si="8"/>
        <v>16.09</v>
      </c>
      <c r="AA28" s="16">
        <f t="shared" si="8"/>
        <v>18.77</v>
      </c>
      <c r="AB28" s="16"/>
      <c r="AC28" s="16"/>
      <c r="AD28" s="16"/>
      <c r="AE28" s="16"/>
      <c r="AF28" s="105"/>
      <c r="AG28" s="106"/>
    </row>
    <row r="29" spans="1:33" s="5" customFormat="1" ht="21.75" customHeight="1">
      <c r="A29" s="12">
        <f t="shared" si="2"/>
        <v>17</v>
      </c>
      <c r="B29" s="13">
        <f>C28</f>
        <v>51412.5</v>
      </c>
      <c r="C29" s="14">
        <v>51485</v>
      </c>
      <c r="D29" s="15" t="s">
        <v>33</v>
      </c>
      <c r="E29" s="16">
        <f t="shared" si="5"/>
        <v>72.5</v>
      </c>
      <c r="F29" s="17">
        <f>ROUND(AVERAGE(10,7.1),2)</f>
        <v>8.55</v>
      </c>
      <c r="G29" s="18">
        <f>ROUND((2291.83+($F29/2))/2291.83,4)</f>
        <v>1.0019</v>
      </c>
      <c r="H29" s="18">
        <f>ROUND((2291.83+($F29))/2291.83,4)</f>
        <v>1.0037</v>
      </c>
      <c r="I29" s="16">
        <f t="shared" si="6"/>
        <v>621.05</v>
      </c>
      <c r="J29" s="16"/>
      <c r="K29" s="16">
        <f>IF($H29=0,ROUND($E29*(K$72/12),2),ROUND($E29*(K$72/12)*$H29,2))</f>
        <v>24.26</v>
      </c>
      <c r="L29" s="16"/>
      <c r="M29" s="16">
        <f t="shared" si="7"/>
        <v>60.64</v>
      </c>
      <c r="N29" s="16">
        <f t="shared" si="7"/>
        <v>97.02</v>
      </c>
      <c r="O29" s="16"/>
      <c r="P29" s="16"/>
      <c r="Q29" s="16"/>
      <c r="R29" s="16"/>
      <c r="S29" s="16"/>
      <c r="T29" s="16">
        <f>ROUND(((($I29+$J29)*(T$72/12)+($K29)*(T$73/12)+($M29)*(T$73/12))/27),2)</f>
        <v>16.38</v>
      </c>
      <c r="U29" s="16">
        <f>ROUND(((($I29+$J29+$N29+$O29+$P29+$Q29)*(U$72/12))/27),2)</f>
        <v>13.3</v>
      </c>
      <c r="V29" s="16"/>
      <c r="W29" s="16">
        <f>ROUND(((($I29+$J29)/9)*$W$72)+((($I29+$J29+$K29)/9)*$W$72)+((($I29+$J29+$M29)/9)*$W$72),2)</f>
        <v>11.9</v>
      </c>
      <c r="X29" s="16"/>
      <c r="Y29" s="16"/>
      <c r="Z29" s="16">
        <f t="shared" si="8"/>
        <v>2.88</v>
      </c>
      <c r="AA29" s="16">
        <f t="shared" si="8"/>
        <v>3.35</v>
      </c>
      <c r="AB29" s="16"/>
      <c r="AC29" s="16"/>
      <c r="AD29" s="16"/>
      <c r="AE29" s="16"/>
      <c r="AF29" s="105"/>
      <c r="AG29" s="106"/>
    </row>
    <row r="30" spans="1:33" s="5" customFormat="1" ht="21.75" customHeight="1">
      <c r="A30" s="12">
        <f t="shared" si="2"/>
        <v>18</v>
      </c>
      <c r="B30" s="13"/>
      <c r="C30" s="14"/>
      <c r="D30" s="15"/>
      <c r="E30" s="16"/>
      <c r="F30" s="17"/>
      <c r="G30" s="18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05"/>
      <c r="AG30" s="106"/>
    </row>
    <row r="31" spans="1:33" s="5" customFormat="1" ht="21.75" customHeight="1">
      <c r="A31" s="12">
        <f t="shared" si="2"/>
        <v>19</v>
      </c>
      <c r="B31" s="13">
        <v>46946.96</v>
      </c>
      <c r="C31" s="14">
        <v>47226.99</v>
      </c>
      <c r="D31" s="15" t="s">
        <v>28</v>
      </c>
      <c r="E31" s="16">
        <f>C31-B31</f>
        <v>280.02999999999884</v>
      </c>
      <c r="F31" s="22">
        <v>10</v>
      </c>
      <c r="G31" s="18"/>
      <c r="H31" s="18"/>
      <c r="I31" s="16">
        <f>IF(G31=0,ROUND($E31*$F31,2),ROUND($E31*$F31*$G31,2))</f>
        <v>2800.3</v>
      </c>
      <c r="J31" s="16"/>
      <c r="K31" s="16">
        <f>IF($H31=0,ROUND($E31*(K$72/12),2),ROUND($E31*(K$72/12)*$H31,2))</f>
        <v>93.34</v>
      </c>
      <c r="L31" s="15"/>
      <c r="M31" s="16">
        <f aca="true" t="shared" si="9" ref="M31:N33">IF($H31=0,ROUND($E31*(M$72/12),2),ROUND($E31*(M$72/12)*$H31,2))</f>
        <v>233.36</v>
      </c>
      <c r="N31" s="16">
        <f t="shared" si="9"/>
        <v>373.37</v>
      </c>
      <c r="O31" s="15"/>
      <c r="P31" s="16"/>
      <c r="Q31" s="16"/>
      <c r="R31" s="16"/>
      <c r="S31" s="16"/>
      <c r="T31" s="16">
        <f>ROUND(((($I31+$J31)*(T$72/12)+($K31)*(T$73/12)+($M31)*(T$73/12))/27),2)</f>
        <v>73.18</v>
      </c>
      <c r="U31" s="16">
        <f>ROUND(((($I31+$J31+$N31+$O31+$P31+$Q31)*(U$72/12))/27),2)</f>
        <v>58.77</v>
      </c>
      <c r="V31" s="16"/>
      <c r="W31" s="16">
        <f>ROUND(((($I31+$J31)/9)*$W$72)+((($I31+$J31+$K31)/9)*$W$72)+((($I31+$J31+$M31)/9)*$W$72),2)</f>
        <v>53.34</v>
      </c>
      <c r="X31" s="16"/>
      <c r="Y31" s="16"/>
      <c r="Z31" s="16">
        <f aca="true" t="shared" si="10" ref="Z31:AA36">ROUND(((($I31+$J31)*(Z$72/12))/27),2)</f>
        <v>12.96</v>
      </c>
      <c r="AA31" s="16">
        <f t="shared" si="10"/>
        <v>15.13</v>
      </c>
      <c r="AB31" s="16"/>
      <c r="AC31" s="16"/>
      <c r="AD31" s="16"/>
      <c r="AE31" s="16"/>
      <c r="AF31" s="105"/>
      <c r="AG31" s="106"/>
    </row>
    <row r="32" spans="1:33" s="5" customFormat="1" ht="21.75" customHeight="1">
      <c r="A32" s="12">
        <f t="shared" si="2"/>
        <v>20</v>
      </c>
      <c r="B32" s="14">
        <f>C31</f>
        <v>47226.99</v>
      </c>
      <c r="C32" s="38">
        <v>47493.14</v>
      </c>
      <c r="D32" s="15" t="s">
        <v>28</v>
      </c>
      <c r="E32" s="16">
        <f>C32-B32</f>
        <v>266.15000000000146</v>
      </c>
      <c r="F32" s="22">
        <v>10</v>
      </c>
      <c r="G32" s="18"/>
      <c r="H32" s="18"/>
      <c r="I32" s="16">
        <f>IF(G32=0,ROUND($E32*$F32,2),ROUND($E32*$F32*$G32,2))</f>
        <v>2661.5</v>
      </c>
      <c r="J32" s="16"/>
      <c r="K32" s="16">
        <f>IF($H32=0,ROUND($E32*(K$72/12),2),ROUND($E32*(K$72/12)*$H32,2))</f>
        <v>88.72</v>
      </c>
      <c r="L32" s="15"/>
      <c r="M32" s="16">
        <f t="shared" si="9"/>
        <v>221.79</v>
      </c>
      <c r="N32" s="16">
        <f t="shared" si="9"/>
        <v>354.87</v>
      </c>
      <c r="O32" s="15"/>
      <c r="P32" s="16"/>
      <c r="Q32" s="16"/>
      <c r="R32" s="16"/>
      <c r="S32" s="16"/>
      <c r="T32" s="16">
        <f>ROUND(((($I32+$J32)*(T$72/12)+($K32)*(T$73/12)+($M32)*(T$73/12))/27),2)</f>
        <v>69.55</v>
      </c>
      <c r="U32" s="16">
        <f>ROUND(((($I32+$J32+$N32+$O32+$P32+$Q32)*(U$72/12))/27),2)</f>
        <v>55.86</v>
      </c>
      <c r="V32" s="16"/>
      <c r="W32" s="16">
        <f>ROUND(((($I32+$J32)/9)*$W$72)+((($I32+$J32+$K32)/9)*$W$72)+((($I32+$J32+$M32)/9)*$W$72),2)</f>
        <v>50.69</v>
      </c>
      <c r="X32" s="16"/>
      <c r="Y32" s="16"/>
      <c r="Z32" s="16">
        <f t="shared" si="10"/>
        <v>12.32</v>
      </c>
      <c r="AA32" s="16">
        <f t="shared" si="10"/>
        <v>14.38</v>
      </c>
      <c r="AB32" s="16"/>
      <c r="AC32" s="16"/>
      <c r="AD32" s="16"/>
      <c r="AE32" s="16"/>
      <c r="AF32" s="105"/>
      <c r="AG32" s="106"/>
    </row>
    <row r="33" spans="1:33" s="5" customFormat="1" ht="21.75" customHeight="1">
      <c r="A33" s="12">
        <f t="shared" si="2"/>
        <v>21</v>
      </c>
      <c r="B33" s="14">
        <f>C32</f>
        <v>47493.14</v>
      </c>
      <c r="C33" s="14">
        <v>47600</v>
      </c>
      <c r="D33" s="15" t="s">
        <v>28</v>
      </c>
      <c r="E33" s="16">
        <f>C33-B33</f>
        <v>106.86000000000058</v>
      </c>
      <c r="F33" s="17">
        <v>10</v>
      </c>
      <c r="G33" s="18">
        <f>ROUND((3904.072+48+($F33/2))/3904.072,4)</f>
        <v>1.0136</v>
      </c>
      <c r="H33" s="18">
        <f>ROUND((3904.072+48+($F33))/3904.072,4)</f>
        <v>1.0149</v>
      </c>
      <c r="I33" s="16">
        <f>IF(G33=0,ROUND($E33*$F33,2),ROUND($E33*$F33*$G33,2))</f>
        <v>1083.13</v>
      </c>
      <c r="J33" s="16"/>
      <c r="K33" s="16">
        <f>IF($H33=0,ROUND($E33*(K$72/12),2),ROUND($E33*(K$72/12)*$H33,2))</f>
        <v>36.15</v>
      </c>
      <c r="L33" s="16"/>
      <c r="M33" s="16">
        <f t="shared" si="9"/>
        <v>90.38</v>
      </c>
      <c r="N33" s="16">
        <f t="shared" si="9"/>
        <v>144.6</v>
      </c>
      <c r="O33" s="16"/>
      <c r="P33" s="16"/>
      <c r="Q33" s="16"/>
      <c r="R33" s="16"/>
      <c r="S33" s="16"/>
      <c r="T33" s="16">
        <f>ROUND(((($I33+$J33)*(T$72/12)+($K33)*(T$73/12)+($M33)*(T$73/12))/27),2)</f>
        <v>28.31</v>
      </c>
      <c r="U33" s="16">
        <f>ROUND(((($I33+$J33+$N33+$O33+$P33+$Q33)*(U$72/12))/27),2)</f>
        <v>22.74</v>
      </c>
      <c r="V33" s="16"/>
      <c r="W33" s="16">
        <f>ROUND(((($I33+$J33)/9)*$W$72)+((($I33+$J33+$K33)/9)*$W$72)+((($I33+$J33+$M33)/9)*$W$72),2)</f>
        <v>20.63</v>
      </c>
      <c r="X33" s="16"/>
      <c r="Y33" s="16"/>
      <c r="Z33" s="16">
        <f t="shared" si="10"/>
        <v>5.01</v>
      </c>
      <c r="AA33" s="16">
        <f t="shared" si="10"/>
        <v>5.85</v>
      </c>
      <c r="AB33" s="16"/>
      <c r="AC33" s="16"/>
      <c r="AD33" s="16"/>
      <c r="AE33" s="16"/>
      <c r="AF33" s="105"/>
      <c r="AG33" s="106"/>
    </row>
    <row r="34" spans="1:33" s="5" customFormat="1" ht="21.75" customHeight="1">
      <c r="A34" s="12">
        <f t="shared" si="2"/>
        <v>22</v>
      </c>
      <c r="B34" s="13"/>
      <c r="C34" s="14"/>
      <c r="D34" s="15"/>
      <c r="E34" s="16"/>
      <c r="F34" s="22"/>
      <c r="G34" s="18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05"/>
      <c r="AG34" s="106"/>
    </row>
    <row r="35" spans="1:33" s="5" customFormat="1" ht="21.75" customHeight="1">
      <c r="A35" s="12">
        <f t="shared" si="2"/>
        <v>23</v>
      </c>
      <c r="B35" s="14">
        <v>48117.43</v>
      </c>
      <c r="C35" s="14">
        <v>49082.07</v>
      </c>
      <c r="D35" s="15" t="s">
        <v>28</v>
      </c>
      <c r="E35" s="16">
        <f>C35-B35</f>
        <v>964.6399999999994</v>
      </c>
      <c r="F35" s="17">
        <v>10</v>
      </c>
      <c r="G35" s="18">
        <f>ROUND((3904.072+36+($F35/2))/3904.072,4)</f>
        <v>1.0105</v>
      </c>
      <c r="H35" s="18">
        <f>ROUND((3904.072+36+($F35))/3904.072,4)</f>
        <v>1.0118</v>
      </c>
      <c r="I35" s="16">
        <f>IF(G35=0,ROUND($E35*$F35,2),ROUND($E35*$F35*$G35,2))</f>
        <v>9747.69</v>
      </c>
      <c r="J35" s="16"/>
      <c r="K35" s="16">
        <f>IF($H35=0,ROUND($E35*(K$72/12),2),ROUND($E35*(K$72/12)*$H35,2))</f>
        <v>325.34</v>
      </c>
      <c r="L35" s="16"/>
      <c r="M35" s="16">
        <f>IF($H35=0,ROUND($E35*(M$72/12),2),ROUND($E35*(M$72/12)*$H35,2))</f>
        <v>813.35</v>
      </c>
      <c r="N35" s="16">
        <f>IF($H35=0,ROUND($E35*(N$72/12),2),ROUND($E35*(N$72/12)*$H35,2))</f>
        <v>1301.36</v>
      </c>
      <c r="O35" s="16"/>
      <c r="P35" s="16"/>
      <c r="Q35" s="16"/>
      <c r="R35" s="16"/>
      <c r="S35" s="16"/>
      <c r="T35" s="16">
        <f>ROUND(((($I35+$J35)*(T$72/12)+($K35)*(T$73/12)+($M35)*(T$73/12))/27),2)</f>
        <v>254.74</v>
      </c>
      <c r="U35" s="16">
        <f>ROUND(((($I35+$J35+$N35+$O35+$P35+$Q35)*(U$72/12))/27),2)</f>
        <v>204.61</v>
      </c>
      <c r="V35" s="16"/>
      <c r="W35" s="16">
        <f>ROUND(((($I35+$J35)/9)*$W$72)+((($I35+$J35+$K35)/9)*$W$72)+((($I35+$J35+$M35)/9)*$W$72),2)</f>
        <v>185.67</v>
      </c>
      <c r="X35" s="16"/>
      <c r="Y35" s="16"/>
      <c r="Z35" s="16">
        <f t="shared" si="10"/>
        <v>45.13</v>
      </c>
      <c r="AA35" s="16">
        <f t="shared" si="10"/>
        <v>52.65</v>
      </c>
      <c r="AB35" s="16"/>
      <c r="AC35" s="16"/>
      <c r="AD35" s="16"/>
      <c r="AE35" s="16"/>
      <c r="AF35" s="105"/>
      <c r="AG35" s="106"/>
    </row>
    <row r="36" spans="1:33" s="5" customFormat="1" ht="21.75" customHeight="1">
      <c r="A36" s="12">
        <f t="shared" si="2"/>
        <v>24</v>
      </c>
      <c r="B36" s="14">
        <f>C35</f>
        <v>49082.07</v>
      </c>
      <c r="C36" s="14">
        <v>49100</v>
      </c>
      <c r="D36" s="15" t="s">
        <v>28</v>
      </c>
      <c r="E36" s="16">
        <f>C36-B36</f>
        <v>17.93000000000029</v>
      </c>
      <c r="F36" s="17">
        <v>10</v>
      </c>
      <c r="G36" s="18">
        <f>ROUND((3904.072+36+($F36/2))/3904.072,4)</f>
        <v>1.0105</v>
      </c>
      <c r="H36" s="18">
        <f>ROUND((3904.072+36+($F36))/3904.072,4)</f>
        <v>1.0118</v>
      </c>
      <c r="I36" s="16">
        <f>IF(G36=0,ROUND($E36*$F36,2),ROUND($E36*$F36*$G36,2))</f>
        <v>181.18</v>
      </c>
      <c r="J36" s="16"/>
      <c r="K36" s="16"/>
      <c r="L36" s="16"/>
      <c r="M36" s="16"/>
      <c r="N36" s="16"/>
      <c r="O36" s="16">
        <f>IF($H36=0,ROUND($E36*(O$72/12),2),ROUND($E36*(O$72/12)*$H36,2))</f>
        <v>27.21</v>
      </c>
      <c r="P36" s="16"/>
      <c r="Q36" s="16"/>
      <c r="R36" s="16"/>
      <c r="S36" s="16"/>
      <c r="T36" s="16">
        <f>ROUND(((($I36+$J36)*(T$72/12)+($K36)*(T$73/12)+($M36)*(T$73/12))/27),2)</f>
        <v>4.47</v>
      </c>
      <c r="U36" s="16">
        <f>ROUND(((($I36+$J36+$N36+$O36+$P36+$Q36)*(U$72/12))/27),2)</f>
        <v>3.86</v>
      </c>
      <c r="V36" s="16"/>
      <c r="W36" s="16">
        <f>ROUND(((($I36+$J36)/9)*$W$72)+((($I36+$J36+$K36)/9)*$W$72)+((($I36+$J36+$M36)/9)*$W$72),2)</f>
        <v>3.32</v>
      </c>
      <c r="X36" s="16"/>
      <c r="Y36" s="16"/>
      <c r="Z36" s="16">
        <f t="shared" si="10"/>
        <v>0.84</v>
      </c>
      <c r="AA36" s="16">
        <f t="shared" si="10"/>
        <v>0.98</v>
      </c>
      <c r="AB36" s="16"/>
      <c r="AC36" s="16"/>
      <c r="AD36" s="16">
        <f>IF($H36=0,$E36,ROUND($E36*$H36,2))</f>
        <v>18.14</v>
      </c>
      <c r="AE36" s="16"/>
      <c r="AF36" s="105"/>
      <c r="AG36" s="106"/>
    </row>
    <row r="37" spans="1:33" s="5" customFormat="1" ht="21.75" customHeight="1">
      <c r="A37" s="12">
        <f t="shared" si="2"/>
        <v>25</v>
      </c>
      <c r="B37" s="14">
        <f>C36</f>
        <v>49100</v>
      </c>
      <c r="C37" s="14">
        <v>49159.27</v>
      </c>
      <c r="D37" s="15" t="s">
        <v>28</v>
      </c>
      <c r="E37" s="16">
        <f>C37-B37</f>
        <v>59.2699999999968</v>
      </c>
      <c r="F37" s="17">
        <v>10</v>
      </c>
      <c r="G37" s="18">
        <f>ROUND((3904.072+36+($F37/2))/3904.072,4)</f>
        <v>1.0105</v>
      </c>
      <c r="H37" s="18">
        <f>ROUND((3904.072+36+($F37))/3904.072,4)</f>
        <v>1.0118</v>
      </c>
      <c r="I37" s="16">
        <f>IF(G37=0,ROUND($E37*$F37,2),ROUND($E37*$F37*$G37,2))</f>
        <v>598.92</v>
      </c>
      <c r="J37" s="16"/>
      <c r="K37" s="16"/>
      <c r="L37" s="16">
        <f aca="true" t="shared" si="11" ref="L37:N38">IF($H37=0,ROUND($E37*(L$72/12),2),ROUND($E37*(L$72/12)*$H37,2))</f>
        <v>29.98</v>
      </c>
      <c r="M37" s="16">
        <f t="shared" si="11"/>
        <v>49.97</v>
      </c>
      <c r="N37" s="16">
        <f t="shared" si="11"/>
        <v>79.96</v>
      </c>
      <c r="O37" s="16"/>
      <c r="P37" s="16"/>
      <c r="Q37" s="16">
        <f>IF($H37=0,ROUND($E37*(Q$72/12),2),ROUND($E37*(Q$72/12)*$H37,2))</f>
        <v>109.94</v>
      </c>
      <c r="R37" s="16">
        <f>IF($H37=0,ROUND($E37*(R$72/12),2),ROUND($E37*(R$72/12)*$H37,2))</f>
        <v>114.32</v>
      </c>
      <c r="S37" s="16"/>
      <c r="T37" s="16">
        <f>ROUND(((($I37+$J37+$R37)*(T$72/12)+($M37)*(T$73/12)+($N37)*(T$73/12))/27),2)</f>
        <v>19.21</v>
      </c>
      <c r="U37" s="16">
        <f>ROUND(((($I37+$J37+$R37+$Q37)*(U$72/12))/27),2)</f>
        <v>15.24</v>
      </c>
      <c r="V37" s="16"/>
      <c r="W37" s="16">
        <f>ROUND(((($I37+$J37+$L37+$R37)/9)*$W$72)+((($I37+$J37+$M37+$R37)/9)*$W$72)+((($I37+$J37+$N37+$R37)/9)*$W$72),2)</f>
        <v>14.05</v>
      </c>
      <c r="X37" s="16"/>
      <c r="Y37" s="16"/>
      <c r="Z37" s="16">
        <f aca="true" t="shared" si="12" ref="Z37:Z42">ROUND(((($I37+$J37)*(Z$72/12))/27),2)</f>
        <v>2.77</v>
      </c>
      <c r="AA37" s="16">
        <f>ROUND(((($I37+$J37+$R37+$L37)*(AA$72/12))/27),2)</f>
        <v>4.01</v>
      </c>
      <c r="AB37" s="16"/>
      <c r="AC37" s="16"/>
      <c r="AD37" s="16"/>
      <c r="AE37" s="16"/>
      <c r="AF37" s="105"/>
      <c r="AG37" s="106"/>
    </row>
    <row r="38" spans="1:33" s="5" customFormat="1" ht="21.75" customHeight="1">
      <c r="A38" s="12">
        <f t="shared" si="2"/>
        <v>26</v>
      </c>
      <c r="B38" s="14">
        <f>C37</f>
        <v>49159.27</v>
      </c>
      <c r="C38" s="14">
        <v>49370.87</v>
      </c>
      <c r="D38" s="15" t="s">
        <v>28</v>
      </c>
      <c r="E38" s="16">
        <f>C38-B38</f>
        <v>211.60000000000582</v>
      </c>
      <c r="F38" s="17">
        <v>10</v>
      </c>
      <c r="G38" s="18">
        <f>ROUND((3904.072+36+($F38/2))/3904.072,4)</f>
        <v>1.0105</v>
      </c>
      <c r="H38" s="18">
        <f>ROUND((3904.072+36+($F38))/3904.072,4)</f>
        <v>1.0118</v>
      </c>
      <c r="I38" s="16">
        <f>IF(G38=0,ROUND($E38*$F38,2),ROUND($E38*$F38*$G38,2))</f>
        <v>2138.22</v>
      </c>
      <c r="J38" s="16"/>
      <c r="K38" s="16">
        <f>IF($H38=0,ROUND($E38*(K$72/12),2),ROUND($E38*(K$72/12)*$H38,2))</f>
        <v>71.37</v>
      </c>
      <c r="L38" s="16"/>
      <c r="M38" s="16">
        <f t="shared" si="11"/>
        <v>178.41</v>
      </c>
      <c r="N38" s="16">
        <f t="shared" si="11"/>
        <v>285.46</v>
      </c>
      <c r="O38" s="16"/>
      <c r="P38" s="16"/>
      <c r="Q38" s="16"/>
      <c r="R38" s="16"/>
      <c r="S38" s="16"/>
      <c r="T38" s="16">
        <f>ROUND(((($I38+$J38)*(T$72/12)+($K38)*(T$73/12)+($M38)*(T$73/12))/27),2)</f>
        <v>55.88</v>
      </c>
      <c r="U38" s="16">
        <f>ROUND(((($I38+$J38+$N38+$O38+$P38+$Q38)*(U$72/12))/27),2)</f>
        <v>44.88</v>
      </c>
      <c r="V38" s="16"/>
      <c r="W38" s="16">
        <f>ROUND(((($I38+$J38)/9)*$W$72)+((($I38+$J38+$K38)/9)*$W$72)+((($I38+$J38+$M38)/9)*$W$72),2)</f>
        <v>40.73</v>
      </c>
      <c r="X38" s="16"/>
      <c r="Y38" s="16"/>
      <c r="Z38" s="16">
        <f t="shared" si="12"/>
        <v>9.9</v>
      </c>
      <c r="AA38" s="16">
        <f>ROUND(((($I38+$J38)*(AA$72/12))/27),2)</f>
        <v>11.55</v>
      </c>
      <c r="AB38" s="16"/>
      <c r="AC38" s="16"/>
      <c r="AD38" s="16"/>
      <c r="AE38" s="16"/>
      <c r="AF38" s="105"/>
      <c r="AG38" s="106"/>
    </row>
    <row r="39" spans="1:33" s="5" customFormat="1" ht="21.75" customHeight="1">
      <c r="A39" s="12">
        <f t="shared" si="2"/>
        <v>27</v>
      </c>
      <c r="B39" s="13"/>
      <c r="C39" s="14"/>
      <c r="D39" s="15"/>
      <c r="E39" s="16"/>
      <c r="F39" s="22"/>
      <c r="G39" s="18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05"/>
      <c r="AG39" s="106"/>
    </row>
    <row r="40" spans="1:33" s="5" customFormat="1" ht="21.75" customHeight="1">
      <c r="A40" s="12">
        <f t="shared" si="2"/>
        <v>28</v>
      </c>
      <c r="B40" s="14">
        <v>50211.45</v>
      </c>
      <c r="C40" s="21">
        <v>50665.75</v>
      </c>
      <c r="D40" s="15" t="s">
        <v>28</v>
      </c>
      <c r="E40" s="16">
        <f>C40-B40</f>
        <v>454.3000000000029</v>
      </c>
      <c r="F40" s="17">
        <v>8</v>
      </c>
      <c r="G40" s="18"/>
      <c r="H40" s="18"/>
      <c r="I40" s="16">
        <f>IF($G40=0,ROUND($E40*$F40,2),ROUND($E40*$F40*$G40,2))</f>
        <v>3634.4</v>
      </c>
      <c r="J40" s="16"/>
      <c r="K40" s="16">
        <f>IF($H40=0,ROUND($E40*(K$72/12),2),ROUND($E40*(K$72/12)*$H40,2))</f>
        <v>151.43</v>
      </c>
      <c r="L40" s="16"/>
      <c r="M40" s="16">
        <f aca="true" t="shared" si="13" ref="M40:N42">IF($H40=0,ROUND($E40*(M$72/12),2),ROUND($E40*(M$72/12)*$H40,2))</f>
        <v>378.58</v>
      </c>
      <c r="N40" s="16">
        <f t="shared" si="13"/>
        <v>605.73</v>
      </c>
      <c r="O40" s="16"/>
      <c r="P40" s="16"/>
      <c r="Q40" s="16"/>
      <c r="R40" s="16"/>
      <c r="S40" s="16"/>
      <c r="T40" s="16">
        <f>ROUND(((($I40+$J40)*(T$72/12)+($K40)*(T$73/12)+($M40)*(T$73/12))/27),2)</f>
        <v>96.28</v>
      </c>
      <c r="U40" s="16">
        <f>ROUND(((($I40+$J40+$N40+$O40+$P40+$Q40)*(U$72/12))/27),2)</f>
        <v>78.52</v>
      </c>
      <c r="V40" s="16"/>
      <c r="W40" s="16">
        <f>ROUND(((($I40+$J40)/9)*$W$72)+((($I40+$J40+$K40)/9)*$W$72)+((($I40+$J40+$M40)/9)*$W$72),2)</f>
        <v>69.87</v>
      </c>
      <c r="X40" s="16"/>
      <c r="Y40" s="16"/>
      <c r="Z40" s="16">
        <f t="shared" si="12"/>
        <v>16.83</v>
      </c>
      <c r="AA40" s="16">
        <f>ROUND(((($I40+$J40)*(AA$72/12))/27),2)</f>
        <v>19.63</v>
      </c>
      <c r="AB40" s="16"/>
      <c r="AC40" s="16"/>
      <c r="AD40" s="16"/>
      <c r="AE40" s="16"/>
      <c r="AF40" s="105"/>
      <c r="AG40" s="106"/>
    </row>
    <row r="41" spans="1:33" s="5" customFormat="1" ht="21.75" customHeight="1">
      <c r="A41" s="12">
        <f t="shared" si="2"/>
        <v>29</v>
      </c>
      <c r="B41" s="13">
        <f>C40</f>
        <v>50665.75</v>
      </c>
      <c r="C41" s="14">
        <v>50711.53</v>
      </c>
      <c r="D41" s="15" t="s">
        <v>28</v>
      </c>
      <c r="E41" s="16">
        <f>C41-B41</f>
        <v>45.779999999998836</v>
      </c>
      <c r="F41" s="17">
        <v>8</v>
      </c>
      <c r="G41" s="18">
        <f>ROUND((((2291.83-((37.998+38.914)/2)-($F41/2))/2291.83)+1)/2,4)</f>
        <v>0.9907</v>
      </c>
      <c r="H41" s="18">
        <f>ROUND((((2291.83-((37.998+38.914)/2)-($F41))/2291.83)+1)/2,4)</f>
        <v>0.9899</v>
      </c>
      <c r="I41" s="16">
        <f>IF($G41=0,ROUND($E41*$F41,2),ROUND($E41*$F41*$G41,2))</f>
        <v>362.83</v>
      </c>
      <c r="J41" s="16"/>
      <c r="K41" s="16">
        <f>IF($H41=0,ROUND($E41*(K$72/12),2),ROUND($E41*(K$72/12)*$H41,2))</f>
        <v>15.11</v>
      </c>
      <c r="L41" s="16"/>
      <c r="M41" s="16">
        <f t="shared" si="13"/>
        <v>37.76</v>
      </c>
      <c r="N41" s="16">
        <f t="shared" si="13"/>
        <v>60.42</v>
      </c>
      <c r="O41" s="16"/>
      <c r="P41" s="16"/>
      <c r="Q41" s="16"/>
      <c r="R41" s="16"/>
      <c r="S41" s="16"/>
      <c r="T41" s="16">
        <f>ROUND(((($I41+$J41)*(T$72/12)+($K41)*(T$73/12)+($M41)*(T$73/12))/27),2)</f>
        <v>9.61</v>
      </c>
      <c r="U41" s="16">
        <f>ROUND(((($I41+$J41+$N41+$O41+$P41+$Q41)*(U$72/12))/27),2)</f>
        <v>7.84</v>
      </c>
      <c r="V41" s="16"/>
      <c r="W41" s="16">
        <f>ROUND(((($I41+$J41)/9)*$W$72)+((($I41+$J41+$K41)/9)*$W$72)+((($I41+$J41+$M41)/9)*$W$72),2)</f>
        <v>6.97</v>
      </c>
      <c r="X41" s="16"/>
      <c r="Y41" s="16"/>
      <c r="Z41" s="16">
        <f t="shared" si="12"/>
        <v>1.68</v>
      </c>
      <c r="AA41" s="16">
        <f>ROUND(((($I41+$J41)*(AA$72/12))/27),2)</f>
        <v>1.96</v>
      </c>
      <c r="AB41" s="16"/>
      <c r="AC41" s="16"/>
      <c r="AD41" s="16"/>
      <c r="AE41" s="16"/>
      <c r="AF41" s="105"/>
      <c r="AG41" s="106"/>
    </row>
    <row r="42" spans="1:33" s="5" customFormat="1" ht="21.75" customHeight="1">
      <c r="A42" s="12">
        <f t="shared" si="2"/>
        <v>30</v>
      </c>
      <c r="B42" s="13">
        <f>C41</f>
        <v>50711.53</v>
      </c>
      <c r="C42" s="14">
        <v>50742.24</v>
      </c>
      <c r="D42" s="15" t="s">
        <v>28</v>
      </c>
      <c r="E42" s="16">
        <f>C42-B42</f>
        <v>30.709999999999127</v>
      </c>
      <c r="F42" s="17">
        <f>ROUND(AVERAGE(8,8.614),2)</f>
        <v>8.31</v>
      </c>
      <c r="G42" s="18">
        <f>ROUND((((2291.83-((37.998+37.388)/2)-($F42/2))/2291.83)+1)/2,4)</f>
        <v>0.9909</v>
      </c>
      <c r="H42" s="18">
        <f>ROUND((((2291.83-((37.998+37.388)/2)-($F42))/2291.83)+1)/2,4)</f>
        <v>0.99</v>
      </c>
      <c r="I42" s="16">
        <f>IF($G42=0,ROUND($E42*$F42,2),ROUND($E42*$F42*$G42,2))</f>
        <v>252.88</v>
      </c>
      <c r="J42" s="16"/>
      <c r="K42" s="16">
        <f>IF($H42=0,ROUND($E42*(K$72/12),2),ROUND($E42*(K$72/12)*$H42,2))</f>
        <v>10.13</v>
      </c>
      <c r="L42" s="16"/>
      <c r="M42" s="16">
        <f t="shared" si="13"/>
        <v>25.34</v>
      </c>
      <c r="N42" s="16">
        <f t="shared" si="13"/>
        <v>40.54</v>
      </c>
      <c r="O42" s="16"/>
      <c r="P42" s="16"/>
      <c r="Q42" s="16"/>
      <c r="R42" s="16"/>
      <c r="S42" s="16"/>
      <c r="T42" s="16">
        <f>ROUND(((($I42+$J42)*(T$72/12)+($K42)*(T$73/12)+($M42)*(T$73/12))/27),2)</f>
        <v>6.68</v>
      </c>
      <c r="U42" s="16">
        <f>ROUND(((($I42+$J42+$N42+$O42+$P42+$Q42)*(U$72/12))/27),2)</f>
        <v>5.43</v>
      </c>
      <c r="V42" s="16"/>
      <c r="W42" s="16">
        <f>ROUND(((($I42+$J42)/9)*$W$72)+((($I42+$J42+$K42)/9)*$W$72)+((($I42+$J42+$M42)/9)*$W$72),2)</f>
        <v>4.85</v>
      </c>
      <c r="X42" s="16"/>
      <c r="Y42" s="16"/>
      <c r="Z42" s="16">
        <f t="shared" si="12"/>
        <v>1.17</v>
      </c>
      <c r="AA42" s="16">
        <f>ROUND(((($I42+$J42)*(AA$72/12))/27),2)</f>
        <v>1.37</v>
      </c>
      <c r="AB42" s="16"/>
      <c r="AC42" s="16"/>
      <c r="AD42" s="16"/>
      <c r="AE42" s="16"/>
      <c r="AF42" s="105"/>
      <c r="AG42" s="106"/>
    </row>
    <row r="43" spans="1:33" s="5" customFormat="1" ht="21.75" customHeight="1">
      <c r="A43" s="12">
        <f t="shared" si="2"/>
        <v>31</v>
      </c>
      <c r="B43" s="13"/>
      <c r="C43" s="14"/>
      <c r="D43" s="15"/>
      <c r="E43" s="16"/>
      <c r="F43" s="17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05"/>
      <c r="AG43" s="106"/>
    </row>
    <row r="44" spans="1:33" s="5" customFormat="1" ht="21.75" customHeight="1">
      <c r="A44" s="12">
        <f t="shared" si="2"/>
        <v>32</v>
      </c>
      <c r="B44" s="13"/>
      <c r="C44" s="14"/>
      <c r="D44" s="15"/>
      <c r="E44" s="16"/>
      <c r="F44" s="17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05"/>
      <c r="AG44" s="106"/>
    </row>
    <row r="45" spans="1:33" s="5" customFormat="1" ht="21.75" customHeight="1">
      <c r="A45" s="12">
        <f t="shared" si="2"/>
        <v>33</v>
      </c>
      <c r="B45" s="13"/>
      <c r="C45" s="14"/>
      <c r="D45" s="15"/>
      <c r="E45" s="16"/>
      <c r="F45" s="17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05"/>
      <c r="AG45" s="106"/>
    </row>
    <row r="46" spans="1:33" s="5" customFormat="1" ht="21.75" customHeight="1">
      <c r="A46" s="12">
        <f t="shared" si="2"/>
        <v>34</v>
      </c>
      <c r="B46" s="13"/>
      <c r="C46" s="14"/>
      <c r="D46" s="15"/>
      <c r="E46" s="16"/>
      <c r="F46" s="17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05"/>
      <c r="AG46" s="106"/>
    </row>
    <row r="47" spans="1:33" s="5" customFormat="1" ht="21.75" customHeight="1">
      <c r="A47" s="12">
        <f t="shared" si="2"/>
        <v>35</v>
      </c>
      <c r="B47" s="13"/>
      <c r="C47" s="14"/>
      <c r="D47" s="15"/>
      <c r="E47" s="16"/>
      <c r="F47" s="17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05"/>
      <c r="AG47" s="106"/>
    </row>
    <row r="48" spans="1:33" s="5" customFormat="1" ht="21.75" customHeight="1">
      <c r="A48" s="12">
        <f t="shared" si="2"/>
        <v>36</v>
      </c>
      <c r="B48" s="77" t="s">
        <v>37</v>
      </c>
      <c r="C48" s="78"/>
      <c r="D48" s="78"/>
      <c r="E48" s="78"/>
      <c r="F48" s="78"/>
      <c r="G48" s="78"/>
      <c r="H48" s="78"/>
      <c r="I48" s="79"/>
      <c r="J48" s="16"/>
      <c r="K48" s="16"/>
      <c r="L48" s="16"/>
      <c r="M48" s="16"/>
      <c r="N48" s="16"/>
      <c r="O48" s="16"/>
      <c r="P48" s="16"/>
      <c r="Q48" s="41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05"/>
      <c r="AG48" s="106"/>
    </row>
    <row r="49" spans="1:33" s="5" customFormat="1" ht="21.75" customHeight="1">
      <c r="A49" s="12">
        <f t="shared" si="2"/>
        <v>37</v>
      </c>
      <c r="B49" s="19" t="s">
        <v>27</v>
      </c>
      <c r="C49" s="14"/>
      <c r="D49" s="15"/>
      <c r="E49" s="16"/>
      <c r="F49" s="22"/>
      <c r="G49" s="1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05"/>
      <c r="AG49" s="106"/>
    </row>
    <row r="50" spans="1:33" s="5" customFormat="1" ht="21.75" customHeight="1" thickBot="1">
      <c r="A50" s="12">
        <f t="shared" si="2"/>
        <v>38</v>
      </c>
      <c r="B50" s="13">
        <v>46942.49</v>
      </c>
      <c r="C50" s="14">
        <v>47254.68</v>
      </c>
      <c r="D50" s="15" t="s">
        <v>33</v>
      </c>
      <c r="E50" s="16">
        <f>C50-B50</f>
        <v>312.1900000000023</v>
      </c>
      <c r="F50" s="17">
        <v>60</v>
      </c>
      <c r="G50" s="18"/>
      <c r="H50" s="16"/>
      <c r="I50" s="16">
        <f>IF(G50=0,ROUND($E50*$F50,2),ROUND($E50*$F50*$G50,2))</f>
        <v>18731.4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>
        <f>ROUND(((($I50+$J50)*(T$72/12))/27),2)</f>
        <v>462.5</v>
      </c>
      <c r="U50" s="16">
        <f>ROUND(((($I50+$J50+$N50+$O50+$P50+$Q50)*(U$72/12))/27),2)</f>
        <v>346.88</v>
      </c>
      <c r="V50" s="16"/>
      <c r="W50" s="16">
        <f>ROUND((((($I50+$J50)/9)*W$72)*3),2)</f>
        <v>343.41</v>
      </c>
      <c r="X50" s="16"/>
      <c r="Y50" s="16"/>
      <c r="Z50" s="16">
        <f aca="true" t="shared" si="14" ref="Z50:AA53">ROUND(((($I50+$J50)*(Z$72/12))/27),2)</f>
        <v>86.72</v>
      </c>
      <c r="AA50" s="16">
        <f t="shared" si="14"/>
        <v>101.17</v>
      </c>
      <c r="AB50" s="16">
        <f>$AA50+$Z50</f>
        <v>187.89</v>
      </c>
      <c r="AC50" s="16"/>
      <c r="AD50" s="16"/>
      <c r="AE50" s="16"/>
      <c r="AF50" s="107"/>
      <c r="AG50" s="108"/>
    </row>
    <row r="51" spans="1:33" s="5" customFormat="1" ht="21.75" customHeight="1">
      <c r="A51" s="12">
        <f t="shared" si="2"/>
        <v>39</v>
      </c>
      <c r="B51" s="13">
        <f>C50</f>
        <v>47254.68</v>
      </c>
      <c r="C51" s="14">
        <v>48663.69</v>
      </c>
      <c r="D51" s="15" t="s">
        <v>33</v>
      </c>
      <c r="E51" s="16">
        <f>C51-B51</f>
        <v>1409.010000000002</v>
      </c>
      <c r="F51" s="17">
        <v>60</v>
      </c>
      <c r="G51" s="18">
        <f>ROUND((3904.072-($F51/2))/3904.072,4)</f>
        <v>0.9923</v>
      </c>
      <c r="H51" s="16"/>
      <c r="I51" s="16">
        <f>IF(G51=0,ROUND($E51*$F51,2),ROUND($E51*$F51*$G51,2))</f>
        <v>83889.64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>
        <f>ROUND(((($I51+$J51)*(T$72/12))/27),2)</f>
        <v>2071.35</v>
      </c>
      <c r="U51" s="16">
        <f>ROUND(((($I51+$J51+$N51+$O51+$P51+$Q51)*(U$72/12))/27),2)</f>
        <v>1553.51</v>
      </c>
      <c r="V51" s="16"/>
      <c r="W51" s="16">
        <f>ROUND((((($I51+$J51)/9)*W$72)*3),2)</f>
        <v>1537.98</v>
      </c>
      <c r="X51" s="16"/>
      <c r="Y51" s="16"/>
      <c r="Z51" s="16">
        <f t="shared" si="14"/>
        <v>388.38</v>
      </c>
      <c r="AA51" s="16">
        <f t="shared" si="14"/>
        <v>453.11</v>
      </c>
      <c r="AB51" s="16">
        <f>$AA51+$Z51</f>
        <v>841.49</v>
      </c>
      <c r="AC51" s="16"/>
      <c r="AD51" s="16"/>
      <c r="AE51" s="16"/>
      <c r="AF51" s="103" t="s">
        <v>93</v>
      </c>
      <c r="AG51" s="104"/>
    </row>
    <row r="52" spans="1:33" s="5" customFormat="1" ht="21.75" customHeight="1">
      <c r="A52" s="12">
        <f t="shared" si="2"/>
        <v>40</v>
      </c>
      <c r="B52" s="13">
        <f>C51</f>
        <v>48663.69</v>
      </c>
      <c r="C52" s="14">
        <v>49281.37</v>
      </c>
      <c r="D52" s="15" t="s">
        <v>33</v>
      </c>
      <c r="E52" s="16">
        <f>C52-B52</f>
        <v>617.6800000000003</v>
      </c>
      <c r="F52" s="17">
        <v>36</v>
      </c>
      <c r="G52" s="18">
        <f>ROUND((3904.072-($F52/2))/3904.072,4)</f>
        <v>0.9954</v>
      </c>
      <c r="H52" s="16"/>
      <c r="I52" s="16">
        <f>IF(G52=0,ROUND($E52*$F52,2),ROUND($E52*$F52*$G52,2))</f>
        <v>22134.19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>
        <f>ROUND(((($I52+$J52)*(T$72/12))/27),2)</f>
        <v>546.52</v>
      </c>
      <c r="U52" s="16">
        <f>ROUND(((($I52+$J52+$N52+$O52+$P52+$Q52)*(U$72/12))/27),2)</f>
        <v>409.89</v>
      </c>
      <c r="V52" s="16"/>
      <c r="W52" s="16">
        <f>ROUND((((($I52+$J52)/9)*W$72)*3),2)</f>
        <v>405.79</v>
      </c>
      <c r="X52" s="16"/>
      <c r="Y52" s="16"/>
      <c r="Z52" s="16">
        <f t="shared" si="14"/>
        <v>102.47</v>
      </c>
      <c r="AA52" s="16">
        <f t="shared" si="14"/>
        <v>119.55</v>
      </c>
      <c r="AB52" s="16">
        <f>$AA52+$Z52</f>
        <v>222.01999999999998</v>
      </c>
      <c r="AC52" s="16"/>
      <c r="AD52" s="16"/>
      <c r="AE52" s="16"/>
      <c r="AF52" s="105"/>
      <c r="AG52" s="106"/>
    </row>
    <row r="53" spans="1:33" s="5" customFormat="1" ht="21.75" customHeight="1">
      <c r="A53" s="12">
        <f t="shared" si="2"/>
        <v>41</v>
      </c>
      <c r="B53" s="13">
        <f>C52</f>
        <v>49281.37</v>
      </c>
      <c r="C53" s="14">
        <v>49444.48</v>
      </c>
      <c r="D53" s="15" t="s">
        <v>33</v>
      </c>
      <c r="E53" s="16">
        <f>C53-B53</f>
        <v>163.11000000000058</v>
      </c>
      <c r="F53" s="17">
        <v>36</v>
      </c>
      <c r="G53" s="18"/>
      <c r="H53" s="16"/>
      <c r="I53" s="16">
        <f>IF(G53=0,ROUND($E53*$F53,2),ROUND($E53*$F53*$G53,2))</f>
        <v>5871.96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>
        <f>ROUND(((($I53+$J53)*(T$72/12))/27),2)</f>
        <v>144.99</v>
      </c>
      <c r="U53" s="16">
        <f>ROUND(((($I53+$J53+$N53+$O53+$P53+$Q53)*(U$72/12))/27),2)</f>
        <v>108.74</v>
      </c>
      <c r="V53" s="16"/>
      <c r="W53" s="16">
        <f>ROUND((((($I53+$J53)/9)*W$72)*3),2)</f>
        <v>107.65</v>
      </c>
      <c r="X53" s="16"/>
      <c r="Y53" s="16"/>
      <c r="Z53" s="16">
        <f t="shared" si="14"/>
        <v>27.19</v>
      </c>
      <c r="AA53" s="16">
        <f t="shared" si="14"/>
        <v>31.72</v>
      </c>
      <c r="AB53" s="16">
        <f>$AA53+$Z53</f>
        <v>58.91</v>
      </c>
      <c r="AC53" s="16"/>
      <c r="AD53" s="16"/>
      <c r="AE53" s="16"/>
      <c r="AF53" s="105"/>
      <c r="AG53" s="106"/>
    </row>
    <row r="54" spans="1:33" s="5" customFormat="1" ht="21.75" customHeight="1">
      <c r="A54" s="12">
        <f t="shared" si="2"/>
        <v>42</v>
      </c>
      <c r="B54" s="19"/>
      <c r="C54" s="14"/>
      <c r="D54" s="15"/>
      <c r="E54" s="16"/>
      <c r="F54" s="22"/>
      <c r="G54" s="1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05"/>
      <c r="AG54" s="106"/>
    </row>
    <row r="55" spans="1:33" s="5" customFormat="1" ht="21.75" customHeight="1">
      <c r="A55" s="12">
        <f t="shared" si="2"/>
        <v>43</v>
      </c>
      <c r="B55" s="19" t="s">
        <v>35</v>
      </c>
      <c r="C55" s="14"/>
      <c r="D55" s="15"/>
      <c r="E55" s="16"/>
      <c r="F55" s="17"/>
      <c r="G55" s="18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05"/>
      <c r="AG55" s="106"/>
    </row>
    <row r="56" spans="1:33" s="5" customFormat="1" ht="21.75" customHeight="1">
      <c r="A56" s="12">
        <f t="shared" si="2"/>
        <v>44</v>
      </c>
      <c r="B56" s="13">
        <v>46942.49</v>
      </c>
      <c r="C56" s="14">
        <v>46962.5</v>
      </c>
      <c r="D56" s="15" t="s">
        <v>33</v>
      </c>
      <c r="E56" s="16">
        <f aca="true" t="shared" si="15" ref="E56:E61">C56-B56</f>
        <v>20.010000000002037</v>
      </c>
      <c r="F56" s="22">
        <v>5.5</v>
      </c>
      <c r="G56" s="18"/>
      <c r="H56" s="16"/>
      <c r="I56" s="16">
        <f aca="true" t="shared" si="16" ref="I56:I61">IF(G56=0,ROUND($E56*$F56,2),ROUND($E56*$F56*$G56,2))</f>
        <v>110.06</v>
      </c>
      <c r="J56" s="16"/>
      <c r="K56" s="16"/>
      <c r="L56" s="16">
        <f>IF($H56=0,ROUND($E56*(L$72/12),2),ROUND($E56*(L$72/12)*$H56,2))</f>
        <v>10.01</v>
      </c>
      <c r="M56" s="16">
        <f>IF($H56=0,ROUND($E56*(M$72/12),2),ROUND($E56*(M$72/12)*$H56,2))</f>
        <v>16.68</v>
      </c>
      <c r="N56" s="16">
        <f>IF($H56=0,ROUND($E56*(N$72/12),2),ROUND($E56*(N$72/12)*$H56,2))</f>
        <v>26.68</v>
      </c>
      <c r="O56" s="16"/>
      <c r="P56" s="16">
        <f>IF($H56=0,ROUND($E56*(P$72/12),2),ROUND($E56*(P$72/12)*$H56,2))</f>
        <v>33.35</v>
      </c>
      <c r="Q56" s="16">
        <f>IF($H56=0,ROUND($E56*(Q$72/12),2),ROUND($E56*(Q$72/12)*$H56,2))</f>
        <v>36.69</v>
      </c>
      <c r="R56" s="16"/>
      <c r="S56" s="16"/>
      <c r="T56" s="16">
        <f>ROUND(((($I56+$J56+$P56)*(T$72/12)+($M56)*(T$73/12)+($N56)*(T$73/12))/27),2)</f>
        <v>4.08</v>
      </c>
      <c r="U56" s="16">
        <f>ROUND(((($I56+$J56+$P56+$Q56)*(U$72/12))/27),2)</f>
        <v>3.34</v>
      </c>
      <c r="V56" s="16"/>
      <c r="W56" s="16">
        <f>ROUND(((($I56+$J56+$L56+$P56)/9)*$W$72)+((($I56+$J56+$M56+$P56)/9)*$W$72)+((($I56+$J56+$N56+$P56)/9)*$W$72),2)</f>
        <v>2.96</v>
      </c>
      <c r="X56" s="16"/>
      <c r="Y56" s="16"/>
      <c r="Z56" s="16">
        <f aca="true" t="shared" si="17" ref="Z56:Z61">ROUND(((($I56+$J56)*(Z$72/12))/27),2)</f>
        <v>0.51</v>
      </c>
      <c r="AA56" s="16">
        <f>ROUND(((($I56+$J56+$P56+$L56)*(AA$72/12))/27),2)</f>
        <v>0.83</v>
      </c>
      <c r="AB56" s="16"/>
      <c r="AC56" s="16"/>
      <c r="AD56" s="16"/>
      <c r="AE56" s="16"/>
      <c r="AF56" s="105"/>
      <c r="AG56" s="106"/>
    </row>
    <row r="57" spans="1:33" s="5" customFormat="1" ht="21.75" customHeight="1">
      <c r="A57" s="12">
        <f>A56+1</f>
        <v>45</v>
      </c>
      <c r="B57" s="14">
        <f>C56</f>
        <v>46962.5</v>
      </c>
      <c r="C57" s="14">
        <v>46980.65</v>
      </c>
      <c r="D57" s="15" t="s">
        <v>33</v>
      </c>
      <c r="E57" s="16">
        <f t="shared" si="15"/>
        <v>18.150000000001455</v>
      </c>
      <c r="F57" s="22">
        <v>5.5</v>
      </c>
      <c r="G57" s="18"/>
      <c r="H57" s="16"/>
      <c r="I57" s="16">
        <f t="shared" si="16"/>
        <v>99.83</v>
      </c>
      <c r="J57" s="16"/>
      <c r="K57" s="16"/>
      <c r="L57" s="16"/>
      <c r="M57" s="16"/>
      <c r="N57" s="16"/>
      <c r="O57" s="16">
        <f>IF($H57=0,ROUND($E57*(O$72/12),2),ROUND($E57*(O$72/12)*$H57,2))</f>
        <v>27.23</v>
      </c>
      <c r="P57" s="16"/>
      <c r="Q57" s="16"/>
      <c r="R57" s="16"/>
      <c r="S57" s="16"/>
      <c r="T57" s="16">
        <f>ROUND(((($I57+$J57)*(T$72/12)+($K57)*(T$73/12)+($M57)*(T$73/12))/27),2)</f>
        <v>2.46</v>
      </c>
      <c r="U57" s="16">
        <f>ROUND(((($I57+$J57+$N57+$O57+$P57+$Q57)*(U$72/12))/27),2)</f>
        <v>2.35</v>
      </c>
      <c r="V57" s="16"/>
      <c r="W57" s="16">
        <f>ROUND(((($I57+$J57)/9)*$W$72)+((($I57+$J57+$K57)/9)*$W$72)+((($I57+$J57+$M57)/9)*$W$72),2)</f>
        <v>1.83</v>
      </c>
      <c r="X57" s="16"/>
      <c r="Y57" s="16"/>
      <c r="Z57" s="16">
        <f>ROUND(((($I57+$J57)*(Z$72/12))/27),2)</f>
        <v>0.46</v>
      </c>
      <c r="AA57" s="16">
        <f>ROUND(((($I57+$J57)*(AA$72/12))/27),2)</f>
        <v>0.54</v>
      </c>
      <c r="AB57" s="16"/>
      <c r="AC57" s="16"/>
      <c r="AD57" s="16">
        <f>IF($H57=0,$E57,ROUND($E57*$H57,2))</f>
        <v>18.150000000001455</v>
      </c>
      <c r="AE57" s="16"/>
      <c r="AF57" s="105"/>
      <c r="AG57" s="106"/>
    </row>
    <row r="58" spans="1:33" s="24" customFormat="1" ht="21.75" customHeight="1">
      <c r="A58" s="12">
        <f t="shared" si="2"/>
        <v>46</v>
      </c>
      <c r="B58" s="14">
        <f>C57</f>
        <v>46980.65</v>
      </c>
      <c r="C58" s="14">
        <v>47012.5</v>
      </c>
      <c r="D58" s="15" t="s">
        <v>33</v>
      </c>
      <c r="E58" s="16">
        <f t="shared" si="15"/>
        <v>31.849999999998545</v>
      </c>
      <c r="F58" s="22">
        <v>5.5</v>
      </c>
      <c r="G58" s="18"/>
      <c r="H58" s="16"/>
      <c r="I58" s="16">
        <f t="shared" si="16"/>
        <v>175.17</v>
      </c>
      <c r="J58" s="16"/>
      <c r="K58" s="16">
        <f>IF($H58=0,ROUND($E58*(K$72/12),2),ROUND($E58*(K$72/12)*$H58,2))</f>
        <v>10.62</v>
      </c>
      <c r="L58" s="16"/>
      <c r="M58" s="16">
        <f aca="true" t="shared" si="18" ref="M58:N61">IF($H58=0,ROUND($E58*(M$72/12),2),ROUND($E58*(M$72/12)*$H58,2))</f>
        <v>26.54</v>
      </c>
      <c r="N58" s="16">
        <f t="shared" si="18"/>
        <v>42.47</v>
      </c>
      <c r="O58" s="16"/>
      <c r="P58" s="16"/>
      <c r="Q58" s="16"/>
      <c r="R58" s="16"/>
      <c r="S58" s="16"/>
      <c r="T58" s="16">
        <f>ROUND(((($I58+$J58)*(T$72/12)+($K58)*(T$73/12)+($M58)*(T$73/12))/27),2)</f>
        <v>4.78</v>
      </c>
      <c r="U58" s="16">
        <f>ROUND(((($I58+$J58+$N58+$O58+$P58+$Q58)*(U$72/12))/27),2)</f>
        <v>4.03</v>
      </c>
      <c r="V58" s="16"/>
      <c r="W58" s="16">
        <f>ROUND(((($I58+$J58)/9)*$W$72)+((($I58+$J58+$K58)/9)*$W$72)+((($I58+$J58+$M58)/9)*$W$72),2)</f>
        <v>3.44</v>
      </c>
      <c r="X58" s="16"/>
      <c r="Y58" s="16"/>
      <c r="Z58" s="16">
        <f>ROUND(((($I58+$J58)*(Z$72/12))/27),2)</f>
        <v>0.81</v>
      </c>
      <c r="AA58" s="16">
        <f>ROUND(((($I58+$J58)*(AA$72/12))/27),2)</f>
        <v>0.95</v>
      </c>
      <c r="AB58" s="16"/>
      <c r="AC58" s="16"/>
      <c r="AD58" s="16"/>
      <c r="AE58" s="16"/>
      <c r="AF58" s="105"/>
      <c r="AG58" s="106"/>
    </row>
    <row r="59" spans="1:33" s="24" customFormat="1" ht="21.75" customHeight="1">
      <c r="A59" s="12">
        <f t="shared" si="2"/>
        <v>47</v>
      </c>
      <c r="B59" s="14">
        <f>C58</f>
        <v>47012.5</v>
      </c>
      <c r="C59" s="38">
        <v>47125</v>
      </c>
      <c r="D59" s="15" t="s">
        <v>33</v>
      </c>
      <c r="E59" s="16">
        <f t="shared" si="15"/>
        <v>112.5</v>
      </c>
      <c r="F59" s="17">
        <f>ROUND(AVERAGE(5.5,10),2)</f>
        <v>7.75</v>
      </c>
      <c r="G59" s="18"/>
      <c r="H59" s="16"/>
      <c r="I59" s="16">
        <f t="shared" si="16"/>
        <v>871.88</v>
      </c>
      <c r="J59" s="16"/>
      <c r="K59" s="16">
        <f>IF($H59=0,ROUND($E59*(K$72/12),2),ROUND($E59*(K$72/12)*$H59,2))</f>
        <v>37.5</v>
      </c>
      <c r="L59" s="16"/>
      <c r="M59" s="16">
        <f t="shared" si="18"/>
        <v>93.75</v>
      </c>
      <c r="N59" s="16">
        <f t="shared" si="18"/>
        <v>150</v>
      </c>
      <c r="O59" s="16"/>
      <c r="P59" s="16"/>
      <c r="Q59" s="16"/>
      <c r="R59" s="16"/>
      <c r="S59" s="16"/>
      <c r="T59" s="16">
        <f>ROUND(((($I59+$J59)*(T$72/12)+($K59)*(T$73/12)+($M59)*(T$73/12))/27),2)</f>
        <v>23.15</v>
      </c>
      <c r="U59" s="16">
        <f>ROUND(((($I59+$J59+$N59+$O59+$P59+$Q59)*(U$72/12))/27),2)</f>
        <v>18.92</v>
      </c>
      <c r="V59" s="16"/>
      <c r="W59" s="16">
        <f>ROUND(((($I59+$J59)/9)*$W$72)+((($I59+$J59+$K59)/9)*$W$72)+((($I59+$J59+$M59)/9)*$W$72),2)</f>
        <v>16.79</v>
      </c>
      <c r="X59" s="16"/>
      <c r="Y59" s="16"/>
      <c r="Z59" s="16">
        <f t="shared" si="17"/>
        <v>4.04</v>
      </c>
      <c r="AA59" s="16">
        <f>ROUND(((($I59+$J59)*(AA$72/12))/27),2)</f>
        <v>4.71</v>
      </c>
      <c r="AB59" s="16"/>
      <c r="AC59" s="16"/>
      <c r="AD59" s="16"/>
      <c r="AE59" s="16"/>
      <c r="AF59" s="105"/>
      <c r="AG59" s="106"/>
    </row>
    <row r="60" spans="1:33" s="24" customFormat="1" ht="21.75" customHeight="1">
      <c r="A60" s="12">
        <f t="shared" si="2"/>
        <v>48</v>
      </c>
      <c r="B60" s="14">
        <f>C59</f>
        <v>47125</v>
      </c>
      <c r="C60" s="14">
        <v>47254.68</v>
      </c>
      <c r="D60" s="15" t="s">
        <v>33</v>
      </c>
      <c r="E60" s="16">
        <f t="shared" si="15"/>
        <v>129.6800000000003</v>
      </c>
      <c r="F60" s="17">
        <v>10</v>
      </c>
      <c r="G60" s="18"/>
      <c r="H60" s="16"/>
      <c r="I60" s="16">
        <f t="shared" si="16"/>
        <v>1296.8</v>
      </c>
      <c r="J60" s="16"/>
      <c r="K60" s="16">
        <f>IF($H60=0,ROUND($E60*(K$72/12),2),ROUND($E60*(K$72/12)*$H60,2))</f>
        <v>43.23</v>
      </c>
      <c r="L60" s="16"/>
      <c r="M60" s="16">
        <f t="shared" si="18"/>
        <v>108.07</v>
      </c>
      <c r="N60" s="16">
        <f t="shared" si="18"/>
        <v>172.91</v>
      </c>
      <c r="O60" s="16"/>
      <c r="P60" s="16"/>
      <c r="Q60" s="16"/>
      <c r="R60" s="16"/>
      <c r="S60" s="16"/>
      <c r="T60" s="16">
        <f>ROUND(((($I60+$J60)*(T$72/12)+($K60)*(T$73/12)+($M60)*(T$73/12))/27),2)</f>
        <v>33.89</v>
      </c>
      <c r="U60" s="16">
        <f>ROUND(((($I60+$J60+$N60+$O60+$P60+$Q60)*(U$72/12))/27),2)</f>
        <v>27.22</v>
      </c>
      <c r="V60" s="16"/>
      <c r="W60" s="16">
        <f>ROUND(((($I60+$J60)/9)*$W$72)+((($I60+$J60+$K60)/9)*$W$72)+((($I60+$J60+$M60)/9)*$W$72),2)</f>
        <v>24.7</v>
      </c>
      <c r="X60" s="16"/>
      <c r="Y60" s="16"/>
      <c r="Z60" s="16">
        <f t="shared" si="17"/>
        <v>6</v>
      </c>
      <c r="AA60" s="16">
        <f>ROUND(((($I60+$J60)*(AA$72/12))/27),2)</f>
        <v>7</v>
      </c>
      <c r="AB60" s="16"/>
      <c r="AC60" s="16"/>
      <c r="AD60" s="16"/>
      <c r="AE60" s="16"/>
      <c r="AF60" s="105"/>
      <c r="AG60" s="106"/>
    </row>
    <row r="61" spans="1:33" s="24" customFormat="1" ht="21.75" customHeight="1">
      <c r="A61" s="12">
        <f t="shared" si="2"/>
        <v>49</v>
      </c>
      <c r="B61" s="14">
        <f>C60</f>
        <v>47254.68</v>
      </c>
      <c r="C61" s="14">
        <v>48663.69</v>
      </c>
      <c r="D61" s="15" t="s">
        <v>33</v>
      </c>
      <c r="E61" s="16">
        <f t="shared" si="15"/>
        <v>1409.010000000002</v>
      </c>
      <c r="F61" s="17">
        <v>10</v>
      </c>
      <c r="G61" s="18">
        <f>ROUND((3904.072-60-($F61/2))/3904.072,4)</f>
        <v>0.9834</v>
      </c>
      <c r="H61" s="18">
        <f>ROUND((3904.072-60-($F61))/3904.072,4)</f>
        <v>0.9821</v>
      </c>
      <c r="I61" s="16">
        <f t="shared" si="16"/>
        <v>13856.2</v>
      </c>
      <c r="J61" s="16"/>
      <c r="K61" s="16">
        <f>IF($H61=0,ROUND($E61*(K$72/12),2),ROUND($E61*(K$72/12)*$H61,2))</f>
        <v>461.26</v>
      </c>
      <c r="L61" s="16"/>
      <c r="M61" s="16">
        <f t="shared" si="18"/>
        <v>1153.16</v>
      </c>
      <c r="N61" s="16">
        <f t="shared" si="18"/>
        <v>1845.05</v>
      </c>
      <c r="O61" s="16"/>
      <c r="P61" s="16"/>
      <c r="Q61" s="16"/>
      <c r="R61" s="16"/>
      <c r="S61" s="16"/>
      <c r="T61" s="16">
        <f>ROUND(((($I61+$J61)*(T$72/12)+($K61)*(T$73/12)+($M61)*(T$73/12))/27),2)</f>
        <v>362.06</v>
      </c>
      <c r="U61" s="16">
        <f>ROUND(((($I61+$J61+$N61+$O61+$P61+$Q61)*(U$72/12))/27),2)</f>
        <v>290.76</v>
      </c>
      <c r="V61" s="16"/>
      <c r="W61" s="16">
        <f>ROUND(((($I61+$J61)/9)*$W$72)+((($I61+$J61+$K61)/9)*$W$72)+((($I61+$J61+$M61)/9)*$W$72),2)</f>
        <v>263.9</v>
      </c>
      <c r="X61" s="16"/>
      <c r="Y61" s="16"/>
      <c r="Z61" s="16">
        <f t="shared" si="17"/>
        <v>64.15</v>
      </c>
      <c r="AA61" s="16">
        <f>ROUND(((($I61+$J61)*(AA$72/12))/27),2)</f>
        <v>74.84</v>
      </c>
      <c r="AB61" s="16"/>
      <c r="AC61" s="16"/>
      <c r="AD61" s="16"/>
      <c r="AE61" s="16"/>
      <c r="AF61" s="105"/>
      <c r="AG61" s="106"/>
    </row>
    <row r="62" spans="1:33" s="24" customFormat="1" ht="21.75" customHeight="1">
      <c r="A62" s="12">
        <f t="shared" si="2"/>
        <v>50</v>
      </c>
      <c r="B62" s="14"/>
      <c r="C62" s="14"/>
      <c r="D62" s="15"/>
      <c r="E62" s="16"/>
      <c r="F62" s="17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05"/>
      <c r="AG62" s="106"/>
    </row>
    <row r="63" spans="1:33" s="24" customFormat="1" ht="21.75" customHeight="1">
      <c r="A63" s="12">
        <f t="shared" si="2"/>
        <v>51</v>
      </c>
      <c r="B63" s="14"/>
      <c r="C63" s="14"/>
      <c r="D63" s="15"/>
      <c r="E63" s="16"/>
      <c r="F63" s="17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05"/>
      <c r="AG63" s="106"/>
    </row>
    <row r="64" spans="1:33" s="24" customFormat="1" ht="21.75" customHeight="1">
      <c r="A64" s="12">
        <f t="shared" si="2"/>
        <v>52</v>
      </c>
      <c r="B64" s="14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12"/>
      <c r="AG64" s="106"/>
    </row>
    <row r="65" spans="1:33" s="24" customFormat="1" ht="21.75" customHeight="1">
      <c r="A65" s="12">
        <f t="shared" si="2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12"/>
      <c r="AG65" s="106"/>
    </row>
    <row r="66" spans="1:33" s="24" customFormat="1" ht="21.75" customHeight="1" thickBot="1">
      <c r="A66" s="12">
        <f t="shared" si="2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13"/>
      <c r="AG66" s="108"/>
    </row>
    <row r="67" spans="2:33" s="25" customFormat="1" ht="46.5" customHeight="1">
      <c r="B67" s="93" t="s">
        <v>8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5"/>
      <c r="S67" s="110" t="str">
        <f aca="true" t="shared" si="19" ref="S67:AD67">IF(SUM(S13:S66)=0," ",ROUNDUP(SUM(S13:S66),0))</f>
        <v> </v>
      </c>
      <c r="T67" s="110">
        <f t="shared" si="19"/>
        <v>5213</v>
      </c>
      <c r="U67" s="110">
        <f t="shared" si="19"/>
        <v>4011</v>
      </c>
      <c r="V67" s="110" t="str">
        <f t="shared" si="19"/>
        <v> </v>
      </c>
      <c r="W67" s="110">
        <f t="shared" si="19"/>
        <v>3846</v>
      </c>
      <c r="X67" s="110" t="str">
        <f t="shared" si="19"/>
        <v> </v>
      </c>
      <c r="Y67" s="110" t="str">
        <f t="shared" si="19"/>
        <v> </v>
      </c>
      <c r="Z67" s="110">
        <f t="shared" si="19"/>
        <v>957</v>
      </c>
      <c r="AA67" s="110">
        <f t="shared" si="19"/>
        <v>1119</v>
      </c>
      <c r="AB67" s="110">
        <f t="shared" si="19"/>
        <v>1311</v>
      </c>
      <c r="AC67" s="110" t="str">
        <f t="shared" si="19"/>
        <v> </v>
      </c>
      <c r="AD67" s="110">
        <f t="shared" si="19"/>
        <v>78</v>
      </c>
      <c r="AE67" s="110" t="str">
        <f>IF(SUM(AE13:AE66)=0," ",ROUNDUP(SUM(AE13:AE66),0))</f>
        <v> </v>
      </c>
      <c r="AF67" s="120">
        <v>5</v>
      </c>
      <c r="AG67" s="121"/>
    </row>
    <row r="68" spans="2:33" s="25" customFormat="1" ht="46.5" customHeight="1" thickBot="1"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8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4">
        <v>15</v>
      </c>
      <c r="AG68" s="115"/>
    </row>
    <row r="69" spans="1:34" ht="36" customHeight="1">
      <c r="A69" s="26"/>
      <c r="B69" s="27"/>
      <c r="C69" s="27"/>
      <c r="D69" s="27"/>
      <c r="E69" s="27"/>
      <c r="F69" s="27"/>
      <c r="G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U69" s="27"/>
      <c r="V69" s="27"/>
      <c r="W69" s="1"/>
      <c r="X69" s="27"/>
      <c r="Y69" s="27"/>
      <c r="Z69" s="27"/>
      <c r="AA69" s="27"/>
      <c r="AB69" s="27"/>
      <c r="AE69" s="27"/>
      <c r="AF69" s="27"/>
      <c r="AG69" s="27"/>
      <c r="AH69" s="28"/>
    </row>
    <row r="70" spans="2:33" ht="12.75">
      <c r="B70" s="27"/>
      <c r="C70" s="27"/>
      <c r="D70" s="27"/>
      <c r="E70" s="27"/>
      <c r="F70" s="27"/>
      <c r="G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U70" s="27"/>
      <c r="V70" s="27"/>
      <c r="W70" s="1"/>
      <c r="X70" s="27"/>
      <c r="Y70" s="27"/>
      <c r="Z70" s="27"/>
      <c r="AA70" s="27"/>
      <c r="AB70" s="27"/>
      <c r="AE70" s="27"/>
      <c r="AF70" s="27"/>
      <c r="AG70" s="27"/>
    </row>
    <row r="71" spans="2:33" ht="12.75">
      <c r="B71" s="27"/>
      <c r="C71" s="27"/>
      <c r="D71" s="27"/>
      <c r="E71" s="27"/>
      <c r="F71" s="27"/>
      <c r="G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U71" s="27"/>
      <c r="V71" s="27"/>
      <c r="W71" s="1"/>
      <c r="X71" s="27"/>
      <c r="Y71" s="27"/>
      <c r="Z71" s="27"/>
      <c r="AA71" s="27"/>
      <c r="AB71" s="27"/>
      <c r="AE71" s="27"/>
      <c r="AF71" s="27"/>
      <c r="AG71" s="27"/>
    </row>
    <row r="72" spans="2:33" ht="15.75">
      <c r="B72" s="60" t="s">
        <v>34</v>
      </c>
      <c r="C72" s="61"/>
      <c r="D72" s="61"/>
      <c r="E72" s="61"/>
      <c r="F72" s="61"/>
      <c r="G72" s="62"/>
      <c r="I72" s="42"/>
      <c r="J72" s="42"/>
      <c r="K72" s="42">
        <v>4</v>
      </c>
      <c r="L72" s="42">
        <v>6</v>
      </c>
      <c r="M72" s="42">
        <v>10</v>
      </c>
      <c r="N72" s="42">
        <v>16</v>
      </c>
      <c r="O72" s="42">
        <v>18</v>
      </c>
      <c r="P72" s="42">
        <v>20</v>
      </c>
      <c r="Q72" s="42">
        <v>22</v>
      </c>
      <c r="R72" s="42">
        <v>22.875</v>
      </c>
      <c r="S72" s="42"/>
      <c r="T72" s="42">
        <v>8</v>
      </c>
      <c r="U72" s="43">
        <v>6</v>
      </c>
      <c r="V72" s="44"/>
      <c r="W72" s="44">
        <v>0.055</v>
      </c>
      <c r="X72" s="44"/>
      <c r="Y72" s="43"/>
      <c r="Z72" s="43">
        <v>1.5</v>
      </c>
      <c r="AA72" s="43">
        <v>1.75</v>
      </c>
      <c r="AB72" s="43"/>
      <c r="AC72" s="43"/>
      <c r="AD72" s="43"/>
      <c r="AE72" s="44"/>
      <c r="AF72" s="27"/>
      <c r="AG72" s="27"/>
    </row>
    <row r="73" spans="2:33" ht="15">
      <c r="B73" s="27"/>
      <c r="C73" s="27"/>
      <c r="D73" s="27"/>
      <c r="E73" s="27"/>
      <c r="F73" s="27"/>
      <c r="G73" s="27"/>
      <c r="I73" s="27"/>
      <c r="J73" s="27"/>
      <c r="K73" s="27"/>
      <c r="L73" s="27"/>
      <c r="M73" s="27"/>
      <c r="N73" s="27"/>
      <c r="O73" s="27"/>
      <c r="P73" s="27"/>
      <c r="Q73" s="27"/>
      <c r="R73" s="23"/>
      <c r="S73" s="23"/>
      <c r="T73" s="23">
        <f>T72/2</f>
        <v>4</v>
      </c>
      <c r="V73" s="42"/>
      <c r="W73" s="1"/>
      <c r="X73" s="45"/>
      <c r="Y73" s="27"/>
      <c r="Z73" s="27"/>
      <c r="AA73" s="27"/>
      <c r="AB73" s="27"/>
      <c r="AE73" s="27"/>
      <c r="AF73" s="27"/>
      <c r="AG73" s="27"/>
    </row>
    <row r="74" spans="2:33" ht="15">
      <c r="B74" s="27"/>
      <c r="C74" s="29"/>
      <c r="D74" s="27"/>
      <c r="E74" s="27"/>
      <c r="F74" s="27"/>
      <c r="G74" s="27"/>
      <c r="H74" s="30"/>
      <c r="I74" s="27"/>
      <c r="J74" s="27"/>
      <c r="K74" s="92"/>
      <c r="L74" s="124"/>
      <c r="M74" s="124"/>
      <c r="N74" s="124"/>
      <c r="O74" s="124"/>
      <c r="P74" s="124"/>
      <c r="Q74" s="124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27"/>
      <c r="AG74" s="27"/>
    </row>
  </sheetData>
  <sheetProtection/>
  <mergeCells count="52">
    <mergeCell ref="AC67:AC68"/>
    <mergeCell ref="AE4:AE11"/>
    <mergeCell ref="AB4:AB11"/>
    <mergeCell ref="AD4:AD11"/>
    <mergeCell ref="AD67:AD68"/>
    <mergeCell ref="AE67:AE68"/>
    <mergeCell ref="K74:Q74"/>
    <mergeCell ref="Y67:Y68"/>
    <mergeCell ref="Z67:Z68"/>
    <mergeCell ref="AA67:AA68"/>
    <mergeCell ref="P3:P11"/>
    <mergeCell ref="Q3:Q11"/>
    <mergeCell ref="M3:M11"/>
    <mergeCell ref="N3:N11"/>
    <mergeCell ref="V67:V68"/>
    <mergeCell ref="W67:W68"/>
    <mergeCell ref="B14:I14"/>
    <mergeCell ref="AF68:AG68"/>
    <mergeCell ref="AF51:AG66"/>
    <mergeCell ref="B48:I48"/>
    <mergeCell ref="AF67:AG67"/>
    <mergeCell ref="X67:X68"/>
    <mergeCell ref="S67:S68"/>
    <mergeCell ref="T67:T68"/>
    <mergeCell ref="U67:U68"/>
    <mergeCell ref="AB67:AB68"/>
    <mergeCell ref="AG3:AG5"/>
    <mergeCell ref="AF3:AF5"/>
    <mergeCell ref="S4:S11"/>
    <mergeCell ref="T4:T11"/>
    <mergeCell ref="U4:U11"/>
    <mergeCell ref="V4:V11"/>
    <mergeCell ref="Z4:Z11"/>
    <mergeCell ref="AC4:AC11"/>
    <mergeCell ref="AF6:AG50"/>
    <mergeCell ref="AA4:AA11"/>
    <mergeCell ref="G3:G11"/>
    <mergeCell ref="O3:O11"/>
    <mergeCell ref="I3:I11"/>
    <mergeCell ref="J3:J11"/>
    <mergeCell ref="K3:K11"/>
    <mergeCell ref="L3:L11"/>
    <mergeCell ref="W4:W11"/>
    <mergeCell ref="X4:X11"/>
    <mergeCell ref="Y4:Y11"/>
    <mergeCell ref="R3:R11"/>
    <mergeCell ref="B67:R68"/>
    <mergeCell ref="H3:H11"/>
    <mergeCell ref="B3:C11"/>
    <mergeCell ref="D3:D11"/>
    <mergeCell ref="E3:E11"/>
    <mergeCell ref="F3:F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AA4" sqref="AA4:AA11"/>
    </sheetView>
  </sheetViews>
  <sheetFormatPr defaultColWidth="9.140625" defaultRowHeight="12.75"/>
  <cols>
    <col min="1" max="3" width="24.7109375" style="1" customWidth="1"/>
    <col min="4" max="22" width="15.7109375" style="1" customWidth="1"/>
    <col min="23" max="23" width="15.7109375" style="46" customWidth="1"/>
    <col min="24" max="31" width="15.7109375" style="1" customWidth="1"/>
    <col min="32" max="34" width="6.7109375" style="1" customWidth="1"/>
    <col min="35" max="16384" width="9.140625" style="1" customWidth="1"/>
  </cols>
  <sheetData>
    <row r="1" spans="19:31" ht="12.75">
      <c r="S1" s="48"/>
      <c r="T1" s="48"/>
      <c r="U1" s="48"/>
      <c r="V1" s="48"/>
      <c r="W1" s="49"/>
      <c r="X1" s="48"/>
      <c r="Z1" s="48"/>
      <c r="AA1" s="48"/>
      <c r="AE1" s="48"/>
    </row>
    <row r="2" spans="1:34" s="4" customFormat="1" ht="36" customHeight="1" thickBot="1">
      <c r="A2" s="2"/>
      <c r="B2" s="31" t="s">
        <v>14</v>
      </c>
      <c r="C2" s="32"/>
      <c r="D2" s="33"/>
      <c r="E2" s="33"/>
      <c r="F2" s="33"/>
      <c r="G2" s="33"/>
      <c r="I2" s="34"/>
      <c r="J2" s="33"/>
      <c r="K2" s="33"/>
      <c r="L2" s="33"/>
      <c r="M2" s="33"/>
      <c r="N2" s="33"/>
      <c r="O2" s="33"/>
      <c r="P2" s="33"/>
      <c r="Q2" s="34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47"/>
      <c r="AE2" s="50"/>
      <c r="AH2" s="3"/>
    </row>
    <row r="3" spans="2:34" s="5" customFormat="1" ht="21.75" customHeight="1">
      <c r="B3" s="93" t="s">
        <v>0</v>
      </c>
      <c r="C3" s="95"/>
      <c r="D3" s="89" t="s">
        <v>3</v>
      </c>
      <c r="E3" s="89" t="s">
        <v>4</v>
      </c>
      <c r="F3" s="89" t="s">
        <v>5</v>
      </c>
      <c r="G3" s="86" t="s">
        <v>12</v>
      </c>
      <c r="H3" s="86" t="s">
        <v>94</v>
      </c>
      <c r="I3" s="89" t="s">
        <v>6</v>
      </c>
      <c r="J3" s="86" t="s">
        <v>10</v>
      </c>
      <c r="K3" s="86" t="s">
        <v>15</v>
      </c>
      <c r="L3" s="86" t="s">
        <v>16</v>
      </c>
      <c r="M3" s="86" t="s">
        <v>17</v>
      </c>
      <c r="N3" s="86" t="s">
        <v>18</v>
      </c>
      <c r="O3" s="86" t="s">
        <v>19</v>
      </c>
      <c r="P3" s="86" t="s">
        <v>20</v>
      </c>
      <c r="Q3" s="86" t="s">
        <v>21</v>
      </c>
      <c r="R3" s="86" t="s">
        <v>84</v>
      </c>
      <c r="S3" s="35"/>
      <c r="T3" s="35">
        <v>302</v>
      </c>
      <c r="U3" s="35">
        <v>304</v>
      </c>
      <c r="V3" s="35"/>
      <c r="W3" s="35">
        <v>407</v>
      </c>
      <c r="X3" s="35"/>
      <c r="Y3" s="35"/>
      <c r="Z3" s="35">
        <v>442</v>
      </c>
      <c r="AA3" s="35">
        <v>442</v>
      </c>
      <c r="AB3" s="35">
        <v>442</v>
      </c>
      <c r="AC3" s="35"/>
      <c r="AD3" s="36">
        <v>609</v>
      </c>
      <c r="AE3" s="36"/>
      <c r="AF3" s="116" t="s">
        <v>11</v>
      </c>
      <c r="AG3" s="116" t="s">
        <v>13</v>
      </c>
      <c r="AH3" s="6"/>
    </row>
    <row r="4" spans="2:34" s="5" customFormat="1" ht="27.75" customHeight="1">
      <c r="B4" s="99"/>
      <c r="C4" s="100"/>
      <c r="D4" s="90"/>
      <c r="E4" s="90"/>
      <c r="F4" s="90"/>
      <c r="G4" s="87"/>
      <c r="H4" s="87"/>
      <c r="I4" s="90"/>
      <c r="J4" s="122"/>
      <c r="K4" s="122"/>
      <c r="L4" s="87"/>
      <c r="M4" s="87"/>
      <c r="N4" s="87"/>
      <c r="O4" s="87"/>
      <c r="P4" s="87"/>
      <c r="Q4" s="87"/>
      <c r="R4" s="87"/>
      <c r="S4" s="83"/>
      <c r="T4" s="83" t="s">
        <v>22</v>
      </c>
      <c r="U4" s="83" t="s">
        <v>96</v>
      </c>
      <c r="V4" s="83"/>
      <c r="W4" s="83" t="s">
        <v>82</v>
      </c>
      <c r="X4" s="83"/>
      <c r="Y4" s="109"/>
      <c r="Z4" s="83" t="s">
        <v>83</v>
      </c>
      <c r="AA4" s="109" t="s">
        <v>97</v>
      </c>
      <c r="AB4" s="109" t="s">
        <v>23</v>
      </c>
      <c r="AC4" s="83"/>
      <c r="AD4" s="109" t="s">
        <v>95</v>
      </c>
      <c r="AE4" s="109"/>
      <c r="AF4" s="117"/>
      <c r="AG4" s="119"/>
      <c r="AH4" s="7"/>
    </row>
    <row r="5" spans="2:33" s="5" customFormat="1" ht="27.75" customHeight="1" thickBot="1">
      <c r="B5" s="99"/>
      <c r="C5" s="100"/>
      <c r="D5" s="90"/>
      <c r="E5" s="90"/>
      <c r="F5" s="90"/>
      <c r="G5" s="87"/>
      <c r="H5" s="87"/>
      <c r="I5" s="90"/>
      <c r="J5" s="122"/>
      <c r="K5" s="122"/>
      <c r="L5" s="87"/>
      <c r="M5" s="87"/>
      <c r="N5" s="87"/>
      <c r="O5" s="87"/>
      <c r="P5" s="87"/>
      <c r="Q5" s="87"/>
      <c r="R5" s="87"/>
      <c r="S5" s="84"/>
      <c r="T5" s="84"/>
      <c r="U5" s="84"/>
      <c r="V5" s="84"/>
      <c r="W5" s="84"/>
      <c r="X5" s="84"/>
      <c r="Y5" s="87"/>
      <c r="Z5" s="84"/>
      <c r="AA5" s="87"/>
      <c r="AB5" s="87"/>
      <c r="AC5" s="84"/>
      <c r="AD5" s="87"/>
      <c r="AE5" s="87"/>
      <c r="AF5" s="118"/>
      <c r="AG5" s="119"/>
    </row>
    <row r="6" spans="2:33" s="5" customFormat="1" ht="27.75" customHeight="1">
      <c r="B6" s="99"/>
      <c r="C6" s="100"/>
      <c r="D6" s="90"/>
      <c r="E6" s="90"/>
      <c r="F6" s="90"/>
      <c r="G6" s="87"/>
      <c r="H6" s="87"/>
      <c r="I6" s="90"/>
      <c r="J6" s="122"/>
      <c r="K6" s="122"/>
      <c r="L6" s="87"/>
      <c r="M6" s="87"/>
      <c r="N6" s="87"/>
      <c r="O6" s="87"/>
      <c r="P6" s="87"/>
      <c r="Q6" s="87"/>
      <c r="R6" s="87"/>
      <c r="S6" s="84"/>
      <c r="T6" s="84"/>
      <c r="U6" s="84"/>
      <c r="V6" s="84"/>
      <c r="W6" s="84"/>
      <c r="X6" s="84"/>
      <c r="Y6" s="87"/>
      <c r="Z6" s="84"/>
      <c r="AA6" s="87"/>
      <c r="AB6" s="87"/>
      <c r="AC6" s="84"/>
      <c r="AD6" s="87"/>
      <c r="AE6" s="87"/>
      <c r="AF6" s="103" t="s">
        <v>81</v>
      </c>
      <c r="AG6" s="104"/>
    </row>
    <row r="7" spans="2:33" s="5" customFormat="1" ht="27.75" customHeight="1">
      <c r="B7" s="99"/>
      <c r="C7" s="100"/>
      <c r="D7" s="90"/>
      <c r="E7" s="90"/>
      <c r="F7" s="90"/>
      <c r="G7" s="87"/>
      <c r="H7" s="87"/>
      <c r="I7" s="90"/>
      <c r="J7" s="122"/>
      <c r="K7" s="122"/>
      <c r="L7" s="87"/>
      <c r="M7" s="87"/>
      <c r="N7" s="87"/>
      <c r="O7" s="87"/>
      <c r="P7" s="87"/>
      <c r="Q7" s="87"/>
      <c r="R7" s="87"/>
      <c r="S7" s="84"/>
      <c r="T7" s="84"/>
      <c r="U7" s="84"/>
      <c r="V7" s="84"/>
      <c r="W7" s="84"/>
      <c r="X7" s="84"/>
      <c r="Y7" s="87"/>
      <c r="Z7" s="84"/>
      <c r="AA7" s="87"/>
      <c r="AB7" s="87"/>
      <c r="AC7" s="84"/>
      <c r="AD7" s="87"/>
      <c r="AE7" s="87"/>
      <c r="AF7" s="105"/>
      <c r="AG7" s="106"/>
    </row>
    <row r="8" spans="2:33" s="5" customFormat="1" ht="27.75" customHeight="1">
      <c r="B8" s="99"/>
      <c r="C8" s="100"/>
      <c r="D8" s="90"/>
      <c r="E8" s="90"/>
      <c r="F8" s="90"/>
      <c r="G8" s="87"/>
      <c r="H8" s="87"/>
      <c r="I8" s="90"/>
      <c r="J8" s="122"/>
      <c r="K8" s="122"/>
      <c r="L8" s="87"/>
      <c r="M8" s="87"/>
      <c r="N8" s="87"/>
      <c r="O8" s="87"/>
      <c r="P8" s="87"/>
      <c r="Q8" s="87"/>
      <c r="R8" s="87"/>
      <c r="S8" s="84"/>
      <c r="T8" s="84"/>
      <c r="U8" s="84"/>
      <c r="V8" s="84"/>
      <c r="W8" s="84"/>
      <c r="X8" s="84"/>
      <c r="Y8" s="87"/>
      <c r="Z8" s="84"/>
      <c r="AA8" s="87"/>
      <c r="AB8" s="87"/>
      <c r="AC8" s="84"/>
      <c r="AD8" s="87"/>
      <c r="AE8" s="87"/>
      <c r="AF8" s="105"/>
      <c r="AG8" s="106"/>
    </row>
    <row r="9" spans="2:33" s="5" customFormat="1" ht="27.75" customHeight="1">
      <c r="B9" s="99"/>
      <c r="C9" s="100"/>
      <c r="D9" s="90"/>
      <c r="E9" s="90"/>
      <c r="F9" s="90"/>
      <c r="G9" s="87"/>
      <c r="H9" s="87"/>
      <c r="I9" s="90"/>
      <c r="J9" s="122"/>
      <c r="K9" s="122"/>
      <c r="L9" s="87"/>
      <c r="M9" s="87"/>
      <c r="N9" s="87"/>
      <c r="O9" s="87"/>
      <c r="P9" s="87"/>
      <c r="Q9" s="87"/>
      <c r="R9" s="87"/>
      <c r="S9" s="84"/>
      <c r="T9" s="84"/>
      <c r="U9" s="84"/>
      <c r="V9" s="84"/>
      <c r="W9" s="84"/>
      <c r="X9" s="84"/>
      <c r="Y9" s="87"/>
      <c r="Z9" s="84"/>
      <c r="AA9" s="87"/>
      <c r="AB9" s="87"/>
      <c r="AC9" s="84"/>
      <c r="AD9" s="87"/>
      <c r="AE9" s="87"/>
      <c r="AF9" s="105"/>
      <c r="AG9" s="106"/>
    </row>
    <row r="10" spans="2:33" s="5" customFormat="1" ht="27.75" customHeight="1">
      <c r="B10" s="99"/>
      <c r="C10" s="100"/>
      <c r="D10" s="90"/>
      <c r="E10" s="90"/>
      <c r="F10" s="90"/>
      <c r="G10" s="87"/>
      <c r="H10" s="87"/>
      <c r="I10" s="90"/>
      <c r="J10" s="122"/>
      <c r="K10" s="122"/>
      <c r="L10" s="87"/>
      <c r="M10" s="87"/>
      <c r="N10" s="87"/>
      <c r="O10" s="87"/>
      <c r="P10" s="87"/>
      <c r="Q10" s="87"/>
      <c r="R10" s="87"/>
      <c r="S10" s="84"/>
      <c r="T10" s="84"/>
      <c r="U10" s="84"/>
      <c r="V10" s="84"/>
      <c r="W10" s="84"/>
      <c r="X10" s="84"/>
      <c r="Y10" s="87"/>
      <c r="Z10" s="84"/>
      <c r="AA10" s="87"/>
      <c r="AB10" s="87"/>
      <c r="AC10" s="84"/>
      <c r="AD10" s="87"/>
      <c r="AE10" s="87"/>
      <c r="AF10" s="105"/>
      <c r="AG10" s="106"/>
    </row>
    <row r="11" spans="2:33" s="8" customFormat="1" ht="27.75" customHeight="1">
      <c r="B11" s="101"/>
      <c r="C11" s="102"/>
      <c r="D11" s="91"/>
      <c r="E11" s="91"/>
      <c r="F11" s="91"/>
      <c r="G11" s="88"/>
      <c r="H11" s="88"/>
      <c r="I11" s="91"/>
      <c r="J11" s="123"/>
      <c r="K11" s="123"/>
      <c r="L11" s="88"/>
      <c r="M11" s="88"/>
      <c r="N11" s="88"/>
      <c r="O11" s="88"/>
      <c r="P11" s="88"/>
      <c r="Q11" s="88"/>
      <c r="R11" s="88"/>
      <c r="S11" s="85"/>
      <c r="T11" s="85"/>
      <c r="U11" s="85"/>
      <c r="V11" s="85"/>
      <c r="W11" s="85"/>
      <c r="X11" s="85"/>
      <c r="Y11" s="88"/>
      <c r="Z11" s="85"/>
      <c r="AA11" s="88"/>
      <c r="AB11" s="88"/>
      <c r="AC11" s="85"/>
      <c r="AD11" s="88"/>
      <c r="AE11" s="88"/>
      <c r="AF11" s="105"/>
      <c r="AG11" s="106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11"/>
      <c r="I12" s="11" t="s">
        <v>9</v>
      </c>
      <c r="J12" s="11" t="s">
        <v>9</v>
      </c>
      <c r="K12" s="11" t="s">
        <v>9</v>
      </c>
      <c r="L12" s="11" t="s">
        <v>9</v>
      </c>
      <c r="M12" s="11" t="s">
        <v>9</v>
      </c>
      <c r="N12" s="11" t="s">
        <v>9</v>
      </c>
      <c r="O12" s="11" t="s">
        <v>9</v>
      </c>
      <c r="P12" s="11" t="s">
        <v>9</v>
      </c>
      <c r="Q12" s="11" t="s">
        <v>9</v>
      </c>
      <c r="R12" s="11" t="s">
        <v>9</v>
      </c>
      <c r="S12" s="37"/>
      <c r="T12" s="37" t="s">
        <v>24</v>
      </c>
      <c r="U12" s="37" t="s">
        <v>24</v>
      </c>
      <c r="V12" s="37"/>
      <c r="W12" s="37" t="s">
        <v>25</v>
      </c>
      <c r="X12" s="37"/>
      <c r="Y12" s="37"/>
      <c r="Z12" s="37" t="s">
        <v>24</v>
      </c>
      <c r="AA12" s="37" t="s">
        <v>24</v>
      </c>
      <c r="AB12" s="37" t="s">
        <v>24</v>
      </c>
      <c r="AC12" s="37"/>
      <c r="AD12" s="11" t="s">
        <v>7</v>
      </c>
      <c r="AE12" s="11"/>
      <c r="AF12" s="105"/>
      <c r="AG12" s="106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05"/>
      <c r="AG13" s="106"/>
    </row>
    <row r="14" spans="1:33" s="5" customFormat="1" ht="21.75" customHeight="1">
      <c r="A14" s="12">
        <f>A13+1</f>
        <v>2</v>
      </c>
      <c r="B14" s="77" t="s">
        <v>77</v>
      </c>
      <c r="C14" s="78"/>
      <c r="D14" s="78"/>
      <c r="E14" s="78"/>
      <c r="F14" s="78"/>
      <c r="G14" s="78"/>
      <c r="H14" s="78"/>
      <c r="I14" s="7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05"/>
      <c r="AG14" s="106"/>
    </row>
    <row r="15" spans="1:33" s="5" customFormat="1" ht="21.75" customHeight="1">
      <c r="A15" s="12">
        <f>A14+1</f>
        <v>3</v>
      </c>
      <c r="B15" s="19" t="s">
        <v>36</v>
      </c>
      <c r="C15" s="20"/>
      <c r="D15" s="15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05"/>
      <c r="AG15" s="106"/>
    </row>
    <row r="16" spans="1:33" s="5" customFormat="1" ht="21.75" customHeight="1">
      <c r="A16" s="12">
        <f>A15+1</f>
        <v>4</v>
      </c>
      <c r="B16" s="13">
        <v>46942.49</v>
      </c>
      <c r="C16" s="14">
        <v>46972.74</v>
      </c>
      <c r="D16" s="15" t="s">
        <v>28</v>
      </c>
      <c r="E16" s="16">
        <f aca="true" t="shared" si="0" ref="E16:E22">C16-B16</f>
        <v>30.25</v>
      </c>
      <c r="F16" s="17">
        <f>ROUND(AVERAGE(10,9.069),2)</f>
        <v>9.53</v>
      </c>
      <c r="G16" s="18"/>
      <c r="H16" s="16"/>
      <c r="I16" s="16">
        <f>IF($G16=0,ROUND($E16*$F16,2),ROUND($E16*$F16*$G16,2))</f>
        <v>288.28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>ROUND(((($I16+$J16)*(T$72/12)+($K16)*(T$73/12)+($M16)*(T$73/12))/27),2)</f>
        <v>7.12</v>
      </c>
      <c r="U16" s="16">
        <f>ROUND(((($I16+$J16+$N16+$O16+$P16+$Q16)*(U$72/12))/27),2)</f>
        <v>5.34</v>
      </c>
      <c r="V16" s="16"/>
      <c r="W16" s="16">
        <f>ROUND(((($I16+$J16)/9)*$W$72)+((($I16+$J16+$K16)/9)*$W$72)+((($I16+$J16+$M16)/9)*$W$72),2)</f>
        <v>5.29</v>
      </c>
      <c r="X16" s="16"/>
      <c r="Y16" s="16"/>
      <c r="Z16" s="16">
        <f>ROUND(((($I16+$J16)*(Z$72/12))/27),2)</f>
        <v>1.33</v>
      </c>
      <c r="AA16" s="16">
        <f>ROUND(((($I16+$J16)*(AA$72/12))/27),2)</f>
        <v>1.56</v>
      </c>
      <c r="AB16" s="16"/>
      <c r="AC16" s="16"/>
      <c r="AD16" s="16"/>
      <c r="AE16" s="16"/>
      <c r="AF16" s="105"/>
      <c r="AG16" s="106"/>
    </row>
    <row r="17" spans="1:33" s="5" customFormat="1" ht="21.75" customHeight="1">
      <c r="A17" s="12">
        <f aca="true" t="shared" si="1" ref="A17:A66">A16+1</f>
        <v>5</v>
      </c>
      <c r="B17" s="13">
        <f aca="true" t="shared" si="2" ref="B17:B22">C16</f>
        <v>46972.74</v>
      </c>
      <c r="C17" s="14">
        <v>47007.74</v>
      </c>
      <c r="D17" s="15" t="s">
        <v>28</v>
      </c>
      <c r="E17" s="16">
        <f t="shared" si="0"/>
        <v>35</v>
      </c>
      <c r="F17" s="22">
        <v>10</v>
      </c>
      <c r="G17" s="18"/>
      <c r="H17" s="16"/>
      <c r="I17" s="16">
        <f aca="true" t="shared" si="3" ref="I17:I22">IF(G17=0,ROUND($E17*$F17,2),ROUND($E17*$F17*$G17,2))</f>
        <v>350</v>
      </c>
      <c r="J17" s="16"/>
      <c r="K17" s="16"/>
      <c r="L17" s="16">
        <f>IF($H17=0,ROUND($E17*(L$72/12),2),ROUND($E17*(L$72/12)*$H17,2))</f>
        <v>17.5</v>
      </c>
      <c r="M17" s="16">
        <f>IF($H17=0,ROUND($E17*(M$72/12),2),ROUND($E17*(M$72/12)*$H17,2))</f>
        <v>29.17</v>
      </c>
      <c r="N17" s="16">
        <f>IF($H17=0,ROUND($E17*(N$72/12),2),ROUND($E17*(N$72/12)*$H17,2))</f>
        <v>46.67</v>
      </c>
      <c r="O17" s="16"/>
      <c r="P17" s="16"/>
      <c r="Q17" s="16">
        <f>IF($H17=0,ROUND($E17*(Q$72/12),2),ROUND($E17*(Q$72/12)*$H17,2))</f>
        <v>64.17</v>
      </c>
      <c r="R17" s="16">
        <f>IF($H17=0,ROUND($E17*(R$72/12),2),ROUND($E17*(R$72/12)*$H17,2))</f>
        <v>66.72</v>
      </c>
      <c r="S17" s="16"/>
      <c r="T17" s="16">
        <f>ROUND(((($I17+$J17+$R17)*(T$72/12)+($M17)*(T$73/12)+($N17)*(T$73/12))/27),2)</f>
        <v>11.23</v>
      </c>
      <c r="U17" s="16">
        <f>ROUND(((($I17+$J17+$R17+$Q17)*(U$72/12))/27),2)</f>
        <v>8.91</v>
      </c>
      <c r="V17" s="16"/>
      <c r="W17" s="16">
        <f>ROUND(((($I17+$J275+$L17+$R17)/9)*$W$72)+((($I17+$J17+$M17+$R17)/9)*$W$72)+((($I17+$J17+$N17+$R17)/9)*$W$72),2)</f>
        <v>8.21</v>
      </c>
      <c r="X17" s="16"/>
      <c r="Y17" s="16"/>
      <c r="Z17" s="16">
        <f aca="true" t="shared" si="4" ref="Z17:Z22">ROUND(((($I17+$J17)*(Z$72/12))/27),2)</f>
        <v>1.62</v>
      </c>
      <c r="AA17" s="16">
        <f>ROUND(((($I17+$J17+$R17+$L17)*(AA$72/12))/27),2)</f>
        <v>2.35</v>
      </c>
      <c r="AB17" s="16"/>
      <c r="AC17" s="16"/>
      <c r="AD17" s="16"/>
      <c r="AE17" s="16"/>
      <c r="AF17" s="105"/>
      <c r="AG17" s="106"/>
    </row>
    <row r="18" spans="1:33" s="5" customFormat="1" ht="21.75" customHeight="1">
      <c r="A18" s="12">
        <f t="shared" si="1"/>
        <v>6</v>
      </c>
      <c r="B18" s="13">
        <f t="shared" si="2"/>
        <v>47007.74</v>
      </c>
      <c r="C18" s="14">
        <v>47254.68</v>
      </c>
      <c r="D18" s="15" t="s">
        <v>28</v>
      </c>
      <c r="E18" s="16">
        <f t="shared" si="0"/>
        <v>246.94000000000233</v>
      </c>
      <c r="F18" s="22">
        <v>10</v>
      </c>
      <c r="G18" s="18"/>
      <c r="H18" s="16"/>
      <c r="I18" s="16">
        <f t="shared" si="3"/>
        <v>2469.4</v>
      </c>
      <c r="J18" s="16"/>
      <c r="K18" s="16"/>
      <c r="L18" s="16">
        <f aca="true" t="shared" si="5" ref="L18:N19">IF($H18=0,ROUND($E18*(L$72/12),2),ROUND($E18*(L$72/12)*$H18,2))</f>
        <v>123.47</v>
      </c>
      <c r="M18" s="16">
        <f t="shared" si="5"/>
        <v>205.78</v>
      </c>
      <c r="N18" s="16">
        <f t="shared" si="5"/>
        <v>329.25</v>
      </c>
      <c r="O18" s="16"/>
      <c r="P18" s="16">
        <f>IF($H18=0,ROUND($E18*(P$72/12),2),ROUND($E18*(P$72/12)*$H18,2))</f>
        <v>411.57</v>
      </c>
      <c r="Q18" s="16">
        <f>IF($H18=0,ROUND($E18*(Q$72/12),2),ROUND($E18*(Q$72/12)*$H18,2))</f>
        <v>452.72</v>
      </c>
      <c r="R18" s="16"/>
      <c r="S18" s="16"/>
      <c r="T18" s="16">
        <f>ROUND(((($I18+$J18+$P18)*(T$72/12)+($M18)*(T$73/12)+($N18)*(T$73/12))/27),2)</f>
        <v>77.74</v>
      </c>
      <c r="U18" s="16">
        <f>ROUND(((($I18+$J18+$P18+$Q18)*(U$72/12))/27),2)</f>
        <v>61.74</v>
      </c>
      <c r="V18" s="16"/>
      <c r="W18" s="16">
        <f>ROUND(((($I18+$J275+$L18+$P18)/9)*$W$72)+((($I18+$J18+$M18+$P18)/9)*$W$72)+((($I18+$J18+$N18+$P18)/9)*$W$72),2)</f>
        <v>56.84</v>
      </c>
      <c r="X18" s="16"/>
      <c r="Y18" s="16"/>
      <c r="Z18" s="16">
        <f t="shared" si="4"/>
        <v>11.43</v>
      </c>
      <c r="AA18" s="16">
        <f>ROUND(((($I18+$J18+$P18+$L18)*(AA$72/12))/27),2)</f>
        <v>16.23</v>
      </c>
      <c r="AB18" s="16"/>
      <c r="AC18" s="16"/>
      <c r="AD18" s="16"/>
      <c r="AE18" s="16"/>
      <c r="AF18" s="105"/>
      <c r="AG18" s="106"/>
    </row>
    <row r="19" spans="1:33" s="5" customFormat="1" ht="21.75" customHeight="1">
      <c r="A19" s="12">
        <f t="shared" si="1"/>
        <v>7</v>
      </c>
      <c r="B19" s="13">
        <f t="shared" si="2"/>
        <v>47254.68</v>
      </c>
      <c r="C19" s="14">
        <v>47395.11</v>
      </c>
      <c r="D19" s="15" t="s">
        <v>28</v>
      </c>
      <c r="E19" s="16">
        <f t="shared" si="0"/>
        <v>140.4300000000003</v>
      </c>
      <c r="F19" s="22">
        <v>10</v>
      </c>
      <c r="G19" s="18">
        <f>ROUND((3904.072+($F19/2))/3904.072,4)</f>
        <v>1.0013</v>
      </c>
      <c r="H19" s="18">
        <f>ROUND((3904.072+($F19))/3904.072,4)</f>
        <v>1.0026</v>
      </c>
      <c r="I19" s="16">
        <f t="shared" si="3"/>
        <v>1406.13</v>
      </c>
      <c r="J19" s="16"/>
      <c r="K19" s="16"/>
      <c r="L19" s="16">
        <f t="shared" si="5"/>
        <v>70.4</v>
      </c>
      <c r="M19" s="16">
        <f t="shared" si="5"/>
        <v>117.33</v>
      </c>
      <c r="N19" s="16">
        <f t="shared" si="5"/>
        <v>187.73</v>
      </c>
      <c r="O19" s="16"/>
      <c r="P19" s="16">
        <f>IF($H19=0,ROUND($E19*(P$72/12),2),ROUND($E19*(P$72/12)*$H19,2))</f>
        <v>234.66</v>
      </c>
      <c r="Q19" s="16">
        <f>IF($H19=0,ROUND($E19*(Q$72/12),2),ROUND($E19*(Q$72/12)*$H19,2))</f>
        <v>258.12</v>
      </c>
      <c r="R19" s="16"/>
      <c r="S19" s="16"/>
      <c r="T19" s="16">
        <f>ROUND(((($I19+$J19+$P19)*(T$72/12)+($M19)*(T$73/12)+($N19)*(T$73/12))/27),2)</f>
        <v>44.28</v>
      </c>
      <c r="U19" s="16">
        <f>ROUND(((($I19+$J19+$P19+$Q19)*(U$72/12))/27),2)</f>
        <v>35.17</v>
      </c>
      <c r="V19" s="16"/>
      <c r="W19" s="16">
        <f>ROUND(((($I19+$J276+$L19+$P19)/9)*$W$72)+((($I19+$J19+$M19+$P19)/9)*$W$72)+((($I19+$J19+$N19+$P19)/9)*$W$72),2)</f>
        <v>32.38</v>
      </c>
      <c r="X19" s="16"/>
      <c r="Y19" s="16"/>
      <c r="Z19" s="16">
        <f t="shared" si="4"/>
        <v>6.51</v>
      </c>
      <c r="AA19" s="16">
        <f>ROUND(((($I19+$J19+$P19+$L19)*(AA$72/12))/27),2)</f>
        <v>9.24</v>
      </c>
      <c r="AB19" s="16"/>
      <c r="AC19" s="16"/>
      <c r="AD19" s="16"/>
      <c r="AE19" s="16"/>
      <c r="AF19" s="105"/>
      <c r="AG19" s="106"/>
    </row>
    <row r="20" spans="1:33" s="5" customFormat="1" ht="21.75" customHeight="1">
      <c r="A20" s="12">
        <f t="shared" si="1"/>
        <v>8</v>
      </c>
      <c r="B20" s="13">
        <f t="shared" si="2"/>
        <v>47395.11</v>
      </c>
      <c r="C20" s="14">
        <v>47413.21</v>
      </c>
      <c r="D20" s="15" t="s">
        <v>28</v>
      </c>
      <c r="E20" s="16">
        <f t="shared" si="0"/>
        <v>18.099999999998545</v>
      </c>
      <c r="F20" s="22">
        <v>10</v>
      </c>
      <c r="G20" s="18">
        <f>ROUND((3904.072+($F20/2))/3904.072,4)</f>
        <v>1.0013</v>
      </c>
      <c r="H20" s="18">
        <f>ROUND((3904.072+($F20))/3904.072,4)</f>
        <v>1.0026</v>
      </c>
      <c r="I20" s="16">
        <f t="shared" si="3"/>
        <v>181.24</v>
      </c>
      <c r="J20" s="16"/>
      <c r="K20" s="16"/>
      <c r="L20" s="16"/>
      <c r="M20" s="16"/>
      <c r="N20" s="16"/>
      <c r="O20" s="16">
        <f>IF($H20=0,ROUND($E20*(O$72/12),2),ROUND($E20*(O$72/12)*$H20,2))</f>
        <v>27.22</v>
      </c>
      <c r="P20" s="16"/>
      <c r="Q20" s="16"/>
      <c r="R20" s="16"/>
      <c r="S20" s="16"/>
      <c r="T20" s="16">
        <f>ROUND(((($I20+$J20)*(T$72/12)+($K20)*(T$73/12)+($M20)*(T$73/12))/27),2)</f>
        <v>4.48</v>
      </c>
      <c r="U20" s="16">
        <f>ROUND(((($I20+$J20+$N20+$O20+$P20+$Q20)*(U$72/12))/27),2)</f>
        <v>3.86</v>
      </c>
      <c r="V20" s="16"/>
      <c r="W20" s="16">
        <f>ROUND(((($I20+$J20)/9)*$W$72)+((($I20+$J20+$K20)/9)*$W$72)+((($I20+$J20+$M20)/9)*$W$72),2)</f>
        <v>3.32</v>
      </c>
      <c r="X20" s="16"/>
      <c r="Y20" s="16"/>
      <c r="Z20" s="16">
        <f t="shared" si="4"/>
        <v>0.84</v>
      </c>
      <c r="AA20" s="16">
        <f>ROUND(((($I20+$J20)*(AA$72/12))/27),2)</f>
        <v>0.98</v>
      </c>
      <c r="AB20" s="16"/>
      <c r="AC20" s="16"/>
      <c r="AD20" s="16">
        <f>IF($H20=0,$E20,ROUND($E20*$H20,2))</f>
        <v>18.15</v>
      </c>
      <c r="AE20" s="16"/>
      <c r="AF20" s="105"/>
      <c r="AG20" s="106"/>
    </row>
    <row r="21" spans="1:33" s="5" customFormat="1" ht="21.75" customHeight="1">
      <c r="A21" s="12">
        <f t="shared" si="1"/>
        <v>9</v>
      </c>
      <c r="B21" s="13">
        <f t="shared" si="2"/>
        <v>47413.21</v>
      </c>
      <c r="C21" s="14">
        <v>49281.37</v>
      </c>
      <c r="D21" s="15" t="s">
        <v>28</v>
      </c>
      <c r="E21" s="16">
        <f t="shared" si="0"/>
        <v>1868.1600000000035</v>
      </c>
      <c r="F21" s="22">
        <v>10</v>
      </c>
      <c r="G21" s="18">
        <f>ROUND((3904.072+($F21/2))/3904.072,4)</f>
        <v>1.0013</v>
      </c>
      <c r="H21" s="18">
        <f>ROUND((3904.072+($F21))/3904.072,4)</f>
        <v>1.0026</v>
      </c>
      <c r="I21" s="16">
        <f t="shared" si="3"/>
        <v>18705.89</v>
      </c>
      <c r="J21" s="16"/>
      <c r="K21" s="16">
        <f>IF($H21=0,ROUND($E21*(K$72/12),2),ROUND($E21*(K$72/12)*$H21,2))</f>
        <v>624.34</v>
      </c>
      <c r="L21" s="16"/>
      <c r="M21" s="16">
        <f>IF($H21=0,ROUND($E21*(M$72/12),2),ROUND($E21*(M$72/12)*$H21,2))</f>
        <v>1560.85</v>
      </c>
      <c r="N21" s="16">
        <f>IF($H21=0,ROUND($E21*(N$72/12),2),ROUND($E21*(N$72/12)*$H21,2))</f>
        <v>2497.36</v>
      </c>
      <c r="O21" s="16"/>
      <c r="P21" s="16"/>
      <c r="Q21" s="16"/>
      <c r="R21" s="16"/>
      <c r="S21" s="16"/>
      <c r="T21" s="16">
        <f>ROUND(((($I21+$J21)*(T$72/12)+($K21)*(T$73/12)+($M21)*(T$73/12))/27),2)</f>
        <v>488.85</v>
      </c>
      <c r="U21" s="16">
        <f>ROUND(((($I21+$J21+$N21+$O21+$P21+$Q21)*(U$72/12))/27),2)</f>
        <v>392.65</v>
      </c>
      <c r="V21" s="16"/>
      <c r="W21" s="16">
        <f>ROUND(((($I21+$J21)/9)*$W$72)+((($I21+$J21+$K21)/9)*$W$72)+((($I21+$J21+$M21)/9)*$W$72),2)</f>
        <v>356.3</v>
      </c>
      <c r="X21" s="16"/>
      <c r="Y21" s="16"/>
      <c r="Z21" s="16">
        <f t="shared" si="4"/>
        <v>86.6</v>
      </c>
      <c r="AA21" s="16">
        <f>ROUND(((($I21+$J21)*(AA$72/12))/27),2)</f>
        <v>101.03</v>
      </c>
      <c r="AB21" s="16"/>
      <c r="AC21" s="16"/>
      <c r="AD21" s="16"/>
      <c r="AE21" s="16"/>
      <c r="AF21" s="105"/>
      <c r="AG21" s="106"/>
    </row>
    <row r="22" spans="1:33" s="5" customFormat="1" ht="21.75" customHeight="1">
      <c r="A22" s="12">
        <f t="shared" si="1"/>
        <v>10</v>
      </c>
      <c r="B22" s="13">
        <f t="shared" si="2"/>
        <v>49281.37</v>
      </c>
      <c r="C22" s="14">
        <v>49444.48</v>
      </c>
      <c r="D22" s="15" t="s">
        <v>28</v>
      </c>
      <c r="E22" s="16">
        <f t="shared" si="0"/>
        <v>163.11000000000058</v>
      </c>
      <c r="F22" s="22">
        <v>10</v>
      </c>
      <c r="G22" s="18"/>
      <c r="H22" s="16"/>
      <c r="I22" s="16">
        <f t="shared" si="3"/>
        <v>1631.1</v>
      </c>
      <c r="J22" s="16"/>
      <c r="K22" s="16">
        <f>IF($H22=0,ROUND($E22*(K$72/12),2),ROUND($E22*(K$72/12)*$H22,2))</f>
        <v>54.37</v>
      </c>
      <c r="L22" s="16"/>
      <c r="M22" s="16">
        <f>IF($H22=0,ROUND($E22*(M$72/12),2),ROUND($E22*(M$72/12)*$H22,2))</f>
        <v>135.93</v>
      </c>
      <c r="N22" s="16">
        <f>IF($H22=0,ROUND($E22*(N$72/12),2),ROUND($E22*(N$72/12)*$H22,2))</f>
        <v>217.48</v>
      </c>
      <c r="O22" s="16"/>
      <c r="P22" s="16"/>
      <c r="Q22" s="16"/>
      <c r="R22" s="16"/>
      <c r="S22" s="16"/>
      <c r="T22" s="16">
        <f>ROUND(((($I22+$J22)*(T$72/12)+($K22)*(T$73/12)+($M22)*(T$73/12))/27),2)</f>
        <v>42.62</v>
      </c>
      <c r="U22" s="16">
        <f>ROUND(((($I22+$J22+$N22+$O22+$P22+$Q22)*(U$72/12))/27),2)</f>
        <v>34.23</v>
      </c>
      <c r="V22" s="16"/>
      <c r="W22" s="16">
        <f>ROUND(((($I22+$J22)/9)*$W$72)+((($I22+$J22+$K22)/9)*$W$72)+((($I22+$J22+$M22)/9)*$W$72),2)</f>
        <v>31.07</v>
      </c>
      <c r="X22" s="16"/>
      <c r="Y22" s="16"/>
      <c r="Z22" s="16">
        <f t="shared" si="4"/>
        <v>7.55</v>
      </c>
      <c r="AA22" s="16">
        <f>ROUND(((($I22+$J22)*(AA$72/12))/27),2)</f>
        <v>8.81</v>
      </c>
      <c r="AB22" s="16"/>
      <c r="AC22" s="16"/>
      <c r="AD22" s="16"/>
      <c r="AE22" s="16"/>
      <c r="AF22" s="105"/>
      <c r="AG22" s="106"/>
    </row>
    <row r="23" spans="1:33" s="5" customFormat="1" ht="21.75" customHeight="1">
      <c r="A23" s="12">
        <f t="shared" si="1"/>
        <v>11</v>
      </c>
      <c r="B23" s="13"/>
      <c r="C23" s="14"/>
      <c r="D23" s="15"/>
      <c r="E23" s="16"/>
      <c r="F23" s="22"/>
      <c r="G23" s="1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05"/>
      <c r="AG23" s="106"/>
    </row>
    <row r="24" spans="1:33" s="5" customFormat="1" ht="21.75" customHeight="1">
      <c r="A24" s="12">
        <f t="shared" si="1"/>
        <v>12</v>
      </c>
      <c r="B24" s="13"/>
      <c r="C24" s="14"/>
      <c r="D24" s="15"/>
      <c r="E24" s="16"/>
      <c r="F24" s="22"/>
      <c r="G24" s="1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05"/>
      <c r="AG24" s="106"/>
    </row>
    <row r="25" spans="1:33" s="5" customFormat="1" ht="21.75" customHeight="1">
      <c r="A25" s="12">
        <f t="shared" si="1"/>
        <v>13</v>
      </c>
      <c r="B25" s="13"/>
      <c r="C25" s="14"/>
      <c r="D25" s="15"/>
      <c r="E25" s="16"/>
      <c r="F25" s="22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05"/>
      <c r="AG25" s="106"/>
    </row>
    <row r="26" spans="1:33" s="5" customFormat="1" ht="21.75" customHeight="1">
      <c r="A26" s="12">
        <f>A25+1</f>
        <v>14</v>
      </c>
      <c r="B26" s="13"/>
      <c r="C26" s="14"/>
      <c r="D26" s="15"/>
      <c r="E26" s="16"/>
      <c r="F26" s="22"/>
      <c r="G26" s="1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05"/>
      <c r="AG26" s="106"/>
    </row>
    <row r="27" spans="1:33" s="5" customFormat="1" ht="21.75" customHeight="1">
      <c r="A27" s="12">
        <f t="shared" si="1"/>
        <v>15</v>
      </c>
      <c r="B27" s="77" t="s">
        <v>42</v>
      </c>
      <c r="C27" s="78"/>
      <c r="D27" s="78"/>
      <c r="E27" s="78"/>
      <c r="F27" s="78"/>
      <c r="G27" s="78"/>
      <c r="H27" s="78"/>
      <c r="I27" s="79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05"/>
      <c r="AG27" s="106"/>
    </row>
    <row r="28" spans="1:33" s="5" customFormat="1" ht="21.75" customHeight="1">
      <c r="A28" s="12">
        <f t="shared" si="1"/>
        <v>16</v>
      </c>
      <c r="B28" s="19" t="s">
        <v>43</v>
      </c>
      <c r="C28" s="14"/>
      <c r="D28" s="15"/>
      <c r="E28" s="16"/>
      <c r="F28" s="17"/>
      <c r="G28" s="1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05"/>
      <c r="AG28" s="106"/>
    </row>
    <row r="29" spans="1:33" s="5" customFormat="1" ht="21.75" customHeight="1">
      <c r="A29" s="12">
        <f t="shared" si="1"/>
        <v>17</v>
      </c>
      <c r="B29" s="13">
        <v>37167.11</v>
      </c>
      <c r="C29" s="14">
        <v>38624.74</v>
      </c>
      <c r="D29" s="15" t="s">
        <v>28</v>
      </c>
      <c r="E29" s="80" t="s">
        <v>31</v>
      </c>
      <c r="F29" s="81"/>
      <c r="G29" s="81"/>
      <c r="H29" s="81"/>
      <c r="I29" s="82"/>
      <c r="J29" s="16">
        <v>17840.12</v>
      </c>
      <c r="K29" s="16"/>
      <c r="L29" s="16"/>
      <c r="M29" s="16"/>
      <c r="N29" s="16"/>
      <c r="O29" s="16"/>
      <c r="P29" s="16"/>
      <c r="Q29" s="16"/>
      <c r="R29" s="16"/>
      <c r="S29" s="16"/>
      <c r="T29" s="16">
        <f>ROUND(((($I29+$J29)*(T$72/12))/27),2)</f>
        <v>440.5</v>
      </c>
      <c r="U29" s="16">
        <f>ROUND(((($I29+$J29+$N29+$O29+$P29+$Q29)*(U$72/12))/27),2)</f>
        <v>330.37</v>
      </c>
      <c r="V29" s="16"/>
      <c r="W29" s="16">
        <f>ROUND((((($I29+$J29)/9)*W$72)*3),2)</f>
        <v>327.07</v>
      </c>
      <c r="X29" s="16"/>
      <c r="Y29" s="16"/>
      <c r="Z29" s="16">
        <f>ROUND(((($I29+$J29)*(Z$72/12))/27),2)</f>
        <v>82.59</v>
      </c>
      <c r="AA29" s="16">
        <f>ROUND(((($I29+$J29)*(AA$72/12))/27),2)</f>
        <v>96.36</v>
      </c>
      <c r="AB29" s="16"/>
      <c r="AC29" s="16"/>
      <c r="AD29" s="16"/>
      <c r="AE29" s="16"/>
      <c r="AF29" s="105"/>
      <c r="AG29" s="106"/>
    </row>
    <row r="30" spans="1:33" s="5" customFormat="1" ht="21.75" customHeight="1">
      <c r="A30" s="12">
        <f t="shared" si="1"/>
        <v>18</v>
      </c>
      <c r="B30" s="19" t="s">
        <v>44</v>
      </c>
      <c r="C30" s="14"/>
      <c r="D30" s="15"/>
      <c r="E30" s="16"/>
      <c r="F30" s="17"/>
      <c r="G30" s="1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05"/>
      <c r="AG30" s="106"/>
    </row>
    <row r="31" spans="1:33" s="5" customFormat="1" ht="21.75" customHeight="1">
      <c r="A31" s="12">
        <f t="shared" si="1"/>
        <v>19</v>
      </c>
      <c r="B31" s="13">
        <v>47751.03</v>
      </c>
      <c r="C31" s="14">
        <v>48117.43</v>
      </c>
      <c r="D31" s="15" t="s">
        <v>28</v>
      </c>
      <c r="E31" s="80" t="s">
        <v>31</v>
      </c>
      <c r="F31" s="81"/>
      <c r="G31" s="81"/>
      <c r="H31" s="81"/>
      <c r="I31" s="82"/>
      <c r="J31" s="16">
        <v>3272.79</v>
      </c>
      <c r="K31" s="16"/>
      <c r="L31" s="16"/>
      <c r="M31" s="16"/>
      <c r="N31" s="16"/>
      <c r="O31" s="16"/>
      <c r="P31" s="16"/>
      <c r="Q31" s="16"/>
      <c r="R31" s="16"/>
      <c r="S31" s="16"/>
      <c r="T31" s="16">
        <f>ROUND(((($I31+$J31)*(T$72/12))/27),2)</f>
        <v>80.81</v>
      </c>
      <c r="U31" s="16">
        <f>ROUND(((($I31+$J31+$N31+$O31+$P31+$Q31)*(U$72/12))/27),2)</f>
        <v>60.61</v>
      </c>
      <c r="V31" s="16"/>
      <c r="W31" s="16">
        <f>ROUND((((($I31+$J31)/9)*W$72)*3),2)</f>
        <v>60</v>
      </c>
      <c r="X31" s="16"/>
      <c r="Y31" s="16"/>
      <c r="Z31" s="16">
        <f>ROUND(((($I31+$J31)*(Z$72/12))/27),2)</f>
        <v>15.15</v>
      </c>
      <c r="AA31" s="16">
        <f>ROUND(((($I31+$J31)*(AA$72/12))/27),2)</f>
        <v>17.68</v>
      </c>
      <c r="AB31" s="16"/>
      <c r="AC31" s="16"/>
      <c r="AD31" s="16"/>
      <c r="AE31" s="16"/>
      <c r="AF31" s="105"/>
      <c r="AG31" s="106"/>
    </row>
    <row r="32" spans="1:33" s="5" customFormat="1" ht="21.75" customHeight="1">
      <c r="A32" s="12">
        <f t="shared" si="1"/>
        <v>20</v>
      </c>
      <c r="B32" s="19" t="s">
        <v>45</v>
      </c>
      <c r="C32" s="14"/>
      <c r="D32" s="15"/>
      <c r="E32" s="16"/>
      <c r="F32" s="17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05"/>
      <c r="AG32" s="106"/>
    </row>
    <row r="33" spans="1:33" s="5" customFormat="1" ht="21.75" customHeight="1">
      <c r="A33" s="12">
        <f t="shared" si="1"/>
        <v>21</v>
      </c>
      <c r="B33" s="13">
        <v>49094.61</v>
      </c>
      <c r="C33" s="14">
        <v>49484.83</v>
      </c>
      <c r="D33" s="15" t="s">
        <v>33</v>
      </c>
      <c r="E33" s="80" t="s">
        <v>31</v>
      </c>
      <c r="F33" s="81"/>
      <c r="G33" s="81"/>
      <c r="H33" s="81"/>
      <c r="I33" s="82"/>
      <c r="J33" s="16">
        <v>4263.43</v>
      </c>
      <c r="K33" s="16"/>
      <c r="L33" s="16"/>
      <c r="M33" s="16"/>
      <c r="N33" s="16"/>
      <c r="O33" s="16"/>
      <c r="P33" s="16"/>
      <c r="Q33" s="16"/>
      <c r="R33" s="16"/>
      <c r="S33" s="16"/>
      <c r="T33" s="16">
        <f>ROUND(((($I33+$J33)*(T$72/12))/27),2)</f>
        <v>105.27</v>
      </c>
      <c r="U33" s="16">
        <f>ROUND(((($I33+$J33+$N33+$O33+$P33+$Q33)*(U$72/12))/27),2)</f>
        <v>78.95</v>
      </c>
      <c r="V33" s="16"/>
      <c r="W33" s="16">
        <f>ROUND((((($I33+$J33)/9)*W$72)*3),2)</f>
        <v>78.16</v>
      </c>
      <c r="X33" s="16"/>
      <c r="Y33" s="16"/>
      <c r="Z33" s="16">
        <f>ROUND(((($I33+$J33)*(Z$72/12))/27),2)</f>
        <v>19.74</v>
      </c>
      <c r="AA33" s="16">
        <f>ROUND(((($I33+$J33)*(AA$72/12))/27),2)</f>
        <v>23.03</v>
      </c>
      <c r="AB33" s="16"/>
      <c r="AC33" s="16"/>
      <c r="AD33" s="16"/>
      <c r="AE33" s="16"/>
      <c r="AF33" s="105"/>
      <c r="AG33" s="106"/>
    </row>
    <row r="34" spans="1:33" s="5" customFormat="1" ht="21.75" customHeight="1">
      <c r="A34" s="12">
        <f t="shared" si="1"/>
        <v>22</v>
      </c>
      <c r="B34" s="19" t="s">
        <v>46</v>
      </c>
      <c r="C34" s="14"/>
      <c r="D34" s="15"/>
      <c r="E34" s="16"/>
      <c r="F34" s="17"/>
      <c r="G34" s="18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05"/>
      <c r="AG34" s="106"/>
    </row>
    <row r="35" spans="1:33" s="5" customFormat="1" ht="21.75" customHeight="1">
      <c r="A35" s="12">
        <f t="shared" si="1"/>
        <v>23</v>
      </c>
      <c r="B35" s="13">
        <v>49370.87</v>
      </c>
      <c r="C35" s="14">
        <v>50011.29</v>
      </c>
      <c r="D35" s="15" t="s">
        <v>28</v>
      </c>
      <c r="E35" s="80" t="s">
        <v>31</v>
      </c>
      <c r="F35" s="81"/>
      <c r="G35" s="81"/>
      <c r="H35" s="81"/>
      <c r="I35" s="82"/>
      <c r="J35" s="16">
        <v>4654.2</v>
      </c>
      <c r="K35" s="16"/>
      <c r="L35" s="16"/>
      <c r="M35" s="16"/>
      <c r="N35" s="16"/>
      <c r="O35" s="16"/>
      <c r="P35" s="16"/>
      <c r="Q35" s="16"/>
      <c r="R35" s="16"/>
      <c r="S35" s="16"/>
      <c r="T35" s="16">
        <f>ROUND(((($I35+$J35)*(T$72/12))/27),2)</f>
        <v>114.92</v>
      </c>
      <c r="U35" s="16">
        <f>ROUND(((($I35+$J35+$N35+$O35+$P35+$Q35)*(U$72/12))/27),2)</f>
        <v>86.19</v>
      </c>
      <c r="V35" s="16"/>
      <c r="W35" s="16">
        <f>ROUND((((($I35+$J35)/9)*W$72)*3),2)</f>
        <v>85.33</v>
      </c>
      <c r="X35" s="16"/>
      <c r="Y35" s="16"/>
      <c r="Z35" s="16">
        <f>ROUND(((($I35+$J35)*(Z$72/12))/27),2)</f>
        <v>21.55</v>
      </c>
      <c r="AA35" s="16">
        <f>ROUND(((($I35+$J35)*(AA$72/12))/27),2)</f>
        <v>25.14</v>
      </c>
      <c r="AB35" s="16"/>
      <c r="AC35" s="16"/>
      <c r="AD35" s="16"/>
      <c r="AE35" s="16"/>
      <c r="AF35" s="105"/>
      <c r="AG35" s="106"/>
    </row>
    <row r="36" spans="1:33" s="5" customFormat="1" ht="21.75" customHeight="1">
      <c r="A36" s="12">
        <f t="shared" si="1"/>
        <v>24</v>
      </c>
      <c r="B36" s="19" t="s">
        <v>47</v>
      </c>
      <c r="C36" s="14"/>
      <c r="D36" s="15"/>
      <c r="E36" s="16"/>
      <c r="F36" s="22"/>
      <c r="G36" s="1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05"/>
      <c r="AG36" s="106"/>
    </row>
    <row r="37" spans="1:33" s="5" customFormat="1" ht="21.75" customHeight="1">
      <c r="A37" s="12">
        <f t="shared" si="1"/>
        <v>25</v>
      </c>
      <c r="B37" s="14">
        <v>50742.24</v>
      </c>
      <c r="C37" s="14">
        <v>51485</v>
      </c>
      <c r="D37" s="15" t="s">
        <v>28</v>
      </c>
      <c r="E37" s="80" t="s">
        <v>31</v>
      </c>
      <c r="F37" s="81"/>
      <c r="G37" s="81"/>
      <c r="H37" s="81"/>
      <c r="I37" s="82"/>
      <c r="J37" s="16">
        <v>6205.23</v>
      </c>
      <c r="K37" s="16"/>
      <c r="L37" s="16"/>
      <c r="M37" s="16"/>
      <c r="N37" s="16"/>
      <c r="O37" s="16"/>
      <c r="P37" s="16"/>
      <c r="Q37" s="16"/>
      <c r="R37" s="16"/>
      <c r="S37" s="16"/>
      <c r="T37" s="16">
        <f>ROUND(((($I37+$J37)*(T$72/12))/27),2)</f>
        <v>153.22</v>
      </c>
      <c r="U37" s="16">
        <f>ROUND(((($I37+$J37+$N37+$O37+$P37+$Q37)*(U$72/12))/27),2)</f>
        <v>114.91</v>
      </c>
      <c r="V37" s="16"/>
      <c r="W37" s="16">
        <f>ROUND((((($I37+$J37)/9)*W$72)*3),2)</f>
        <v>113.76</v>
      </c>
      <c r="X37" s="16"/>
      <c r="Y37" s="16"/>
      <c r="Z37" s="16">
        <f>ROUND(((($I37+$J37)*(Z$72/12))/27),2)</f>
        <v>28.73</v>
      </c>
      <c r="AA37" s="16">
        <f>ROUND(((($I37+$J37)*(AA$72/12))/27),2)</f>
        <v>33.52</v>
      </c>
      <c r="AB37" s="16"/>
      <c r="AC37" s="16"/>
      <c r="AD37" s="16"/>
      <c r="AE37" s="16"/>
      <c r="AF37" s="105"/>
      <c r="AG37" s="106"/>
    </row>
    <row r="38" spans="1:33" s="5" customFormat="1" ht="21.75" customHeight="1">
      <c r="A38" s="12">
        <f t="shared" si="1"/>
        <v>26</v>
      </c>
      <c r="B38" s="19" t="s">
        <v>48</v>
      </c>
      <c r="C38" s="14"/>
      <c r="D38" s="15"/>
      <c r="E38" s="16"/>
      <c r="F38" s="22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05"/>
      <c r="AG38" s="106"/>
    </row>
    <row r="39" spans="1:33" s="5" customFormat="1" ht="21.75" customHeight="1">
      <c r="A39" s="12">
        <f t="shared" si="1"/>
        <v>27</v>
      </c>
      <c r="B39" s="14">
        <v>48663.69</v>
      </c>
      <c r="C39" s="38">
        <v>49444.48</v>
      </c>
      <c r="D39" s="15" t="s">
        <v>33</v>
      </c>
      <c r="E39" s="80" t="s">
        <v>31</v>
      </c>
      <c r="F39" s="81"/>
      <c r="G39" s="81"/>
      <c r="H39" s="81"/>
      <c r="I39" s="82"/>
      <c r="J39" s="16">
        <v>5756.26</v>
      </c>
      <c r="K39" s="16"/>
      <c r="L39" s="16"/>
      <c r="M39" s="16"/>
      <c r="N39" s="16"/>
      <c r="O39" s="16"/>
      <c r="P39" s="16"/>
      <c r="Q39" s="16"/>
      <c r="R39" s="16"/>
      <c r="S39" s="16"/>
      <c r="T39" s="16">
        <f>ROUND(((($I39+$J39)*(T$72/12))/27),2)</f>
        <v>142.13</v>
      </c>
      <c r="U39" s="16">
        <f>ROUND(((($I39+$J39+$N39+$O39+$P39+$Q39)*(U$72/12))/27),2)</f>
        <v>106.6</v>
      </c>
      <c r="V39" s="16"/>
      <c r="W39" s="16">
        <f>ROUND((((($I39+$J39)/9)*W$72)*3),2)</f>
        <v>105.53</v>
      </c>
      <c r="X39" s="16"/>
      <c r="Y39" s="16"/>
      <c r="Z39" s="16">
        <f>ROUND(((($I39+$J39)*(Z$72/12))/27),2)</f>
        <v>26.65</v>
      </c>
      <c r="AA39" s="16">
        <f>ROUND(((($I39+$J39)*(AA$72/12))/27),2)</f>
        <v>31.09</v>
      </c>
      <c r="AB39" s="16"/>
      <c r="AC39" s="16"/>
      <c r="AD39" s="16"/>
      <c r="AE39" s="16"/>
      <c r="AF39" s="105"/>
      <c r="AG39" s="106"/>
    </row>
    <row r="40" spans="1:33" s="5" customFormat="1" ht="21.75" customHeight="1">
      <c r="A40" s="12">
        <f t="shared" si="1"/>
        <v>28</v>
      </c>
      <c r="B40" s="19" t="s">
        <v>56</v>
      </c>
      <c r="C40" s="14"/>
      <c r="D40" s="15"/>
      <c r="E40" s="16"/>
      <c r="F40" s="17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05"/>
      <c r="AG40" s="106"/>
    </row>
    <row r="41" spans="1:33" s="5" customFormat="1" ht="21.75" customHeight="1">
      <c r="A41" s="12">
        <f t="shared" si="1"/>
        <v>29</v>
      </c>
      <c r="B41" s="14">
        <v>1545.66</v>
      </c>
      <c r="C41" s="14">
        <v>2464.81</v>
      </c>
      <c r="D41" s="15" t="s">
        <v>28</v>
      </c>
      <c r="E41" s="80" t="s">
        <v>31</v>
      </c>
      <c r="F41" s="81"/>
      <c r="G41" s="81"/>
      <c r="H41" s="81"/>
      <c r="I41" s="82"/>
      <c r="J41" s="16">
        <v>6723.26</v>
      </c>
      <c r="K41" s="16"/>
      <c r="L41" s="16"/>
      <c r="M41" s="16"/>
      <c r="N41" s="16"/>
      <c r="O41" s="16"/>
      <c r="P41" s="16"/>
      <c r="Q41" s="16"/>
      <c r="R41" s="16"/>
      <c r="S41" s="16"/>
      <c r="T41" s="16">
        <f>ROUND(((($I41+$J41)*(T$72/12))/27),2)</f>
        <v>166.01</v>
      </c>
      <c r="U41" s="16">
        <f>ROUND(((($I41+$J41+$N41+$O41+$P41+$Q41)*(U$72/12))/27),2)</f>
        <v>124.5</v>
      </c>
      <c r="V41" s="16"/>
      <c r="W41" s="16">
        <f>ROUND((((($I41+$J41)/9)*W$72)*3),2)</f>
        <v>123.26</v>
      </c>
      <c r="X41" s="16"/>
      <c r="Y41" s="16"/>
      <c r="Z41" s="16">
        <f>ROUND(((($I41+$J41)*(Z$72/12))/27),2)</f>
        <v>31.13</v>
      </c>
      <c r="AA41" s="16">
        <f>ROUND(((($I41+$J41)*(AA$72/12))/27),2)</f>
        <v>36.31</v>
      </c>
      <c r="AB41" s="16"/>
      <c r="AC41" s="16"/>
      <c r="AD41" s="16"/>
      <c r="AE41" s="16"/>
      <c r="AF41" s="105"/>
      <c r="AG41" s="106"/>
    </row>
    <row r="42" spans="1:33" s="5" customFormat="1" ht="21.75" customHeight="1">
      <c r="A42" s="12">
        <f t="shared" si="1"/>
        <v>30</v>
      </c>
      <c r="B42" s="19" t="s">
        <v>49</v>
      </c>
      <c r="C42" s="14"/>
      <c r="D42" s="15"/>
      <c r="E42" s="16"/>
      <c r="F42" s="17"/>
      <c r="G42" s="1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05"/>
      <c r="AG42" s="106"/>
    </row>
    <row r="43" spans="1:33" s="5" customFormat="1" ht="21.75" customHeight="1">
      <c r="A43" s="12">
        <f t="shared" si="1"/>
        <v>31</v>
      </c>
      <c r="B43" s="14">
        <v>59297.65</v>
      </c>
      <c r="C43" s="14">
        <v>59499.78</v>
      </c>
      <c r="D43" s="15" t="s">
        <v>33</v>
      </c>
      <c r="E43" s="80" t="s">
        <v>31</v>
      </c>
      <c r="F43" s="81"/>
      <c r="G43" s="81"/>
      <c r="H43" s="81"/>
      <c r="I43" s="82"/>
      <c r="J43" s="16">
        <v>1287.7</v>
      </c>
      <c r="K43" s="16"/>
      <c r="L43" s="16"/>
      <c r="M43" s="16"/>
      <c r="N43" s="16"/>
      <c r="O43" s="16"/>
      <c r="P43" s="16"/>
      <c r="Q43" s="16"/>
      <c r="R43" s="16"/>
      <c r="S43" s="16"/>
      <c r="T43" s="16">
        <f>ROUND(((($I43+$J43)*(T$72/12))/27),2)</f>
        <v>31.8</v>
      </c>
      <c r="U43" s="16">
        <f>ROUND(((($I43+$J43+$N43+$O43+$P43+$Q43)*(U$72/12))/27),2)</f>
        <v>23.85</v>
      </c>
      <c r="V43" s="16"/>
      <c r="W43" s="16">
        <f>ROUND((((($I43+$J43)/9)*W$72)*3),2)</f>
        <v>23.61</v>
      </c>
      <c r="X43" s="16"/>
      <c r="Y43" s="16"/>
      <c r="Z43" s="16">
        <f>ROUND(((($I43+$J43)*(Z$72/12))/27),2)</f>
        <v>5.96</v>
      </c>
      <c r="AA43" s="16">
        <f>ROUND(((($I43+$J43)*(AA$72/12))/27),2)</f>
        <v>6.96</v>
      </c>
      <c r="AB43" s="16"/>
      <c r="AC43" s="16"/>
      <c r="AD43" s="16"/>
      <c r="AE43" s="16"/>
      <c r="AF43" s="105"/>
      <c r="AG43" s="106"/>
    </row>
    <row r="44" spans="1:33" s="5" customFormat="1" ht="21.75" customHeight="1">
      <c r="A44" s="12">
        <f t="shared" si="1"/>
        <v>32</v>
      </c>
      <c r="B44" s="19" t="s">
        <v>50</v>
      </c>
      <c r="C44" s="20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05"/>
      <c r="AG44" s="106"/>
    </row>
    <row r="45" spans="1:33" s="5" customFormat="1" ht="21.75" customHeight="1">
      <c r="A45" s="12">
        <f t="shared" si="1"/>
        <v>33</v>
      </c>
      <c r="B45" s="14">
        <v>24262.73</v>
      </c>
      <c r="C45" s="21">
        <v>24579.53</v>
      </c>
      <c r="D45" s="15" t="s">
        <v>28</v>
      </c>
      <c r="E45" s="80" t="s">
        <v>31</v>
      </c>
      <c r="F45" s="81"/>
      <c r="G45" s="81"/>
      <c r="H45" s="81"/>
      <c r="I45" s="82"/>
      <c r="J45" s="16">
        <v>3850.68</v>
      </c>
      <c r="K45" s="16"/>
      <c r="L45" s="16"/>
      <c r="M45" s="16"/>
      <c r="N45" s="16"/>
      <c r="O45" s="16"/>
      <c r="P45" s="16"/>
      <c r="Q45" s="16"/>
      <c r="R45" s="16"/>
      <c r="S45" s="16"/>
      <c r="T45" s="16">
        <f>ROUND(((($I45+$J45)*(T$72/12))/27),2)</f>
        <v>95.08</v>
      </c>
      <c r="U45" s="16">
        <f>ROUND(((($I45+$J45+$N45+$O45+$P45+$Q45)*(U$72/12))/27),2)</f>
        <v>71.31</v>
      </c>
      <c r="V45" s="16"/>
      <c r="W45" s="16">
        <f>ROUND((((($I45+$J45)/9)*W$72)*3),2)</f>
        <v>70.6</v>
      </c>
      <c r="X45" s="16"/>
      <c r="Y45" s="16"/>
      <c r="Z45" s="16">
        <f>ROUND(((($I45+$J45)*(Z$72/12))/27),2)</f>
        <v>17.83</v>
      </c>
      <c r="AA45" s="16">
        <f>ROUND(((($I45+$J45)*(AA$72/12))/27),2)</f>
        <v>20.8</v>
      </c>
      <c r="AB45" s="16"/>
      <c r="AC45" s="16"/>
      <c r="AD45" s="16"/>
      <c r="AE45" s="16"/>
      <c r="AF45" s="105"/>
      <c r="AG45" s="106"/>
    </row>
    <row r="46" spans="1:33" s="5" customFormat="1" ht="21.75" customHeight="1">
      <c r="A46" s="12">
        <f t="shared" si="1"/>
        <v>34</v>
      </c>
      <c r="B46" s="19" t="s">
        <v>51</v>
      </c>
      <c r="C46" s="14"/>
      <c r="D46" s="15"/>
      <c r="E46" s="16"/>
      <c r="F46" s="17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05"/>
      <c r="AG46" s="106"/>
    </row>
    <row r="47" spans="1:33" s="5" customFormat="1" ht="21.75" customHeight="1">
      <c r="A47" s="12">
        <f t="shared" si="1"/>
        <v>35</v>
      </c>
      <c r="B47" s="13">
        <v>25830.01</v>
      </c>
      <c r="C47" s="14">
        <v>26076.94</v>
      </c>
      <c r="D47" s="15" t="s">
        <v>28</v>
      </c>
      <c r="E47" s="80" t="s">
        <v>31</v>
      </c>
      <c r="F47" s="81"/>
      <c r="G47" s="81"/>
      <c r="H47" s="81"/>
      <c r="I47" s="82"/>
      <c r="J47" s="16">
        <v>2416.6</v>
      </c>
      <c r="K47" s="16"/>
      <c r="L47" s="16"/>
      <c r="M47" s="16"/>
      <c r="N47" s="16"/>
      <c r="O47" s="16"/>
      <c r="P47" s="16"/>
      <c r="Q47" s="16"/>
      <c r="R47" s="16"/>
      <c r="S47" s="16"/>
      <c r="T47" s="16">
        <f>ROUND(((($I47+$J47)*(T$72/12))/27),2)</f>
        <v>59.67</v>
      </c>
      <c r="U47" s="16">
        <f>ROUND(((($I47+$J47+$N47+$O47+$P47+$Q47)*(U$72/12))/27),2)</f>
        <v>44.75</v>
      </c>
      <c r="V47" s="16"/>
      <c r="W47" s="16">
        <f>ROUND((((($I47+$J47)/9)*W$72)*3),2)</f>
        <v>44.3</v>
      </c>
      <c r="X47" s="16"/>
      <c r="Y47" s="16"/>
      <c r="Z47" s="16">
        <f>ROUND(((($I47+$J47)*(Z$72/12))/27),2)</f>
        <v>11.19</v>
      </c>
      <c r="AA47" s="16">
        <f>ROUND(((($I47+$J47)*(AA$72/12))/27),2)</f>
        <v>13.05</v>
      </c>
      <c r="AB47" s="16"/>
      <c r="AC47" s="16"/>
      <c r="AD47" s="16"/>
      <c r="AE47" s="16"/>
      <c r="AF47" s="105"/>
      <c r="AG47" s="106"/>
    </row>
    <row r="48" spans="1:33" s="5" customFormat="1" ht="21.75" customHeight="1">
      <c r="A48" s="12">
        <f t="shared" si="1"/>
        <v>36</v>
      </c>
      <c r="B48" s="19" t="s">
        <v>52</v>
      </c>
      <c r="C48" s="14"/>
      <c r="D48" s="15"/>
      <c r="E48" s="16"/>
      <c r="F48" s="22"/>
      <c r="G48" s="18"/>
      <c r="H48" s="16"/>
      <c r="I48" s="16"/>
      <c r="J48" s="16"/>
      <c r="K48" s="16"/>
      <c r="L48" s="16"/>
      <c r="M48" s="16"/>
      <c r="N48" s="16"/>
      <c r="O48" s="16"/>
      <c r="P48" s="16"/>
      <c r="Q48" s="41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05"/>
      <c r="AG48" s="106"/>
    </row>
    <row r="49" spans="1:33" s="5" customFormat="1" ht="21.75" customHeight="1">
      <c r="A49" s="12">
        <f t="shared" si="1"/>
        <v>37</v>
      </c>
      <c r="B49" s="13">
        <v>27144.1</v>
      </c>
      <c r="C49" s="14">
        <v>27749.68</v>
      </c>
      <c r="D49" s="15" t="s">
        <v>28</v>
      </c>
      <c r="E49" s="80" t="s">
        <v>31</v>
      </c>
      <c r="F49" s="81"/>
      <c r="G49" s="81"/>
      <c r="H49" s="81"/>
      <c r="I49" s="82"/>
      <c r="J49" s="16">
        <v>4499.7</v>
      </c>
      <c r="K49" s="16"/>
      <c r="L49" s="16"/>
      <c r="M49" s="16"/>
      <c r="N49" s="16"/>
      <c r="O49" s="16"/>
      <c r="P49" s="16"/>
      <c r="Q49" s="16"/>
      <c r="R49" s="16"/>
      <c r="S49" s="16"/>
      <c r="T49" s="16">
        <f>ROUND(((($I49+$J49)*(T$72/12))/27),2)</f>
        <v>111.1</v>
      </c>
      <c r="U49" s="16">
        <f>ROUND(((($I49+$J49+$N49+$O49+$P49+$Q49)*(U$72/12))/27),2)</f>
        <v>83.33</v>
      </c>
      <c r="V49" s="16"/>
      <c r="W49" s="16">
        <f>ROUND((((($I49+$J49)/9)*W$72)*3),2)</f>
        <v>82.49</v>
      </c>
      <c r="X49" s="16"/>
      <c r="Y49" s="16"/>
      <c r="Z49" s="16">
        <f>ROUND(((($I49+$J49)*(Z$72/12))/27),2)</f>
        <v>20.83</v>
      </c>
      <c r="AA49" s="16">
        <f>ROUND(((($I49+$J49)*(AA$72/12))/27),2)</f>
        <v>24.3</v>
      </c>
      <c r="AB49" s="16"/>
      <c r="AC49" s="16"/>
      <c r="AD49" s="16"/>
      <c r="AE49" s="16"/>
      <c r="AF49" s="105"/>
      <c r="AG49" s="106"/>
    </row>
    <row r="50" spans="1:33" s="5" customFormat="1" ht="21.75" customHeight="1" thickBot="1">
      <c r="A50" s="12">
        <f t="shared" si="1"/>
        <v>38</v>
      </c>
      <c r="B50" s="19" t="s">
        <v>53</v>
      </c>
      <c r="C50" s="14"/>
      <c r="D50" s="15"/>
      <c r="E50" s="16"/>
      <c r="F50" s="17"/>
      <c r="G50" s="1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07"/>
      <c r="AG50" s="108"/>
    </row>
    <row r="51" spans="1:33" s="5" customFormat="1" ht="21.75" customHeight="1">
      <c r="A51" s="12">
        <f t="shared" si="1"/>
        <v>39</v>
      </c>
      <c r="B51" s="13">
        <v>22500</v>
      </c>
      <c r="C51" s="14">
        <v>23563.23</v>
      </c>
      <c r="D51" s="15" t="s">
        <v>33</v>
      </c>
      <c r="E51" s="80" t="s">
        <v>31</v>
      </c>
      <c r="F51" s="81"/>
      <c r="G51" s="81"/>
      <c r="H51" s="81"/>
      <c r="I51" s="82"/>
      <c r="J51" s="16">
        <v>11404.51</v>
      </c>
      <c r="K51" s="16"/>
      <c r="L51" s="16"/>
      <c r="M51" s="16"/>
      <c r="N51" s="16"/>
      <c r="O51" s="16"/>
      <c r="P51" s="16"/>
      <c r="Q51" s="16"/>
      <c r="R51" s="16"/>
      <c r="S51" s="16"/>
      <c r="T51" s="16">
        <f>ROUND(((($I51+$J51)*(T$72/12))/27),2)</f>
        <v>281.59</v>
      </c>
      <c r="U51" s="16">
        <f>ROUND(((($I51+$J51+$N51+$O51+$P51+$Q51)*(U$72/12))/27),2)</f>
        <v>211.19</v>
      </c>
      <c r="V51" s="16"/>
      <c r="W51" s="16">
        <f>ROUND((((($I51+$J51)/9)*W$72)*3),2)</f>
        <v>209.08</v>
      </c>
      <c r="X51" s="16"/>
      <c r="Y51" s="16"/>
      <c r="Z51" s="16">
        <f>ROUND(((($I51+$J51)*(Z$72/12))/27),2)</f>
        <v>52.8</v>
      </c>
      <c r="AA51" s="16">
        <f>ROUND(((($I51+$J51)*(AA$72/12))/27),2)</f>
        <v>61.6</v>
      </c>
      <c r="AB51" s="16"/>
      <c r="AC51" s="16"/>
      <c r="AD51" s="16"/>
      <c r="AE51" s="16"/>
      <c r="AF51" s="103" t="s">
        <v>93</v>
      </c>
      <c r="AG51" s="104"/>
    </row>
    <row r="52" spans="1:33" s="5" customFormat="1" ht="21.75" customHeight="1">
      <c r="A52" s="12">
        <f t="shared" si="1"/>
        <v>40</v>
      </c>
      <c r="B52" s="19" t="s">
        <v>54</v>
      </c>
      <c r="C52" s="14"/>
      <c r="D52" s="15"/>
      <c r="E52" s="16"/>
      <c r="F52" s="22"/>
      <c r="G52" s="1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05"/>
      <c r="AG52" s="106"/>
    </row>
    <row r="53" spans="1:33" s="5" customFormat="1" ht="21.75" customHeight="1">
      <c r="A53" s="12">
        <f t="shared" si="1"/>
        <v>41</v>
      </c>
      <c r="B53" s="13">
        <v>24780.74</v>
      </c>
      <c r="C53" s="14">
        <v>25078.79</v>
      </c>
      <c r="D53" s="15" t="s">
        <v>33</v>
      </c>
      <c r="E53" s="80" t="s">
        <v>31</v>
      </c>
      <c r="F53" s="81"/>
      <c r="G53" s="81"/>
      <c r="H53" s="81"/>
      <c r="I53" s="82"/>
      <c r="J53" s="16">
        <v>2906.77</v>
      </c>
      <c r="K53" s="16"/>
      <c r="L53" s="16"/>
      <c r="M53" s="16"/>
      <c r="N53" s="16"/>
      <c r="O53" s="16"/>
      <c r="P53" s="16"/>
      <c r="Q53" s="16"/>
      <c r="R53" s="16"/>
      <c r="S53" s="16"/>
      <c r="T53" s="16">
        <f>ROUND(((($I53+$J53)*(T$72/12))/27),2)</f>
        <v>71.77</v>
      </c>
      <c r="U53" s="16">
        <f>ROUND(((($I53+$J53+$N53+$O53+$P53+$Q53)*(U$72/12))/27),2)</f>
        <v>53.83</v>
      </c>
      <c r="V53" s="16"/>
      <c r="W53" s="16">
        <f>ROUND((((($I53+$J53)/9)*W$72)*3),2)</f>
        <v>53.29</v>
      </c>
      <c r="X53" s="16"/>
      <c r="Y53" s="16"/>
      <c r="Z53" s="16">
        <f>ROUND(((($I53+$J53)*(Z$72/12))/27),2)</f>
        <v>13.46</v>
      </c>
      <c r="AA53" s="16">
        <f>ROUND(((($I53+$J53)*(AA$72/12))/27),2)</f>
        <v>15.7</v>
      </c>
      <c r="AB53" s="16"/>
      <c r="AC53" s="16"/>
      <c r="AD53" s="16"/>
      <c r="AE53" s="16"/>
      <c r="AF53" s="105"/>
      <c r="AG53" s="106"/>
    </row>
    <row r="54" spans="1:33" s="5" customFormat="1" ht="21.75" customHeight="1">
      <c r="A54" s="12">
        <f t="shared" si="1"/>
        <v>42</v>
      </c>
      <c r="B54" s="19" t="s">
        <v>55</v>
      </c>
      <c r="C54" s="14"/>
      <c r="D54" s="15"/>
      <c r="E54" s="16"/>
      <c r="F54" s="22"/>
      <c r="G54" s="1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05"/>
      <c r="AG54" s="106"/>
    </row>
    <row r="55" spans="1:33" s="5" customFormat="1" ht="21.75" customHeight="1">
      <c r="A55" s="12">
        <f t="shared" si="1"/>
        <v>43</v>
      </c>
      <c r="B55" s="13">
        <v>26470.74</v>
      </c>
      <c r="C55" s="14">
        <v>26804.44</v>
      </c>
      <c r="D55" s="15" t="s">
        <v>33</v>
      </c>
      <c r="E55" s="80" t="s">
        <v>31</v>
      </c>
      <c r="F55" s="81"/>
      <c r="G55" s="81"/>
      <c r="H55" s="81"/>
      <c r="I55" s="82"/>
      <c r="J55" s="16">
        <v>2993.91</v>
      </c>
      <c r="K55" s="16"/>
      <c r="L55" s="16"/>
      <c r="M55" s="16"/>
      <c r="N55" s="16"/>
      <c r="O55" s="16"/>
      <c r="P55" s="16"/>
      <c r="Q55" s="16"/>
      <c r="R55" s="16"/>
      <c r="S55" s="16"/>
      <c r="T55" s="16">
        <f>ROUND(((($I55+$J55)*(T$72/12))/27),2)</f>
        <v>73.92</v>
      </c>
      <c r="U55" s="16">
        <f>ROUND(((($I55+$J55+$N55+$O55+$P55+$Q55)*(U$72/12))/27),2)</f>
        <v>55.44</v>
      </c>
      <c r="V55" s="16"/>
      <c r="W55" s="16">
        <f>ROUND((((($I55+$J55)/9)*W$72)*3),2)</f>
        <v>54.89</v>
      </c>
      <c r="X55" s="16"/>
      <c r="Y55" s="16"/>
      <c r="Z55" s="16">
        <f>ROUND(((($I55+$J55)*(Z$72/12))/27),2)</f>
        <v>13.86</v>
      </c>
      <c r="AA55" s="16">
        <f>ROUND(((($I55+$J55)*(AA$72/12))/27),2)</f>
        <v>16.17</v>
      </c>
      <c r="AB55" s="16"/>
      <c r="AC55" s="16"/>
      <c r="AD55" s="16"/>
      <c r="AE55" s="16"/>
      <c r="AF55" s="105"/>
      <c r="AG55" s="106"/>
    </row>
    <row r="56" spans="1:33" s="5" customFormat="1" ht="21.75" customHeight="1">
      <c r="A56" s="12">
        <f t="shared" si="1"/>
        <v>44</v>
      </c>
      <c r="B56" s="14"/>
      <c r="C56" s="38"/>
      <c r="D56" s="15"/>
      <c r="E56" s="16"/>
      <c r="F56" s="17"/>
      <c r="G56" s="1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05"/>
      <c r="AG56" s="106"/>
    </row>
    <row r="57" spans="1:33" s="5" customFormat="1" ht="21.75" customHeight="1">
      <c r="A57" s="12">
        <f>A56+1</f>
        <v>45</v>
      </c>
      <c r="B57" s="14"/>
      <c r="C57" s="14"/>
      <c r="D57" s="15"/>
      <c r="E57" s="16"/>
      <c r="F57" s="17"/>
      <c r="G57" s="18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05"/>
      <c r="AG57" s="106"/>
    </row>
    <row r="58" spans="1:33" s="24" customFormat="1" ht="21.75" customHeight="1">
      <c r="A58" s="12">
        <f t="shared" si="1"/>
        <v>46</v>
      </c>
      <c r="B58" s="14"/>
      <c r="C58" s="14"/>
      <c r="D58" s="15"/>
      <c r="E58" s="16"/>
      <c r="F58" s="17"/>
      <c r="G58" s="18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05"/>
      <c r="AG58" s="106"/>
    </row>
    <row r="59" spans="1:33" s="24" customFormat="1" ht="21.75" customHeight="1">
      <c r="A59" s="12">
        <f t="shared" si="1"/>
        <v>47</v>
      </c>
      <c r="B59" s="14"/>
      <c r="C59" s="14"/>
      <c r="D59" s="15"/>
      <c r="E59" s="16"/>
      <c r="F59" s="17"/>
      <c r="G59" s="18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05"/>
      <c r="AG59" s="106"/>
    </row>
    <row r="60" spans="1:33" s="24" customFormat="1" ht="21.75" customHeight="1">
      <c r="A60" s="12">
        <f t="shared" si="1"/>
        <v>48</v>
      </c>
      <c r="B60" s="14"/>
      <c r="C60" s="14"/>
      <c r="D60" s="15"/>
      <c r="E60" s="16"/>
      <c r="F60" s="17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05"/>
      <c r="AG60" s="106"/>
    </row>
    <row r="61" spans="1:33" s="24" customFormat="1" ht="21.75" customHeight="1">
      <c r="A61" s="12">
        <f t="shared" si="1"/>
        <v>49</v>
      </c>
      <c r="B61" s="14"/>
      <c r="C61" s="14"/>
      <c r="D61" s="15"/>
      <c r="E61" s="16"/>
      <c r="F61" s="17"/>
      <c r="G61" s="18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05"/>
      <c r="AG61" s="106"/>
    </row>
    <row r="62" spans="1:33" s="24" customFormat="1" ht="21.75" customHeight="1">
      <c r="A62" s="12">
        <f t="shared" si="1"/>
        <v>50</v>
      </c>
      <c r="B62" s="14"/>
      <c r="C62" s="14"/>
      <c r="D62" s="15"/>
      <c r="E62" s="16"/>
      <c r="F62" s="17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05"/>
      <c r="AG62" s="106"/>
    </row>
    <row r="63" spans="1:33" s="24" customFormat="1" ht="21.75" customHeight="1">
      <c r="A63" s="12">
        <f t="shared" si="1"/>
        <v>51</v>
      </c>
      <c r="B63" s="14"/>
      <c r="C63" s="14"/>
      <c r="D63" s="15"/>
      <c r="E63" s="16"/>
      <c r="F63" s="17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05"/>
      <c r="AG63" s="106"/>
    </row>
    <row r="64" spans="1:33" s="24" customFormat="1" ht="21.75" customHeight="1">
      <c r="A64" s="12">
        <f t="shared" si="1"/>
        <v>52</v>
      </c>
      <c r="B64" s="14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12"/>
      <c r="AG64" s="106"/>
    </row>
    <row r="65" spans="1:33" s="24" customFormat="1" ht="21.75" customHeight="1">
      <c r="A65" s="12">
        <f t="shared" si="1"/>
        <v>53</v>
      </c>
      <c r="B65" s="14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12"/>
      <c r="AG65" s="106"/>
    </row>
    <row r="66" spans="1:33" s="24" customFormat="1" ht="21.75" customHeight="1" thickBot="1">
      <c r="A66" s="12">
        <f t="shared" si="1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13"/>
      <c r="AG66" s="108"/>
    </row>
    <row r="67" spans="2:33" s="25" customFormat="1" ht="46.5" customHeight="1">
      <c r="B67" s="93" t="s">
        <v>8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5"/>
      <c r="S67" s="110" t="str">
        <f aca="true" t="shared" si="6" ref="S67:AE67">IF(SUM(S13:S66)=0," ",ROUNDUP(SUM(S13:S66),0))</f>
        <v> </v>
      </c>
      <c r="T67" s="110">
        <f t="shared" si="6"/>
        <v>2605</v>
      </c>
      <c r="U67" s="110">
        <f t="shared" si="6"/>
        <v>1988</v>
      </c>
      <c r="V67" s="110" t="str">
        <f t="shared" si="6"/>
        <v> </v>
      </c>
      <c r="W67" s="110">
        <f t="shared" si="6"/>
        <v>1925</v>
      </c>
      <c r="X67" s="110" t="str">
        <f t="shared" si="6"/>
        <v> </v>
      </c>
      <c r="Y67" s="110" t="str">
        <f t="shared" si="6"/>
        <v> </v>
      </c>
      <c r="Z67" s="110">
        <f t="shared" si="6"/>
        <v>478</v>
      </c>
      <c r="AA67" s="110">
        <f t="shared" si="6"/>
        <v>562</v>
      </c>
      <c r="AB67" s="110" t="str">
        <f t="shared" si="6"/>
        <v> </v>
      </c>
      <c r="AC67" s="110" t="str">
        <f t="shared" si="6"/>
        <v> </v>
      </c>
      <c r="AD67" s="110">
        <f t="shared" si="6"/>
        <v>19</v>
      </c>
      <c r="AE67" s="110" t="str">
        <f t="shared" si="6"/>
        <v> </v>
      </c>
      <c r="AF67" s="120">
        <v>6</v>
      </c>
      <c r="AG67" s="121"/>
    </row>
    <row r="68" spans="2:33" s="25" customFormat="1" ht="46.5" customHeight="1" thickBot="1"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8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4">
        <v>15</v>
      </c>
      <c r="AG68" s="115"/>
    </row>
    <row r="69" spans="1:34" ht="36" customHeight="1">
      <c r="A69" s="26"/>
      <c r="B69" s="27"/>
      <c r="C69" s="27"/>
      <c r="D69" s="27"/>
      <c r="E69" s="27"/>
      <c r="F69" s="27"/>
      <c r="G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U69" s="27"/>
      <c r="V69" s="27"/>
      <c r="W69" s="1"/>
      <c r="X69" s="27"/>
      <c r="Y69" s="27"/>
      <c r="Z69" s="27"/>
      <c r="AA69" s="27"/>
      <c r="AB69" s="27"/>
      <c r="AE69" s="27"/>
      <c r="AF69" s="27"/>
      <c r="AG69" s="27"/>
      <c r="AH69" s="28"/>
    </row>
    <row r="70" spans="2:33" ht="12.75">
      <c r="B70" s="27"/>
      <c r="C70" s="27"/>
      <c r="D70" s="27"/>
      <c r="E70" s="27"/>
      <c r="F70" s="27"/>
      <c r="G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U70" s="27"/>
      <c r="V70" s="27"/>
      <c r="W70" s="1"/>
      <c r="X70" s="27"/>
      <c r="Y70" s="27"/>
      <c r="Z70" s="27"/>
      <c r="AA70" s="27"/>
      <c r="AB70" s="27"/>
      <c r="AE70" s="27"/>
      <c r="AF70" s="27"/>
      <c r="AG70" s="27"/>
    </row>
    <row r="71" spans="2:33" ht="12.75">
      <c r="B71" s="27"/>
      <c r="C71" s="27"/>
      <c r="D71" s="27"/>
      <c r="E71" s="27"/>
      <c r="F71" s="27"/>
      <c r="G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U71" s="27"/>
      <c r="V71" s="27"/>
      <c r="W71" s="1"/>
      <c r="X71" s="27"/>
      <c r="Y71" s="27"/>
      <c r="Z71" s="27"/>
      <c r="AA71" s="27"/>
      <c r="AB71" s="27"/>
      <c r="AE71" s="27"/>
      <c r="AF71" s="27"/>
      <c r="AG71" s="27"/>
    </row>
    <row r="72" spans="2:33" ht="15.75">
      <c r="B72" s="60" t="s">
        <v>34</v>
      </c>
      <c r="C72" s="61"/>
      <c r="D72" s="61"/>
      <c r="E72" s="61"/>
      <c r="F72" s="61"/>
      <c r="G72" s="62"/>
      <c r="I72" s="42"/>
      <c r="J72" s="42"/>
      <c r="K72" s="42">
        <v>4</v>
      </c>
      <c r="L72" s="42">
        <v>6</v>
      </c>
      <c r="M72" s="42">
        <v>10</v>
      </c>
      <c r="N72" s="42">
        <v>16</v>
      </c>
      <c r="O72" s="42">
        <v>18</v>
      </c>
      <c r="P72" s="42">
        <v>20</v>
      </c>
      <c r="Q72" s="42">
        <v>22</v>
      </c>
      <c r="R72" s="42">
        <v>22.875</v>
      </c>
      <c r="S72" s="42"/>
      <c r="T72" s="42">
        <v>8</v>
      </c>
      <c r="U72" s="43">
        <v>6</v>
      </c>
      <c r="V72" s="44"/>
      <c r="W72" s="44">
        <v>0.055</v>
      </c>
      <c r="X72" s="44"/>
      <c r="Y72" s="43"/>
      <c r="Z72" s="43">
        <v>1.5</v>
      </c>
      <c r="AA72" s="43">
        <v>1.75</v>
      </c>
      <c r="AB72" s="43"/>
      <c r="AC72" s="43"/>
      <c r="AD72" s="43"/>
      <c r="AE72" s="44"/>
      <c r="AF72" s="27"/>
      <c r="AG72" s="27"/>
    </row>
    <row r="73" spans="2:33" ht="15">
      <c r="B73" s="27"/>
      <c r="C73" s="27"/>
      <c r="D73" s="27"/>
      <c r="E73" s="27"/>
      <c r="F73" s="27"/>
      <c r="G73" s="27"/>
      <c r="I73" s="27"/>
      <c r="J73" s="27"/>
      <c r="K73" s="27"/>
      <c r="L73" s="27"/>
      <c r="M73" s="27"/>
      <c r="N73" s="27"/>
      <c r="O73" s="27"/>
      <c r="P73" s="27"/>
      <c r="Q73" s="27"/>
      <c r="R73" s="23"/>
      <c r="S73" s="23"/>
      <c r="T73" s="23">
        <f>T72/2</f>
        <v>4</v>
      </c>
      <c r="V73" s="42"/>
      <c r="W73" s="1"/>
      <c r="X73" s="45"/>
      <c r="Y73" s="27"/>
      <c r="Z73" s="27"/>
      <c r="AA73" s="27"/>
      <c r="AB73" s="27"/>
      <c r="AE73" s="27"/>
      <c r="AF73" s="27"/>
      <c r="AG73" s="27"/>
    </row>
    <row r="74" spans="2:33" ht="15">
      <c r="B74" s="27"/>
      <c r="C74" s="29"/>
      <c r="D74" s="27"/>
      <c r="E74" s="27"/>
      <c r="F74" s="27"/>
      <c r="G74" s="27"/>
      <c r="H74" s="30"/>
      <c r="I74" s="27"/>
      <c r="J74" s="27"/>
      <c r="K74" s="92"/>
      <c r="L74" s="124"/>
      <c r="M74" s="124"/>
      <c r="N74" s="124"/>
      <c r="O74" s="124"/>
      <c r="P74" s="124"/>
      <c r="Q74" s="124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27"/>
      <c r="AG74" s="27"/>
    </row>
  </sheetData>
  <sheetProtection/>
  <mergeCells count="66">
    <mergeCell ref="E35:I35"/>
    <mergeCell ref="E49:I49"/>
    <mergeCell ref="E51:I51"/>
    <mergeCell ref="B3:C11"/>
    <mergeCell ref="D3:D11"/>
    <mergeCell ref="E3:E11"/>
    <mergeCell ref="E37:I37"/>
    <mergeCell ref="B27:I27"/>
    <mergeCell ref="E29:I29"/>
    <mergeCell ref="E31:I31"/>
    <mergeCell ref="E33:I33"/>
    <mergeCell ref="G3:G11"/>
    <mergeCell ref="H3:H11"/>
    <mergeCell ref="I3:I11"/>
    <mergeCell ref="K3:K11"/>
    <mergeCell ref="J3:J11"/>
    <mergeCell ref="F3:F11"/>
    <mergeCell ref="E53:I53"/>
    <mergeCell ref="E55:I55"/>
    <mergeCell ref="E41:I41"/>
    <mergeCell ref="E43:I43"/>
    <mergeCell ref="E45:I45"/>
    <mergeCell ref="E47:I47"/>
    <mergeCell ref="P3:P11"/>
    <mergeCell ref="X4:X11"/>
    <mergeCell ref="Q3:Q11"/>
    <mergeCell ref="R3:R11"/>
    <mergeCell ref="AB4:AB11"/>
    <mergeCell ref="B14:I14"/>
    <mergeCell ref="L3:L11"/>
    <mergeCell ref="Y4:Y11"/>
    <mergeCell ref="Z4:Z11"/>
    <mergeCell ref="S4:S11"/>
    <mergeCell ref="T4:T11"/>
    <mergeCell ref="B67:R68"/>
    <mergeCell ref="X67:X68"/>
    <mergeCell ref="U67:U68"/>
    <mergeCell ref="E39:I39"/>
    <mergeCell ref="O3:O11"/>
    <mergeCell ref="K74:Q74"/>
    <mergeCell ref="Y67:Y68"/>
    <mergeCell ref="Z67:Z68"/>
    <mergeCell ref="AC67:AC68"/>
    <mergeCell ref="S67:S68"/>
    <mergeCell ref="T67:T68"/>
    <mergeCell ref="AA67:AA68"/>
    <mergeCell ref="AB67:AB68"/>
    <mergeCell ref="M3:M11"/>
    <mergeCell ref="AF3:AF5"/>
    <mergeCell ref="AG3:AG5"/>
    <mergeCell ref="N3:N11"/>
    <mergeCell ref="AE4:AE11"/>
    <mergeCell ref="AF68:AG68"/>
    <mergeCell ref="AF6:AG50"/>
    <mergeCell ref="AA4:AA11"/>
    <mergeCell ref="AC4:AC11"/>
    <mergeCell ref="AD4:AD11"/>
    <mergeCell ref="W4:W11"/>
    <mergeCell ref="U4:U11"/>
    <mergeCell ref="V4:V11"/>
    <mergeCell ref="AF67:AG67"/>
    <mergeCell ref="V67:V68"/>
    <mergeCell ref="W67:W68"/>
    <mergeCell ref="AD67:AD68"/>
    <mergeCell ref="AE67:AE68"/>
    <mergeCell ref="AF51:AG66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AA4" sqref="AA4:AA11"/>
    </sheetView>
  </sheetViews>
  <sheetFormatPr defaultColWidth="9.140625" defaultRowHeight="12.75"/>
  <cols>
    <col min="1" max="3" width="24.7109375" style="1" customWidth="1"/>
    <col min="4" max="22" width="15.7109375" style="1" customWidth="1"/>
    <col min="23" max="23" width="15.7109375" style="46" customWidth="1"/>
    <col min="24" max="31" width="15.7109375" style="1" customWidth="1"/>
    <col min="32" max="34" width="6.7109375" style="1" customWidth="1"/>
    <col min="35" max="16384" width="9.140625" style="1" customWidth="1"/>
  </cols>
  <sheetData>
    <row r="1" spans="8:27" ht="12.75">
      <c r="H1" s="48"/>
      <c r="S1" s="48"/>
      <c r="T1" s="48"/>
      <c r="U1" s="48"/>
      <c r="V1" s="48"/>
      <c r="W1" s="49"/>
      <c r="X1" s="48"/>
      <c r="Z1" s="48"/>
      <c r="AA1" s="48"/>
    </row>
    <row r="2" spans="1:34" s="4" customFormat="1" ht="36" customHeight="1" thickBot="1">
      <c r="A2" s="2"/>
      <c r="B2" s="31" t="s">
        <v>14</v>
      </c>
      <c r="C2" s="32"/>
      <c r="D2" s="33"/>
      <c r="E2" s="33"/>
      <c r="F2" s="33"/>
      <c r="G2" s="33"/>
      <c r="H2" s="50"/>
      <c r="I2" s="34"/>
      <c r="J2" s="33"/>
      <c r="K2" s="33"/>
      <c r="L2" s="33"/>
      <c r="M2" s="33"/>
      <c r="N2" s="33"/>
      <c r="O2" s="33"/>
      <c r="P2" s="33"/>
      <c r="Q2" s="34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47"/>
      <c r="AH2" s="3"/>
    </row>
    <row r="3" spans="2:34" s="5" customFormat="1" ht="21.75" customHeight="1">
      <c r="B3" s="93" t="s">
        <v>0</v>
      </c>
      <c r="C3" s="95"/>
      <c r="D3" s="89" t="s">
        <v>3</v>
      </c>
      <c r="E3" s="89" t="s">
        <v>4</v>
      </c>
      <c r="F3" s="89" t="s">
        <v>5</v>
      </c>
      <c r="G3" s="86" t="s">
        <v>12</v>
      </c>
      <c r="H3" s="86" t="s">
        <v>94</v>
      </c>
      <c r="I3" s="89" t="s">
        <v>6</v>
      </c>
      <c r="J3" s="86" t="s">
        <v>10</v>
      </c>
      <c r="K3" s="86" t="s">
        <v>15</v>
      </c>
      <c r="L3" s="86" t="s">
        <v>16</v>
      </c>
      <c r="M3" s="86" t="s">
        <v>17</v>
      </c>
      <c r="N3" s="86" t="s">
        <v>18</v>
      </c>
      <c r="O3" s="86" t="s">
        <v>19</v>
      </c>
      <c r="P3" s="86" t="s">
        <v>20</v>
      </c>
      <c r="Q3" s="86" t="s">
        <v>21</v>
      </c>
      <c r="R3" s="86" t="s">
        <v>84</v>
      </c>
      <c r="S3" s="35"/>
      <c r="T3" s="35">
        <v>302</v>
      </c>
      <c r="U3" s="35">
        <v>304</v>
      </c>
      <c r="V3" s="35"/>
      <c r="W3" s="35">
        <v>407</v>
      </c>
      <c r="X3" s="35"/>
      <c r="Y3" s="35"/>
      <c r="Z3" s="35">
        <v>442</v>
      </c>
      <c r="AA3" s="35">
        <v>442</v>
      </c>
      <c r="AB3" s="35">
        <v>442</v>
      </c>
      <c r="AC3" s="35"/>
      <c r="AD3" s="36">
        <v>609</v>
      </c>
      <c r="AE3" s="36"/>
      <c r="AF3" s="116" t="s">
        <v>11</v>
      </c>
      <c r="AG3" s="116" t="s">
        <v>13</v>
      </c>
      <c r="AH3" s="6"/>
    </row>
    <row r="4" spans="2:34" s="5" customFormat="1" ht="27.75" customHeight="1">
      <c r="B4" s="99"/>
      <c r="C4" s="100"/>
      <c r="D4" s="90"/>
      <c r="E4" s="90"/>
      <c r="F4" s="90"/>
      <c r="G4" s="87"/>
      <c r="H4" s="87"/>
      <c r="I4" s="90"/>
      <c r="J4" s="122"/>
      <c r="K4" s="122"/>
      <c r="L4" s="87"/>
      <c r="M4" s="87"/>
      <c r="N4" s="87"/>
      <c r="O4" s="87"/>
      <c r="P4" s="87"/>
      <c r="Q4" s="87"/>
      <c r="R4" s="87"/>
      <c r="S4" s="83"/>
      <c r="T4" s="83" t="s">
        <v>22</v>
      </c>
      <c r="U4" s="83" t="s">
        <v>96</v>
      </c>
      <c r="V4" s="83"/>
      <c r="W4" s="83" t="s">
        <v>82</v>
      </c>
      <c r="X4" s="83"/>
      <c r="Y4" s="109"/>
      <c r="Z4" s="83" t="s">
        <v>83</v>
      </c>
      <c r="AA4" s="109" t="s">
        <v>97</v>
      </c>
      <c r="AB4" s="109" t="s">
        <v>23</v>
      </c>
      <c r="AC4" s="83"/>
      <c r="AD4" s="109" t="s">
        <v>95</v>
      </c>
      <c r="AE4" s="109"/>
      <c r="AF4" s="117"/>
      <c r="AG4" s="119"/>
      <c r="AH4" s="7"/>
    </row>
    <row r="5" spans="2:33" s="5" customFormat="1" ht="27.75" customHeight="1" thickBot="1">
      <c r="B5" s="99"/>
      <c r="C5" s="100"/>
      <c r="D5" s="90"/>
      <c r="E5" s="90"/>
      <c r="F5" s="90"/>
      <c r="G5" s="87"/>
      <c r="H5" s="87"/>
      <c r="I5" s="90"/>
      <c r="J5" s="122"/>
      <c r="K5" s="122"/>
      <c r="L5" s="87"/>
      <c r="M5" s="87"/>
      <c r="N5" s="87"/>
      <c r="O5" s="87"/>
      <c r="P5" s="87"/>
      <c r="Q5" s="87"/>
      <c r="R5" s="87"/>
      <c r="S5" s="84"/>
      <c r="T5" s="84"/>
      <c r="U5" s="84"/>
      <c r="V5" s="84"/>
      <c r="W5" s="84"/>
      <c r="X5" s="84"/>
      <c r="Y5" s="87"/>
      <c r="Z5" s="84"/>
      <c r="AA5" s="87"/>
      <c r="AB5" s="87"/>
      <c r="AC5" s="84"/>
      <c r="AD5" s="87"/>
      <c r="AE5" s="87"/>
      <c r="AF5" s="118"/>
      <c r="AG5" s="119"/>
    </row>
    <row r="6" spans="2:33" s="5" customFormat="1" ht="27.75" customHeight="1">
      <c r="B6" s="99"/>
      <c r="C6" s="100"/>
      <c r="D6" s="90"/>
      <c r="E6" s="90"/>
      <c r="F6" s="90"/>
      <c r="G6" s="87"/>
      <c r="H6" s="87"/>
      <c r="I6" s="90"/>
      <c r="J6" s="122"/>
      <c r="K6" s="122"/>
      <c r="L6" s="87"/>
      <c r="M6" s="87"/>
      <c r="N6" s="87"/>
      <c r="O6" s="87"/>
      <c r="P6" s="87"/>
      <c r="Q6" s="87"/>
      <c r="R6" s="87"/>
      <c r="S6" s="84"/>
      <c r="T6" s="84"/>
      <c r="U6" s="84"/>
      <c r="V6" s="84"/>
      <c r="W6" s="84"/>
      <c r="X6" s="84"/>
      <c r="Y6" s="87"/>
      <c r="Z6" s="84"/>
      <c r="AA6" s="87"/>
      <c r="AB6" s="87"/>
      <c r="AC6" s="84"/>
      <c r="AD6" s="87"/>
      <c r="AE6" s="87"/>
      <c r="AF6" s="103" t="s">
        <v>81</v>
      </c>
      <c r="AG6" s="104"/>
    </row>
    <row r="7" spans="2:33" s="5" customFormat="1" ht="27.75" customHeight="1">
      <c r="B7" s="99"/>
      <c r="C7" s="100"/>
      <c r="D7" s="90"/>
      <c r="E7" s="90"/>
      <c r="F7" s="90"/>
      <c r="G7" s="87"/>
      <c r="H7" s="87"/>
      <c r="I7" s="90"/>
      <c r="J7" s="122"/>
      <c r="K7" s="122"/>
      <c r="L7" s="87"/>
      <c r="M7" s="87"/>
      <c r="N7" s="87"/>
      <c r="O7" s="87"/>
      <c r="P7" s="87"/>
      <c r="Q7" s="87"/>
      <c r="R7" s="87"/>
      <c r="S7" s="84"/>
      <c r="T7" s="84"/>
      <c r="U7" s="84"/>
      <c r="V7" s="84"/>
      <c r="W7" s="84"/>
      <c r="X7" s="84"/>
      <c r="Y7" s="87"/>
      <c r="Z7" s="84"/>
      <c r="AA7" s="87"/>
      <c r="AB7" s="87"/>
      <c r="AC7" s="84"/>
      <c r="AD7" s="87"/>
      <c r="AE7" s="87"/>
      <c r="AF7" s="105"/>
      <c r="AG7" s="106"/>
    </row>
    <row r="8" spans="2:33" s="5" customFormat="1" ht="27.75" customHeight="1">
      <c r="B8" s="99"/>
      <c r="C8" s="100"/>
      <c r="D8" s="90"/>
      <c r="E8" s="90"/>
      <c r="F8" s="90"/>
      <c r="G8" s="87"/>
      <c r="H8" s="87"/>
      <c r="I8" s="90"/>
      <c r="J8" s="122"/>
      <c r="K8" s="122"/>
      <c r="L8" s="87"/>
      <c r="M8" s="87"/>
      <c r="N8" s="87"/>
      <c r="O8" s="87"/>
      <c r="P8" s="87"/>
      <c r="Q8" s="87"/>
      <c r="R8" s="87"/>
      <c r="S8" s="84"/>
      <c r="T8" s="84"/>
      <c r="U8" s="84"/>
      <c r="V8" s="84"/>
      <c r="W8" s="84"/>
      <c r="X8" s="84"/>
      <c r="Y8" s="87"/>
      <c r="Z8" s="84"/>
      <c r="AA8" s="87"/>
      <c r="AB8" s="87"/>
      <c r="AC8" s="84"/>
      <c r="AD8" s="87"/>
      <c r="AE8" s="87"/>
      <c r="AF8" s="105"/>
      <c r="AG8" s="106"/>
    </row>
    <row r="9" spans="2:33" s="5" customFormat="1" ht="27.75" customHeight="1">
      <c r="B9" s="99"/>
      <c r="C9" s="100"/>
      <c r="D9" s="90"/>
      <c r="E9" s="90"/>
      <c r="F9" s="90"/>
      <c r="G9" s="87"/>
      <c r="H9" s="87"/>
      <c r="I9" s="90"/>
      <c r="J9" s="122"/>
      <c r="K9" s="122"/>
      <c r="L9" s="87"/>
      <c r="M9" s="87"/>
      <c r="N9" s="87"/>
      <c r="O9" s="87"/>
      <c r="P9" s="87"/>
      <c r="Q9" s="87"/>
      <c r="R9" s="87"/>
      <c r="S9" s="84"/>
      <c r="T9" s="84"/>
      <c r="U9" s="84"/>
      <c r="V9" s="84"/>
      <c r="W9" s="84"/>
      <c r="X9" s="84"/>
      <c r="Y9" s="87"/>
      <c r="Z9" s="84"/>
      <c r="AA9" s="87"/>
      <c r="AB9" s="87"/>
      <c r="AC9" s="84"/>
      <c r="AD9" s="87"/>
      <c r="AE9" s="87"/>
      <c r="AF9" s="105"/>
      <c r="AG9" s="106"/>
    </row>
    <row r="10" spans="2:33" s="5" customFormat="1" ht="27.75" customHeight="1">
      <c r="B10" s="99"/>
      <c r="C10" s="100"/>
      <c r="D10" s="90"/>
      <c r="E10" s="90"/>
      <c r="F10" s="90"/>
      <c r="G10" s="87"/>
      <c r="H10" s="87"/>
      <c r="I10" s="90"/>
      <c r="J10" s="122"/>
      <c r="K10" s="122"/>
      <c r="L10" s="87"/>
      <c r="M10" s="87"/>
      <c r="N10" s="87"/>
      <c r="O10" s="87"/>
      <c r="P10" s="87"/>
      <c r="Q10" s="87"/>
      <c r="R10" s="87"/>
      <c r="S10" s="84"/>
      <c r="T10" s="84"/>
      <c r="U10" s="84"/>
      <c r="V10" s="84"/>
      <c r="W10" s="84"/>
      <c r="X10" s="84"/>
      <c r="Y10" s="87"/>
      <c r="Z10" s="84"/>
      <c r="AA10" s="87"/>
      <c r="AB10" s="87"/>
      <c r="AC10" s="84"/>
      <c r="AD10" s="87"/>
      <c r="AE10" s="87"/>
      <c r="AF10" s="105"/>
      <c r="AG10" s="106"/>
    </row>
    <row r="11" spans="2:33" s="8" customFormat="1" ht="27.75" customHeight="1">
      <c r="B11" s="101"/>
      <c r="C11" s="102"/>
      <c r="D11" s="91"/>
      <c r="E11" s="91"/>
      <c r="F11" s="91"/>
      <c r="G11" s="88"/>
      <c r="H11" s="88"/>
      <c r="I11" s="91"/>
      <c r="J11" s="123"/>
      <c r="K11" s="123"/>
      <c r="L11" s="88"/>
      <c r="M11" s="88"/>
      <c r="N11" s="88"/>
      <c r="O11" s="88"/>
      <c r="P11" s="88"/>
      <c r="Q11" s="88"/>
      <c r="R11" s="88"/>
      <c r="S11" s="85"/>
      <c r="T11" s="85"/>
      <c r="U11" s="85"/>
      <c r="V11" s="85"/>
      <c r="W11" s="85"/>
      <c r="X11" s="85"/>
      <c r="Y11" s="88"/>
      <c r="Z11" s="85"/>
      <c r="AA11" s="88"/>
      <c r="AB11" s="88"/>
      <c r="AC11" s="85"/>
      <c r="AD11" s="88"/>
      <c r="AE11" s="88"/>
      <c r="AF11" s="105"/>
      <c r="AG11" s="106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11"/>
      <c r="I12" s="11" t="s">
        <v>9</v>
      </c>
      <c r="J12" s="11" t="s">
        <v>9</v>
      </c>
      <c r="K12" s="11" t="s">
        <v>9</v>
      </c>
      <c r="L12" s="11" t="s">
        <v>9</v>
      </c>
      <c r="M12" s="11" t="s">
        <v>9</v>
      </c>
      <c r="N12" s="11" t="s">
        <v>9</v>
      </c>
      <c r="O12" s="11" t="s">
        <v>9</v>
      </c>
      <c r="P12" s="11" t="s">
        <v>9</v>
      </c>
      <c r="Q12" s="11" t="s">
        <v>9</v>
      </c>
      <c r="R12" s="11" t="s">
        <v>9</v>
      </c>
      <c r="S12" s="37"/>
      <c r="T12" s="37" t="s">
        <v>24</v>
      </c>
      <c r="U12" s="37" t="s">
        <v>24</v>
      </c>
      <c r="V12" s="37"/>
      <c r="W12" s="37" t="s">
        <v>25</v>
      </c>
      <c r="X12" s="37"/>
      <c r="Y12" s="37"/>
      <c r="Z12" s="37" t="s">
        <v>24</v>
      </c>
      <c r="AA12" s="37" t="s">
        <v>24</v>
      </c>
      <c r="AB12" s="37" t="s">
        <v>24</v>
      </c>
      <c r="AC12" s="37"/>
      <c r="AD12" s="11" t="s">
        <v>7</v>
      </c>
      <c r="AE12" s="11"/>
      <c r="AF12" s="105"/>
      <c r="AG12" s="106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05"/>
      <c r="AG13" s="106"/>
    </row>
    <row r="14" spans="1:33" s="5" customFormat="1" ht="21.75" customHeight="1">
      <c r="A14" s="12">
        <f>A13+1</f>
        <v>2</v>
      </c>
      <c r="B14" s="77" t="s">
        <v>57</v>
      </c>
      <c r="C14" s="78"/>
      <c r="D14" s="78"/>
      <c r="E14" s="78"/>
      <c r="F14" s="78"/>
      <c r="G14" s="78"/>
      <c r="H14" s="78"/>
      <c r="I14" s="7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05"/>
      <c r="AG14" s="106"/>
    </row>
    <row r="15" spans="1:33" s="5" customFormat="1" ht="21.75" customHeight="1">
      <c r="A15" s="12">
        <f>A14+1</f>
        <v>3</v>
      </c>
      <c r="B15" s="19" t="s">
        <v>27</v>
      </c>
      <c r="C15" s="14"/>
      <c r="D15" s="15"/>
      <c r="E15" s="16"/>
      <c r="F15" s="22"/>
      <c r="G15" s="18"/>
      <c r="H15" s="16"/>
      <c r="I15" s="16"/>
      <c r="J15" s="16"/>
      <c r="K15" s="16"/>
      <c r="L15" s="15"/>
      <c r="M15" s="15"/>
      <c r="N15" s="15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05"/>
      <c r="AG15" s="106"/>
    </row>
    <row r="16" spans="1:33" s="5" customFormat="1" ht="21.75" customHeight="1">
      <c r="A16" s="12">
        <f>A15+1</f>
        <v>4</v>
      </c>
      <c r="B16" s="13">
        <v>7169.06</v>
      </c>
      <c r="C16" s="14">
        <v>7516.71</v>
      </c>
      <c r="D16" s="15" t="s">
        <v>33</v>
      </c>
      <c r="E16" s="16">
        <f>C16-B16</f>
        <v>347.64999999999964</v>
      </c>
      <c r="F16" s="17">
        <v>16</v>
      </c>
      <c r="G16" s="18">
        <f>ROUND((3819.719+($F16/2))/3819.719,4)</f>
        <v>1.0021</v>
      </c>
      <c r="H16" s="16"/>
      <c r="I16" s="16">
        <f>IF(G16=0,ROUND($E16*$F16,2),ROUND($E16*$F16*$G16,2))</f>
        <v>5574.08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>ROUND(((($I16+$J16)*(T$72/12))/27),2)</f>
        <v>137.63</v>
      </c>
      <c r="U16" s="16">
        <f>ROUND(((($I16+$J16+$N16+$O16+$P16+$Q16)*(U$72/12))/27),2)</f>
        <v>103.22</v>
      </c>
      <c r="V16" s="16"/>
      <c r="W16" s="16">
        <f>ROUND((((($I16+$J16)/9)*W$72)*3),2)</f>
        <v>102.19</v>
      </c>
      <c r="X16" s="16"/>
      <c r="Y16" s="16"/>
      <c r="Z16" s="16">
        <f aca="true" t="shared" si="0" ref="Z16:AA18">ROUND(((($I16+$J16)*(Z$72/12))/27),2)</f>
        <v>25.81</v>
      </c>
      <c r="AA16" s="16">
        <f t="shared" si="0"/>
        <v>30.11</v>
      </c>
      <c r="AB16" s="16">
        <f>$AA16+$Z16</f>
        <v>55.92</v>
      </c>
      <c r="AC16" s="16"/>
      <c r="AD16" s="16"/>
      <c r="AE16" s="16"/>
      <c r="AF16" s="105"/>
      <c r="AG16" s="106"/>
    </row>
    <row r="17" spans="1:33" s="5" customFormat="1" ht="21.75" customHeight="1">
      <c r="A17" s="12">
        <f aca="true" t="shared" si="1" ref="A17:A66">A16+1</f>
        <v>5</v>
      </c>
      <c r="B17" s="13">
        <f>C16</f>
        <v>7516.71</v>
      </c>
      <c r="C17" s="14">
        <v>8618.37</v>
      </c>
      <c r="D17" s="15" t="s">
        <v>33</v>
      </c>
      <c r="E17" s="16">
        <f>C17-B17</f>
        <v>1101.6600000000008</v>
      </c>
      <c r="F17" s="17">
        <v>16</v>
      </c>
      <c r="G17" s="18"/>
      <c r="H17" s="16"/>
      <c r="I17" s="16">
        <f>IF(G17=0,ROUND($E17*$F17,2),ROUND($E17*$F17*$G17,2))</f>
        <v>17626.56</v>
      </c>
      <c r="J17" s="16"/>
      <c r="K17" s="16"/>
      <c r="L17" s="15"/>
      <c r="M17" s="15"/>
      <c r="N17" s="15"/>
      <c r="O17" s="15"/>
      <c r="P17" s="16"/>
      <c r="Q17" s="16"/>
      <c r="R17" s="16"/>
      <c r="S17" s="16"/>
      <c r="T17" s="16">
        <f>ROUND(((($I17+$J17)*(T$72/12))/27),2)</f>
        <v>435.22</v>
      </c>
      <c r="U17" s="16">
        <f>ROUND(((($I17+$J17+$N17+$O17+$P17+$Q17)*(U$72/12))/27),2)</f>
        <v>326.42</v>
      </c>
      <c r="V17" s="16"/>
      <c r="W17" s="16">
        <f>ROUND((((($I17+$J17)/9)*W$72)*3),2)</f>
        <v>323.15</v>
      </c>
      <c r="X17" s="16"/>
      <c r="Y17" s="16"/>
      <c r="Z17" s="16">
        <f t="shared" si="0"/>
        <v>81.6</v>
      </c>
      <c r="AA17" s="16">
        <f t="shared" si="0"/>
        <v>95.21</v>
      </c>
      <c r="AB17" s="16">
        <f>$AA17+$Z17</f>
        <v>176.81</v>
      </c>
      <c r="AC17" s="16"/>
      <c r="AD17" s="16"/>
      <c r="AE17" s="16"/>
      <c r="AF17" s="105"/>
      <c r="AG17" s="106"/>
    </row>
    <row r="18" spans="1:33" s="5" customFormat="1" ht="21.75" customHeight="1">
      <c r="A18" s="12">
        <f t="shared" si="1"/>
        <v>6</v>
      </c>
      <c r="B18" s="13">
        <f>C17</f>
        <v>8618.37</v>
      </c>
      <c r="C18" s="14">
        <v>8818.25</v>
      </c>
      <c r="D18" s="15" t="s">
        <v>33</v>
      </c>
      <c r="E18" s="16">
        <f>C18-B18</f>
        <v>199.8799999999992</v>
      </c>
      <c r="F18" s="17">
        <f>ROUND(AVERAGE(16,12),2)</f>
        <v>14</v>
      </c>
      <c r="G18" s="18"/>
      <c r="H18" s="16"/>
      <c r="I18" s="16">
        <f>IF(G18=0,ROUND($E18*$F18,2),ROUND($E18*$F18*$G18,2))</f>
        <v>2798.32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>ROUND(((($I18+$J18)*(T$72/12))/27),2)</f>
        <v>69.09</v>
      </c>
      <c r="U18" s="16">
        <f>ROUND(((($I18+$J18+$N18+$O18+$P18+$Q18)*(U$72/12))/27),2)</f>
        <v>51.82</v>
      </c>
      <c r="V18" s="16"/>
      <c r="W18" s="16">
        <f>ROUND((((($I18+$J18)/9)*W$72)*3),2)</f>
        <v>51.3</v>
      </c>
      <c r="X18" s="16"/>
      <c r="Y18" s="16"/>
      <c r="Z18" s="16">
        <f t="shared" si="0"/>
        <v>12.96</v>
      </c>
      <c r="AA18" s="16">
        <f t="shared" si="0"/>
        <v>15.11</v>
      </c>
      <c r="AB18" s="16">
        <f>$AA18+$Z18</f>
        <v>28.07</v>
      </c>
      <c r="AC18" s="16"/>
      <c r="AD18" s="16"/>
      <c r="AE18" s="16"/>
      <c r="AF18" s="105"/>
      <c r="AG18" s="106"/>
    </row>
    <row r="19" spans="1:33" s="5" customFormat="1" ht="21.75" customHeight="1">
      <c r="A19" s="12">
        <f t="shared" si="1"/>
        <v>7</v>
      </c>
      <c r="B19" s="13"/>
      <c r="C19" s="14"/>
      <c r="D19" s="15"/>
      <c r="E19" s="16"/>
      <c r="F19" s="17"/>
      <c r="G19" s="18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05"/>
      <c r="AG19" s="106"/>
    </row>
    <row r="20" spans="1:33" s="5" customFormat="1" ht="21.75" customHeight="1">
      <c r="A20" s="12">
        <f t="shared" si="1"/>
        <v>8</v>
      </c>
      <c r="B20" s="13">
        <v>7169.06</v>
      </c>
      <c r="C20" s="14">
        <v>7447.06</v>
      </c>
      <c r="D20" s="15" t="s">
        <v>28</v>
      </c>
      <c r="E20" s="16">
        <f>C20-B20</f>
        <v>278</v>
      </c>
      <c r="F20" s="17">
        <f>ROUND(AVERAGE(5.56,0),2)</f>
        <v>2.78</v>
      </c>
      <c r="G20" s="18">
        <f>ROUND((3819.719-($F20/2))/3819.719,4)</f>
        <v>0.9996</v>
      </c>
      <c r="H20" s="16"/>
      <c r="I20" s="16">
        <f>IF(G20=0,ROUND($E20*$F20,2),ROUND($E20*$F20*$G20,2))</f>
        <v>772.53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>ROUND(((($I20+$J20)*(T$72/12))/27),2)</f>
        <v>19.07</v>
      </c>
      <c r="U20" s="16">
        <f>ROUND(((($I20+$J20+$N20+$O20+$P20+$Q20)*(U$72/12))/27),2)</f>
        <v>14.31</v>
      </c>
      <c r="V20" s="16"/>
      <c r="W20" s="16">
        <f>ROUND((((($I20+$J20)/9)*W$72)*3),2)</f>
        <v>14.16</v>
      </c>
      <c r="X20" s="16"/>
      <c r="Y20" s="16"/>
      <c r="Z20" s="16">
        <f>ROUND(((($I20+$J20)*(Z$72/12))/27),2)</f>
        <v>3.58</v>
      </c>
      <c r="AA20" s="16">
        <f>ROUND(((($I20+$J20)*(AA$72/12))/27),2)</f>
        <v>4.17</v>
      </c>
      <c r="AB20" s="16">
        <f>$AA20+$Z20</f>
        <v>7.75</v>
      </c>
      <c r="AC20" s="16"/>
      <c r="AD20" s="16"/>
      <c r="AE20" s="16"/>
      <c r="AF20" s="105"/>
      <c r="AG20" s="106"/>
    </row>
    <row r="21" spans="1:33" s="5" customFormat="1" ht="21.75" customHeight="1">
      <c r="A21" s="12">
        <f t="shared" si="1"/>
        <v>9</v>
      </c>
      <c r="B21" s="19"/>
      <c r="C21" s="14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05"/>
      <c r="AG21" s="106"/>
    </row>
    <row r="22" spans="1:33" s="5" customFormat="1" ht="21.75" customHeight="1">
      <c r="A22" s="12">
        <f t="shared" si="1"/>
        <v>10</v>
      </c>
      <c r="B22" s="19" t="s">
        <v>35</v>
      </c>
      <c r="C22" s="14"/>
      <c r="D22" s="15"/>
      <c r="E22" s="16"/>
      <c r="F22" s="17"/>
      <c r="G22" s="1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05"/>
      <c r="AG22" s="106"/>
    </row>
    <row r="23" spans="1:33" s="5" customFormat="1" ht="21.75" customHeight="1">
      <c r="A23" s="12">
        <f t="shared" si="1"/>
        <v>11</v>
      </c>
      <c r="B23" s="13">
        <v>7169.06</v>
      </c>
      <c r="C23" s="14">
        <v>7267.31</v>
      </c>
      <c r="D23" s="15" t="s">
        <v>28</v>
      </c>
      <c r="E23" s="16">
        <f aca="true" t="shared" si="2" ref="E23:E29">C23-B23</f>
        <v>98.25</v>
      </c>
      <c r="F23" s="17">
        <f>ROUND(AVERAGE(6,9.931),2)</f>
        <v>7.97</v>
      </c>
      <c r="G23" s="18">
        <f>ROUND((3819.719-((5.56+3.595)/2)-($F23/2))/3819.719,4)</f>
        <v>0.9978</v>
      </c>
      <c r="H23" s="18">
        <f>ROUND((3819.719-((5.56+3.595)/2)-($F23))/3819.719,4)</f>
        <v>0.9967</v>
      </c>
      <c r="I23" s="16">
        <f aca="true" t="shared" si="3" ref="I23:I29">IF(G23=0,ROUND($E23*$F23,2),ROUND($E23*$F23*$G23,2))</f>
        <v>781.33</v>
      </c>
      <c r="J23" s="16"/>
      <c r="K23" s="16">
        <f>IF($H23=0,ROUND($E23*(K$72/12),2),ROUND($E23*(K$72/12)*$H23,2))</f>
        <v>32.64</v>
      </c>
      <c r="L23" s="16"/>
      <c r="M23" s="16">
        <f aca="true" t="shared" si="4" ref="K23:N29">IF($H23=0,ROUND($E23*(M$72/12),2),ROUND($E23*(M$72/12)*$H23,2))</f>
        <v>81.6</v>
      </c>
      <c r="N23" s="16">
        <f t="shared" si="4"/>
        <v>130.57</v>
      </c>
      <c r="O23" s="16"/>
      <c r="P23" s="16"/>
      <c r="Q23" s="16"/>
      <c r="R23" s="16"/>
      <c r="S23" s="16"/>
      <c r="T23" s="16">
        <f aca="true" t="shared" si="5" ref="T23:T29">ROUND(((($I23+$J23)*(T$72/12)+($K23)*(T$73/12)+($M23)*(T$73/12))/27),2)</f>
        <v>20.7</v>
      </c>
      <c r="U23" s="16">
        <f aca="true" t="shared" si="6" ref="U23:U29">ROUND(((($I23+$J23+$N23+$O23+$P23+$Q23)*(U$72/12))/27),2)</f>
        <v>16.89</v>
      </c>
      <c r="V23" s="16"/>
      <c r="W23" s="16">
        <f aca="true" t="shared" si="7" ref="W23:W29">ROUND(((($I23+$J23)/9)*$W$72)+((($I23+$J23+$K23)/9)*$W$72)+((($I23+$J23+$M23)/9)*$W$72),2)</f>
        <v>15.02</v>
      </c>
      <c r="X23" s="16"/>
      <c r="Y23" s="16"/>
      <c r="Z23" s="16">
        <f aca="true" t="shared" si="8" ref="Z23:AA29">ROUND(((($I23+$J23)*(Z$72/12))/27),2)</f>
        <v>3.62</v>
      </c>
      <c r="AA23" s="16">
        <f t="shared" si="8"/>
        <v>4.22</v>
      </c>
      <c r="AB23" s="16"/>
      <c r="AC23" s="16"/>
      <c r="AD23" s="16"/>
      <c r="AE23" s="16"/>
      <c r="AF23" s="105"/>
      <c r="AG23" s="106"/>
    </row>
    <row r="24" spans="1:33" s="5" customFormat="1" ht="21.75" customHeight="1">
      <c r="A24" s="12">
        <f t="shared" si="1"/>
        <v>12</v>
      </c>
      <c r="B24" s="14">
        <f aca="true" t="shared" si="9" ref="B24:B29">C23</f>
        <v>7267.31</v>
      </c>
      <c r="C24" s="14">
        <v>7447.06</v>
      </c>
      <c r="D24" s="15" t="s">
        <v>28</v>
      </c>
      <c r="E24" s="16">
        <f t="shared" si="2"/>
        <v>179.75</v>
      </c>
      <c r="F24" s="17">
        <v>6</v>
      </c>
      <c r="G24" s="18">
        <f>ROUND((3819.719-((0+3.595)/2)-($F24/2))/3819.719,4)</f>
        <v>0.9987</v>
      </c>
      <c r="H24" s="18">
        <f>ROUND((3819.719-((0+3.595)/2)-($F24))/3819.719,4)</f>
        <v>0.998</v>
      </c>
      <c r="I24" s="16">
        <f t="shared" si="3"/>
        <v>1077.1</v>
      </c>
      <c r="J24" s="16"/>
      <c r="K24" s="16">
        <f>IF($H24=0,ROUND($E24*(K$72/12),2),ROUND($E24*(K$72/12)*$H24,2))</f>
        <v>59.8</v>
      </c>
      <c r="L24" s="16"/>
      <c r="M24" s="16">
        <f t="shared" si="4"/>
        <v>149.49</v>
      </c>
      <c r="N24" s="16">
        <f t="shared" si="4"/>
        <v>239.19</v>
      </c>
      <c r="O24" s="16"/>
      <c r="P24" s="16"/>
      <c r="Q24" s="16"/>
      <c r="R24" s="16"/>
      <c r="S24" s="16"/>
      <c r="T24" s="16">
        <f t="shared" si="5"/>
        <v>29.18</v>
      </c>
      <c r="U24" s="16">
        <f t="shared" si="6"/>
        <v>24.38</v>
      </c>
      <c r="V24" s="16"/>
      <c r="W24" s="16">
        <f>ROUND(((($I24+$J24)/9)*$W$72)+((($I24+$J24+$K24)/9)*$W$72)+((($I24+$J24+$M24)/9)*$W$72),2)</f>
        <v>21.03</v>
      </c>
      <c r="X24" s="16"/>
      <c r="Y24" s="16"/>
      <c r="Z24" s="16">
        <f t="shared" si="8"/>
        <v>4.99</v>
      </c>
      <c r="AA24" s="16">
        <f t="shared" si="8"/>
        <v>5.82</v>
      </c>
      <c r="AB24" s="16"/>
      <c r="AC24" s="16"/>
      <c r="AD24" s="16"/>
      <c r="AE24" s="16"/>
      <c r="AF24" s="105"/>
      <c r="AG24" s="106"/>
    </row>
    <row r="25" spans="1:33" s="5" customFormat="1" ht="21.75" customHeight="1">
      <c r="A25" s="12">
        <f t="shared" si="1"/>
        <v>13</v>
      </c>
      <c r="B25" s="14">
        <f t="shared" si="9"/>
        <v>7447.06</v>
      </c>
      <c r="C25" s="14">
        <v>7516.71</v>
      </c>
      <c r="D25" s="15" t="s">
        <v>28</v>
      </c>
      <c r="E25" s="16">
        <f t="shared" si="2"/>
        <v>69.64999999999964</v>
      </c>
      <c r="F25" s="17">
        <v>6</v>
      </c>
      <c r="G25" s="18">
        <f>ROUND((3819.719-($F25/2))/3819.719,4)</f>
        <v>0.9992</v>
      </c>
      <c r="H25" s="18">
        <f>ROUND((3819.719-($F25))/3819.719,4)</f>
        <v>0.9984</v>
      </c>
      <c r="I25" s="16">
        <f t="shared" si="3"/>
        <v>417.57</v>
      </c>
      <c r="J25" s="16"/>
      <c r="K25" s="16">
        <f t="shared" si="4"/>
        <v>23.18</v>
      </c>
      <c r="L25" s="16"/>
      <c r="M25" s="16">
        <f t="shared" si="4"/>
        <v>57.95</v>
      </c>
      <c r="N25" s="16">
        <f t="shared" si="4"/>
        <v>92.72</v>
      </c>
      <c r="O25" s="16"/>
      <c r="P25" s="16"/>
      <c r="Q25" s="41"/>
      <c r="R25" s="16"/>
      <c r="S25" s="16"/>
      <c r="T25" s="16">
        <f t="shared" si="5"/>
        <v>11.31</v>
      </c>
      <c r="U25" s="16">
        <f t="shared" si="6"/>
        <v>9.45</v>
      </c>
      <c r="V25" s="16"/>
      <c r="W25" s="16">
        <f t="shared" si="7"/>
        <v>8.15</v>
      </c>
      <c r="X25" s="16"/>
      <c r="Y25" s="16"/>
      <c r="Z25" s="16">
        <f t="shared" si="8"/>
        <v>1.93</v>
      </c>
      <c r="AA25" s="16">
        <f t="shared" si="8"/>
        <v>2.26</v>
      </c>
      <c r="AB25" s="16"/>
      <c r="AC25" s="16"/>
      <c r="AD25" s="16"/>
      <c r="AE25" s="16"/>
      <c r="AF25" s="105"/>
      <c r="AG25" s="106"/>
    </row>
    <row r="26" spans="1:33" s="5" customFormat="1" ht="21.75" customHeight="1">
      <c r="A26" s="12">
        <f>A25+1</f>
        <v>14</v>
      </c>
      <c r="B26" s="14">
        <f t="shared" si="9"/>
        <v>7516.71</v>
      </c>
      <c r="C26" s="14">
        <v>8117.83</v>
      </c>
      <c r="D26" s="15" t="s">
        <v>28</v>
      </c>
      <c r="E26" s="16">
        <f t="shared" si="2"/>
        <v>601.1199999999999</v>
      </c>
      <c r="F26" s="17">
        <v>6</v>
      </c>
      <c r="G26" s="18"/>
      <c r="H26" s="16"/>
      <c r="I26" s="16">
        <f t="shared" si="3"/>
        <v>3606.72</v>
      </c>
      <c r="J26" s="16"/>
      <c r="K26" s="16">
        <f t="shared" si="4"/>
        <v>200.37</v>
      </c>
      <c r="L26" s="16"/>
      <c r="M26" s="16">
        <f t="shared" si="4"/>
        <v>500.93</v>
      </c>
      <c r="N26" s="16">
        <f t="shared" si="4"/>
        <v>801.49</v>
      </c>
      <c r="O26" s="16"/>
      <c r="P26" s="16"/>
      <c r="Q26" s="16"/>
      <c r="R26" s="16"/>
      <c r="S26" s="16"/>
      <c r="T26" s="16">
        <f t="shared" si="5"/>
        <v>97.71</v>
      </c>
      <c r="U26" s="16">
        <f t="shared" si="6"/>
        <v>81.63</v>
      </c>
      <c r="V26" s="16"/>
      <c r="W26" s="16">
        <f t="shared" si="7"/>
        <v>70.41</v>
      </c>
      <c r="X26" s="16"/>
      <c r="Y26" s="16"/>
      <c r="Z26" s="16">
        <f t="shared" si="8"/>
        <v>16.7</v>
      </c>
      <c r="AA26" s="16">
        <f t="shared" si="8"/>
        <v>19.48</v>
      </c>
      <c r="AB26" s="16"/>
      <c r="AC26" s="16"/>
      <c r="AD26" s="16"/>
      <c r="AE26" s="16"/>
      <c r="AF26" s="105"/>
      <c r="AG26" s="106"/>
    </row>
    <row r="27" spans="1:33" s="5" customFormat="1" ht="21.75" customHeight="1">
      <c r="A27" s="12">
        <f t="shared" si="1"/>
        <v>15</v>
      </c>
      <c r="B27" s="14">
        <f t="shared" si="9"/>
        <v>8117.83</v>
      </c>
      <c r="C27" s="14">
        <v>8167.8</v>
      </c>
      <c r="D27" s="15" t="s">
        <v>28</v>
      </c>
      <c r="E27" s="16">
        <f t="shared" si="2"/>
        <v>49.970000000000255</v>
      </c>
      <c r="F27" s="17">
        <f>ROUND(AVERAGE(6,8),2)</f>
        <v>7</v>
      </c>
      <c r="G27" s="18"/>
      <c r="H27" s="16"/>
      <c r="I27" s="16">
        <f t="shared" si="3"/>
        <v>349.79</v>
      </c>
      <c r="J27" s="16"/>
      <c r="K27" s="16">
        <f t="shared" si="4"/>
        <v>16.66</v>
      </c>
      <c r="L27" s="16"/>
      <c r="M27" s="16">
        <f t="shared" si="4"/>
        <v>41.64</v>
      </c>
      <c r="N27" s="16">
        <f t="shared" si="4"/>
        <v>66.63</v>
      </c>
      <c r="O27" s="16"/>
      <c r="P27" s="16"/>
      <c r="Q27" s="16"/>
      <c r="R27" s="16"/>
      <c r="S27" s="16"/>
      <c r="T27" s="16">
        <f t="shared" si="5"/>
        <v>9.36</v>
      </c>
      <c r="U27" s="16">
        <f t="shared" si="6"/>
        <v>7.71</v>
      </c>
      <c r="V27" s="16"/>
      <c r="W27" s="16">
        <f t="shared" si="7"/>
        <v>6.77</v>
      </c>
      <c r="X27" s="16"/>
      <c r="Y27" s="16"/>
      <c r="Z27" s="16">
        <f t="shared" si="8"/>
        <v>1.62</v>
      </c>
      <c r="AA27" s="16">
        <f t="shared" si="8"/>
        <v>1.89</v>
      </c>
      <c r="AB27" s="16"/>
      <c r="AC27" s="16"/>
      <c r="AD27" s="16"/>
      <c r="AE27" s="16"/>
      <c r="AF27" s="105"/>
      <c r="AG27" s="106"/>
    </row>
    <row r="28" spans="1:33" s="5" customFormat="1" ht="21.75" customHeight="1">
      <c r="A28" s="12">
        <f t="shared" si="1"/>
        <v>16</v>
      </c>
      <c r="B28" s="14">
        <f t="shared" si="9"/>
        <v>8167.8</v>
      </c>
      <c r="C28" s="14">
        <v>8718.15</v>
      </c>
      <c r="D28" s="15" t="s">
        <v>28</v>
      </c>
      <c r="E28" s="16">
        <f t="shared" si="2"/>
        <v>550.3499999999995</v>
      </c>
      <c r="F28" s="17">
        <v>8</v>
      </c>
      <c r="G28" s="18"/>
      <c r="H28" s="16"/>
      <c r="I28" s="16">
        <f t="shared" si="3"/>
        <v>4402.8</v>
      </c>
      <c r="J28" s="16"/>
      <c r="K28" s="16">
        <f t="shared" si="4"/>
        <v>183.45</v>
      </c>
      <c r="L28" s="16"/>
      <c r="M28" s="16">
        <f t="shared" si="4"/>
        <v>458.63</v>
      </c>
      <c r="N28" s="16">
        <f t="shared" si="4"/>
        <v>733.8</v>
      </c>
      <c r="O28" s="16"/>
      <c r="P28" s="16"/>
      <c r="Q28" s="16"/>
      <c r="R28" s="16"/>
      <c r="S28" s="16"/>
      <c r="T28" s="16">
        <f t="shared" si="5"/>
        <v>116.64</v>
      </c>
      <c r="U28" s="16">
        <f t="shared" si="6"/>
        <v>95.12</v>
      </c>
      <c r="V28" s="16"/>
      <c r="W28" s="16">
        <f t="shared" si="7"/>
        <v>84.64</v>
      </c>
      <c r="X28" s="16"/>
      <c r="Y28" s="16"/>
      <c r="Z28" s="16">
        <f t="shared" si="8"/>
        <v>20.38</v>
      </c>
      <c r="AA28" s="16">
        <f t="shared" si="8"/>
        <v>23.78</v>
      </c>
      <c r="AB28" s="16"/>
      <c r="AC28" s="16"/>
      <c r="AD28" s="16"/>
      <c r="AE28" s="16"/>
      <c r="AF28" s="105"/>
      <c r="AG28" s="106"/>
    </row>
    <row r="29" spans="1:33" s="5" customFormat="1" ht="21.75" customHeight="1">
      <c r="A29" s="12">
        <f t="shared" si="1"/>
        <v>17</v>
      </c>
      <c r="B29" s="14">
        <f t="shared" si="9"/>
        <v>8718.15</v>
      </c>
      <c r="C29" s="14">
        <v>8818.25</v>
      </c>
      <c r="D29" s="15" t="s">
        <v>28</v>
      </c>
      <c r="E29" s="16">
        <f t="shared" si="2"/>
        <v>100.10000000000036</v>
      </c>
      <c r="F29" s="17">
        <f>ROUND(AVERAGE(10,8),2)</f>
        <v>9</v>
      </c>
      <c r="G29" s="18"/>
      <c r="H29" s="16"/>
      <c r="I29" s="16">
        <f t="shared" si="3"/>
        <v>900.9</v>
      </c>
      <c r="J29" s="16"/>
      <c r="K29" s="16">
        <f t="shared" si="4"/>
        <v>33.37</v>
      </c>
      <c r="L29" s="16"/>
      <c r="M29" s="16">
        <f t="shared" si="4"/>
        <v>83.42</v>
      </c>
      <c r="N29" s="16">
        <f t="shared" si="4"/>
        <v>133.47</v>
      </c>
      <c r="O29" s="16"/>
      <c r="P29" s="16"/>
      <c r="Q29" s="16"/>
      <c r="R29" s="16"/>
      <c r="S29" s="16"/>
      <c r="T29" s="16">
        <f t="shared" si="5"/>
        <v>23.69</v>
      </c>
      <c r="U29" s="16">
        <f t="shared" si="6"/>
        <v>19.16</v>
      </c>
      <c r="V29" s="16"/>
      <c r="W29" s="16">
        <f t="shared" si="7"/>
        <v>17.23</v>
      </c>
      <c r="X29" s="16"/>
      <c r="Y29" s="16"/>
      <c r="Z29" s="16">
        <f t="shared" si="8"/>
        <v>4.17</v>
      </c>
      <c r="AA29" s="16">
        <f t="shared" si="8"/>
        <v>4.87</v>
      </c>
      <c r="AB29" s="16"/>
      <c r="AC29" s="16"/>
      <c r="AD29" s="16"/>
      <c r="AE29" s="16"/>
      <c r="AF29" s="105"/>
      <c r="AG29" s="106"/>
    </row>
    <row r="30" spans="1:33" s="5" customFormat="1" ht="21.75" customHeight="1">
      <c r="A30" s="12">
        <f t="shared" si="1"/>
        <v>18</v>
      </c>
      <c r="B30" s="13"/>
      <c r="C30" s="14"/>
      <c r="D30" s="15"/>
      <c r="E30" s="16"/>
      <c r="F30" s="22"/>
      <c r="G30" s="1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05"/>
      <c r="AG30" s="106"/>
    </row>
    <row r="31" spans="1:33" s="5" customFormat="1" ht="21.75" customHeight="1">
      <c r="A31" s="12">
        <f t="shared" si="1"/>
        <v>19</v>
      </c>
      <c r="B31" s="13"/>
      <c r="C31" s="14"/>
      <c r="D31" s="15"/>
      <c r="E31" s="16"/>
      <c r="F31" s="22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05"/>
      <c r="AG31" s="106"/>
    </row>
    <row r="32" spans="1:33" s="5" customFormat="1" ht="21.75" customHeight="1">
      <c r="A32" s="12">
        <f t="shared" si="1"/>
        <v>20</v>
      </c>
      <c r="B32" s="13"/>
      <c r="C32" s="14"/>
      <c r="D32" s="15"/>
      <c r="E32" s="16"/>
      <c r="F32" s="17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05"/>
      <c r="AG32" s="106"/>
    </row>
    <row r="33" spans="1:33" s="5" customFormat="1" ht="21.75" customHeight="1">
      <c r="A33" s="12">
        <f t="shared" si="1"/>
        <v>21</v>
      </c>
      <c r="B33" s="14"/>
      <c r="C33" s="21"/>
      <c r="D33" s="15"/>
      <c r="E33" s="16"/>
      <c r="F33" s="17"/>
      <c r="G33" s="1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05"/>
      <c r="AG33" s="106"/>
    </row>
    <row r="34" spans="1:33" s="5" customFormat="1" ht="21.75" customHeight="1">
      <c r="A34" s="12">
        <f t="shared" si="1"/>
        <v>22</v>
      </c>
      <c r="B34" s="14"/>
      <c r="C34" s="14"/>
      <c r="D34" s="15"/>
      <c r="E34" s="16"/>
      <c r="F34" s="17"/>
      <c r="G34" s="18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05"/>
      <c r="AG34" s="106"/>
    </row>
    <row r="35" spans="1:33" s="5" customFormat="1" ht="21.75" customHeight="1">
      <c r="A35" s="12">
        <f t="shared" si="1"/>
        <v>23</v>
      </c>
      <c r="B35" s="77" t="s">
        <v>38</v>
      </c>
      <c r="C35" s="78"/>
      <c r="D35" s="78"/>
      <c r="E35" s="78"/>
      <c r="F35" s="78"/>
      <c r="G35" s="78"/>
      <c r="H35" s="78"/>
      <c r="I35" s="79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05"/>
      <c r="AG35" s="106"/>
    </row>
    <row r="36" spans="1:33" s="5" customFormat="1" ht="21.75" customHeight="1">
      <c r="A36" s="12">
        <f t="shared" si="1"/>
        <v>24</v>
      </c>
      <c r="B36" s="19" t="s">
        <v>27</v>
      </c>
      <c r="C36" s="20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05"/>
      <c r="AG36" s="106"/>
    </row>
    <row r="37" spans="1:33" s="5" customFormat="1" ht="21.75" customHeight="1">
      <c r="A37" s="12">
        <f t="shared" si="1"/>
        <v>25</v>
      </c>
      <c r="B37" s="73">
        <v>8663.69</v>
      </c>
      <c r="C37" s="21">
        <v>9070</v>
      </c>
      <c r="D37" s="15" t="s">
        <v>28</v>
      </c>
      <c r="E37" s="16">
        <f aca="true" t="shared" si="10" ref="E37:E42">C37-B37</f>
        <v>406.3099999999995</v>
      </c>
      <c r="F37" s="17">
        <v>24</v>
      </c>
      <c r="G37" s="18">
        <f>ROUND((2864.789+($F37/2))/2864.789,4)</f>
        <v>1.0042</v>
      </c>
      <c r="H37" s="16"/>
      <c r="I37" s="16">
        <f>IF($G37=0,ROUND($E37*$F37,2),ROUND($E37*$F37*$G37,2))</f>
        <v>9792.4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>
        <f aca="true" t="shared" si="11" ref="T37:T43">ROUND(((($I37+$J37)*(T$72/12))/27),2)</f>
        <v>241.79</v>
      </c>
      <c r="U37" s="16">
        <f aca="true" t="shared" si="12" ref="U37:U43">ROUND(((($I37+$J37+$N37+$O37+$P37+$Q37)*(U$72/12))/27),2)</f>
        <v>181.34</v>
      </c>
      <c r="V37" s="16"/>
      <c r="W37" s="16">
        <f aca="true" t="shared" si="13" ref="W37:W43">ROUND((((($I37+$J37)/9)*W$72)*3),2)</f>
        <v>179.53</v>
      </c>
      <c r="X37" s="16"/>
      <c r="Y37" s="16"/>
      <c r="Z37" s="16">
        <f aca="true" t="shared" si="14" ref="Z37:AA43">ROUND(((($I37+$J37)*(Z$72/12))/27),2)</f>
        <v>45.34</v>
      </c>
      <c r="AA37" s="16">
        <f t="shared" si="14"/>
        <v>52.89</v>
      </c>
      <c r="AB37" s="16">
        <f>$AA37+$Z37</f>
        <v>98.23</v>
      </c>
      <c r="AC37" s="16"/>
      <c r="AD37" s="16"/>
      <c r="AE37" s="16"/>
      <c r="AF37" s="105"/>
      <c r="AG37" s="106"/>
    </row>
    <row r="38" spans="1:33" s="5" customFormat="1" ht="21.75" customHeight="1">
      <c r="A38" s="12">
        <f t="shared" si="1"/>
        <v>26</v>
      </c>
      <c r="B38" s="13">
        <f>C37</f>
        <v>9070</v>
      </c>
      <c r="C38" s="14">
        <v>9370</v>
      </c>
      <c r="D38" s="15" t="s">
        <v>28</v>
      </c>
      <c r="E38" s="16">
        <f t="shared" si="10"/>
        <v>300</v>
      </c>
      <c r="F38" s="17">
        <v>24</v>
      </c>
      <c r="G38" s="18">
        <f>ROUND((((2864.789+($F38/2))/2864.789)+((1527.887+($F38/2))/1527.887))/2,4)</f>
        <v>1.006</v>
      </c>
      <c r="H38" s="16"/>
      <c r="I38" s="16">
        <f>IF($G38=0,ROUND($E38*$F38,2),ROUND($E38*$F38*$G38,2))</f>
        <v>7243.2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>
        <f t="shared" si="11"/>
        <v>178.84</v>
      </c>
      <c r="U38" s="16">
        <f t="shared" si="12"/>
        <v>134.13</v>
      </c>
      <c r="V38" s="16"/>
      <c r="W38" s="16">
        <f t="shared" si="13"/>
        <v>132.79</v>
      </c>
      <c r="X38" s="16"/>
      <c r="Y38" s="16"/>
      <c r="Z38" s="16">
        <f t="shared" si="14"/>
        <v>33.53</v>
      </c>
      <c r="AA38" s="16">
        <f t="shared" si="14"/>
        <v>39.12</v>
      </c>
      <c r="AB38" s="16">
        <f aca="true" t="shared" si="15" ref="AB38:AB45">$AA38+$Z38</f>
        <v>72.65</v>
      </c>
      <c r="AC38" s="16"/>
      <c r="AD38" s="16"/>
      <c r="AE38" s="16"/>
      <c r="AF38" s="105"/>
      <c r="AG38" s="106"/>
    </row>
    <row r="39" spans="1:33" s="5" customFormat="1" ht="21.75" customHeight="1">
      <c r="A39" s="12">
        <f t="shared" si="1"/>
        <v>27</v>
      </c>
      <c r="B39" s="13">
        <f>C38</f>
        <v>9370</v>
      </c>
      <c r="C39" s="14">
        <v>10455.37</v>
      </c>
      <c r="D39" s="15" t="s">
        <v>28</v>
      </c>
      <c r="E39" s="16">
        <f t="shared" si="10"/>
        <v>1085.3700000000008</v>
      </c>
      <c r="F39" s="17">
        <v>24</v>
      </c>
      <c r="G39" s="18">
        <f>ROUND((1527.887+($F39/2))/1527.887,4)</f>
        <v>1.0079</v>
      </c>
      <c r="H39" s="16"/>
      <c r="I39" s="16">
        <f>IF($G39=0,ROUND($E39*$F39,2),ROUND($E39*$F39*$G39,2))</f>
        <v>26254.67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>
        <f t="shared" si="11"/>
        <v>648.26</v>
      </c>
      <c r="U39" s="16">
        <f t="shared" si="12"/>
        <v>486.2</v>
      </c>
      <c r="V39" s="16"/>
      <c r="W39" s="16">
        <f t="shared" si="13"/>
        <v>481.34</v>
      </c>
      <c r="X39" s="16"/>
      <c r="Y39" s="16"/>
      <c r="Z39" s="16">
        <f t="shared" si="14"/>
        <v>121.55</v>
      </c>
      <c r="AA39" s="16">
        <f t="shared" si="14"/>
        <v>141.81</v>
      </c>
      <c r="AB39" s="16">
        <f t="shared" si="15"/>
        <v>263.36</v>
      </c>
      <c r="AC39" s="16"/>
      <c r="AD39" s="16"/>
      <c r="AE39" s="16"/>
      <c r="AF39" s="105"/>
      <c r="AG39" s="106"/>
    </row>
    <row r="40" spans="1:33" s="5" customFormat="1" ht="21.75" customHeight="1">
      <c r="A40" s="12">
        <f t="shared" si="1"/>
        <v>28</v>
      </c>
      <c r="B40" s="13">
        <f>C39</f>
        <v>10455.37</v>
      </c>
      <c r="C40" s="14">
        <v>10655.37</v>
      </c>
      <c r="D40" s="15" t="s">
        <v>28</v>
      </c>
      <c r="E40" s="16">
        <f t="shared" si="10"/>
        <v>200</v>
      </c>
      <c r="F40" s="17">
        <v>24</v>
      </c>
      <c r="G40" s="18">
        <f>ROUND((((9822.134+($F40/2))/9822.134)+((1527.887+($F40/2))/1527.887))/2,4)</f>
        <v>1.0045</v>
      </c>
      <c r="H40" s="16"/>
      <c r="I40" s="16">
        <f>IF($G40=0,ROUND($E40*$F40,2),ROUND($E40*$F40*$G40,2))</f>
        <v>4821.6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>
        <f t="shared" si="11"/>
        <v>119.05</v>
      </c>
      <c r="U40" s="16">
        <f t="shared" si="12"/>
        <v>89.29</v>
      </c>
      <c r="V40" s="16"/>
      <c r="W40" s="16">
        <f t="shared" si="13"/>
        <v>88.4</v>
      </c>
      <c r="X40" s="16"/>
      <c r="Y40" s="16"/>
      <c r="Z40" s="16">
        <f t="shared" si="14"/>
        <v>22.32</v>
      </c>
      <c r="AA40" s="16">
        <f t="shared" si="14"/>
        <v>26.04</v>
      </c>
      <c r="AB40" s="16">
        <f t="shared" si="15"/>
        <v>48.36</v>
      </c>
      <c r="AC40" s="16"/>
      <c r="AD40" s="16"/>
      <c r="AE40" s="16"/>
      <c r="AF40" s="105"/>
      <c r="AG40" s="106"/>
    </row>
    <row r="41" spans="1:33" s="5" customFormat="1" ht="21.75" customHeight="1">
      <c r="A41" s="12">
        <f t="shared" si="1"/>
        <v>29</v>
      </c>
      <c r="B41" s="13">
        <f>C40</f>
        <v>10655.37</v>
      </c>
      <c r="C41" s="14">
        <v>10889.94</v>
      </c>
      <c r="D41" s="15" t="s">
        <v>28</v>
      </c>
      <c r="E41" s="16">
        <f t="shared" si="10"/>
        <v>234.5699999999997</v>
      </c>
      <c r="F41" s="17">
        <v>24</v>
      </c>
      <c r="G41" s="18">
        <f>ROUND((9822.134+($F41/2))/9822.134,4)</f>
        <v>1.0012</v>
      </c>
      <c r="H41" s="16"/>
      <c r="I41" s="16">
        <f>IF($G41=0,ROUND($E41*$F41,2),ROUND($E41*$F41*$G41,2))</f>
        <v>5636.44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>
        <f t="shared" si="11"/>
        <v>139.17</v>
      </c>
      <c r="U41" s="16">
        <f t="shared" si="12"/>
        <v>104.38</v>
      </c>
      <c r="V41" s="16"/>
      <c r="W41" s="16">
        <f t="shared" si="13"/>
        <v>103.33</v>
      </c>
      <c r="X41" s="16"/>
      <c r="Y41" s="16"/>
      <c r="Z41" s="16">
        <f t="shared" si="14"/>
        <v>26.09</v>
      </c>
      <c r="AA41" s="16">
        <f t="shared" si="14"/>
        <v>30.44</v>
      </c>
      <c r="AB41" s="16">
        <f t="shared" si="15"/>
        <v>56.53</v>
      </c>
      <c r="AC41" s="16"/>
      <c r="AD41" s="16"/>
      <c r="AE41" s="16"/>
      <c r="AF41" s="105"/>
      <c r="AG41" s="106"/>
    </row>
    <row r="42" spans="1:33" s="5" customFormat="1" ht="21.75" customHeight="1">
      <c r="A42" s="12">
        <f t="shared" si="1"/>
        <v>30</v>
      </c>
      <c r="B42" s="13">
        <f>C41</f>
        <v>10889.94</v>
      </c>
      <c r="C42" s="14">
        <v>11413.78</v>
      </c>
      <c r="D42" s="15" t="s">
        <v>28</v>
      </c>
      <c r="E42" s="16">
        <f t="shared" si="10"/>
        <v>523.8400000000001</v>
      </c>
      <c r="F42" s="17">
        <v>12</v>
      </c>
      <c r="G42" s="18">
        <f>ROUND((9822.134+($F42/2))/9822.134,4)</f>
        <v>1.0006</v>
      </c>
      <c r="H42" s="16"/>
      <c r="I42" s="16">
        <f>IF(G42=0,ROUND($E42*$F42,2),ROUND($E42*$F42*$G42,2))</f>
        <v>6289.85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>
        <f t="shared" si="11"/>
        <v>155.3</v>
      </c>
      <c r="U42" s="16">
        <f t="shared" si="12"/>
        <v>116.48</v>
      </c>
      <c r="V42" s="16"/>
      <c r="W42" s="16">
        <f t="shared" si="13"/>
        <v>115.31</v>
      </c>
      <c r="X42" s="16"/>
      <c r="Y42" s="16"/>
      <c r="Z42" s="16">
        <f t="shared" si="14"/>
        <v>29.12</v>
      </c>
      <c r="AA42" s="16">
        <f t="shared" si="14"/>
        <v>33.97</v>
      </c>
      <c r="AB42" s="16">
        <f t="shared" si="15"/>
        <v>63.09</v>
      </c>
      <c r="AC42" s="16"/>
      <c r="AD42" s="16"/>
      <c r="AE42" s="16"/>
      <c r="AF42" s="105"/>
      <c r="AG42" s="106"/>
    </row>
    <row r="43" spans="1:33" s="5" customFormat="1" ht="21.75" customHeight="1">
      <c r="A43" s="12">
        <f t="shared" si="1"/>
        <v>31</v>
      </c>
      <c r="B43" s="13">
        <f>C41</f>
        <v>10889.94</v>
      </c>
      <c r="C43" s="14">
        <v>11413.78</v>
      </c>
      <c r="D43" s="15" t="s">
        <v>28</v>
      </c>
      <c r="E43" s="16">
        <f>C43-B43</f>
        <v>523.8400000000001</v>
      </c>
      <c r="F43" s="80" t="s">
        <v>31</v>
      </c>
      <c r="G43" s="81"/>
      <c r="H43" s="81"/>
      <c r="I43" s="82"/>
      <c r="J43" s="16">
        <v>2447.88</v>
      </c>
      <c r="K43" s="16"/>
      <c r="L43" s="16"/>
      <c r="M43" s="16"/>
      <c r="N43" s="16"/>
      <c r="O43" s="16"/>
      <c r="P43" s="16"/>
      <c r="Q43" s="16"/>
      <c r="R43" s="16"/>
      <c r="S43" s="16"/>
      <c r="T43" s="16">
        <f t="shared" si="11"/>
        <v>60.44</v>
      </c>
      <c r="U43" s="16">
        <f t="shared" si="12"/>
        <v>45.33</v>
      </c>
      <c r="V43" s="16"/>
      <c r="W43" s="16">
        <f t="shared" si="13"/>
        <v>44.88</v>
      </c>
      <c r="X43" s="16"/>
      <c r="Y43" s="16"/>
      <c r="Z43" s="16">
        <f t="shared" si="14"/>
        <v>11.33</v>
      </c>
      <c r="AA43" s="16">
        <f t="shared" si="14"/>
        <v>13.22</v>
      </c>
      <c r="AB43" s="16">
        <f t="shared" si="15"/>
        <v>24.55</v>
      </c>
      <c r="AC43" s="16"/>
      <c r="AD43" s="16"/>
      <c r="AE43" s="16"/>
      <c r="AF43" s="105"/>
      <c r="AG43" s="106"/>
    </row>
    <row r="44" spans="1:33" s="5" customFormat="1" ht="21.75" customHeight="1">
      <c r="A44" s="12">
        <f t="shared" si="1"/>
        <v>32</v>
      </c>
      <c r="B44" s="13"/>
      <c r="C44" s="14"/>
      <c r="D44" s="15"/>
      <c r="E44" s="16"/>
      <c r="F44" s="17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05"/>
      <c r="AG44" s="106"/>
    </row>
    <row r="45" spans="1:33" s="5" customFormat="1" ht="21.75" customHeight="1">
      <c r="A45" s="12">
        <f t="shared" si="1"/>
        <v>33</v>
      </c>
      <c r="B45" s="13" t="s">
        <v>61</v>
      </c>
      <c r="C45" s="14" t="s">
        <v>62</v>
      </c>
      <c r="D45" s="15" t="s">
        <v>28</v>
      </c>
      <c r="E45" s="16">
        <v>37.85</v>
      </c>
      <c r="F45" s="17">
        <f>ROUND(AVERAGE(11.419,12),2)</f>
        <v>11.71</v>
      </c>
      <c r="G45" s="18"/>
      <c r="H45" s="16"/>
      <c r="I45" s="16">
        <f>IF(G45=0,ROUND($E45*$F45,2),ROUND($E45*$F45*$G45,2))</f>
        <v>443.22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>
        <f>ROUND(((($I45+$J45)*(T$72/12))/27),2)</f>
        <v>10.94</v>
      </c>
      <c r="U45" s="16">
        <f>ROUND(((($I45+$J45+$N45+$O45+$P45+$Q45)*(U$72/12))/27),2)</f>
        <v>8.21</v>
      </c>
      <c r="V45" s="16"/>
      <c r="W45" s="16">
        <f>ROUND((((($I45+$J45)/9)*W$72)*3),2)</f>
        <v>8.13</v>
      </c>
      <c r="X45" s="16"/>
      <c r="Y45" s="16"/>
      <c r="Z45" s="16">
        <f>ROUND(((($I45+$J45)*(Z$72/12))/27),2)</f>
        <v>2.05</v>
      </c>
      <c r="AA45" s="16">
        <f>ROUND(((($I45+$J45)*(AA$72/12))/27),2)</f>
        <v>2.39</v>
      </c>
      <c r="AB45" s="16">
        <f t="shared" si="15"/>
        <v>4.4399999999999995</v>
      </c>
      <c r="AC45" s="16"/>
      <c r="AD45" s="16"/>
      <c r="AE45" s="16"/>
      <c r="AF45" s="105"/>
      <c r="AG45" s="106"/>
    </row>
    <row r="46" spans="1:33" s="5" customFormat="1" ht="21.75" customHeight="1">
      <c r="A46" s="12">
        <f t="shared" si="1"/>
        <v>34</v>
      </c>
      <c r="B46" s="13"/>
      <c r="C46" s="14"/>
      <c r="D46" s="15"/>
      <c r="E46" s="16"/>
      <c r="F46" s="17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05"/>
      <c r="AG46" s="106"/>
    </row>
    <row r="47" spans="1:33" s="5" customFormat="1" ht="21.75" customHeight="1">
      <c r="A47" s="12">
        <f t="shared" si="1"/>
        <v>35</v>
      </c>
      <c r="B47" s="19" t="s">
        <v>35</v>
      </c>
      <c r="C47" s="14"/>
      <c r="D47" s="15"/>
      <c r="E47" s="16"/>
      <c r="F47" s="17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05"/>
      <c r="AG47" s="106"/>
    </row>
    <row r="48" spans="1:33" s="5" customFormat="1" ht="21.75" customHeight="1">
      <c r="A48" s="12">
        <f t="shared" si="1"/>
        <v>36</v>
      </c>
      <c r="B48" s="13">
        <v>8663.69</v>
      </c>
      <c r="C48" s="14">
        <v>9070</v>
      </c>
      <c r="D48" s="15" t="s">
        <v>33</v>
      </c>
      <c r="E48" s="16">
        <f aca="true" t="shared" si="16" ref="E48:E53">C48-B48</f>
        <v>406.3099999999995</v>
      </c>
      <c r="F48" s="17">
        <v>10</v>
      </c>
      <c r="G48" s="18">
        <f>ROUND((2864.789-($F48/2))/2864.789,4)</f>
        <v>0.9983</v>
      </c>
      <c r="H48" s="18">
        <f>ROUND((2864.789-($F48))/2864.789,4)</f>
        <v>0.9965</v>
      </c>
      <c r="I48" s="16">
        <f aca="true" t="shared" si="17" ref="I48:I53">IF(G48=0,ROUND($E48*$F48,2),ROUND($E48*$F48*$G48,2))</f>
        <v>4056.19</v>
      </c>
      <c r="J48" s="16"/>
      <c r="K48" s="16">
        <f aca="true" t="shared" si="18" ref="K48:K53">IF($H48=0,ROUND($E48*(K$72/12),2),ROUND($E48*(K$72/12)*$H48,2))</f>
        <v>134.96</v>
      </c>
      <c r="L48" s="16"/>
      <c r="M48" s="16">
        <f aca="true" t="shared" si="19" ref="M48:N53">IF($H48=0,ROUND($E48*(M$72/12),2),ROUND($E48*(M$72/12)*$H48,2))</f>
        <v>337.41</v>
      </c>
      <c r="N48" s="16">
        <f t="shared" si="19"/>
        <v>539.85</v>
      </c>
      <c r="O48" s="16"/>
      <c r="P48" s="16"/>
      <c r="Q48" s="41"/>
      <c r="R48" s="16"/>
      <c r="S48" s="16"/>
      <c r="T48" s="16">
        <f aca="true" t="shared" si="20" ref="T48:T53">ROUND(((($I48+$J48)*(T$72/12)+($K48)*(T$73/12)+($M48)*(T$73/12))/27),2)</f>
        <v>105.98</v>
      </c>
      <c r="U48" s="16">
        <f aca="true" t="shared" si="21" ref="U48:U53">ROUND(((($I48+$J48+$N48+$O48+$P48+$Q48)*(U$72/12))/27),2)</f>
        <v>85.11</v>
      </c>
      <c r="V48" s="16"/>
      <c r="W48" s="16">
        <f aca="true" t="shared" si="22" ref="W48:W53">ROUND(((($I48+$J48)/9)*$W$72)+((($I48+$J48+$K48)/9)*$W$72)+((($I48+$J48+$M48)/9)*$W$72),2)</f>
        <v>77.25</v>
      </c>
      <c r="X48" s="16"/>
      <c r="Y48" s="16"/>
      <c r="Z48" s="16">
        <f>ROUND(((($I48+$J48)*(Z$72/12))/27),2)</f>
        <v>18.78</v>
      </c>
      <c r="AA48" s="16">
        <f aca="true" t="shared" si="23" ref="Z48:AA53">ROUND(((($I48+$J48)*(AA$72/12))/27),2)</f>
        <v>21.91</v>
      </c>
      <c r="AB48" s="16"/>
      <c r="AC48" s="16"/>
      <c r="AD48" s="16"/>
      <c r="AE48" s="16"/>
      <c r="AF48" s="105"/>
      <c r="AG48" s="106"/>
    </row>
    <row r="49" spans="1:33" s="5" customFormat="1" ht="21.75" customHeight="1">
      <c r="A49" s="12">
        <f t="shared" si="1"/>
        <v>37</v>
      </c>
      <c r="B49" s="13">
        <f>C48</f>
        <v>9070</v>
      </c>
      <c r="C49" s="14">
        <v>9370</v>
      </c>
      <c r="D49" s="15" t="s">
        <v>33</v>
      </c>
      <c r="E49" s="16">
        <f t="shared" si="16"/>
        <v>300</v>
      </c>
      <c r="F49" s="17">
        <v>10</v>
      </c>
      <c r="G49" s="18">
        <f>ROUND((((2864.789-($F49/2))/2864.789)+((1527.887-($F49/2))/1527.887))/2,4)</f>
        <v>0.9975</v>
      </c>
      <c r="H49" s="18">
        <f>ROUND((((2864.789-($F49))/2864.789)+((1527.887-($F49))/1527.887))/2,4)</f>
        <v>0.995</v>
      </c>
      <c r="I49" s="16">
        <f t="shared" si="17"/>
        <v>2992.5</v>
      </c>
      <c r="J49" s="16"/>
      <c r="K49" s="16">
        <f t="shared" si="18"/>
        <v>99.5</v>
      </c>
      <c r="L49" s="16"/>
      <c r="M49" s="16">
        <f t="shared" si="19"/>
        <v>248.75</v>
      </c>
      <c r="N49" s="16">
        <f t="shared" si="19"/>
        <v>398</v>
      </c>
      <c r="O49" s="16"/>
      <c r="P49" s="16"/>
      <c r="Q49" s="16"/>
      <c r="R49" s="16"/>
      <c r="S49" s="16"/>
      <c r="T49" s="16">
        <f>ROUND(((($I49+$J49)*(T$72/12)+($K49)*(T$73/12)+($M49)*(T$73/12))/27),2)</f>
        <v>78.19</v>
      </c>
      <c r="U49" s="16">
        <f t="shared" si="21"/>
        <v>62.79</v>
      </c>
      <c r="V49" s="16"/>
      <c r="W49" s="16">
        <f t="shared" si="22"/>
        <v>56.99</v>
      </c>
      <c r="X49" s="16"/>
      <c r="Y49" s="16"/>
      <c r="Z49" s="16">
        <f t="shared" si="23"/>
        <v>13.85</v>
      </c>
      <c r="AA49" s="16">
        <f t="shared" si="23"/>
        <v>16.16</v>
      </c>
      <c r="AB49" s="16"/>
      <c r="AC49" s="16"/>
      <c r="AD49" s="16"/>
      <c r="AE49" s="16"/>
      <c r="AF49" s="105"/>
      <c r="AG49" s="106"/>
    </row>
    <row r="50" spans="1:33" s="5" customFormat="1" ht="21.75" customHeight="1" thickBot="1">
      <c r="A50" s="12">
        <f t="shared" si="1"/>
        <v>38</v>
      </c>
      <c r="B50" s="13">
        <f>C49</f>
        <v>9370</v>
      </c>
      <c r="C50" s="14">
        <v>10455.37</v>
      </c>
      <c r="D50" s="15" t="s">
        <v>33</v>
      </c>
      <c r="E50" s="16">
        <f t="shared" si="16"/>
        <v>1085.3700000000008</v>
      </c>
      <c r="F50" s="17">
        <v>10</v>
      </c>
      <c r="G50" s="18">
        <f>ROUND((1527.887-($F50/2))/1527.887,4)</f>
        <v>0.9967</v>
      </c>
      <c r="H50" s="18">
        <f>ROUND((1527.887-($F50))/1527.887,4)</f>
        <v>0.9935</v>
      </c>
      <c r="I50" s="16">
        <f t="shared" si="17"/>
        <v>10817.88</v>
      </c>
      <c r="J50" s="16"/>
      <c r="K50" s="16">
        <f t="shared" si="18"/>
        <v>359.44</v>
      </c>
      <c r="L50" s="16"/>
      <c r="M50" s="16">
        <f t="shared" si="19"/>
        <v>898.6</v>
      </c>
      <c r="N50" s="16">
        <f t="shared" si="19"/>
        <v>1437.75</v>
      </c>
      <c r="O50" s="16"/>
      <c r="P50" s="16"/>
      <c r="Q50" s="16"/>
      <c r="R50" s="16"/>
      <c r="S50" s="16"/>
      <c r="T50" s="16">
        <f t="shared" si="20"/>
        <v>282.64</v>
      </c>
      <c r="U50" s="16">
        <f t="shared" si="21"/>
        <v>226.96</v>
      </c>
      <c r="V50" s="16"/>
      <c r="W50" s="16">
        <f t="shared" si="22"/>
        <v>206.02</v>
      </c>
      <c r="X50" s="16"/>
      <c r="Y50" s="16"/>
      <c r="Z50" s="16">
        <f t="shared" si="23"/>
        <v>50.08</v>
      </c>
      <c r="AA50" s="16">
        <f t="shared" si="23"/>
        <v>58.43</v>
      </c>
      <c r="AB50" s="16"/>
      <c r="AC50" s="16"/>
      <c r="AD50" s="16"/>
      <c r="AE50" s="16"/>
      <c r="AF50" s="107"/>
      <c r="AG50" s="108"/>
    </row>
    <row r="51" spans="1:33" s="5" customFormat="1" ht="21.75" customHeight="1">
      <c r="A51" s="12">
        <f t="shared" si="1"/>
        <v>39</v>
      </c>
      <c r="B51" s="13">
        <f>C50</f>
        <v>10455.37</v>
      </c>
      <c r="C51" s="14">
        <v>10655.37</v>
      </c>
      <c r="D51" s="15" t="s">
        <v>33</v>
      </c>
      <c r="E51" s="16">
        <f t="shared" si="16"/>
        <v>200</v>
      </c>
      <c r="F51" s="17">
        <v>10</v>
      </c>
      <c r="G51" s="18">
        <f>ROUND((((9822.134-($F51/2))/9822.134)+((1527.887-($F51/2))/1527.887))/2,4)</f>
        <v>0.9981</v>
      </c>
      <c r="H51" s="18">
        <f>ROUND((((9822.134-($F51))/9822.134)+((1527.887-($F51))/1527.887))/2,4)</f>
        <v>0.9962</v>
      </c>
      <c r="I51" s="16">
        <f t="shared" si="17"/>
        <v>1996.2</v>
      </c>
      <c r="J51" s="16"/>
      <c r="K51" s="16">
        <f t="shared" si="18"/>
        <v>66.41</v>
      </c>
      <c r="L51" s="16"/>
      <c r="M51" s="16">
        <f t="shared" si="19"/>
        <v>166.03</v>
      </c>
      <c r="N51" s="16">
        <f t="shared" si="19"/>
        <v>265.65</v>
      </c>
      <c r="O51" s="16"/>
      <c r="P51" s="16"/>
      <c r="Q51" s="16"/>
      <c r="R51" s="16"/>
      <c r="S51" s="16"/>
      <c r="T51" s="16">
        <f t="shared" si="20"/>
        <v>52.16</v>
      </c>
      <c r="U51" s="16">
        <f>ROUND(((($I51+$J51+$N51+$O51+$P51+$Q51)*(U$72/12))/27),2)</f>
        <v>41.89</v>
      </c>
      <c r="V51" s="16"/>
      <c r="W51" s="16">
        <f t="shared" si="22"/>
        <v>38.02</v>
      </c>
      <c r="X51" s="16"/>
      <c r="Y51" s="16"/>
      <c r="Z51" s="16">
        <f t="shared" si="23"/>
        <v>9.24</v>
      </c>
      <c r="AA51" s="16">
        <f t="shared" si="23"/>
        <v>10.78</v>
      </c>
      <c r="AB51" s="16"/>
      <c r="AC51" s="16"/>
      <c r="AD51" s="16"/>
      <c r="AE51" s="16"/>
      <c r="AF51" s="103" t="s">
        <v>93</v>
      </c>
      <c r="AG51" s="104"/>
    </row>
    <row r="52" spans="1:33" s="5" customFormat="1" ht="21.75" customHeight="1">
      <c r="A52" s="12">
        <f t="shared" si="1"/>
        <v>40</v>
      </c>
      <c r="B52" s="13">
        <f>C51</f>
        <v>10655.37</v>
      </c>
      <c r="C52" s="14">
        <v>11403.67</v>
      </c>
      <c r="D52" s="15" t="s">
        <v>33</v>
      </c>
      <c r="E52" s="16">
        <f t="shared" si="16"/>
        <v>748.2999999999993</v>
      </c>
      <c r="F52" s="17">
        <v>10</v>
      </c>
      <c r="G52" s="18">
        <f>ROUND((9822.134-($F52/2))/9822.134,4)</f>
        <v>0.9995</v>
      </c>
      <c r="H52" s="18">
        <f>ROUND((9822.134-($F52))/9822.134,4)</f>
        <v>0.999</v>
      </c>
      <c r="I52" s="16">
        <f t="shared" si="17"/>
        <v>7479.26</v>
      </c>
      <c r="J52" s="16"/>
      <c r="K52" s="16">
        <f t="shared" si="18"/>
        <v>249.18</v>
      </c>
      <c r="L52" s="16"/>
      <c r="M52" s="16">
        <f t="shared" si="19"/>
        <v>622.96</v>
      </c>
      <c r="N52" s="16">
        <f t="shared" si="19"/>
        <v>996.74</v>
      </c>
      <c r="O52" s="16"/>
      <c r="P52" s="16"/>
      <c r="Q52" s="16"/>
      <c r="R52" s="16"/>
      <c r="S52" s="16"/>
      <c r="T52" s="16">
        <f t="shared" si="20"/>
        <v>195.44</v>
      </c>
      <c r="U52" s="16">
        <f t="shared" si="21"/>
        <v>156.96</v>
      </c>
      <c r="V52" s="16"/>
      <c r="W52" s="16">
        <f t="shared" si="22"/>
        <v>142.45</v>
      </c>
      <c r="X52" s="16"/>
      <c r="Y52" s="16"/>
      <c r="Z52" s="16">
        <f t="shared" si="23"/>
        <v>34.63</v>
      </c>
      <c r="AA52" s="16">
        <f t="shared" si="23"/>
        <v>40.4</v>
      </c>
      <c r="AB52" s="16"/>
      <c r="AC52" s="16"/>
      <c r="AD52" s="16"/>
      <c r="AE52" s="16"/>
      <c r="AF52" s="105"/>
      <c r="AG52" s="106"/>
    </row>
    <row r="53" spans="1:33" s="5" customFormat="1" ht="21.75" customHeight="1">
      <c r="A53" s="12">
        <f t="shared" si="1"/>
        <v>41</v>
      </c>
      <c r="B53" s="13">
        <f>C52</f>
        <v>11403.67</v>
      </c>
      <c r="C53" s="14">
        <v>11413.78</v>
      </c>
      <c r="D53" s="15" t="s">
        <v>33</v>
      </c>
      <c r="E53" s="16">
        <f t="shared" si="16"/>
        <v>10.110000000000582</v>
      </c>
      <c r="F53" s="17">
        <f>ROUND(AVERAGE(10.404,10),2)</f>
        <v>10.2</v>
      </c>
      <c r="G53" s="18">
        <f>ROUND((9822.134-($F53/2))/9822.134,4)</f>
        <v>0.9995</v>
      </c>
      <c r="H53" s="18">
        <f>ROUND((9822.134-($F53))/9822.134,4)</f>
        <v>0.999</v>
      </c>
      <c r="I53" s="16">
        <f t="shared" si="17"/>
        <v>103.07</v>
      </c>
      <c r="J53" s="16"/>
      <c r="K53" s="16">
        <f t="shared" si="18"/>
        <v>3.37</v>
      </c>
      <c r="L53" s="16"/>
      <c r="M53" s="16">
        <f t="shared" si="19"/>
        <v>8.42</v>
      </c>
      <c r="N53" s="16">
        <f t="shared" si="19"/>
        <v>13.47</v>
      </c>
      <c r="O53" s="16"/>
      <c r="P53" s="16"/>
      <c r="Q53" s="16"/>
      <c r="R53" s="16"/>
      <c r="S53" s="16"/>
      <c r="T53" s="16">
        <f t="shared" si="20"/>
        <v>2.69</v>
      </c>
      <c r="U53" s="16">
        <f t="shared" si="21"/>
        <v>2.16</v>
      </c>
      <c r="V53" s="16"/>
      <c r="W53" s="16">
        <f t="shared" si="22"/>
        <v>1.96</v>
      </c>
      <c r="X53" s="16"/>
      <c r="Y53" s="16"/>
      <c r="Z53" s="16">
        <f t="shared" si="23"/>
        <v>0.48</v>
      </c>
      <c r="AA53" s="16">
        <f t="shared" si="23"/>
        <v>0.56</v>
      </c>
      <c r="AB53" s="16"/>
      <c r="AC53" s="16"/>
      <c r="AD53" s="16"/>
      <c r="AE53" s="16"/>
      <c r="AF53" s="105"/>
      <c r="AG53" s="106"/>
    </row>
    <row r="54" spans="1:33" s="5" customFormat="1" ht="21.75" customHeight="1">
      <c r="A54" s="12">
        <f t="shared" si="1"/>
        <v>42</v>
      </c>
      <c r="B54" s="14"/>
      <c r="C54" s="14"/>
      <c r="D54" s="15"/>
      <c r="E54" s="16"/>
      <c r="F54" s="22"/>
      <c r="G54" s="1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05"/>
      <c r="AG54" s="106"/>
    </row>
    <row r="55" spans="1:33" s="5" customFormat="1" ht="21.75" customHeight="1">
      <c r="A55" s="12">
        <f t="shared" si="1"/>
        <v>43</v>
      </c>
      <c r="B55" s="14">
        <v>9431.91</v>
      </c>
      <c r="C55" s="14">
        <v>9450</v>
      </c>
      <c r="D55" s="15" t="s">
        <v>28</v>
      </c>
      <c r="E55" s="16">
        <f>C55-B55</f>
        <v>18.090000000000146</v>
      </c>
      <c r="F55" s="80" t="s">
        <v>31</v>
      </c>
      <c r="G55" s="81"/>
      <c r="H55" s="81"/>
      <c r="I55" s="82"/>
      <c r="J55" s="16">
        <v>74.59</v>
      </c>
      <c r="K55" s="16">
        <f>IF($H55=0,ROUND($E55*(K$72/12),2),ROUND($E55*(K$72/12)*$H55,2))</f>
        <v>6.03</v>
      </c>
      <c r="L55" s="16"/>
      <c r="M55" s="16">
        <f aca="true" t="shared" si="24" ref="M55:N57">IF($H55=0,ROUND($E55*(M$72/12),2),ROUND($E55*(M$72/12)*$H55,2))</f>
        <v>15.08</v>
      </c>
      <c r="N55" s="16">
        <f t="shared" si="24"/>
        <v>24.12</v>
      </c>
      <c r="O55" s="16"/>
      <c r="P55" s="16"/>
      <c r="Q55" s="16"/>
      <c r="R55" s="16"/>
      <c r="S55" s="16"/>
      <c r="T55" s="16">
        <f>ROUND(((($I55+$J55)*(T$72/12)+($K55)*(T$73/12)+($M55)*(T$73/12))/27),2)</f>
        <v>2.1</v>
      </c>
      <c r="U55" s="16">
        <f>ROUND(((($I55+$J55+$N55+$O55+$P55+$Q55)*(U$72/12))/27),2)</f>
        <v>1.83</v>
      </c>
      <c r="V55" s="16"/>
      <c r="W55" s="16">
        <f>ROUND(((($I55+$J55)/9)*$W$72)+((($I55+$J55+$K55)/9)*$W$72)+((($I55+$J55+$M55)/9)*$W$72),2)</f>
        <v>1.5</v>
      </c>
      <c r="X55" s="16"/>
      <c r="Y55" s="16"/>
      <c r="Z55" s="16">
        <f aca="true" t="shared" si="25" ref="Z55:AA57">ROUND(((($I55+$J55)*(Z$72/12))/27),2)</f>
        <v>0.35</v>
      </c>
      <c r="AA55" s="16">
        <f t="shared" si="25"/>
        <v>0.4</v>
      </c>
      <c r="AB55" s="16"/>
      <c r="AC55" s="16"/>
      <c r="AD55" s="16"/>
      <c r="AE55" s="16"/>
      <c r="AF55" s="105"/>
      <c r="AG55" s="106"/>
    </row>
    <row r="56" spans="1:33" s="5" customFormat="1" ht="21.75" customHeight="1">
      <c r="A56" s="12">
        <f t="shared" si="1"/>
        <v>44</v>
      </c>
      <c r="B56" s="13">
        <f>C55</f>
        <v>9450</v>
      </c>
      <c r="C56" s="14">
        <v>10455.37</v>
      </c>
      <c r="D56" s="15" t="s">
        <v>28</v>
      </c>
      <c r="E56" s="16">
        <f>C56-B56</f>
        <v>1005.3700000000008</v>
      </c>
      <c r="F56" s="17">
        <v>4</v>
      </c>
      <c r="G56" s="18">
        <f>ROUND((1527.887+24+($F56/2))/1527.887,4)</f>
        <v>1.017</v>
      </c>
      <c r="H56" s="18">
        <f>ROUND((1527.887+24+($F56))/1527.887,4)</f>
        <v>1.0183</v>
      </c>
      <c r="I56" s="16">
        <f>IF(G56=0,ROUND($E56*$F56,2),ROUND($E56*$F56*$G56,2))</f>
        <v>4089.85</v>
      </c>
      <c r="J56" s="16"/>
      <c r="K56" s="16">
        <f>IF($H56=0,ROUND($E56*(K$72/12),2),ROUND($E56*(K$72/12)*$H56,2))</f>
        <v>341.26</v>
      </c>
      <c r="L56" s="16"/>
      <c r="M56" s="16">
        <f t="shared" si="24"/>
        <v>853.14</v>
      </c>
      <c r="N56" s="16">
        <f t="shared" si="24"/>
        <v>1365.02</v>
      </c>
      <c r="O56" s="16"/>
      <c r="P56" s="16"/>
      <c r="Q56" s="16"/>
      <c r="R56" s="16"/>
      <c r="S56" s="16"/>
      <c r="T56" s="16">
        <f>ROUND(((($I56+$J56)*(T$72/12)+($K56)*(T$73/12)+($M56)*(T$73/12))/27),2)</f>
        <v>115.73</v>
      </c>
      <c r="U56" s="16">
        <f>ROUND(((($I56+$J56+$N56+$O56+$P56+$Q56)*(U$72/12))/27),2)</f>
        <v>101.02</v>
      </c>
      <c r="V56" s="16"/>
      <c r="W56" s="16">
        <f>ROUND(((($I56+$J56)/9)*$W$72)+((($I56+$J56+$K56)/9)*$W$72)+((($I56+$J56+$M56)/9)*$W$72),2)</f>
        <v>82.28</v>
      </c>
      <c r="X56" s="16"/>
      <c r="Y56" s="16"/>
      <c r="Z56" s="16">
        <f t="shared" si="25"/>
        <v>18.93</v>
      </c>
      <c r="AA56" s="16">
        <f t="shared" si="25"/>
        <v>22.09</v>
      </c>
      <c r="AB56" s="16"/>
      <c r="AC56" s="16"/>
      <c r="AD56" s="16"/>
      <c r="AE56" s="16"/>
      <c r="AF56" s="105"/>
      <c r="AG56" s="106"/>
    </row>
    <row r="57" spans="1:33" s="5" customFormat="1" ht="21.75" customHeight="1">
      <c r="A57" s="12">
        <f>A56+1</f>
        <v>45</v>
      </c>
      <c r="B57" s="13">
        <f>C56</f>
        <v>10455.37</v>
      </c>
      <c r="C57" s="14">
        <v>10573.19</v>
      </c>
      <c r="D57" s="15" t="s">
        <v>28</v>
      </c>
      <c r="E57" s="16">
        <f>C57-B57</f>
        <v>117.81999999999971</v>
      </c>
      <c r="F57" s="80" t="s">
        <v>31</v>
      </c>
      <c r="G57" s="81"/>
      <c r="H57" s="81"/>
      <c r="I57" s="82"/>
      <c r="J57" s="16">
        <v>477.67</v>
      </c>
      <c r="K57" s="16">
        <f>IF($H57=0,ROUND($E57*(K$72/12),2),ROUND($E57*(K$72/12)*$H57,2))</f>
        <v>39.27</v>
      </c>
      <c r="L57" s="16"/>
      <c r="M57" s="16">
        <f t="shared" si="24"/>
        <v>98.18</v>
      </c>
      <c r="N57" s="16">
        <f t="shared" si="24"/>
        <v>157.09</v>
      </c>
      <c r="O57" s="16"/>
      <c r="P57" s="16"/>
      <c r="Q57" s="16"/>
      <c r="R57" s="16"/>
      <c r="S57" s="16"/>
      <c r="T57" s="16">
        <f>ROUND(((($I57+$J57)*(T$72/12)+($K57)*(T$73/12)+($M57)*(T$73/12))/27),2)</f>
        <v>13.49</v>
      </c>
      <c r="U57" s="16">
        <f>ROUND(((($I57+$J57+$N57+$O57+$P57+$Q57)*(U$72/12))/27),2)</f>
        <v>11.75</v>
      </c>
      <c r="V57" s="16"/>
      <c r="W57" s="16">
        <f>ROUND(((($I57+$J57)/9)*$W$72)+((($I57+$J57+$K57)/9)*$W$72)+((($I57+$J57+$M57)/9)*$W$72),2)</f>
        <v>9.6</v>
      </c>
      <c r="X57" s="16"/>
      <c r="Y57" s="16"/>
      <c r="Z57" s="16">
        <f t="shared" si="25"/>
        <v>2.21</v>
      </c>
      <c r="AA57" s="16">
        <f t="shared" si="25"/>
        <v>2.58</v>
      </c>
      <c r="AB57" s="16"/>
      <c r="AC57" s="16"/>
      <c r="AD57" s="16"/>
      <c r="AE57" s="16"/>
      <c r="AF57" s="105"/>
      <c r="AG57" s="106"/>
    </row>
    <row r="58" spans="1:33" s="24" customFormat="1" ht="21.75" customHeight="1">
      <c r="A58" s="12">
        <f t="shared" si="1"/>
        <v>46</v>
      </c>
      <c r="B58" s="14"/>
      <c r="C58" s="14"/>
      <c r="D58" s="15"/>
      <c r="E58" s="16"/>
      <c r="F58" s="17"/>
      <c r="G58" s="18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05"/>
      <c r="AG58" s="106"/>
    </row>
    <row r="59" spans="1:33" s="24" customFormat="1" ht="21.75" customHeight="1">
      <c r="A59" s="12">
        <f t="shared" si="1"/>
        <v>47</v>
      </c>
      <c r="B59" s="14" t="s">
        <v>61</v>
      </c>
      <c r="C59" s="14" t="s">
        <v>62</v>
      </c>
      <c r="D59" s="15" t="s">
        <v>28</v>
      </c>
      <c r="E59" s="16">
        <v>37.85</v>
      </c>
      <c r="F59" s="17">
        <f>ROUND(AVERAGE(10.404,11.918),2)</f>
        <v>11.16</v>
      </c>
      <c r="G59" s="16"/>
      <c r="H59" s="16"/>
      <c r="I59" s="16">
        <f>IF(G59=0,ROUND($E59*$F59,2),ROUND($E59*$F59*$G59,2))</f>
        <v>422.41</v>
      </c>
      <c r="J59" s="16"/>
      <c r="K59" s="16">
        <f>IF($H59=0,ROUND($E59*(K$72/12),2),ROUND($E59*(K$72/12)*$H59,2))</f>
        <v>12.62</v>
      </c>
      <c r="L59" s="16"/>
      <c r="M59" s="16">
        <f>IF($H59=0,ROUND($E59*(M$72/12),2),ROUND($E59*(M$72/12)*$H59,2))</f>
        <v>31.54</v>
      </c>
      <c r="N59" s="16">
        <f>IF($H59=0,ROUND($E59*(N$72/12),2),ROUND($E59*(N$72/12)*$H59,2))</f>
        <v>50.47</v>
      </c>
      <c r="O59" s="16"/>
      <c r="P59" s="16"/>
      <c r="Q59" s="16"/>
      <c r="R59" s="16"/>
      <c r="S59" s="16"/>
      <c r="T59" s="16">
        <f>ROUND(((($I59+$J59)*(T$72/12)+($K59)*(T$73/12)+($M59)*(T$73/12))/27),2)</f>
        <v>10.98</v>
      </c>
      <c r="U59" s="16">
        <f>ROUND(((($I59+$J59+$N59+$O59+$P59+$Q59)*(U$72/12))/27),2)</f>
        <v>8.76</v>
      </c>
      <c r="V59" s="16"/>
      <c r="W59" s="16">
        <f>ROUND(((($I59+$J59)/9)*$W$72)+((($I59+$J59+$K59)/9)*$W$72)+((($I59+$J59+$M59)/9)*$W$72),2)</f>
        <v>8.01</v>
      </c>
      <c r="X59" s="16"/>
      <c r="Y59" s="16"/>
      <c r="Z59" s="16">
        <f>ROUND(((($I59+$J59)*(Z$72/12))/27),2)</f>
        <v>1.96</v>
      </c>
      <c r="AA59" s="16">
        <f>ROUND(((($I59+$J59)*(AA$72/12))/27),2)</f>
        <v>2.28</v>
      </c>
      <c r="AB59" s="16"/>
      <c r="AC59" s="16"/>
      <c r="AD59" s="16"/>
      <c r="AE59" s="16"/>
      <c r="AF59" s="105"/>
      <c r="AG59" s="106"/>
    </row>
    <row r="60" spans="1:33" s="24" customFormat="1" ht="21.75" customHeight="1">
      <c r="A60" s="12">
        <f t="shared" si="1"/>
        <v>48</v>
      </c>
      <c r="B60" s="13"/>
      <c r="C60" s="14"/>
      <c r="D60" s="15"/>
      <c r="E60" s="16"/>
      <c r="F60" s="17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05"/>
      <c r="AG60" s="106"/>
    </row>
    <row r="61" spans="1:33" s="24" customFormat="1" ht="21.75" customHeight="1">
      <c r="A61" s="12">
        <f t="shared" si="1"/>
        <v>49</v>
      </c>
      <c r="B61" s="14"/>
      <c r="C61" s="14"/>
      <c r="D61" s="15"/>
      <c r="E61" s="16"/>
      <c r="F61" s="17"/>
      <c r="G61" s="18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05"/>
      <c r="AG61" s="106"/>
    </row>
    <row r="62" spans="1:33" s="24" customFormat="1" ht="21.75" customHeight="1">
      <c r="A62" s="12">
        <f t="shared" si="1"/>
        <v>50</v>
      </c>
      <c r="B62" s="14"/>
      <c r="C62" s="14"/>
      <c r="D62" s="15"/>
      <c r="E62" s="16"/>
      <c r="F62" s="17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05"/>
      <c r="AG62" s="106"/>
    </row>
    <row r="63" spans="1:33" s="24" customFormat="1" ht="21.75" customHeight="1">
      <c r="A63" s="12">
        <f t="shared" si="1"/>
        <v>51</v>
      </c>
      <c r="B63" s="14"/>
      <c r="C63" s="14"/>
      <c r="D63" s="15"/>
      <c r="E63" s="16"/>
      <c r="F63" s="17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05"/>
      <c r="AG63" s="106"/>
    </row>
    <row r="64" spans="1:33" s="24" customFormat="1" ht="21.75" customHeight="1">
      <c r="A64" s="12">
        <f t="shared" si="1"/>
        <v>52</v>
      </c>
      <c r="B64" s="14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12"/>
      <c r="AG64" s="106"/>
    </row>
    <row r="65" spans="1:33" s="24" customFormat="1" ht="21.75" customHeight="1">
      <c r="A65" s="12">
        <f t="shared" si="1"/>
        <v>53</v>
      </c>
      <c r="B65" s="14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12"/>
      <c r="AG65" s="106"/>
    </row>
    <row r="66" spans="1:33" s="24" customFormat="1" ht="21.75" customHeight="1" thickBot="1">
      <c r="A66" s="12">
        <f t="shared" si="1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13"/>
      <c r="AG66" s="108"/>
    </row>
    <row r="67" spans="2:33" s="25" customFormat="1" ht="46.5" customHeight="1">
      <c r="B67" s="93" t="s">
        <v>8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5"/>
      <c r="S67" s="110" t="str">
        <f aca="true" t="shared" si="26" ref="S67:AE67">IF(SUM(S13:S66)=0," ",ROUNDUP(SUM(S13:S66),0))</f>
        <v> </v>
      </c>
      <c r="T67" s="110">
        <f t="shared" si="26"/>
        <v>3383</v>
      </c>
      <c r="U67" s="110">
        <f t="shared" si="26"/>
        <v>2615</v>
      </c>
      <c r="V67" s="110" t="str">
        <f t="shared" si="26"/>
        <v> </v>
      </c>
      <c r="W67" s="110">
        <f t="shared" si="26"/>
        <v>2492</v>
      </c>
      <c r="X67" s="110" t="str">
        <f t="shared" si="26"/>
        <v> </v>
      </c>
      <c r="Y67" s="110" t="str">
        <f t="shared" si="26"/>
        <v> </v>
      </c>
      <c r="Z67" s="110">
        <f t="shared" si="26"/>
        <v>620</v>
      </c>
      <c r="AA67" s="110">
        <f t="shared" si="26"/>
        <v>723</v>
      </c>
      <c r="AB67" s="110">
        <f t="shared" si="26"/>
        <v>900</v>
      </c>
      <c r="AC67" s="110" t="str">
        <f t="shared" si="26"/>
        <v> </v>
      </c>
      <c r="AD67" s="110" t="str">
        <f t="shared" si="26"/>
        <v> </v>
      </c>
      <c r="AE67" s="110" t="str">
        <f t="shared" si="26"/>
        <v> </v>
      </c>
      <c r="AF67" s="120">
        <v>7</v>
      </c>
      <c r="AG67" s="121"/>
    </row>
    <row r="68" spans="2:33" s="25" customFormat="1" ht="46.5" customHeight="1" thickBot="1"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8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4">
        <v>15</v>
      </c>
      <c r="AG68" s="115"/>
    </row>
    <row r="69" spans="1:34" ht="36" customHeight="1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U69" s="27"/>
      <c r="V69" s="27"/>
      <c r="W69" s="1"/>
      <c r="X69" s="27"/>
      <c r="Y69" s="27"/>
      <c r="Z69" s="27"/>
      <c r="AA69" s="27"/>
      <c r="AB69" s="27"/>
      <c r="AF69" s="27"/>
      <c r="AG69" s="27"/>
      <c r="AH69" s="28"/>
    </row>
    <row r="70" spans="2:33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U70" s="27"/>
      <c r="V70" s="27"/>
      <c r="W70" s="1"/>
      <c r="X70" s="27"/>
      <c r="Y70" s="27"/>
      <c r="Z70" s="27"/>
      <c r="AA70" s="27"/>
      <c r="AB70" s="27"/>
      <c r="AF70" s="27"/>
      <c r="AG70" s="27"/>
    </row>
    <row r="71" spans="2:33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U71" s="27"/>
      <c r="V71" s="27"/>
      <c r="W71" s="1"/>
      <c r="X71" s="27"/>
      <c r="Y71" s="27"/>
      <c r="Z71" s="27"/>
      <c r="AA71" s="27"/>
      <c r="AB71" s="27"/>
      <c r="AF71" s="27"/>
      <c r="AG71" s="27"/>
    </row>
    <row r="72" spans="2:33" ht="15.75">
      <c r="B72" s="60" t="s">
        <v>34</v>
      </c>
      <c r="C72" s="61"/>
      <c r="D72" s="61"/>
      <c r="E72" s="61"/>
      <c r="F72" s="61"/>
      <c r="G72" s="62"/>
      <c r="H72" s="44"/>
      <c r="I72" s="42"/>
      <c r="J72" s="42"/>
      <c r="K72" s="42">
        <v>4</v>
      </c>
      <c r="L72" s="42">
        <v>6</v>
      </c>
      <c r="M72" s="42">
        <v>10</v>
      </c>
      <c r="N72" s="42">
        <v>16</v>
      </c>
      <c r="O72" s="42">
        <v>18</v>
      </c>
      <c r="P72" s="42">
        <v>20</v>
      </c>
      <c r="Q72" s="42">
        <v>22</v>
      </c>
      <c r="R72" s="42">
        <v>22.875</v>
      </c>
      <c r="S72" s="42"/>
      <c r="T72" s="42">
        <v>8</v>
      </c>
      <c r="U72" s="43">
        <v>6</v>
      </c>
      <c r="V72" s="44"/>
      <c r="W72" s="44">
        <v>0.055</v>
      </c>
      <c r="X72" s="44"/>
      <c r="Y72" s="43"/>
      <c r="Z72" s="43">
        <v>1.5</v>
      </c>
      <c r="AA72" s="43">
        <v>1.75</v>
      </c>
      <c r="AB72" s="43"/>
      <c r="AC72" s="43"/>
      <c r="AD72" s="43"/>
      <c r="AF72" s="27"/>
      <c r="AG72" s="27"/>
    </row>
    <row r="73" spans="2:33" ht="1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3"/>
      <c r="S73" s="23"/>
      <c r="T73" s="23">
        <f>T72/2</f>
        <v>4</v>
      </c>
      <c r="V73" s="42"/>
      <c r="W73" s="1"/>
      <c r="X73" s="45"/>
      <c r="Y73" s="27"/>
      <c r="Z73" s="27"/>
      <c r="AA73" s="27"/>
      <c r="AB73" s="27"/>
      <c r="AF73" s="27"/>
      <c r="AG73" s="27"/>
    </row>
    <row r="74" spans="2:33" ht="15">
      <c r="B74" s="27"/>
      <c r="C74" s="29"/>
      <c r="D74" s="27"/>
      <c r="E74" s="27"/>
      <c r="F74" s="27"/>
      <c r="G74" s="27"/>
      <c r="H74" s="30"/>
      <c r="I74" s="27"/>
      <c r="J74" s="27"/>
      <c r="K74" s="92"/>
      <c r="L74" s="124"/>
      <c r="M74" s="124"/>
      <c r="N74" s="124"/>
      <c r="O74" s="124"/>
      <c r="P74" s="124"/>
      <c r="Q74" s="124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27"/>
      <c r="AG74" s="27"/>
    </row>
  </sheetData>
  <sheetProtection/>
  <mergeCells count="55">
    <mergeCell ref="J3:J11"/>
    <mergeCell ref="K3:K11"/>
    <mergeCell ref="N3:N11"/>
    <mergeCell ref="AF3:AF5"/>
    <mergeCell ref="AG3:AG5"/>
    <mergeCell ref="T4:T11"/>
    <mergeCell ref="U4:U11"/>
    <mergeCell ref="V4:V11"/>
    <mergeCell ref="AE4:AE11"/>
    <mergeCell ref="O3:O11"/>
    <mergeCell ref="P3:P11"/>
    <mergeCell ref="Q3:Q11"/>
    <mergeCell ref="R3:R11"/>
    <mergeCell ref="AD4:AD11"/>
    <mergeCell ref="AB4:AB11"/>
    <mergeCell ref="AC4:AC11"/>
    <mergeCell ref="W4:W11"/>
    <mergeCell ref="X4:X11"/>
    <mergeCell ref="Z4:Z11"/>
    <mergeCell ref="AA4:AA11"/>
    <mergeCell ref="AF51:AG66"/>
    <mergeCell ref="S67:S68"/>
    <mergeCell ref="T67:T68"/>
    <mergeCell ref="U67:U68"/>
    <mergeCell ref="AF67:AG67"/>
    <mergeCell ref="AF68:AG68"/>
    <mergeCell ref="AE67:AE68"/>
    <mergeCell ref="Z67:Z68"/>
    <mergeCell ref="AA67:AA68"/>
    <mergeCell ref="AF6:AG50"/>
    <mergeCell ref="Y4:Y11"/>
    <mergeCell ref="K74:Q74"/>
    <mergeCell ref="AC67:AC68"/>
    <mergeCell ref="AD67:AD68"/>
    <mergeCell ref="V67:V68"/>
    <mergeCell ref="W67:W68"/>
    <mergeCell ref="X67:X68"/>
    <mergeCell ref="AB67:AB68"/>
    <mergeCell ref="Y67:Y68"/>
    <mergeCell ref="H3:H11"/>
    <mergeCell ref="S4:S11"/>
    <mergeCell ref="B3:C11"/>
    <mergeCell ref="D3:D11"/>
    <mergeCell ref="E3:E11"/>
    <mergeCell ref="F3:F11"/>
    <mergeCell ref="G3:G11"/>
    <mergeCell ref="I3:I11"/>
    <mergeCell ref="L3:L11"/>
    <mergeCell ref="M3:M11"/>
    <mergeCell ref="B35:I35"/>
    <mergeCell ref="B14:I14"/>
    <mergeCell ref="F57:I57"/>
    <mergeCell ref="F55:I55"/>
    <mergeCell ref="F43:I43"/>
    <mergeCell ref="B67:R68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AA4" sqref="AA4:AA11"/>
    </sheetView>
  </sheetViews>
  <sheetFormatPr defaultColWidth="9.140625" defaultRowHeight="12.75"/>
  <cols>
    <col min="1" max="3" width="24.7109375" style="1" customWidth="1"/>
    <col min="4" max="22" width="15.7109375" style="1" customWidth="1"/>
    <col min="23" max="23" width="15.7109375" style="46" customWidth="1"/>
    <col min="24" max="31" width="15.7109375" style="1" customWidth="1"/>
    <col min="32" max="34" width="6.7109375" style="1" customWidth="1"/>
    <col min="35" max="16384" width="9.140625" style="1" customWidth="1"/>
  </cols>
  <sheetData>
    <row r="1" spans="8:27" ht="12.75">
      <c r="H1" s="48"/>
      <c r="S1" s="48"/>
      <c r="T1" s="48"/>
      <c r="U1" s="48"/>
      <c r="V1" s="48"/>
      <c r="W1" s="49"/>
      <c r="X1" s="48"/>
      <c r="Z1" s="48"/>
      <c r="AA1" s="48"/>
    </row>
    <row r="2" spans="1:34" s="4" customFormat="1" ht="36" customHeight="1" thickBot="1">
      <c r="A2" s="2"/>
      <c r="B2" s="31" t="s">
        <v>14</v>
      </c>
      <c r="C2" s="32"/>
      <c r="D2" s="33"/>
      <c r="E2" s="33"/>
      <c r="F2" s="33"/>
      <c r="G2" s="33"/>
      <c r="H2" s="50"/>
      <c r="I2" s="34"/>
      <c r="J2" s="33"/>
      <c r="K2" s="33"/>
      <c r="L2" s="33"/>
      <c r="M2" s="33"/>
      <c r="N2" s="33"/>
      <c r="O2" s="33"/>
      <c r="P2" s="33"/>
      <c r="Q2" s="34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47"/>
      <c r="AH2" s="3"/>
    </row>
    <row r="3" spans="2:34" s="5" customFormat="1" ht="21.75" customHeight="1">
      <c r="B3" s="93" t="s">
        <v>0</v>
      </c>
      <c r="C3" s="95"/>
      <c r="D3" s="89" t="s">
        <v>3</v>
      </c>
      <c r="E3" s="89" t="s">
        <v>4</v>
      </c>
      <c r="F3" s="89" t="s">
        <v>5</v>
      </c>
      <c r="G3" s="86" t="s">
        <v>12</v>
      </c>
      <c r="H3" s="86" t="s">
        <v>94</v>
      </c>
      <c r="I3" s="89" t="s">
        <v>6</v>
      </c>
      <c r="J3" s="86" t="s">
        <v>10</v>
      </c>
      <c r="K3" s="86" t="s">
        <v>15</v>
      </c>
      <c r="L3" s="86" t="s">
        <v>16</v>
      </c>
      <c r="M3" s="86" t="s">
        <v>17</v>
      </c>
      <c r="N3" s="86" t="s">
        <v>18</v>
      </c>
      <c r="O3" s="86" t="s">
        <v>19</v>
      </c>
      <c r="P3" s="86" t="s">
        <v>20</v>
      </c>
      <c r="Q3" s="86" t="s">
        <v>21</v>
      </c>
      <c r="R3" s="86" t="s">
        <v>84</v>
      </c>
      <c r="S3" s="35"/>
      <c r="T3" s="35">
        <v>302</v>
      </c>
      <c r="U3" s="35">
        <v>304</v>
      </c>
      <c r="V3" s="35"/>
      <c r="W3" s="35">
        <v>407</v>
      </c>
      <c r="X3" s="35"/>
      <c r="Y3" s="35"/>
      <c r="Z3" s="35">
        <v>442</v>
      </c>
      <c r="AA3" s="35">
        <v>442</v>
      </c>
      <c r="AB3" s="35">
        <v>442</v>
      </c>
      <c r="AC3" s="35"/>
      <c r="AD3" s="36">
        <v>609</v>
      </c>
      <c r="AE3" s="36"/>
      <c r="AF3" s="116" t="s">
        <v>11</v>
      </c>
      <c r="AG3" s="116" t="s">
        <v>13</v>
      </c>
      <c r="AH3" s="6"/>
    </row>
    <row r="4" spans="2:34" s="5" customFormat="1" ht="27.75" customHeight="1">
      <c r="B4" s="99"/>
      <c r="C4" s="100"/>
      <c r="D4" s="90"/>
      <c r="E4" s="90"/>
      <c r="F4" s="90"/>
      <c r="G4" s="87"/>
      <c r="H4" s="87"/>
      <c r="I4" s="90"/>
      <c r="J4" s="122"/>
      <c r="K4" s="122"/>
      <c r="L4" s="87"/>
      <c r="M4" s="87"/>
      <c r="N4" s="87"/>
      <c r="O4" s="87"/>
      <c r="P4" s="87"/>
      <c r="Q4" s="87"/>
      <c r="R4" s="87"/>
      <c r="S4" s="83"/>
      <c r="T4" s="83" t="s">
        <v>22</v>
      </c>
      <c r="U4" s="83" t="s">
        <v>96</v>
      </c>
      <c r="V4" s="83"/>
      <c r="W4" s="83" t="s">
        <v>82</v>
      </c>
      <c r="X4" s="83"/>
      <c r="Y4" s="109"/>
      <c r="Z4" s="83" t="s">
        <v>83</v>
      </c>
      <c r="AA4" s="109" t="s">
        <v>97</v>
      </c>
      <c r="AB4" s="109" t="s">
        <v>23</v>
      </c>
      <c r="AC4" s="83"/>
      <c r="AD4" s="109" t="s">
        <v>95</v>
      </c>
      <c r="AE4" s="109"/>
      <c r="AF4" s="117"/>
      <c r="AG4" s="119"/>
      <c r="AH4" s="7"/>
    </row>
    <row r="5" spans="2:33" s="5" customFormat="1" ht="27.75" customHeight="1" thickBot="1">
      <c r="B5" s="99"/>
      <c r="C5" s="100"/>
      <c r="D5" s="90"/>
      <c r="E5" s="90"/>
      <c r="F5" s="90"/>
      <c r="G5" s="87"/>
      <c r="H5" s="87"/>
      <c r="I5" s="90"/>
      <c r="J5" s="122"/>
      <c r="K5" s="122"/>
      <c r="L5" s="87"/>
      <c r="M5" s="87"/>
      <c r="N5" s="87"/>
      <c r="O5" s="87"/>
      <c r="P5" s="87"/>
      <c r="Q5" s="87"/>
      <c r="R5" s="87"/>
      <c r="S5" s="84"/>
      <c r="T5" s="84"/>
      <c r="U5" s="84"/>
      <c r="V5" s="84"/>
      <c r="W5" s="84"/>
      <c r="X5" s="84"/>
      <c r="Y5" s="87"/>
      <c r="Z5" s="84"/>
      <c r="AA5" s="87"/>
      <c r="AB5" s="87"/>
      <c r="AC5" s="84"/>
      <c r="AD5" s="87"/>
      <c r="AE5" s="87"/>
      <c r="AF5" s="118"/>
      <c r="AG5" s="119"/>
    </row>
    <row r="6" spans="2:33" s="5" customFormat="1" ht="27.75" customHeight="1">
      <c r="B6" s="99"/>
      <c r="C6" s="100"/>
      <c r="D6" s="90"/>
      <c r="E6" s="90"/>
      <c r="F6" s="90"/>
      <c r="G6" s="87"/>
      <c r="H6" s="87"/>
      <c r="I6" s="90"/>
      <c r="J6" s="122"/>
      <c r="K6" s="122"/>
      <c r="L6" s="87"/>
      <c r="M6" s="87"/>
      <c r="N6" s="87"/>
      <c r="O6" s="87"/>
      <c r="P6" s="87"/>
      <c r="Q6" s="87"/>
      <c r="R6" s="87"/>
      <c r="S6" s="84"/>
      <c r="T6" s="84"/>
      <c r="U6" s="84"/>
      <c r="V6" s="84"/>
      <c r="W6" s="84"/>
      <c r="X6" s="84"/>
      <c r="Y6" s="87"/>
      <c r="Z6" s="84"/>
      <c r="AA6" s="87"/>
      <c r="AB6" s="87"/>
      <c r="AC6" s="84"/>
      <c r="AD6" s="87"/>
      <c r="AE6" s="87"/>
      <c r="AF6" s="103" t="s">
        <v>81</v>
      </c>
      <c r="AG6" s="104"/>
    </row>
    <row r="7" spans="2:33" s="5" customFormat="1" ht="27.75" customHeight="1">
      <c r="B7" s="99"/>
      <c r="C7" s="100"/>
      <c r="D7" s="90"/>
      <c r="E7" s="90"/>
      <c r="F7" s="90"/>
      <c r="G7" s="87"/>
      <c r="H7" s="87"/>
      <c r="I7" s="90"/>
      <c r="J7" s="122"/>
      <c r="K7" s="122"/>
      <c r="L7" s="87"/>
      <c r="M7" s="87"/>
      <c r="N7" s="87"/>
      <c r="O7" s="87"/>
      <c r="P7" s="87"/>
      <c r="Q7" s="87"/>
      <c r="R7" s="87"/>
      <c r="S7" s="84"/>
      <c r="T7" s="84"/>
      <c r="U7" s="84"/>
      <c r="V7" s="84"/>
      <c r="W7" s="84"/>
      <c r="X7" s="84"/>
      <c r="Y7" s="87"/>
      <c r="Z7" s="84"/>
      <c r="AA7" s="87"/>
      <c r="AB7" s="87"/>
      <c r="AC7" s="84"/>
      <c r="AD7" s="87"/>
      <c r="AE7" s="87"/>
      <c r="AF7" s="105"/>
      <c r="AG7" s="106"/>
    </row>
    <row r="8" spans="2:33" s="5" customFormat="1" ht="27.75" customHeight="1">
      <c r="B8" s="99"/>
      <c r="C8" s="100"/>
      <c r="D8" s="90"/>
      <c r="E8" s="90"/>
      <c r="F8" s="90"/>
      <c r="G8" s="87"/>
      <c r="H8" s="87"/>
      <c r="I8" s="90"/>
      <c r="J8" s="122"/>
      <c r="K8" s="122"/>
      <c r="L8" s="87"/>
      <c r="M8" s="87"/>
      <c r="N8" s="87"/>
      <c r="O8" s="87"/>
      <c r="P8" s="87"/>
      <c r="Q8" s="87"/>
      <c r="R8" s="87"/>
      <c r="S8" s="84"/>
      <c r="T8" s="84"/>
      <c r="U8" s="84"/>
      <c r="V8" s="84"/>
      <c r="W8" s="84"/>
      <c r="X8" s="84"/>
      <c r="Y8" s="87"/>
      <c r="Z8" s="84"/>
      <c r="AA8" s="87"/>
      <c r="AB8" s="87"/>
      <c r="AC8" s="84"/>
      <c r="AD8" s="87"/>
      <c r="AE8" s="87"/>
      <c r="AF8" s="105"/>
      <c r="AG8" s="106"/>
    </row>
    <row r="9" spans="2:33" s="5" customFormat="1" ht="27.75" customHeight="1">
      <c r="B9" s="99"/>
      <c r="C9" s="100"/>
      <c r="D9" s="90"/>
      <c r="E9" s="90"/>
      <c r="F9" s="90"/>
      <c r="G9" s="87"/>
      <c r="H9" s="87"/>
      <c r="I9" s="90"/>
      <c r="J9" s="122"/>
      <c r="K9" s="122"/>
      <c r="L9" s="87"/>
      <c r="M9" s="87"/>
      <c r="N9" s="87"/>
      <c r="O9" s="87"/>
      <c r="P9" s="87"/>
      <c r="Q9" s="87"/>
      <c r="R9" s="87"/>
      <c r="S9" s="84"/>
      <c r="T9" s="84"/>
      <c r="U9" s="84"/>
      <c r="V9" s="84"/>
      <c r="W9" s="84"/>
      <c r="X9" s="84"/>
      <c r="Y9" s="87"/>
      <c r="Z9" s="84"/>
      <c r="AA9" s="87"/>
      <c r="AB9" s="87"/>
      <c r="AC9" s="84"/>
      <c r="AD9" s="87"/>
      <c r="AE9" s="87"/>
      <c r="AF9" s="105"/>
      <c r="AG9" s="106"/>
    </row>
    <row r="10" spans="2:33" s="5" customFormat="1" ht="27.75" customHeight="1">
      <c r="B10" s="99"/>
      <c r="C10" s="100"/>
      <c r="D10" s="90"/>
      <c r="E10" s="90"/>
      <c r="F10" s="90"/>
      <c r="G10" s="87"/>
      <c r="H10" s="87"/>
      <c r="I10" s="90"/>
      <c r="J10" s="122"/>
      <c r="K10" s="122"/>
      <c r="L10" s="87"/>
      <c r="M10" s="87"/>
      <c r="N10" s="87"/>
      <c r="O10" s="87"/>
      <c r="P10" s="87"/>
      <c r="Q10" s="87"/>
      <c r="R10" s="87"/>
      <c r="S10" s="84"/>
      <c r="T10" s="84"/>
      <c r="U10" s="84"/>
      <c r="V10" s="84"/>
      <c r="W10" s="84"/>
      <c r="X10" s="84"/>
      <c r="Y10" s="87"/>
      <c r="Z10" s="84"/>
      <c r="AA10" s="87"/>
      <c r="AB10" s="87"/>
      <c r="AC10" s="84"/>
      <c r="AD10" s="87"/>
      <c r="AE10" s="87"/>
      <c r="AF10" s="105"/>
      <c r="AG10" s="106"/>
    </row>
    <row r="11" spans="2:33" s="8" customFormat="1" ht="27.75" customHeight="1">
      <c r="B11" s="101"/>
      <c r="C11" s="102"/>
      <c r="D11" s="91"/>
      <c r="E11" s="91"/>
      <c r="F11" s="91"/>
      <c r="G11" s="88"/>
      <c r="H11" s="88"/>
      <c r="I11" s="91"/>
      <c r="J11" s="123"/>
      <c r="K11" s="123"/>
      <c r="L11" s="88"/>
      <c r="M11" s="88"/>
      <c r="N11" s="88"/>
      <c r="O11" s="88"/>
      <c r="P11" s="88"/>
      <c r="Q11" s="88"/>
      <c r="R11" s="88"/>
      <c r="S11" s="85"/>
      <c r="T11" s="85"/>
      <c r="U11" s="85"/>
      <c r="V11" s="85"/>
      <c r="W11" s="85"/>
      <c r="X11" s="85"/>
      <c r="Y11" s="88"/>
      <c r="Z11" s="85"/>
      <c r="AA11" s="88"/>
      <c r="AB11" s="88"/>
      <c r="AC11" s="85"/>
      <c r="AD11" s="88"/>
      <c r="AE11" s="88"/>
      <c r="AF11" s="105"/>
      <c r="AG11" s="106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11"/>
      <c r="I12" s="11" t="s">
        <v>9</v>
      </c>
      <c r="J12" s="11" t="s">
        <v>9</v>
      </c>
      <c r="K12" s="11" t="s">
        <v>9</v>
      </c>
      <c r="L12" s="11" t="s">
        <v>9</v>
      </c>
      <c r="M12" s="11" t="s">
        <v>9</v>
      </c>
      <c r="N12" s="11" t="s">
        <v>9</v>
      </c>
      <c r="O12" s="11" t="s">
        <v>9</v>
      </c>
      <c r="P12" s="11" t="s">
        <v>9</v>
      </c>
      <c r="Q12" s="11" t="s">
        <v>9</v>
      </c>
      <c r="R12" s="11" t="s">
        <v>9</v>
      </c>
      <c r="S12" s="37"/>
      <c r="T12" s="37" t="s">
        <v>24</v>
      </c>
      <c r="U12" s="37" t="s">
        <v>24</v>
      </c>
      <c r="V12" s="37"/>
      <c r="W12" s="37" t="s">
        <v>25</v>
      </c>
      <c r="X12" s="37"/>
      <c r="Y12" s="37"/>
      <c r="Z12" s="37" t="s">
        <v>24</v>
      </c>
      <c r="AA12" s="37" t="s">
        <v>24</v>
      </c>
      <c r="AB12" s="37" t="s">
        <v>24</v>
      </c>
      <c r="AC12" s="37"/>
      <c r="AD12" s="11" t="s">
        <v>7</v>
      </c>
      <c r="AE12" s="11"/>
      <c r="AF12" s="105"/>
      <c r="AG12" s="106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05"/>
      <c r="AG13" s="106"/>
    </row>
    <row r="14" spans="1:33" s="5" customFormat="1" ht="21.75" customHeight="1">
      <c r="A14" s="12">
        <f>A13+1</f>
        <v>2</v>
      </c>
      <c r="B14" s="77" t="s">
        <v>58</v>
      </c>
      <c r="C14" s="78"/>
      <c r="D14" s="78"/>
      <c r="E14" s="78"/>
      <c r="F14" s="78"/>
      <c r="G14" s="78"/>
      <c r="H14" s="78"/>
      <c r="I14" s="79"/>
      <c r="J14" s="16"/>
      <c r="K14" s="16"/>
      <c r="L14" s="15"/>
      <c r="M14" s="15"/>
      <c r="N14" s="15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05"/>
      <c r="AG14" s="106"/>
    </row>
    <row r="15" spans="1:33" s="5" customFormat="1" ht="21.75" customHeight="1">
      <c r="A15" s="12">
        <f>A14+1</f>
        <v>3</v>
      </c>
      <c r="B15" s="19" t="s">
        <v>27</v>
      </c>
      <c r="C15" s="14"/>
      <c r="D15" s="15"/>
      <c r="E15" s="16"/>
      <c r="F15" s="17"/>
      <c r="G15" s="18"/>
      <c r="H15" s="16"/>
      <c r="I15" s="16"/>
      <c r="J15" s="16"/>
      <c r="K15" s="16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05"/>
      <c r="AG15" s="106"/>
    </row>
    <row r="16" spans="1:33" s="5" customFormat="1" ht="21.75" customHeight="1">
      <c r="A16" s="12">
        <f aca="true" t="shared" si="0" ref="A16:A66">A15+1</f>
        <v>4</v>
      </c>
      <c r="B16" s="13">
        <v>19705.36</v>
      </c>
      <c r="C16" s="14">
        <v>19905.36</v>
      </c>
      <c r="D16" s="15" t="s">
        <v>28</v>
      </c>
      <c r="E16" s="16">
        <f aca="true" t="shared" si="1" ref="E16:E22">C16-B16</f>
        <v>200</v>
      </c>
      <c r="F16" s="17">
        <v>16</v>
      </c>
      <c r="G16" s="18">
        <f>ROUND((((848.826+($F16/2))/848.826)+1)/2,4)</f>
        <v>1.0047</v>
      </c>
      <c r="H16" s="16"/>
      <c r="I16" s="16">
        <f aca="true" t="shared" si="2" ref="I16:I22">IF(G16=0,ROUND($E16*$F16,2),ROUND($E16*$F16*$G16,2))</f>
        <v>3215.04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>ROUND(((($I16+$J16)*(T$72/12))/27),2)</f>
        <v>79.38</v>
      </c>
      <c r="U16" s="16">
        <f>ROUND(((($I16+$J16+$N16+$O16+$P16+$Q16)*(U$72/12))/27),2)</f>
        <v>59.54</v>
      </c>
      <c r="V16" s="16"/>
      <c r="W16" s="16">
        <f>ROUND((((($I16+$J16)/9)*W$72)*3),2)</f>
        <v>58.94</v>
      </c>
      <c r="X16" s="16"/>
      <c r="Y16" s="16"/>
      <c r="Z16" s="16">
        <f>ROUND(((($I16+$J16)*(Z$72/12))/27),2)</f>
        <v>14.88</v>
      </c>
      <c r="AA16" s="16">
        <f>ROUND(((($I16+$J16)*(AA$72/12))/27),2)</f>
        <v>17.37</v>
      </c>
      <c r="AB16" s="16">
        <f>$AA16+$Z16</f>
        <v>32.25</v>
      </c>
      <c r="AC16" s="16"/>
      <c r="AD16" s="16"/>
      <c r="AE16" s="16"/>
      <c r="AF16" s="105"/>
      <c r="AG16" s="106"/>
    </row>
    <row r="17" spans="1:33" s="5" customFormat="1" ht="21.75" customHeight="1">
      <c r="A17" s="12">
        <f t="shared" si="0"/>
        <v>5</v>
      </c>
      <c r="B17" s="14">
        <f aca="true" t="shared" si="3" ref="B17:B22">C16</f>
        <v>19905.36</v>
      </c>
      <c r="C17" s="14">
        <v>20399.5</v>
      </c>
      <c r="D17" s="15" t="s">
        <v>28</v>
      </c>
      <c r="E17" s="16">
        <f t="shared" si="1"/>
        <v>494.1399999999994</v>
      </c>
      <c r="F17" s="17">
        <v>16</v>
      </c>
      <c r="G17" s="18">
        <f>ROUND((848.826+($F17/2))/848.826,4)</f>
        <v>1.0094</v>
      </c>
      <c r="H17" s="16"/>
      <c r="I17" s="16">
        <f t="shared" si="2"/>
        <v>7980.56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f aca="true" t="shared" si="4" ref="T17:T22">ROUND(((($I17+$J17)*(T$72/12))/27),2)</f>
        <v>197.05</v>
      </c>
      <c r="U17" s="16">
        <f aca="true" t="shared" si="5" ref="U17:U22">ROUND(((($I17+$J17+$N17+$O17+$P17+$Q17)*(U$72/12))/27),2)</f>
        <v>147.79</v>
      </c>
      <c r="V17" s="16"/>
      <c r="W17" s="16">
        <f aca="true" t="shared" si="6" ref="W17:W22">ROUND((((($I17+$J17)/9)*W$72)*3),2)</f>
        <v>146.31</v>
      </c>
      <c r="X17" s="16"/>
      <c r="Y17" s="16"/>
      <c r="Z17" s="16">
        <f aca="true" t="shared" si="7" ref="Z17:AA22">ROUND(((($I17+$J17)*(Z$72/12))/27),2)</f>
        <v>36.95</v>
      </c>
      <c r="AA17" s="16">
        <f t="shared" si="7"/>
        <v>43.1</v>
      </c>
      <c r="AB17" s="16">
        <f aca="true" t="shared" si="8" ref="AB17:AB22">$AA17+$Z17</f>
        <v>80.05000000000001</v>
      </c>
      <c r="AC17" s="16"/>
      <c r="AD17" s="16"/>
      <c r="AE17" s="16"/>
      <c r="AF17" s="105"/>
      <c r="AG17" s="106"/>
    </row>
    <row r="18" spans="1:33" s="5" customFormat="1" ht="21.75" customHeight="1">
      <c r="A18" s="12">
        <f t="shared" si="0"/>
        <v>6</v>
      </c>
      <c r="B18" s="13">
        <f t="shared" si="3"/>
        <v>20399.5</v>
      </c>
      <c r="C18" s="14">
        <v>20599.5</v>
      </c>
      <c r="D18" s="15" t="s">
        <v>28</v>
      </c>
      <c r="E18" s="16">
        <f t="shared" si="1"/>
        <v>200</v>
      </c>
      <c r="F18" s="17">
        <v>16</v>
      </c>
      <c r="G18" s="18">
        <f>ROUND((((848.826+($F18/2))/848.826)+1)/2,4)</f>
        <v>1.0047</v>
      </c>
      <c r="H18" s="16"/>
      <c r="I18" s="16">
        <f t="shared" si="2"/>
        <v>3215.04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4"/>
        <v>79.38</v>
      </c>
      <c r="U18" s="16">
        <f t="shared" si="5"/>
        <v>59.54</v>
      </c>
      <c r="V18" s="16"/>
      <c r="W18" s="16">
        <f t="shared" si="6"/>
        <v>58.94</v>
      </c>
      <c r="X18" s="16"/>
      <c r="Y18" s="16"/>
      <c r="Z18" s="16">
        <f t="shared" si="7"/>
        <v>14.88</v>
      </c>
      <c r="AA18" s="16">
        <f t="shared" si="7"/>
        <v>17.37</v>
      </c>
      <c r="AB18" s="16">
        <f t="shared" si="8"/>
        <v>32.25</v>
      </c>
      <c r="AC18" s="16"/>
      <c r="AD18" s="16"/>
      <c r="AE18" s="16"/>
      <c r="AF18" s="105"/>
      <c r="AG18" s="106"/>
    </row>
    <row r="19" spans="1:33" s="5" customFormat="1" ht="21.75" customHeight="1">
      <c r="A19" s="12">
        <f t="shared" si="0"/>
        <v>7</v>
      </c>
      <c r="B19" s="13">
        <f t="shared" si="3"/>
        <v>20599.5</v>
      </c>
      <c r="C19" s="14">
        <v>20773.39</v>
      </c>
      <c r="D19" s="15" t="s">
        <v>28</v>
      </c>
      <c r="E19" s="16">
        <f t="shared" si="1"/>
        <v>173.88999999999942</v>
      </c>
      <c r="F19" s="17">
        <v>16</v>
      </c>
      <c r="G19" s="18"/>
      <c r="H19" s="16"/>
      <c r="I19" s="16">
        <f t="shared" si="2"/>
        <v>2782.24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4"/>
        <v>68.7</v>
      </c>
      <c r="U19" s="16">
        <f t="shared" si="5"/>
        <v>51.52</v>
      </c>
      <c r="V19" s="16"/>
      <c r="W19" s="16">
        <f t="shared" si="6"/>
        <v>51.01</v>
      </c>
      <c r="X19" s="16"/>
      <c r="Y19" s="16"/>
      <c r="Z19" s="16">
        <f t="shared" si="7"/>
        <v>12.88</v>
      </c>
      <c r="AA19" s="16">
        <f t="shared" si="7"/>
        <v>15.03</v>
      </c>
      <c r="AB19" s="16">
        <f t="shared" si="8"/>
        <v>27.91</v>
      </c>
      <c r="AC19" s="16"/>
      <c r="AD19" s="16"/>
      <c r="AE19" s="16"/>
      <c r="AF19" s="105"/>
      <c r="AG19" s="106"/>
    </row>
    <row r="20" spans="1:33" s="5" customFormat="1" ht="21.75" customHeight="1">
      <c r="A20" s="12">
        <f t="shared" si="0"/>
        <v>8</v>
      </c>
      <c r="B20" s="13">
        <f t="shared" si="3"/>
        <v>20773.39</v>
      </c>
      <c r="C20" s="14">
        <v>20973.39</v>
      </c>
      <c r="D20" s="15" t="s">
        <v>28</v>
      </c>
      <c r="E20" s="16">
        <f t="shared" si="1"/>
        <v>200</v>
      </c>
      <c r="F20" s="17">
        <v>16</v>
      </c>
      <c r="G20" s="18">
        <f>ROUND((((716.197+($F20/2))/716.197)+1)/2,4)</f>
        <v>1.0056</v>
      </c>
      <c r="H20" s="16"/>
      <c r="I20" s="16">
        <f t="shared" si="2"/>
        <v>3217.92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4"/>
        <v>79.45</v>
      </c>
      <c r="U20" s="16">
        <f t="shared" si="5"/>
        <v>59.59</v>
      </c>
      <c r="V20" s="16"/>
      <c r="W20" s="16">
        <f t="shared" si="6"/>
        <v>59</v>
      </c>
      <c r="X20" s="16"/>
      <c r="Y20" s="16"/>
      <c r="Z20" s="16">
        <f t="shared" si="7"/>
        <v>14.9</v>
      </c>
      <c r="AA20" s="16">
        <f t="shared" si="7"/>
        <v>17.38</v>
      </c>
      <c r="AB20" s="16">
        <f t="shared" si="8"/>
        <v>32.28</v>
      </c>
      <c r="AC20" s="16"/>
      <c r="AD20" s="16"/>
      <c r="AE20" s="16"/>
      <c r="AF20" s="105"/>
      <c r="AG20" s="106"/>
    </row>
    <row r="21" spans="1:33" s="5" customFormat="1" ht="21.75" customHeight="1">
      <c r="A21" s="12">
        <f t="shared" si="0"/>
        <v>9</v>
      </c>
      <c r="B21" s="13">
        <f t="shared" si="3"/>
        <v>20973.39</v>
      </c>
      <c r="C21" s="14">
        <v>21358.8</v>
      </c>
      <c r="D21" s="15" t="s">
        <v>28</v>
      </c>
      <c r="E21" s="16">
        <f t="shared" si="1"/>
        <v>385.40999999999985</v>
      </c>
      <c r="F21" s="17">
        <v>16</v>
      </c>
      <c r="G21" s="18">
        <f>ROUND((716.197+($F21/2))/716.197,4)</f>
        <v>1.0112</v>
      </c>
      <c r="H21" s="16"/>
      <c r="I21" s="16">
        <f t="shared" si="2"/>
        <v>6235.63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f t="shared" si="4"/>
        <v>153.97</v>
      </c>
      <c r="U21" s="16">
        <f t="shared" si="5"/>
        <v>115.47</v>
      </c>
      <c r="V21" s="16"/>
      <c r="W21" s="16">
        <f t="shared" si="6"/>
        <v>114.32</v>
      </c>
      <c r="X21" s="16"/>
      <c r="Y21" s="16"/>
      <c r="Z21" s="16">
        <f t="shared" si="7"/>
        <v>28.87</v>
      </c>
      <c r="AA21" s="16">
        <f t="shared" si="7"/>
        <v>33.68</v>
      </c>
      <c r="AB21" s="16">
        <f t="shared" si="8"/>
        <v>62.55</v>
      </c>
      <c r="AC21" s="16"/>
      <c r="AD21" s="16"/>
      <c r="AE21" s="16"/>
      <c r="AF21" s="105"/>
      <c r="AG21" s="106"/>
    </row>
    <row r="22" spans="1:33" s="5" customFormat="1" ht="21.75" customHeight="1">
      <c r="A22" s="12">
        <f t="shared" si="0"/>
        <v>10</v>
      </c>
      <c r="B22" s="13">
        <f t="shared" si="3"/>
        <v>21358.8</v>
      </c>
      <c r="C22" s="14">
        <v>21490</v>
      </c>
      <c r="D22" s="15" t="s">
        <v>28</v>
      </c>
      <c r="E22" s="16">
        <f t="shared" si="1"/>
        <v>131.20000000000073</v>
      </c>
      <c r="F22" s="17">
        <v>16</v>
      </c>
      <c r="G22" s="18">
        <f>ROUND((((716.197+($F22/2))/716.197)+1)/2,4)</f>
        <v>1.0056</v>
      </c>
      <c r="H22" s="16"/>
      <c r="I22" s="16">
        <f t="shared" si="2"/>
        <v>2110.96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4"/>
        <v>52.12</v>
      </c>
      <c r="U22" s="16">
        <f t="shared" si="5"/>
        <v>39.09</v>
      </c>
      <c r="V22" s="16"/>
      <c r="W22" s="16">
        <f t="shared" si="6"/>
        <v>38.7</v>
      </c>
      <c r="X22" s="16"/>
      <c r="Y22" s="16"/>
      <c r="Z22" s="16">
        <f t="shared" si="7"/>
        <v>9.77</v>
      </c>
      <c r="AA22" s="16">
        <f t="shared" si="7"/>
        <v>11.4</v>
      </c>
      <c r="AB22" s="16">
        <f t="shared" si="8"/>
        <v>21.17</v>
      </c>
      <c r="AC22" s="16"/>
      <c r="AD22" s="16"/>
      <c r="AE22" s="16"/>
      <c r="AF22" s="105"/>
      <c r="AG22" s="106"/>
    </row>
    <row r="23" spans="1:33" s="5" customFormat="1" ht="21.75" customHeight="1">
      <c r="A23" s="12">
        <f t="shared" si="0"/>
        <v>11</v>
      </c>
      <c r="B23" s="13"/>
      <c r="C23" s="14"/>
      <c r="D23" s="15"/>
      <c r="E23" s="16"/>
      <c r="F23" s="17"/>
      <c r="G23" s="1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05"/>
      <c r="AG23" s="106"/>
    </row>
    <row r="24" spans="1:33" s="5" customFormat="1" ht="21.75" customHeight="1">
      <c r="A24" s="12">
        <f t="shared" si="0"/>
        <v>12</v>
      </c>
      <c r="B24" s="19" t="s">
        <v>35</v>
      </c>
      <c r="C24" s="40"/>
      <c r="D24" s="15"/>
      <c r="E24" s="16"/>
      <c r="F24" s="54"/>
      <c r="G24" s="18"/>
      <c r="H24" s="16"/>
      <c r="I24" s="5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05"/>
      <c r="AG24" s="106"/>
    </row>
    <row r="25" spans="1:33" s="5" customFormat="1" ht="21.75" customHeight="1">
      <c r="A25" s="12">
        <f t="shared" si="0"/>
        <v>13</v>
      </c>
      <c r="B25" s="14">
        <v>19705.36</v>
      </c>
      <c r="C25" s="38">
        <v>19805.36</v>
      </c>
      <c r="D25" s="15" t="s">
        <v>33</v>
      </c>
      <c r="E25" s="16">
        <f aca="true" t="shared" si="9" ref="E25:E33">C25-B25</f>
        <v>100</v>
      </c>
      <c r="F25" s="17">
        <f>ROUND(AVERAGE(10,8),2)</f>
        <v>9</v>
      </c>
      <c r="G25" s="18">
        <f>ROUND((((848.826-($F25/2))/848.826)+1)/2,4)</f>
        <v>0.9973</v>
      </c>
      <c r="H25" s="18">
        <f>ROUND((((848.826-($F25))/848.826)+1)/2,4)</f>
        <v>0.9947</v>
      </c>
      <c r="I25" s="16">
        <f aca="true" t="shared" si="10" ref="I25:I33">IF(G25=0,ROUND($E25*$F25,2),ROUND($E25*$F25*$G25,2))</f>
        <v>897.57</v>
      </c>
      <c r="J25" s="16"/>
      <c r="K25" s="16">
        <f aca="true" t="shared" si="11" ref="K25:K33">IF($H25=0,ROUND($E25*(K$72/12),2),ROUND($E25*(K$72/12)*$H25,2))</f>
        <v>33.16</v>
      </c>
      <c r="L25" s="16"/>
      <c r="M25" s="16">
        <f aca="true" t="shared" si="12" ref="M25:N33">IF($H25=0,ROUND($E25*(M$72/12),2),ROUND($E25*(M$72/12)*$H25,2))</f>
        <v>82.89</v>
      </c>
      <c r="N25" s="16">
        <f t="shared" si="12"/>
        <v>132.63</v>
      </c>
      <c r="O25" s="16"/>
      <c r="P25" s="16"/>
      <c r="Q25" s="16"/>
      <c r="R25" s="16"/>
      <c r="S25" s="16"/>
      <c r="T25" s="16">
        <f>ROUND(((($I25+$J25)*(T$72/12)+($K25)*(T$73/12)+($M25)*(T$73/12))/27),2)</f>
        <v>23.59</v>
      </c>
      <c r="U25" s="16">
        <f aca="true" t="shared" si="13" ref="U25:U39">ROUND(((($I25+$J25+$N25+$O25+$P25+$Q25)*(U$72/12))/27),2)</f>
        <v>19.08</v>
      </c>
      <c r="V25" s="16"/>
      <c r="W25" s="16">
        <f aca="true" t="shared" si="14" ref="W25:W39">ROUND(((($I25+$J25)/9)*$W$72)+((($I25+$J25+$K25)/9)*$W$72)+((($I25+$J25+$M25)/9)*$W$72),2)</f>
        <v>17.16</v>
      </c>
      <c r="X25" s="16"/>
      <c r="Y25" s="16"/>
      <c r="Z25" s="16">
        <f aca="true" t="shared" si="15" ref="Z25:AA39">ROUND(((($I25+$J25)*(Z$72/12))/27),2)</f>
        <v>4.16</v>
      </c>
      <c r="AA25" s="16">
        <f t="shared" si="15"/>
        <v>4.85</v>
      </c>
      <c r="AB25" s="16"/>
      <c r="AC25" s="16"/>
      <c r="AD25" s="16"/>
      <c r="AE25" s="16"/>
      <c r="AF25" s="105"/>
      <c r="AG25" s="106"/>
    </row>
    <row r="26" spans="1:33" s="5" customFormat="1" ht="21.75" customHeight="1">
      <c r="A26" s="12">
        <f t="shared" si="0"/>
        <v>14</v>
      </c>
      <c r="B26" s="14">
        <f aca="true" t="shared" si="16" ref="B26:B33">C25</f>
        <v>19805.36</v>
      </c>
      <c r="C26" s="14">
        <v>19905.36</v>
      </c>
      <c r="D26" s="15" t="s">
        <v>33</v>
      </c>
      <c r="E26" s="16">
        <f t="shared" si="9"/>
        <v>100</v>
      </c>
      <c r="F26" s="17">
        <v>8</v>
      </c>
      <c r="G26" s="18">
        <f>ROUND((((848.826-($F26/2))/848.826)+1)/2,4)</f>
        <v>0.9976</v>
      </c>
      <c r="H26" s="18">
        <f>ROUND((((848.826-($F26))/848.826)+1)/2,4)</f>
        <v>0.9953</v>
      </c>
      <c r="I26" s="16">
        <f t="shared" si="10"/>
        <v>798.08</v>
      </c>
      <c r="J26" s="16"/>
      <c r="K26" s="16">
        <f t="shared" si="11"/>
        <v>33.18</v>
      </c>
      <c r="L26" s="16"/>
      <c r="M26" s="16">
        <f t="shared" si="12"/>
        <v>82.94</v>
      </c>
      <c r="N26" s="16">
        <f t="shared" si="12"/>
        <v>132.71</v>
      </c>
      <c r="O26" s="16"/>
      <c r="P26" s="16"/>
      <c r="Q26" s="16"/>
      <c r="R26" s="16"/>
      <c r="S26" s="16"/>
      <c r="T26" s="16">
        <f aca="true" t="shared" si="17" ref="T26:T39">ROUND(((($I26+$J26)*(T$72/12)+($K26)*(T$73/12)+($M26)*(T$73/12))/27),2)</f>
        <v>21.14</v>
      </c>
      <c r="U26" s="16">
        <f>ROUND(((($I26+$J26+$N26+$O26+$P26+$Q26)*(U$72/12))/27),2)</f>
        <v>17.24</v>
      </c>
      <c r="V26" s="16"/>
      <c r="W26" s="16">
        <f t="shared" si="14"/>
        <v>15.34</v>
      </c>
      <c r="X26" s="16"/>
      <c r="Y26" s="16"/>
      <c r="Z26" s="16">
        <f t="shared" si="15"/>
        <v>3.69</v>
      </c>
      <c r="AA26" s="16">
        <f t="shared" si="15"/>
        <v>4.31</v>
      </c>
      <c r="AB26" s="16"/>
      <c r="AC26" s="16"/>
      <c r="AD26" s="16"/>
      <c r="AE26" s="16"/>
      <c r="AF26" s="105"/>
      <c r="AG26" s="106"/>
    </row>
    <row r="27" spans="1:33" s="5" customFormat="1" ht="21.75" customHeight="1">
      <c r="A27" s="12">
        <f t="shared" si="0"/>
        <v>15</v>
      </c>
      <c r="B27" s="14">
        <f t="shared" si="16"/>
        <v>19905.36</v>
      </c>
      <c r="C27" s="14">
        <v>20399.5</v>
      </c>
      <c r="D27" s="15" t="s">
        <v>33</v>
      </c>
      <c r="E27" s="16">
        <f t="shared" si="9"/>
        <v>494.1399999999994</v>
      </c>
      <c r="F27" s="17">
        <v>8</v>
      </c>
      <c r="G27" s="18">
        <f>ROUND((848.826-($F27/2))/848.826,4)</f>
        <v>0.9953</v>
      </c>
      <c r="H27" s="18">
        <f>ROUND((848.826-($F27))/848.826,4)</f>
        <v>0.9906</v>
      </c>
      <c r="I27" s="16">
        <f t="shared" si="10"/>
        <v>3934.54</v>
      </c>
      <c r="J27" s="16"/>
      <c r="K27" s="16">
        <f t="shared" si="11"/>
        <v>163.17</v>
      </c>
      <c r="L27" s="16"/>
      <c r="M27" s="16">
        <f t="shared" si="12"/>
        <v>407.91</v>
      </c>
      <c r="N27" s="16">
        <f t="shared" si="12"/>
        <v>652.66</v>
      </c>
      <c r="O27" s="16"/>
      <c r="P27" s="16"/>
      <c r="Q27" s="16"/>
      <c r="R27" s="16"/>
      <c r="S27" s="16"/>
      <c r="T27" s="16">
        <f t="shared" si="17"/>
        <v>104.2</v>
      </c>
      <c r="U27" s="16">
        <f t="shared" si="13"/>
        <v>84.95</v>
      </c>
      <c r="V27" s="16"/>
      <c r="W27" s="16">
        <f t="shared" si="14"/>
        <v>75.62</v>
      </c>
      <c r="X27" s="16"/>
      <c r="Y27" s="16"/>
      <c r="Z27" s="16">
        <f t="shared" si="15"/>
        <v>18.22</v>
      </c>
      <c r="AA27" s="16">
        <f t="shared" si="15"/>
        <v>21.25</v>
      </c>
      <c r="AB27" s="16"/>
      <c r="AC27" s="16"/>
      <c r="AD27" s="16"/>
      <c r="AE27" s="16"/>
      <c r="AF27" s="105"/>
      <c r="AG27" s="106"/>
    </row>
    <row r="28" spans="1:33" s="5" customFormat="1" ht="21.75" customHeight="1">
      <c r="A28" s="12">
        <f t="shared" si="0"/>
        <v>16</v>
      </c>
      <c r="B28" s="14">
        <f t="shared" si="16"/>
        <v>20399.5</v>
      </c>
      <c r="C28" s="14">
        <v>20449.5</v>
      </c>
      <c r="D28" s="15" t="s">
        <v>33</v>
      </c>
      <c r="E28" s="16">
        <f t="shared" si="9"/>
        <v>50</v>
      </c>
      <c r="F28" s="17">
        <f>ROUND(AVERAGE(6,8),2)</f>
        <v>7</v>
      </c>
      <c r="G28" s="18">
        <f>ROUND((((848.826-($F28/2))/848.826)+1)/2,4)</f>
        <v>0.9979</v>
      </c>
      <c r="H28" s="18">
        <f>ROUND((((848.826-($F28))/848.826)+1)/2,4)</f>
        <v>0.9959</v>
      </c>
      <c r="I28" s="16">
        <f t="shared" si="10"/>
        <v>349.27</v>
      </c>
      <c r="J28" s="16"/>
      <c r="K28" s="16">
        <f t="shared" si="11"/>
        <v>16.6</v>
      </c>
      <c r="L28" s="16"/>
      <c r="M28" s="16">
        <f t="shared" si="12"/>
        <v>41.5</v>
      </c>
      <c r="N28" s="16">
        <f t="shared" si="12"/>
        <v>66.39</v>
      </c>
      <c r="O28" s="16"/>
      <c r="P28" s="16"/>
      <c r="Q28" s="16"/>
      <c r="R28" s="16"/>
      <c r="S28" s="16"/>
      <c r="T28" s="16">
        <f t="shared" si="17"/>
        <v>9.34</v>
      </c>
      <c r="U28" s="16">
        <f t="shared" si="13"/>
        <v>7.7</v>
      </c>
      <c r="V28" s="16"/>
      <c r="W28" s="16">
        <f t="shared" si="14"/>
        <v>6.76</v>
      </c>
      <c r="X28" s="16"/>
      <c r="Y28" s="16"/>
      <c r="Z28" s="16">
        <f t="shared" si="15"/>
        <v>1.62</v>
      </c>
      <c r="AA28" s="16">
        <f t="shared" si="15"/>
        <v>1.89</v>
      </c>
      <c r="AB28" s="16"/>
      <c r="AC28" s="16"/>
      <c r="AD28" s="16"/>
      <c r="AE28" s="16"/>
      <c r="AF28" s="105"/>
      <c r="AG28" s="106"/>
    </row>
    <row r="29" spans="1:33" s="5" customFormat="1" ht="21.75" customHeight="1">
      <c r="A29" s="12">
        <f t="shared" si="0"/>
        <v>17</v>
      </c>
      <c r="B29" s="14">
        <f t="shared" si="16"/>
        <v>20449.5</v>
      </c>
      <c r="C29" s="14">
        <v>20599.5</v>
      </c>
      <c r="D29" s="15" t="s">
        <v>33</v>
      </c>
      <c r="E29" s="16">
        <f t="shared" si="9"/>
        <v>150</v>
      </c>
      <c r="F29" s="17">
        <v>6</v>
      </c>
      <c r="G29" s="18">
        <f>ROUND((((848.826-($F29/2))/848.826)+1)/2,4)</f>
        <v>0.9982</v>
      </c>
      <c r="H29" s="18">
        <f>ROUND((((848.826-($F29))/848.826)+1)/2,4)</f>
        <v>0.9965</v>
      </c>
      <c r="I29" s="16">
        <f t="shared" si="10"/>
        <v>898.38</v>
      </c>
      <c r="J29" s="16"/>
      <c r="K29" s="16">
        <f t="shared" si="11"/>
        <v>49.83</v>
      </c>
      <c r="L29" s="16"/>
      <c r="M29" s="16">
        <f t="shared" si="12"/>
        <v>124.56</v>
      </c>
      <c r="N29" s="16">
        <f t="shared" si="12"/>
        <v>199.3</v>
      </c>
      <c r="O29" s="16"/>
      <c r="P29" s="16"/>
      <c r="Q29" s="16"/>
      <c r="R29" s="16"/>
      <c r="S29" s="16"/>
      <c r="T29" s="16">
        <f t="shared" si="17"/>
        <v>24.34</v>
      </c>
      <c r="U29" s="16">
        <f t="shared" si="13"/>
        <v>20.33</v>
      </c>
      <c r="V29" s="16"/>
      <c r="W29" s="16">
        <f t="shared" si="14"/>
        <v>17.54</v>
      </c>
      <c r="X29" s="16"/>
      <c r="Y29" s="16"/>
      <c r="Z29" s="16">
        <f t="shared" si="15"/>
        <v>4.16</v>
      </c>
      <c r="AA29" s="16">
        <f t="shared" si="15"/>
        <v>4.85</v>
      </c>
      <c r="AB29" s="16"/>
      <c r="AC29" s="16"/>
      <c r="AD29" s="16"/>
      <c r="AE29" s="16"/>
      <c r="AF29" s="105"/>
      <c r="AG29" s="106"/>
    </row>
    <row r="30" spans="1:33" s="5" customFormat="1" ht="21.75" customHeight="1">
      <c r="A30" s="12">
        <f t="shared" si="0"/>
        <v>18</v>
      </c>
      <c r="B30" s="13">
        <f t="shared" si="16"/>
        <v>20599.5</v>
      </c>
      <c r="C30" s="14">
        <v>20773.39</v>
      </c>
      <c r="D30" s="15" t="s">
        <v>33</v>
      </c>
      <c r="E30" s="16">
        <f t="shared" si="9"/>
        <v>173.88999999999942</v>
      </c>
      <c r="F30" s="17">
        <v>6</v>
      </c>
      <c r="G30" s="18"/>
      <c r="H30" s="18"/>
      <c r="I30" s="16">
        <f t="shared" si="10"/>
        <v>1043.34</v>
      </c>
      <c r="J30" s="16"/>
      <c r="K30" s="16">
        <f t="shared" si="11"/>
        <v>57.96</v>
      </c>
      <c r="L30" s="16"/>
      <c r="M30" s="16">
        <f t="shared" si="12"/>
        <v>144.91</v>
      </c>
      <c r="N30" s="16">
        <f t="shared" si="12"/>
        <v>231.85</v>
      </c>
      <c r="O30" s="16"/>
      <c r="P30" s="16"/>
      <c r="Q30" s="16"/>
      <c r="R30" s="16"/>
      <c r="S30" s="16"/>
      <c r="T30" s="16">
        <f t="shared" si="17"/>
        <v>28.27</v>
      </c>
      <c r="U30" s="16">
        <f t="shared" si="13"/>
        <v>23.61</v>
      </c>
      <c r="V30" s="16"/>
      <c r="W30" s="16">
        <f t="shared" si="14"/>
        <v>20.37</v>
      </c>
      <c r="X30" s="16"/>
      <c r="Y30" s="16"/>
      <c r="Z30" s="16">
        <f t="shared" si="15"/>
        <v>4.83</v>
      </c>
      <c r="AA30" s="16">
        <f t="shared" si="15"/>
        <v>5.64</v>
      </c>
      <c r="AB30" s="16"/>
      <c r="AC30" s="16"/>
      <c r="AD30" s="16"/>
      <c r="AE30" s="16"/>
      <c r="AF30" s="105"/>
      <c r="AG30" s="106"/>
    </row>
    <row r="31" spans="1:33" s="5" customFormat="1" ht="21.75" customHeight="1">
      <c r="A31" s="12">
        <f t="shared" si="0"/>
        <v>19</v>
      </c>
      <c r="B31" s="13">
        <f t="shared" si="16"/>
        <v>20773.39</v>
      </c>
      <c r="C31" s="14">
        <v>20973.39</v>
      </c>
      <c r="D31" s="15" t="s">
        <v>33</v>
      </c>
      <c r="E31" s="16">
        <f t="shared" si="9"/>
        <v>200</v>
      </c>
      <c r="F31" s="17">
        <v>6</v>
      </c>
      <c r="G31" s="18">
        <f>ROUND((((716.197-($F31/2))/716.197)+1)/2,4)</f>
        <v>0.9979</v>
      </c>
      <c r="H31" s="18">
        <f>ROUND((((716.197-($F31))/716.197)+1)/2,4)</f>
        <v>0.9958</v>
      </c>
      <c r="I31" s="16">
        <f t="shared" si="10"/>
        <v>1197.48</v>
      </c>
      <c r="J31" s="16"/>
      <c r="K31" s="16">
        <f t="shared" si="11"/>
        <v>66.39</v>
      </c>
      <c r="L31" s="16"/>
      <c r="M31" s="16">
        <f t="shared" si="12"/>
        <v>165.97</v>
      </c>
      <c r="N31" s="16">
        <f t="shared" si="12"/>
        <v>265.55</v>
      </c>
      <c r="O31" s="16"/>
      <c r="P31" s="16"/>
      <c r="Q31" s="16"/>
      <c r="R31" s="16"/>
      <c r="S31" s="16"/>
      <c r="T31" s="16">
        <f t="shared" si="17"/>
        <v>32.44</v>
      </c>
      <c r="U31" s="16">
        <f t="shared" si="13"/>
        <v>27.09</v>
      </c>
      <c r="V31" s="16"/>
      <c r="W31" s="16">
        <f t="shared" si="14"/>
        <v>23.37</v>
      </c>
      <c r="X31" s="16"/>
      <c r="Y31" s="16"/>
      <c r="Z31" s="16">
        <f t="shared" si="15"/>
        <v>5.54</v>
      </c>
      <c r="AA31" s="16">
        <f t="shared" si="15"/>
        <v>6.47</v>
      </c>
      <c r="AB31" s="16"/>
      <c r="AC31" s="16"/>
      <c r="AD31" s="16"/>
      <c r="AE31" s="16"/>
      <c r="AF31" s="105"/>
      <c r="AG31" s="106"/>
    </row>
    <row r="32" spans="1:33" s="5" customFormat="1" ht="21.75" customHeight="1">
      <c r="A32" s="12">
        <f t="shared" si="0"/>
        <v>20</v>
      </c>
      <c r="B32" s="13">
        <f t="shared" si="16"/>
        <v>20973.39</v>
      </c>
      <c r="C32" s="14">
        <v>21358.8</v>
      </c>
      <c r="D32" s="15" t="s">
        <v>33</v>
      </c>
      <c r="E32" s="16">
        <f t="shared" si="9"/>
        <v>385.40999999999985</v>
      </c>
      <c r="F32" s="17">
        <v>6</v>
      </c>
      <c r="G32" s="18">
        <f>ROUND((716.197-($F32/2))/716.197,4)</f>
        <v>0.9958</v>
      </c>
      <c r="H32" s="18">
        <f>ROUND((716.197-($F32))/716.197,4)</f>
        <v>0.9916</v>
      </c>
      <c r="I32" s="16">
        <f t="shared" si="10"/>
        <v>2302.75</v>
      </c>
      <c r="J32" s="16"/>
      <c r="K32" s="16">
        <f t="shared" si="11"/>
        <v>127.39</v>
      </c>
      <c r="L32" s="16"/>
      <c r="M32" s="16">
        <f t="shared" si="12"/>
        <v>318.48</v>
      </c>
      <c r="N32" s="16">
        <f t="shared" si="12"/>
        <v>509.56</v>
      </c>
      <c r="O32" s="16"/>
      <c r="P32" s="16"/>
      <c r="Q32" s="16"/>
      <c r="R32" s="16"/>
      <c r="S32" s="16"/>
      <c r="T32" s="16">
        <f t="shared" si="17"/>
        <v>62.36</v>
      </c>
      <c r="U32" s="16">
        <f t="shared" si="13"/>
        <v>52.08</v>
      </c>
      <c r="V32" s="16"/>
      <c r="W32" s="16">
        <f t="shared" si="14"/>
        <v>44.94</v>
      </c>
      <c r="X32" s="16"/>
      <c r="Y32" s="16"/>
      <c r="Z32" s="16">
        <f t="shared" si="15"/>
        <v>10.66</v>
      </c>
      <c r="AA32" s="16">
        <f t="shared" si="15"/>
        <v>12.44</v>
      </c>
      <c r="AB32" s="16"/>
      <c r="AC32" s="16"/>
      <c r="AD32" s="16"/>
      <c r="AE32" s="16"/>
      <c r="AF32" s="105"/>
      <c r="AG32" s="106"/>
    </row>
    <row r="33" spans="1:33" s="5" customFormat="1" ht="21.75" customHeight="1">
      <c r="A33" s="12">
        <f t="shared" si="0"/>
        <v>21</v>
      </c>
      <c r="B33" s="13">
        <f t="shared" si="16"/>
        <v>21358.8</v>
      </c>
      <c r="C33" s="14">
        <v>21490</v>
      </c>
      <c r="D33" s="15" t="s">
        <v>33</v>
      </c>
      <c r="E33" s="16">
        <f t="shared" si="9"/>
        <v>131.20000000000073</v>
      </c>
      <c r="F33" s="17">
        <v>6</v>
      </c>
      <c r="G33" s="18">
        <f>ROUND((((716.197-($F33/2))/716.197)+1)/2,4)</f>
        <v>0.9979</v>
      </c>
      <c r="H33" s="18">
        <f>ROUND((((716.197-($F33))/716.197)+1)/2,4)</f>
        <v>0.9958</v>
      </c>
      <c r="I33" s="16">
        <f t="shared" si="10"/>
        <v>785.55</v>
      </c>
      <c r="J33" s="16"/>
      <c r="K33" s="16">
        <f t="shared" si="11"/>
        <v>43.55</v>
      </c>
      <c r="L33" s="16"/>
      <c r="M33" s="16">
        <f t="shared" si="12"/>
        <v>108.87</v>
      </c>
      <c r="N33" s="16">
        <f t="shared" si="12"/>
        <v>174.2</v>
      </c>
      <c r="O33" s="16"/>
      <c r="P33" s="16"/>
      <c r="Q33" s="16"/>
      <c r="R33" s="16"/>
      <c r="S33" s="16"/>
      <c r="T33" s="16">
        <f t="shared" si="17"/>
        <v>21.28</v>
      </c>
      <c r="U33" s="16">
        <f t="shared" si="13"/>
        <v>17.77</v>
      </c>
      <c r="V33" s="16"/>
      <c r="W33" s="16">
        <f t="shared" si="14"/>
        <v>15.33</v>
      </c>
      <c r="X33" s="16"/>
      <c r="Y33" s="16"/>
      <c r="Z33" s="16">
        <f t="shared" si="15"/>
        <v>3.64</v>
      </c>
      <c r="AA33" s="16">
        <f t="shared" si="15"/>
        <v>4.24</v>
      </c>
      <c r="AB33" s="16"/>
      <c r="AC33" s="16"/>
      <c r="AD33" s="16"/>
      <c r="AE33" s="16"/>
      <c r="AF33" s="105"/>
      <c r="AG33" s="106"/>
    </row>
    <row r="34" spans="1:33" s="5" customFormat="1" ht="21.75" customHeight="1">
      <c r="A34" s="12">
        <f t="shared" si="0"/>
        <v>22</v>
      </c>
      <c r="B34" s="14"/>
      <c r="C34" s="14"/>
      <c r="D34" s="15"/>
      <c r="E34" s="16"/>
      <c r="F34" s="54"/>
      <c r="G34" s="18"/>
      <c r="H34" s="16"/>
      <c r="I34" s="52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05"/>
      <c r="AG34" s="106"/>
    </row>
    <row r="35" spans="1:33" s="5" customFormat="1" ht="21.75" customHeight="1">
      <c r="A35" s="12">
        <f t="shared" si="0"/>
        <v>23</v>
      </c>
      <c r="B35" s="13">
        <v>20585.71</v>
      </c>
      <c r="C35" s="14">
        <v>20599.5</v>
      </c>
      <c r="D35" s="15" t="s">
        <v>28</v>
      </c>
      <c r="E35" s="16">
        <f>C35-B35</f>
        <v>13.790000000000873</v>
      </c>
      <c r="F35" s="80" t="s">
        <v>31</v>
      </c>
      <c r="G35" s="81"/>
      <c r="H35" s="81"/>
      <c r="I35" s="82"/>
      <c r="J35" s="16">
        <v>55.74</v>
      </c>
      <c r="K35" s="16">
        <f>IF($H35=0,ROUND($E35*(K$72/12),2),ROUND($E35*(K$72/12)*$H35,2))</f>
        <v>4.6</v>
      </c>
      <c r="L35" s="16"/>
      <c r="M35" s="16">
        <f aca="true" t="shared" si="18" ref="M35:N39">IF($H35=0,ROUND($E35*(M$72/12),2),ROUND($E35*(M$72/12)*$H35,2))</f>
        <v>11.49</v>
      </c>
      <c r="N35" s="16">
        <f t="shared" si="18"/>
        <v>18.39</v>
      </c>
      <c r="O35" s="16"/>
      <c r="P35" s="16"/>
      <c r="Q35" s="16"/>
      <c r="R35" s="16"/>
      <c r="S35" s="16"/>
      <c r="T35" s="16">
        <f t="shared" si="17"/>
        <v>1.57</v>
      </c>
      <c r="U35" s="16">
        <f>ROUND(((($I35+$J35+$N35+$O35+$P35+$Q35)*(U$72/12))/27),2)</f>
        <v>1.37</v>
      </c>
      <c r="V35" s="16"/>
      <c r="W35" s="16">
        <f t="shared" si="14"/>
        <v>1.12</v>
      </c>
      <c r="X35" s="16"/>
      <c r="Y35" s="16"/>
      <c r="Z35" s="16">
        <f t="shared" si="15"/>
        <v>0.26</v>
      </c>
      <c r="AA35" s="16">
        <f t="shared" si="15"/>
        <v>0.3</v>
      </c>
      <c r="AB35" s="16"/>
      <c r="AC35" s="16"/>
      <c r="AD35" s="16"/>
      <c r="AE35" s="16"/>
      <c r="AF35" s="105"/>
      <c r="AG35" s="106"/>
    </row>
    <row r="36" spans="1:33" s="5" customFormat="1" ht="21.75" customHeight="1">
      <c r="A36" s="12">
        <f t="shared" si="0"/>
        <v>24</v>
      </c>
      <c r="B36" s="13">
        <f>C35</f>
        <v>20599.5</v>
      </c>
      <c r="C36" s="14">
        <v>20773.39</v>
      </c>
      <c r="D36" s="15" t="s">
        <v>28</v>
      </c>
      <c r="E36" s="16">
        <f>C36-B36</f>
        <v>173.88999999999942</v>
      </c>
      <c r="F36" s="17">
        <v>4</v>
      </c>
      <c r="G36" s="18"/>
      <c r="H36" s="16"/>
      <c r="I36" s="16">
        <f>IF(G36=0,ROUND($E36*$F36,2),ROUND($E36*$F36*$G36,2))</f>
        <v>695.56</v>
      </c>
      <c r="J36" s="16"/>
      <c r="K36" s="16">
        <f>IF($H36=0,ROUND($E36*(K$72/12),2),ROUND($E36*(K$72/12)*$H36,2))</f>
        <v>57.96</v>
      </c>
      <c r="L36" s="16"/>
      <c r="M36" s="16">
        <f t="shared" si="18"/>
        <v>144.91</v>
      </c>
      <c r="N36" s="16">
        <f t="shared" si="18"/>
        <v>231.85</v>
      </c>
      <c r="O36" s="16"/>
      <c r="P36" s="16"/>
      <c r="Q36" s="16"/>
      <c r="R36" s="16"/>
      <c r="S36" s="16"/>
      <c r="T36" s="16">
        <f t="shared" si="17"/>
        <v>19.68</v>
      </c>
      <c r="U36" s="16">
        <f t="shared" si="13"/>
        <v>17.17</v>
      </c>
      <c r="V36" s="16"/>
      <c r="W36" s="16">
        <f t="shared" si="14"/>
        <v>13.99</v>
      </c>
      <c r="X36" s="16"/>
      <c r="Y36" s="16"/>
      <c r="Z36" s="16">
        <f t="shared" si="15"/>
        <v>3.22</v>
      </c>
      <c r="AA36" s="16">
        <f t="shared" si="15"/>
        <v>3.76</v>
      </c>
      <c r="AB36" s="16"/>
      <c r="AC36" s="16"/>
      <c r="AD36" s="16"/>
      <c r="AE36" s="16"/>
      <c r="AF36" s="105"/>
      <c r="AG36" s="106"/>
    </row>
    <row r="37" spans="1:33" s="5" customFormat="1" ht="21.75" customHeight="1">
      <c r="A37" s="12">
        <f t="shared" si="0"/>
        <v>25</v>
      </c>
      <c r="B37" s="13">
        <f>C36</f>
        <v>20773.39</v>
      </c>
      <c r="C37" s="14">
        <v>20973.39</v>
      </c>
      <c r="D37" s="15" t="s">
        <v>28</v>
      </c>
      <c r="E37" s="16">
        <f>C37-B37</f>
        <v>200</v>
      </c>
      <c r="F37" s="17">
        <v>4</v>
      </c>
      <c r="G37" s="18">
        <f>ROUND((((716.197+16+($F37/2))/716.197)+1)/2,4)</f>
        <v>1.0126</v>
      </c>
      <c r="H37" s="18">
        <f>ROUND((((716.197+16+($F37))/716.197)+1)/2,4)</f>
        <v>1.014</v>
      </c>
      <c r="I37" s="16">
        <f>IF(G37=0,ROUND($E37*$F37,2),ROUND($E37*$F37*$G37,2))</f>
        <v>810.08</v>
      </c>
      <c r="J37" s="16"/>
      <c r="K37" s="16">
        <f>IF($H37=0,ROUND($E37*(K$72/12),2),ROUND($E37*(K$72/12)*$H37,2))</f>
        <v>67.6</v>
      </c>
      <c r="L37" s="16"/>
      <c r="M37" s="16">
        <f t="shared" si="18"/>
        <v>169</v>
      </c>
      <c r="N37" s="16">
        <f t="shared" si="18"/>
        <v>270.4</v>
      </c>
      <c r="O37" s="16"/>
      <c r="P37" s="16"/>
      <c r="Q37" s="16"/>
      <c r="R37" s="16"/>
      <c r="S37" s="16"/>
      <c r="T37" s="16">
        <f t="shared" si="17"/>
        <v>22.92</v>
      </c>
      <c r="U37" s="16">
        <f t="shared" si="13"/>
        <v>20.01</v>
      </c>
      <c r="V37" s="16"/>
      <c r="W37" s="16">
        <f t="shared" si="14"/>
        <v>16.3</v>
      </c>
      <c r="X37" s="16"/>
      <c r="Y37" s="16"/>
      <c r="Z37" s="16">
        <f t="shared" si="15"/>
        <v>3.75</v>
      </c>
      <c r="AA37" s="16">
        <f t="shared" si="15"/>
        <v>4.38</v>
      </c>
      <c r="AB37" s="16"/>
      <c r="AC37" s="16"/>
      <c r="AD37" s="16"/>
      <c r="AE37" s="16"/>
      <c r="AF37" s="105"/>
      <c r="AG37" s="106"/>
    </row>
    <row r="38" spans="1:33" s="5" customFormat="1" ht="21.75" customHeight="1">
      <c r="A38" s="12">
        <f t="shared" si="0"/>
        <v>26</v>
      </c>
      <c r="B38" s="13">
        <f>C37</f>
        <v>20973.39</v>
      </c>
      <c r="C38" s="14">
        <v>21358.8</v>
      </c>
      <c r="D38" s="15" t="s">
        <v>28</v>
      </c>
      <c r="E38" s="16">
        <f>C38-B38</f>
        <v>385.40999999999985</v>
      </c>
      <c r="F38" s="17">
        <v>4</v>
      </c>
      <c r="G38" s="18">
        <f>ROUND((716.197+16+($F38/2))/716.197,4)</f>
        <v>1.0251</v>
      </c>
      <c r="H38" s="18">
        <f>ROUND((716.197+16+($F38))/716.197,4)</f>
        <v>1.0279</v>
      </c>
      <c r="I38" s="16">
        <f>IF(G38=0,ROUND($E38*$F38,2),ROUND($E38*$F38*$G38,2))</f>
        <v>1580.34</v>
      </c>
      <c r="J38" s="16"/>
      <c r="K38" s="16">
        <f>IF($H38=0,ROUND($E38*(K$72/12),2),ROUND($E38*(K$72/12)*$H38,2))</f>
        <v>132.05</v>
      </c>
      <c r="L38" s="16"/>
      <c r="M38" s="16">
        <f t="shared" si="18"/>
        <v>330.14</v>
      </c>
      <c r="N38" s="16">
        <f t="shared" si="18"/>
        <v>528.22</v>
      </c>
      <c r="O38" s="16"/>
      <c r="P38" s="16"/>
      <c r="Q38" s="16"/>
      <c r="R38" s="16"/>
      <c r="S38" s="16"/>
      <c r="T38" s="16">
        <f t="shared" si="17"/>
        <v>44.73</v>
      </c>
      <c r="U38" s="16">
        <f t="shared" si="13"/>
        <v>39.05</v>
      </c>
      <c r="V38" s="16"/>
      <c r="W38" s="16">
        <f t="shared" si="14"/>
        <v>31.8</v>
      </c>
      <c r="X38" s="16"/>
      <c r="Y38" s="16"/>
      <c r="Z38" s="16">
        <f t="shared" si="15"/>
        <v>7.32</v>
      </c>
      <c r="AA38" s="16">
        <f t="shared" si="15"/>
        <v>8.54</v>
      </c>
      <c r="AB38" s="16"/>
      <c r="AC38" s="16"/>
      <c r="AD38" s="16"/>
      <c r="AE38" s="16"/>
      <c r="AF38" s="105"/>
      <c r="AG38" s="106"/>
    </row>
    <row r="39" spans="1:33" s="5" customFormat="1" ht="21.75" customHeight="1">
      <c r="A39" s="12">
        <f t="shared" si="0"/>
        <v>27</v>
      </c>
      <c r="B39" s="13">
        <f>C38</f>
        <v>21358.8</v>
      </c>
      <c r="C39" s="14">
        <v>21490</v>
      </c>
      <c r="D39" s="15" t="s">
        <v>28</v>
      </c>
      <c r="E39" s="16">
        <f>C39-B39</f>
        <v>131.20000000000073</v>
      </c>
      <c r="F39" s="17">
        <v>4</v>
      </c>
      <c r="G39" s="18">
        <f>ROUND((((716.197+16+($F39/2))/716.197)+1)/2,4)</f>
        <v>1.0126</v>
      </c>
      <c r="H39" s="18">
        <f>ROUND((((716.197+16+($F39))/716.197)+1)/2,4)</f>
        <v>1.014</v>
      </c>
      <c r="I39" s="16">
        <f>IF(G39=0,ROUND($E39*$F39,2),ROUND($E39*$F39*$G39,2))</f>
        <v>531.41</v>
      </c>
      <c r="J39" s="16"/>
      <c r="K39" s="16">
        <f>IF($H39=0,ROUND($E39*(K$72/12),2),ROUND($E39*(K$72/12)*$H39,2))</f>
        <v>44.35</v>
      </c>
      <c r="L39" s="16"/>
      <c r="M39" s="16">
        <f t="shared" si="18"/>
        <v>110.86</v>
      </c>
      <c r="N39" s="16">
        <f t="shared" si="18"/>
        <v>177.38</v>
      </c>
      <c r="O39" s="16"/>
      <c r="P39" s="16"/>
      <c r="Q39" s="16"/>
      <c r="R39" s="16"/>
      <c r="S39" s="16"/>
      <c r="T39" s="16">
        <f t="shared" si="17"/>
        <v>15.04</v>
      </c>
      <c r="U39" s="16">
        <f t="shared" si="13"/>
        <v>13.13</v>
      </c>
      <c r="V39" s="16"/>
      <c r="W39" s="16">
        <f t="shared" si="14"/>
        <v>10.69</v>
      </c>
      <c r="X39" s="16"/>
      <c r="Y39" s="16"/>
      <c r="Z39" s="16">
        <f t="shared" si="15"/>
        <v>2.46</v>
      </c>
      <c r="AA39" s="16">
        <f t="shared" si="15"/>
        <v>2.87</v>
      </c>
      <c r="AB39" s="16"/>
      <c r="AC39" s="16"/>
      <c r="AD39" s="16"/>
      <c r="AE39" s="16"/>
      <c r="AF39" s="105"/>
      <c r="AG39" s="106"/>
    </row>
    <row r="40" spans="1:33" s="5" customFormat="1" ht="21.75" customHeight="1">
      <c r="A40" s="12">
        <f t="shared" si="0"/>
        <v>28</v>
      </c>
      <c r="B40" s="13"/>
      <c r="C40" s="14"/>
      <c r="D40" s="15"/>
      <c r="E40" s="16"/>
      <c r="F40" s="22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05"/>
      <c r="AG40" s="106"/>
    </row>
    <row r="41" spans="1:33" s="5" customFormat="1" ht="21.75" customHeight="1">
      <c r="A41" s="12">
        <f t="shared" si="0"/>
        <v>29</v>
      </c>
      <c r="B41" s="19"/>
      <c r="C41" s="14"/>
      <c r="D41" s="15"/>
      <c r="E41" s="16"/>
      <c r="F41" s="17"/>
      <c r="G41" s="18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05"/>
      <c r="AG41" s="106"/>
    </row>
    <row r="42" spans="1:33" s="5" customFormat="1" ht="21.75" customHeight="1">
      <c r="A42" s="12">
        <f t="shared" si="0"/>
        <v>30</v>
      </c>
      <c r="B42" s="77" t="s">
        <v>59</v>
      </c>
      <c r="C42" s="78"/>
      <c r="D42" s="78"/>
      <c r="E42" s="78"/>
      <c r="F42" s="78"/>
      <c r="G42" s="78"/>
      <c r="H42" s="78"/>
      <c r="I42" s="79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05"/>
      <c r="AG42" s="106"/>
    </row>
    <row r="43" spans="1:33" s="5" customFormat="1" ht="21.75" customHeight="1">
      <c r="A43" s="12">
        <f t="shared" si="0"/>
        <v>31</v>
      </c>
      <c r="B43" s="19" t="s">
        <v>27</v>
      </c>
      <c r="C43" s="2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05"/>
      <c r="AG43" s="106"/>
    </row>
    <row r="44" spans="1:33" s="5" customFormat="1" ht="21.75" customHeight="1">
      <c r="A44" s="12">
        <f t="shared" si="0"/>
        <v>32</v>
      </c>
      <c r="B44" s="13">
        <v>40631.76</v>
      </c>
      <c r="C44" s="14">
        <v>40701.68</v>
      </c>
      <c r="D44" s="15" t="s">
        <v>28</v>
      </c>
      <c r="E44" s="16">
        <f aca="true" t="shared" si="19" ref="E44:E49">C44-B44</f>
        <v>69.91999999999825</v>
      </c>
      <c r="F44" s="17">
        <v>16</v>
      </c>
      <c r="G44" s="18">
        <f>ROUND((((487.624+($F44/2))/487.624)+1)/2,4)</f>
        <v>1.0082</v>
      </c>
      <c r="H44" s="16"/>
      <c r="I44" s="16">
        <f>IF($G44=0,ROUND($E44*$F44,2),ROUND($E44*$F44*$G44,2))</f>
        <v>1127.89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>
        <f aca="true" t="shared" si="20" ref="T44:T49">ROUND(((($I44+$J44)*(T$72/12))/27),2)</f>
        <v>27.85</v>
      </c>
      <c r="U44" s="16">
        <f aca="true" t="shared" si="21" ref="U44:U49">ROUND(((($I44+$J44+$N44+$O44+$P44+$Q44)*(U$72/12))/27),2)</f>
        <v>20.89</v>
      </c>
      <c r="V44" s="16"/>
      <c r="W44" s="16">
        <f aca="true" t="shared" si="22" ref="W44:W49">ROUND((((($I44+$J44)/9)*W$72)*3),2)</f>
        <v>20.68</v>
      </c>
      <c r="X44" s="16"/>
      <c r="Y44" s="16"/>
      <c r="Z44" s="16">
        <f aca="true" t="shared" si="23" ref="Z44:AA49">ROUND(((($I44+$J44)*(Z$72/12))/27),2)</f>
        <v>5.22</v>
      </c>
      <c r="AA44" s="16">
        <f t="shared" si="23"/>
        <v>6.09</v>
      </c>
      <c r="AB44" s="16">
        <f aca="true" t="shared" si="24" ref="AB44:AB49">$AA44+$Z44</f>
        <v>11.309999999999999</v>
      </c>
      <c r="AC44" s="16"/>
      <c r="AD44" s="16"/>
      <c r="AE44" s="16"/>
      <c r="AF44" s="105"/>
      <c r="AG44" s="106"/>
    </row>
    <row r="45" spans="1:33" s="5" customFormat="1" ht="21.75" customHeight="1">
      <c r="A45" s="12">
        <f t="shared" si="0"/>
        <v>33</v>
      </c>
      <c r="B45" s="13">
        <f>C44</f>
        <v>40701.68</v>
      </c>
      <c r="C45" s="14">
        <v>40850.17</v>
      </c>
      <c r="D45" s="15" t="s">
        <v>28</v>
      </c>
      <c r="E45" s="16">
        <f t="shared" si="19"/>
        <v>148.48999999999796</v>
      </c>
      <c r="F45" s="17">
        <v>16</v>
      </c>
      <c r="G45" s="18">
        <f>ROUND((487.624+($F45/2))/487.624,4)</f>
        <v>1.0164</v>
      </c>
      <c r="H45" s="16"/>
      <c r="I45" s="16">
        <f>IF($G45=0,ROUND($E45*$F45,2),ROUND($E45*$F45*$G45,2))</f>
        <v>2414.8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>
        <f t="shared" si="20"/>
        <v>59.62</v>
      </c>
      <c r="U45" s="16">
        <f t="shared" si="21"/>
        <v>44.72</v>
      </c>
      <c r="V45" s="16"/>
      <c r="W45" s="16">
        <f t="shared" si="22"/>
        <v>44.27</v>
      </c>
      <c r="X45" s="16"/>
      <c r="Y45" s="16"/>
      <c r="Z45" s="16">
        <f t="shared" si="23"/>
        <v>11.18</v>
      </c>
      <c r="AA45" s="16">
        <f t="shared" si="23"/>
        <v>13.04</v>
      </c>
      <c r="AB45" s="16">
        <f t="shared" si="24"/>
        <v>24.22</v>
      </c>
      <c r="AC45" s="16"/>
      <c r="AD45" s="16"/>
      <c r="AE45" s="16"/>
      <c r="AF45" s="105"/>
      <c r="AG45" s="106"/>
    </row>
    <row r="46" spans="1:33" s="5" customFormat="1" ht="21.75" customHeight="1">
      <c r="A46" s="12">
        <f t="shared" si="0"/>
        <v>34</v>
      </c>
      <c r="B46" s="13">
        <f>C45</f>
        <v>40850.17</v>
      </c>
      <c r="C46" s="14">
        <v>41562.45</v>
      </c>
      <c r="D46" s="15" t="s">
        <v>28</v>
      </c>
      <c r="E46" s="16">
        <f t="shared" si="19"/>
        <v>712.2799999999988</v>
      </c>
      <c r="F46" s="17">
        <v>16</v>
      </c>
      <c r="G46" s="18">
        <f>ROUND((238.732+($F46/2))/238.732,4)</f>
        <v>1.0335</v>
      </c>
      <c r="H46" s="16"/>
      <c r="I46" s="16">
        <f>IF($G46=0,ROUND($E46*$F46,2),ROUND($E46*$F46*$G46,2))</f>
        <v>11778.26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>
        <f t="shared" si="20"/>
        <v>290.82</v>
      </c>
      <c r="U46" s="16">
        <f t="shared" si="21"/>
        <v>218.12</v>
      </c>
      <c r="V46" s="16"/>
      <c r="W46" s="16">
        <f t="shared" si="22"/>
        <v>215.93</v>
      </c>
      <c r="X46" s="16"/>
      <c r="Y46" s="16"/>
      <c r="Z46" s="16">
        <f t="shared" si="23"/>
        <v>54.53</v>
      </c>
      <c r="AA46" s="16">
        <f t="shared" si="23"/>
        <v>63.62</v>
      </c>
      <c r="AB46" s="16">
        <f t="shared" si="24"/>
        <v>118.15</v>
      </c>
      <c r="AC46" s="16"/>
      <c r="AD46" s="16"/>
      <c r="AE46" s="16"/>
      <c r="AF46" s="105"/>
      <c r="AG46" s="106"/>
    </row>
    <row r="47" spans="1:33" s="5" customFormat="1" ht="21.75" customHeight="1">
      <c r="A47" s="12">
        <f t="shared" si="0"/>
        <v>35</v>
      </c>
      <c r="B47" s="13">
        <f>C46</f>
        <v>41562.45</v>
      </c>
      <c r="C47" s="14">
        <v>41762.45</v>
      </c>
      <c r="D47" s="15" t="s">
        <v>28</v>
      </c>
      <c r="E47" s="16">
        <f t="shared" si="19"/>
        <v>200</v>
      </c>
      <c r="F47" s="17">
        <v>16</v>
      </c>
      <c r="G47" s="18">
        <f>ROUND((((238.732+($F47/2))/238.732)+((4583.662+($F47/2))/4583.662))/2,4)</f>
        <v>1.0176</v>
      </c>
      <c r="H47" s="16"/>
      <c r="I47" s="16">
        <f>IF($G47=0,ROUND($E47*$F47,2),ROUND($E47*$F47*$G47,2))</f>
        <v>3256.32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>
        <f t="shared" si="20"/>
        <v>80.4</v>
      </c>
      <c r="U47" s="16">
        <f t="shared" si="21"/>
        <v>60.3</v>
      </c>
      <c r="V47" s="16"/>
      <c r="W47" s="16">
        <f t="shared" si="22"/>
        <v>59.7</v>
      </c>
      <c r="X47" s="16"/>
      <c r="Y47" s="16"/>
      <c r="Z47" s="16">
        <f t="shared" si="23"/>
        <v>15.08</v>
      </c>
      <c r="AA47" s="16">
        <f t="shared" si="23"/>
        <v>17.59</v>
      </c>
      <c r="AB47" s="16">
        <f t="shared" si="24"/>
        <v>32.67</v>
      </c>
      <c r="AC47" s="16"/>
      <c r="AD47" s="16"/>
      <c r="AE47" s="16"/>
      <c r="AF47" s="105"/>
      <c r="AG47" s="106"/>
    </row>
    <row r="48" spans="1:33" s="5" customFormat="1" ht="21.75" customHeight="1">
      <c r="A48" s="12">
        <f t="shared" si="0"/>
        <v>36</v>
      </c>
      <c r="B48" s="13">
        <f>C47</f>
        <v>41762.45</v>
      </c>
      <c r="C48" s="14">
        <v>41855.68</v>
      </c>
      <c r="D48" s="15" t="s">
        <v>28</v>
      </c>
      <c r="E48" s="16">
        <f t="shared" si="19"/>
        <v>93.2300000000032</v>
      </c>
      <c r="F48" s="17">
        <v>16</v>
      </c>
      <c r="G48" s="18">
        <f>ROUND((4583.662+($F48/2))/4583.662,4)</f>
        <v>1.0017</v>
      </c>
      <c r="H48" s="16"/>
      <c r="I48" s="16">
        <f>IF(G48=0,ROUND($E48*$F48,2),ROUND($E48*$F48*$G48,2))</f>
        <v>1494.22</v>
      </c>
      <c r="J48" s="16"/>
      <c r="K48" s="39"/>
      <c r="L48" s="16"/>
      <c r="M48" s="16"/>
      <c r="N48" s="16"/>
      <c r="O48" s="16"/>
      <c r="P48" s="16"/>
      <c r="Q48" s="16"/>
      <c r="R48" s="16"/>
      <c r="S48" s="16"/>
      <c r="T48" s="16">
        <f t="shared" si="20"/>
        <v>36.89</v>
      </c>
      <c r="U48" s="16">
        <f t="shared" si="21"/>
        <v>27.67</v>
      </c>
      <c r="V48" s="16"/>
      <c r="W48" s="16">
        <f t="shared" si="22"/>
        <v>27.39</v>
      </c>
      <c r="X48" s="16"/>
      <c r="Y48" s="16"/>
      <c r="Z48" s="16">
        <f t="shared" si="23"/>
        <v>6.92</v>
      </c>
      <c r="AA48" s="16">
        <f t="shared" si="23"/>
        <v>8.07</v>
      </c>
      <c r="AB48" s="16">
        <f t="shared" si="24"/>
        <v>14.99</v>
      </c>
      <c r="AC48" s="16"/>
      <c r="AD48" s="16"/>
      <c r="AE48" s="16"/>
      <c r="AF48" s="105"/>
      <c r="AG48" s="106"/>
    </row>
    <row r="49" spans="1:33" s="5" customFormat="1" ht="21.75" customHeight="1">
      <c r="A49" s="12">
        <f t="shared" si="0"/>
        <v>37</v>
      </c>
      <c r="B49" s="13">
        <f>C48</f>
        <v>41855.68</v>
      </c>
      <c r="C49" s="14">
        <v>42145.82</v>
      </c>
      <c r="D49" s="15" t="s">
        <v>28</v>
      </c>
      <c r="E49" s="16">
        <f t="shared" si="19"/>
        <v>290.1399999999994</v>
      </c>
      <c r="F49" s="80" t="s">
        <v>31</v>
      </c>
      <c r="G49" s="81"/>
      <c r="H49" s="81"/>
      <c r="I49" s="82"/>
      <c r="J49" s="16">
        <v>4143.69</v>
      </c>
      <c r="K49" s="16"/>
      <c r="L49" s="16"/>
      <c r="M49" s="16"/>
      <c r="N49" s="16"/>
      <c r="O49" s="16"/>
      <c r="P49" s="16"/>
      <c r="Q49" s="16"/>
      <c r="R49" s="16"/>
      <c r="S49" s="16"/>
      <c r="T49" s="16">
        <f t="shared" si="20"/>
        <v>102.31</v>
      </c>
      <c r="U49" s="16">
        <f t="shared" si="21"/>
        <v>76.74</v>
      </c>
      <c r="V49" s="16"/>
      <c r="W49" s="16">
        <f t="shared" si="22"/>
        <v>75.97</v>
      </c>
      <c r="X49" s="16"/>
      <c r="Y49" s="16"/>
      <c r="Z49" s="16">
        <f t="shared" si="23"/>
        <v>19.18</v>
      </c>
      <c r="AA49" s="16">
        <f t="shared" si="23"/>
        <v>22.38</v>
      </c>
      <c r="AB49" s="16">
        <f t="shared" si="24"/>
        <v>41.56</v>
      </c>
      <c r="AC49" s="16"/>
      <c r="AD49" s="16"/>
      <c r="AE49" s="16"/>
      <c r="AF49" s="105"/>
      <c r="AG49" s="106"/>
    </row>
    <row r="50" spans="1:33" s="5" customFormat="1" ht="21.75" customHeight="1" thickBot="1">
      <c r="A50" s="12">
        <f t="shared" si="0"/>
        <v>38</v>
      </c>
      <c r="B50" s="14"/>
      <c r="C50" s="14"/>
      <c r="D50" s="15"/>
      <c r="E50" s="16"/>
      <c r="F50" s="17"/>
      <c r="G50" s="18"/>
      <c r="H50" s="16"/>
      <c r="I50" s="16"/>
      <c r="J50" s="16"/>
      <c r="K50" s="41"/>
      <c r="L50" s="16"/>
      <c r="M50" s="16"/>
      <c r="N50" s="16"/>
      <c r="O50" s="16"/>
      <c r="P50" s="16"/>
      <c r="Q50" s="41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05"/>
      <c r="AG50" s="106"/>
    </row>
    <row r="51" spans="1:33" s="5" customFormat="1" ht="21.75" customHeight="1">
      <c r="A51" s="12">
        <f t="shared" si="0"/>
        <v>39</v>
      </c>
      <c r="B51" s="19" t="s">
        <v>35</v>
      </c>
      <c r="C51" s="14"/>
      <c r="D51" s="15"/>
      <c r="E51" s="16"/>
      <c r="F51" s="17"/>
      <c r="G51" s="1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03" t="s">
        <v>93</v>
      </c>
      <c r="AG51" s="104"/>
    </row>
    <row r="52" spans="1:33" s="5" customFormat="1" ht="21.75" customHeight="1">
      <c r="A52" s="12">
        <f t="shared" si="0"/>
        <v>40</v>
      </c>
      <c r="B52" s="13">
        <v>40631.76</v>
      </c>
      <c r="C52" s="14">
        <v>40701.68</v>
      </c>
      <c r="D52" s="15" t="s">
        <v>33</v>
      </c>
      <c r="E52" s="16">
        <f>C52-B52</f>
        <v>69.91999999999825</v>
      </c>
      <c r="F52" s="17">
        <v>6</v>
      </c>
      <c r="G52" s="18">
        <f>ROUND((((487.624-($F52/2))/487.624)+1)/2,4)</f>
        <v>0.9969</v>
      </c>
      <c r="H52" s="18">
        <f>ROUND((((487.624-($F52))/487.624)+1)/2,4)</f>
        <v>0.9938</v>
      </c>
      <c r="I52" s="16">
        <f>IF(G52=0,ROUND($E52*$F52,2),ROUND($E52*$F52*$G52,2))</f>
        <v>418.22</v>
      </c>
      <c r="J52" s="16"/>
      <c r="K52" s="16">
        <f aca="true" t="shared" si="25" ref="K52:K58">IF($H52=0,ROUND($E52*(K$72/12),2),ROUND($E52*(K$72/12)*$H52,2))</f>
        <v>23.16</v>
      </c>
      <c r="L52" s="16"/>
      <c r="M52" s="16">
        <f aca="true" t="shared" si="26" ref="M52:N58">IF($H52=0,ROUND($E52*(M$72/12),2),ROUND($E52*(M$72/12)*$H52,2))</f>
        <v>57.91</v>
      </c>
      <c r="N52" s="16">
        <f t="shared" si="26"/>
        <v>92.65</v>
      </c>
      <c r="O52" s="16"/>
      <c r="P52" s="16"/>
      <c r="Q52" s="16"/>
      <c r="R52" s="16"/>
      <c r="S52" s="16"/>
      <c r="T52" s="16">
        <f>ROUND(((($I52+$J52)*(T$72/12)+($K52)*(T$73/12)+($M52)*(T$73/12))/27),2)</f>
        <v>11.33</v>
      </c>
      <c r="U52" s="16">
        <f>ROUND(((($I52+$J52+$N52+$O52+$P52+$Q52)*(U$72/12))/27),2)</f>
        <v>9.46</v>
      </c>
      <c r="V52" s="16"/>
      <c r="W52" s="16">
        <f aca="true" t="shared" si="27" ref="W52:W59">ROUND(((($I52+$J52)/9)*$W$72)+((($I52+$J52+$K52)/9)*$W$72)+((($I52+$J52+$M52)/9)*$W$72),2)</f>
        <v>8.16</v>
      </c>
      <c r="X52" s="16"/>
      <c r="Y52" s="16"/>
      <c r="Z52" s="16">
        <f aca="true" t="shared" si="28" ref="Z52:AA65">ROUND(((($I52+$J52)*(Z$72/12))/27),2)</f>
        <v>1.94</v>
      </c>
      <c r="AA52" s="16">
        <f t="shared" si="28"/>
        <v>2.26</v>
      </c>
      <c r="AB52" s="16"/>
      <c r="AC52" s="16"/>
      <c r="AD52" s="16"/>
      <c r="AE52" s="16"/>
      <c r="AF52" s="105"/>
      <c r="AG52" s="106"/>
    </row>
    <row r="53" spans="1:33" s="5" customFormat="1" ht="21.75" customHeight="1">
      <c r="A53" s="12">
        <f t="shared" si="0"/>
        <v>41</v>
      </c>
      <c r="B53" s="13">
        <f aca="true" t="shared" si="29" ref="B53:B59">C52</f>
        <v>40701.68</v>
      </c>
      <c r="C53" s="14">
        <v>40850.17</v>
      </c>
      <c r="D53" s="15" t="s">
        <v>33</v>
      </c>
      <c r="E53" s="16">
        <f aca="true" t="shared" si="30" ref="E53:E59">C53-B53</f>
        <v>148.48999999999796</v>
      </c>
      <c r="F53" s="17">
        <v>6</v>
      </c>
      <c r="G53" s="18">
        <f>ROUND((487.624-($F53/2))/487.624,4)</f>
        <v>0.9938</v>
      </c>
      <c r="H53" s="18">
        <f>ROUND((487.624-($F53))/487.624,4)</f>
        <v>0.9877</v>
      </c>
      <c r="I53" s="16">
        <f aca="true" t="shared" si="31" ref="I53:I59">IF(G53=0,ROUND($E53*$F53,2),ROUND($E53*$F53*$G53,2))</f>
        <v>885.42</v>
      </c>
      <c r="J53" s="16"/>
      <c r="K53" s="16">
        <f t="shared" si="25"/>
        <v>48.89</v>
      </c>
      <c r="L53" s="16"/>
      <c r="M53" s="16">
        <f t="shared" si="26"/>
        <v>122.22</v>
      </c>
      <c r="N53" s="16">
        <f t="shared" si="26"/>
        <v>195.55</v>
      </c>
      <c r="O53" s="16"/>
      <c r="P53" s="16"/>
      <c r="Q53" s="16"/>
      <c r="R53" s="16"/>
      <c r="S53" s="16"/>
      <c r="T53" s="16">
        <f aca="true" t="shared" si="32" ref="T53:T59">ROUND(((($I53+$J53)*(T$72/12)+($K53)*(T$73/12)+($M53)*(T$73/12))/27),2)</f>
        <v>23.97</v>
      </c>
      <c r="U53" s="16">
        <f>ROUND(((($I53+$J53+$N53+$O53+$P53+$Q53)*(U$72/12))/27),2)</f>
        <v>20.02</v>
      </c>
      <c r="V53" s="16"/>
      <c r="W53" s="16">
        <f t="shared" si="27"/>
        <v>17.28</v>
      </c>
      <c r="X53" s="16"/>
      <c r="Y53" s="16"/>
      <c r="Z53" s="16">
        <f t="shared" si="28"/>
        <v>4.1</v>
      </c>
      <c r="AA53" s="16">
        <f t="shared" si="28"/>
        <v>4.78</v>
      </c>
      <c r="AB53" s="16"/>
      <c r="AC53" s="16"/>
      <c r="AD53" s="16"/>
      <c r="AE53" s="16"/>
      <c r="AF53" s="105"/>
      <c r="AG53" s="106"/>
    </row>
    <row r="54" spans="1:33" s="5" customFormat="1" ht="21.75" customHeight="1">
      <c r="A54" s="12">
        <f t="shared" si="0"/>
        <v>42</v>
      </c>
      <c r="B54" s="13">
        <f t="shared" si="29"/>
        <v>40850.17</v>
      </c>
      <c r="C54" s="14">
        <v>41562.45</v>
      </c>
      <c r="D54" s="15" t="s">
        <v>33</v>
      </c>
      <c r="E54" s="16">
        <f t="shared" si="30"/>
        <v>712.2799999999988</v>
      </c>
      <c r="F54" s="17">
        <v>6</v>
      </c>
      <c r="G54" s="18">
        <f>ROUND((238.732-($F54/2))/238.732,4)</f>
        <v>0.9874</v>
      </c>
      <c r="H54" s="18">
        <f>ROUND((238.732-($F54))/238.732,4)</f>
        <v>0.9749</v>
      </c>
      <c r="I54" s="16">
        <f t="shared" si="31"/>
        <v>4219.83</v>
      </c>
      <c r="J54" s="16"/>
      <c r="K54" s="16">
        <f t="shared" si="25"/>
        <v>231.47</v>
      </c>
      <c r="L54" s="16"/>
      <c r="M54" s="16">
        <f t="shared" si="26"/>
        <v>578.67</v>
      </c>
      <c r="N54" s="16">
        <f t="shared" si="26"/>
        <v>925.87</v>
      </c>
      <c r="O54" s="16"/>
      <c r="P54" s="16"/>
      <c r="Q54" s="16"/>
      <c r="R54" s="16"/>
      <c r="S54" s="16"/>
      <c r="T54" s="16">
        <f t="shared" si="32"/>
        <v>114.2</v>
      </c>
      <c r="U54" s="16">
        <f>ROUND(((($I54+$J54+$N54+$O54+$P54+$Q54)*(U$72/12))/27),2)</f>
        <v>95.29</v>
      </c>
      <c r="V54" s="16"/>
      <c r="W54" s="16">
        <f t="shared" si="27"/>
        <v>82.31</v>
      </c>
      <c r="X54" s="16"/>
      <c r="Y54" s="16"/>
      <c r="Z54" s="16">
        <f t="shared" si="28"/>
        <v>19.54</v>
      </c>
      <c r="AA54" s="16">
        <f t="shared" si="28"/>
        <v>22.79</v>
      </c>
      <c r="AB54" s="16"/>
      <c r="AC54" s="16"/>
      <c r="AD54" s="16"/>
      <c r="AE54" s="16"/>
      <c r="AF54" s="105"/>
      <c r="AG54" s="106"/>
    </row>
    <row r="55" spans="1:33" s="5" customFormat="1" ht="21.75" customHeight="1">
      <c r="A55" s="12">
        <f t="shared" si="0"/>
        <v>43</v>
      </c>
      <c r="B55" s="13">
        <f t="shared" si="29"/>
        <v>41562.45</v>
      </c>
      <c r="C55" s="14">
        <v>41755.68</v>
      </c>
      <c r="D55" s="15" t="s">
        <v>33</v>
      </c>
      <c r="E55" s="16">
        <f t="shared" si="30"/>
        <v>193.2300000000032</v>
      </c>
      <c r="F55" s="17">
        <v>6</v>
      </c>
      <c r="G55" s="18">
        <f>ROUND((((238.732-($F55/2))/238.732)+((4583.662-($F55/2))/4583.662))/2,4)</f>
        <v>0.9934</v>
      </c>
      <c r="H55" s="18">
        <f>ROUND((((238.732-($F55))/238.732)+((4583.662-($F55))/4583.662))/2,4)</f>
        <v>0.9868</v>
      </c>
      <c r="I55" s="16">
        <f t="shared" si="31"/>
        <v>1151.73</v>
      </c>
      <c r="J55" s="16"/>
      <c r="K55" s="16">
        <f t="shared" si="25"/>
        <v>63.56</v>
      </c>
      <c r="L55" s="16"/>
      <c r="M55" s="16">
        <f t="shared" si="26"/>
        <v>158.9</v>
      </c>
      <c r="N55" s="16">
        <f t="shared" si="26"/>
        <v>254.24</v>
      </c>
      <c r="O55" s="16"/>
      <c r="P55" s="16"/>
      <c r="Q55" s="16"/>
      <c r="R55" s="16"/>
      <c r="S55" s="16"/>
      <c r="T55" s="16">
        <f t="shared" si="32"/>
        <v>31.18</v>
      </c>
      <c r="U55" s="16">
        <f aca="true" t="shared" si="33" ref="U55:U63">ROUND(((($I55+$J55+$N55+$O55+$P55+$Q55)*(U$72/12))/27),2)</f>
        <v>26.04</v>
      </c>
      <c r="V55" s="16"/>
      <c r="W55" s="16">
        <f t="shared" si="27"/>
        <v>22.47</v>
      </c>
      <c r="X55" s="16"/>
      <c r="Y55" s="16"/>
      <c r="Z55" s="16">
        <f t="shared" si="28"/>
        <v>5.33</v>
      </c>
      <c r="AA55" s="16">
        <f t="shared" si="28"/>
        <v>6.22</v>
      </c>
      <c r="AB55" s="16"/>
      <c r="AC55" s="16"/>
      <c r="AD55" s="16"/>
      <c r="AE55" s="16"/>
      <c r="AF55" s="105"/>
      <c r="AG55" s="106"/>
    </row>
    <row r="56" spans="1:33" s="5" customFormat="1" ht="21.75" customHeight="1">
      <c r="A56" s="12">
        <f t="shared" si="0"/>
        <v>44</v>
      </c>
      <c r="B56" s="13">
        <f t="shared" si="29"/>
        <v>41755.68</v>
      </c>
      <c r="C56" s="14">
        <v>41762.45</v>
      </c>
      <c r="D56" s="15" t="s">
        <v>33</v>
      </c>
      <c r="E56" s="16">
        <f t="shared" si="30"/>
        <v>6.769999999996799</v>
      </c>
      <c r="F56" s="17">
        <f>ROUND(AVERAGE(6.271,6),2)</f>
        <v>6.14</v>
      </c>
      <c r="G56" s="18">
        <f>ROUND((((238.732-($F56/2))/238.732)+((4583.662-($F56/2))/4583.662))/2,4)</f>
        <v>0.9932</v>
      </c>
      <c r="H56" s="18">
        <f>ROUND((((238.732-($F56))/238.732)+((4583.662-($F56))/4583.662))/2,4)</f>
        <v>0.9865</v>
      </c>
      <c r="I56" s="16">
        <f t="shared" si="31"/>
        <v>41.29</v>
      </c>
      <c r="J56" s="16"/>
      <c r="K56" s="16">
        <f t="shared" si="25"/>
        <v>2.23</v>
      </c>
      <c r="L56" s="16"/>
      <c r="M56" s="16">
        <f t="shared" si="26"/>
        <v>5.57</v>
      </c>
      <c r="N56" s="16">
        <f t="shared" si="26"/>
        <v>8.9</v>
      </c>
      <c r="O56" s="16"/>
      <c r="P56" s="16"/>
      <c r="Q56" s="16"/>
      <c r="R56" s="16"/>
      <c r="S56" s="16"/>
      <c r="T56" s="16">
        <f t="shared" si="32"/>
        <v>1.12</v>
      </c>
      <c r="U56" s="16">
        <f t="shared" si="33"/>
        <v>0.93</v>
      </c>
      <c r="V56" s="16"/>
      <c r="W56" s="16">
        <f t="shared" si="27"/>
        <v>0.8</v>
      </c>
      <c r="X56" s="16"/>
      <c r="Y56" s="16"/>
      <c r="Z56" s="16">
        <f t="shared" si="28"/>
        <v>0.19</v>
      </c>
      <c r="AA56" s="16">
        <f t="shared" si="28"/>
        <v>0.22</v>
      </c>
      <c r="AB56" s="16"/>
      <c r="AC56" s="16"/>
      <c r="AD56" s="16"/>
      <c r="AE56" s="16"/>
      <c r="AF56" s="105"/>
      <c r="AG56" s="106"/>
    </row>
    <row r="57" spans="1:33" s="5" customFormat="1" ht="21.75" customHeight="1">
      <c r="A57" s="12">
        <f t="shared" si="0"/>
        <v>45</v>
      </c>
      <c r="B57" s="13">
        <f t="shared" si="29"/>
        <v>41762.45</v>
      </c>
      <c r="C57" s="14">
        <v>41855.68</v>
      </c>
      <c r="D57" s="15" t="s">
        <v>33</v>
      </c>
      <c r="E57" s="16">
        <f t="shared" si="30"/>
        <v>93.2300000000032</v>
      </c>
      <c r="F57" s="17">
        <f>ROUND(AVERAGE(6.271,10),2)</f>
        <v>8.14</v>
      </c>
      <c r="G57" s="18">
        <f>ROUND((4583.662-($F57/2))/4583.662,4)</f>
        <v>0.9991</v>
      </c>
      <c r="H57" s="18">
        <f>ROUND((4583.662-($F57))/4583.662,4)</f>
        <v>0.9982</v>
      </c>
      <c r="I57" s="16">
        <f t="shared" si="31"/>
        <v>758.21</v>
      </c>
      <c r="J57" s="16"/>
      <c r="K57" s="16">
        <f t="shared" si="25"/>
        <v>31.02</v>
      </c>
      <c r="L57" s="16"/>
      <c r="M57" s="16">
        <f t="shared" si="26"/>
        <v>77.55</v>
      </c>
      <c r="N57" s="16">
        <f t="shared" si="26"/>
        <v>124.08</v>
      </c>
      <c r="O57" s="16"/>
      <c r="P57" s="16"/>
      <c r="Q57" s="16"/>
      <c r="R57" s="16"/>
      <c r="S57" s="16"/>
      <c r="T57" s="16">
        <f t="shared" si="32"/>
        <v>20.06</v>
      </c>
      <c r="U57" s="16">
        <f t="shared" si="33"/>
        <v>16.34</v>
      </c>
      <c r="V57" s="16"/>
      <c r="W57" s="16">
        <f t="shared" si="27"/>
        <v>14.56</v>
      </c>
      <c r="X57" s="16"/>
      <c r="Y57" s="16"/>
      <c r="Z57" s="16">
        <f t="shared" si="28"/>
        <v>3.51</v>
      </c>
      <c r="AA57" s="16">
        <f t="shared" si="28"/>
        <v>4.1</v>
      </c>
      <c r="AB57" s="16"/>
      <c r="AC57" s="16"/>
      <c r="AD57" s="16"/>
      <c r="AE57" s="16"/>
      <c r="AF57" s="105"/>
      <c r="AG57" s="106"/>
    </row>
    <row r="58" spans="1:33" s="5" customFormat="1" ht="21.75" customHeight="1">
      <c r="A58" s="12">
        <f t="shared" si="0"/>
        <v>46</v>
      </c>
      <c r="B58" s="13">
        <f t="shared" si="29"/>
        <v>41855.68</v>
      </c>
      <c r="C58" s="14">
        <v>42131.93</v>
      </c>
      <c r="D58" s="15" t="s">
        <v>33</v>
      </c>
      <c r="E58" s="16">
        <f t="shared" si="30"/>
        <v>276.25</v>
      </c>
      <c r="F58" s="17">
        <v>10</v>
      </c>
      <c r="G58" s="18">
        <f>ROUND((4583.662-($F58/2))/4583.662,4)</f>
        <v>0.9989</v>
      </c>
      <c r="H58" s="18">
        <f>ROUND((4583.662-($F58))/4583.662,4)</f>
        <v>0.9978</v>
      </c>
      <c r="I58" s="16">
        <f t="shared" si="31"/>
        <v>2759.46</v>
      </c>
      <c r="J58" s="16"/>
      <c r="K58" s="16">
        <f t="shared" si="25"/>
        <v>91.88</v>
      </c>
      <c r="L58" s="16"/>
      <c r="M58" s="16">
        <f t="shared" si="26"/>
        <v>229.7</v>
      </c>
      <c r="N58" s="16">
        <f t="shared" si="26"/>
        <v>367.52</v>
      </c>
      <c r="O58" s="16"/>
      <c r="P58" s="16"/>
      <c r="Q58" s="16"/>
      <c r="R58" s="16"/>
      <c r="S58" s="16"/>
      <c r="T58" s="16">
        <f t="shared" si="32"/>
        <v>72.1</v>
      </c>
      <c r="U58" s="16">
        <f t="shared" si="33"/>
        <v>57.91</v>
      </c>
      <c r="V58" s="16"/>
      <c r="W58" s="16">
        <f t="shared" si="27"/>
        <v>52.56</v>
      </c>
      <c r="X58" s="16"/>
      <c r="Y58" s="16"/>
      <c r="Z58" s="16">
        <f t="shared" si="28"/>
        <v>12.78</v>
      </c>
      <c r="AA58" s="16">
        <f t="shared" si="28"/>
        <v>14.9</v>
      </c>
      <c r="AB58" s="16"/>
      <c r="AC58" s="16"/>
      <c r="AD58" s="16"/>
      <c r="AE58" s="16"/>
      <c r="AF58" s="105"/>
      <c r="AG58" s="106"/>
    </row>
    <row r="59" spans="1:33" s="5" customFormat="1" ht="21.75" customHeight="1">
      <c r="A59" s="12">
        <f t="shared" si="0"/>
        <v>47</v>
      </c>
      <c r="B59" s="14">
        <f t="shared" si="29"/>
        <v>42131.93</v>
      </c>
      <c r="C59" s="38">
        <v>42136.23</v>
      </c>
      <c r="D59" s="15" t="s">
        <v>33</v>
      </c>
      <c r="E59" s="16">
        <f t="shared" si="30"/>
        <v>4.30000000000291</v>
      </c>
      <c r="F59" s="17">
        <v>10</v>
      </c>
      <c r="G59" s="18">
        <f>ROUND((4583.662-($F59/2))/4583.662,4)</f>
        <v>0.9989</v>
      </c>
      <c r="H59" s="18">
        <f>ROUND((4583.662-($F59))/4583.662,4)</f>
        <v>0.9978</v>
      </c>
      <c r="I59" s="16">
        <f t="shared" si="31"/>
        <v>42.95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>
        <f t="shared" si="32"/>
        <v>1.06</v>
      </c>
      <c r="U59" s="16">
        <f t="shared" si="33"/>
        <v>0.8</v>
      </c>
      <c r="V59" s="16"/>
      <c r="W59" s="16">
        <f t="shared" si="27"/>
        <v>0.79</v>
      </c>
      <c r="X59" s="16"/>
      <c r="Y59" s="16"/>
      <c r="Z59" s="16">
        <f t="shared" si="28"/>
        <v>0.2</v>
      </c>
      <c r="AA59" s="16">
        <f t="shared" si="28"/>
        <v>0.23</v>
      </c>
      <c r="AB59" s="16"/>
      <c r="AC59" s="16"/>
      <c r="AD59" s="16"/>
      <c r="AE59" s="16"/>
      <c r="AF59" s="105"/>
      <c r="AG59" s="106"/>
    </row>
    <row r="60" spans="1:33" s="5" customFormat="1" ht="21.75" customHeight="1">
      <c r="A60" s="12">
        <f t="shared" si="0"/>
        <v>48</v>
      </c>
      <c r="B60" s="13"/>
      <c r="C60" s="14"/>
      <c r="D60" s="15"/>
      <c r="E60" s="16"/>
      <c r="F60" s="17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05"/>
      <c r="AG60" s="106"/>
    </row>
    <row r="61" spans="1:33" s="5" customFormat="1" ht="21.75" customHeight="1">
      <c r="A61" s="12">
        <f t="shared" si="0"/>
        <v>49</v>
      </c>
      <c r="B61" s="13">
        <v>40631.21</v>
      </c>
      <c r="C61" s="14">
        <v>40701.68</v>
      </c>
      <c r="D61" s="15" t="s">
        <v>28</v>
      </c>
      <c r="E61" s="16">
        <f>C61-B61</f>
        <v>70.47000000000116</v>
      </c>
      <c r="F61" s="80" t="s">
        <v>31</v>
      </c>
      <c r="G61" s="81"/>
      <c r="H61" s="81"/>
      <c r="I61" s="82"/>
      <c r="J61" s="16">
        <v>216.8</v>
      </c>
      <c r="K61" s="16">
        <f>IF($H61=0,ROUND($E61*(K$72/12),2),ROUND($E61*(K$72/12)*$H61,2))</f>
        <v>23.49</v>
      </c>
      <c r="L61" s="16"/>
      <c r="M61" s="16">
        <f aca="true" t="shared" si="34" ref="M61:N65">IF($H61=0,ROUND($E61*(M$72/12),2),ROUND($E61*(M$72/12)*$H61,2))</f>
        <v>58.73</v>
      </c>
      <c r="N61" s="16">
        <f t="shared" si="34"/>
        <v>93.96</v>
      </c>
      <c r="O61" s="16"/>
      <c r="P61" s="16"/>
      <c r="Q61" s="16"/>
      <c r="R61" s="16"/>
      <c r="S61" s="16"/>
      <c r="T61" s="16">
        <f>ROUND(((($I61+$J61)*(T$72/12)+($K61)*(T$73/12)+($M61)*(T$73/12))/27),2)</f>
        <v>6.37</v>
      </c>
      <c r="U61" s="16">
        <f t="shared" si="33"/>
        <v>5.75</v>
      </c>
      <c r="V61" s="16"/>
      <c r="W61" s="16">
        <f>ROUND(((($I61+$J61)/9)*$W$72)+((($I61+$J61+$K61)/9)*$W$72)+((($I61+$J61+$M61)/9)*$W$72),2)</f>
        <v>4.48</v>
      </c>
      <c r="X61" s="16"/>
      <c r="Y61" s="16"/>
      <c r="Z61" s="16">
        <f t="shared" si="28"/>
        <v>1</v>
      </c>
      <c r="AA61" s="16">
        <f t="shared" si="28"/>
        <v>1.17</v>
      </c>
      <c r="AB61" s="16"/>
      <c r="AC61" s="16"/>
      <c r="AD61" s="16"/>
      <c r="AE61" s="16"/>
      <c r="AF61" s="105"/>
      <c r="AG61" s="106"/>
    </row>
    <row r="62" spans="1:33" s="24" customFormat="1" ht="21.75" customHeight="1">
      <c r="A62" s="12">
        <f t="shared" si="0"/>
        <v>50</v>
      </c>
      <c r="B62" s="13">
        <f>C61</f>
        <v>40701.68</v>
      </c>
      <c r="C62" s="14">
        <v>40850.17</v>
      </c>
      <c r="D62" s="15" t="s">
        <v>28</v>
      </c>
      <c r="E62" s="16">
        <f>C62-B62</f>
        <v>148.48999999999796</v>
      </c>
      <c r="F62" s="17">
        <v>3</v>
      </c>
      <c r="G62" s="18">
        <f>ROUND((487.624+16+($F62/2))/487.624,4)</f>
        <v>1.0359</v>
      </c>
      <c r="H62" s="18">
        <f>ROUND((487.624+16+($F62))/487.624,4)</f>
        <v>1.039</v>
      </c>
      <c r="I62" s="16">
        <f>IF(G62=0,ROUND($E62*$F62,2),ROUND($E62*$F62*$G62,2))</f>
        <v>461.46</v>
      </c>
      <c r="J62" s="16"/>
      <c r="K62" s="16">
        <f>IF($H62=0,ROUND($E62*(K$72/12),2),ROUND($E62*(K$72/12)*$H62,2))</f>
        <v>51.43</v>
      </c>
      <c r="L62" s="16"/>
      <c r="M62" s="16">
        <f t="shared" si="34"/>
        <v>128.57</v>
      </c>
      <c r="N62" s="16">
        <f t="shared" si="34"/>
        <v>205.71</v>
      </c>
      <c r="O62" s="16"/>
      <c r="P62" s="16"/>
      <c r="Q62" s="16"/>
      <c r="R62" s="16"/>
      <c r="S62" s="16"/>
      <c r="T62" s="16">
        <f>ROUND(((($I62+$J62)*(T$72/12)+($K62)*(T$73/12)+($M62)*(T$73/12))/27),2)</f>
        <v>13.62</v>
      </c>
      <c r="U62" s="16">
        <f t="shared" si="33"/>
        <v>12.36</v>
      </c>
      <c r="V62" s="16"/>
      <c r="W62" s="16">
        <f>ROUND(((($I62+$J62)/9)*$W$72)+((($I62+$J62+$K62)/9)*$W$72)+((($I62+$J62+$M62)/9)*$W$72),2)</f>
        <v>9.56</v>
      </c>
      <c r="X62" s="16"/>
      <c r="Y62" s="16"/>
      <c r="Z62" s="16">
        <f t="shared" si="28"/>
        <v>2.14</v>
      </c>
      <c r="AA62" s="16">
        <f t="shared" si="28"/>
        <v>2.49</v>
      </c>
      <c r="AB62" s="16"/>
      <c r="AC62" s="16"/>
      <c r="AD62" s="16"/>
      <c r="AE62" s="16"/>
      <c r="AF62" s="105"/>
      <c r="AG62" s="106"/>
    </row>
    <row r="63" spans="1:33" s="24" customFormat="1" ht="21.75" customHeight="1">
      <c r="A63" s="12">
        <f t="shared" si="0"/>
        <v>51</v>
      </c>
      <c r="B63" s="13">
        <f>C62</f>
        <v>40850.17</v>
      </c>
      <c r="C63" s="14">
        <v>41562.45</v>
      </c>
      <c r="D63" s="15" t="s">
        <v>28</v>
      </c>
      <c r="E63" s="16">
        <f>C63-B63</f>
        <v>712.2799999999988</v>
      </c>
      <c r="F63" s="17">
        <v>3</v>
      </c>
      <c r="G63" s="18">
        <f>ROUND((238.732+16+($F63/2))/238.732,4)</f>
        <v>1.0733</v>
      </c>
      <c r="H63" s="18">
        <f>ROUND((238.732+16+($F63))/238.732,4)</f>
        <v>1.0796</v>
      </c>
      <c r="I63" s="16">
        <f>IF(G63=0,ROUND($E63*$F63,2),ROUND($E63*$F63*$G63,2))</f>
        <v>2293.47</v>
      </c>
      <c r="J63" s="16"/>
      <c r="K63" s="16">
        <f>IF($H63=0,ROUND($E63*(K$72/12),2),ROUND($E63*(K$72/12)*$H63,2))</f>
        <v>256.33</v>
      </c>
      <c r="L63" s="16"/>
      <c r="M63" s="16">
        <f t="shared" si="34"/>
        <v>640.81</v>
      </c>
      <c r="N63" s="16">
        <f t="shared" si="34"/>
        <v>1025.3</v>
      </c>
      <c r="O63" s="16"/>
      <c r="P63" s="16"/>
      <c r="Q63" s="16"/>
      <c r="R63" s="16"/>
      <c r="S63" s="16"/>
      <c r="T63" s="16">
        <f>ROUND(((($I63+$J63)*(T$72/12)+($K63)*(T$73/12)+($M63)*(T$73/12))/27),2)</f>
        <v>67.7</v>
      </c>
      <c r="U63" s="16">
        <f t="shared" si="33"/>
        <v>61.46</v>
      </c>
      <c r="V63" s="16"/>
      <c r="W63" s="16">
        <f>ROUND(((($I63+$J63)/9)*$W$72)+((($I63+$J63+$K63)/9)*$W$72)+((($I63+$J63+$M63)/9)*$W$72),2)</f>
        <v>47.53</v>
      </c>
      <c r="X63" s="16"/>
      <c r="Y63" s="16"/>
      <c r="Z63" s="16">
        <f t="shared" si="28"/>
        <v>10.62</v>
      </c>
      <c r="AA63" s="16">
        <f t="shared" si="28"/>
        <v>12.39</v>
      </c>
      <c r="AB63" s="16"/>
      <c r="AC63" s="16"/>
      <c r="AD63" s="16"/>
      <c r="AE63" s="16"/>
      <c r="AF63" s="105"/>
      <c r="AG63" s="106"/>
    </row>
    <row r="64" spans="1:33" s="24" customFormat="1" ht="21.75" customHeight="1">
      <c r="A64" s="12">
        <f t="shared" si="0"/>
        <v>52</v>
      </c>
      <c r="B64" s="13">
        <f>C63</f>
        <v>41562.45</v>
      </c>
      <c r="C64" s="14">
        <v>41762.45</v>
      </c>
      <c r="D64" s="15" t="s">
        <v>28</v>
      </c>
      <c r="E64" s="16">
        <f>C64-B64</f>
        <v>200</v>
      </c>
      <c r="F64" s="17">
        <v>3</v>
      </c>
      <c r="G64" s="18">
        <f>ROUND((((238.732+16+($F64/2))/238.732)+((4583.662+16+($F64/2))/4583.662))/2,4)</f>
        <v>1.0386</v>
      </c>
      <c r="H64" s="18">
        <f>ROUND((((238.732+16+($F64))/238.732)+((4583.662+16+($F64))/4583.662))/2,4)</f>
        <v>1.0419</v>
      </c>
      <c r="I64" s="16">
        <f>IF(G64=0,ROUND($E64*$F64,2),ROUND($E64*$F64*$G64,2))</f>
        <v>623.16</v>
      </c>
      <c r="J64" s="16"/>
      <c r="K64" s="16">
        <f>IF($H64=0,ROUND($E64*(K$72/12),2),ROUND($E64*(K$72/12)*$H64,2))</f>
        <v>69.46</v>
      </c>
      <c r="L64" s="16"/>
      <c r="M64" s="16">
        <f t="shared" si="34"/>
        <v>173.65</v>
      </c>
      <c r="N64" s="16">
        <f t="shared" si="34"/>
        <v>277.84</v>
      </c>
      <c r="O64" s="16"/>
      <c r="P64" s="16"/>
      <c r="Q64" s="16"/>
      <c r="R64" s="16"/>
      <c r="S64" s="16"/>
      <c r="T64" s="16">
        <f>ROUND(((($I64+$J64)*(T$72/12)+($K64)*(T$73/12)+($M64)*(T$73/12))/27),2)</f>
        <v>18.39</v>
      </c>
      <c r="U64" s="16">
        <f>ROUND(((($I64+$J64+$N64+$O64+$P64+$Q64)*(U$72/12))/27),2)</f>
        <v>16.69</v>
      </c>
      <c r="V64" s="16"/>
      <c r="W64" s="16">
        <f>ROUND(((($I64+$J64)/9)*$W$72)+((($I64+$J64+$K64)/9)*$W$72)+((($I64+$J64+$M64)/9)*$W$72),2)</f>
        <v>12.91</v>
      </c>
      <c r="X64" s="16"/>
      <c r="Y64" s="16"/>
      <c r="Z64" s="16">
        <f t="shared" si="28"/>
        <v>2.89</v>
      </c>
      <c r="AA64" s="16">
        <f t="shared" si="28"/>
        <v>3.37</v>
      </c>
      <c r="AB64" s="16"/>
      <c r="AC64" s="16"/>
      <c r="AD64" s="16"/>
      <c r="AE64" s="16"/>
      <c r="AF64" s="112"/>
      <c r="AG64" s="106"/>
    </row>
    <row r="65" spans="1:33" s="24" customFormat="1" ht="21.75" customHeight="1">
      <c r="A65" s="12">
        <f t="shared" si="0"/>
        <v>53</v>
      </c>
      <c r="B65" s="13">
        <f>C64</f>
        <v>41762.45</v>
      </c>
      <c r="C65" s="14">
        <v>41855.99</v>
      </c>
      <c r="D65" s="15" t="s">
        <v>28</v>
      </c>
      <c r="E65" s="16">
        <f>C65-B65</f>
        <v>93.54000000000087</v>
      </c>
      <c r="F65" s="80" t="s">
        <v>31</v>
      </c>
      <c r="G65" s="81"/>
      <c r="H65" s="81"/>
      <c r="I65" s="82"/>
      <c r="J65" s="16">
        <v>281.22</v>
      </c>
      <c r="K65" s="16">
        <f>IF($H65=0,ROUND($E65*(K$72/12),2),ROUND($E65*(K$72/12)*$H65,2))</f>
        <v>31.18</v>
      </c>
      <c r="L65" s="16"/>
      <c r="M65" s="16">
        <f t="shared" si="34"/>
        <v>77.95</v>
      </c>
      <c r="N65" s="16">
        <f t="shared" si="34"/>
        <v>124.72</v>
      </c>
      <c r="O65" s="16"/>
      <c r="P65" s="16"/>
      <c r="Q65" s="16"/>
      <c r="R65" s="16"/>
      <c r="S65" s="16"/>
      <c r="T65" s="16">
        <f>ROUND(((($I65+$J65)*(T$72/12)+($K65)*(T$73/12)+($M65)*(T$73/12))/27),2)</f>
        <v>8.29</v>
      </c>
      <c r="U65" s="16">
        <f>ROUND(((($I65+$J65+$N65+$O65+$P65+$Q65)*(U$72/12))/27),2)</f>
        <v>7.52</v>
      </c>
      <c r="V65" s="16"/>
      <c r="W65" s="16">
        <f>ROUND(((($I65+$J65)/9)*$W$72)+((($I65+$J65+$K65)/9)*$W$72)+((($I65+$J65+$M65)/9)*$W$72),2)</f>
        <v>5.82</v>
      </c>
      <c r="X65" s="16"/>
      <c r="Y65" s="16"/>
      <c r="Z65" s="16">
        <f t="shared" si="28"/>
        <v>1.3</v>
      </c>
      <c r="AA65" s="16">
        <f t="shared" si="28"/>
        <v>1.52</v>
      </c>
      <c r="AB65" s="16"/>
      <c r="AC65" s="16"/>
      <c r="AD65" s="16"/>
      <c r="AE65" s="16"/>
      <c r="AF65" s="112"/>
      <c r="AG65" s="106"/>
    </row>
    <row r="66" spans="1:33" s="24" customFormat="1" ht="21.75" customHeight="1" thickBot="1">
      <c r="A66" s="12">
        <f t="shared" si="0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13"/>
      <c r="AG66" s="108"/>
    </row>
    <row r="67" spans="2:33" s="25" customFormat="1" ht="46.5" customHeight="1">
      <c r="B67" s="93" t="s">
        <v>8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5"/>
      <c r="S67" s="110" t="str">
        <f>IF(SUM(S13:S66)=0," ",ROUNDUP(SUM(S13:S66),0))</f>
        <v> </v>
      </c>
      <c r="T67" s="110">
        <f aca="true" t="shared" si="35" ref="T67:AE67">IF(SUM(T13:T66)=0," ",ROUNDUP(SUM(T13:T66),0))</f>
        <v>2129</v>
      </c>
      <c r="U67" s="110">
        <f t="shared" si="35"/>
        <v>1673</v>
      </c>
      <c r="V67" s="110" t="str">
        <f t="shared" si="35"/>
        <v> </v>
      </c>
      <c r="W67" s="110">
        <f t="shared" si="35"/>
        <v>1561</v>
      </c>
      <c r="X67" s="110" t="str">
        <f t="shared" si="35"/>
        <v> </v>
      </c>
      <c r="Y67" s="110" t="str">
        <f t="shared" si="35"/>
        <v> </v>
      </c>
      <c r="Z67" s="110">
        <f t="shared" si="35"/>
        <v>385</v>
      </c>
      <c r="AA67" s="110">
        <f t="shared" si="35"/>
        <v>449</v>
      </c>
      <c r="AB67" s="110">
        <f t="shared" si="35"/>
        <v>532</v>
      </c>
      <c r="AC67" s="110" t="str">
        <f t="shared" si="35"/>
        <v> </v>
      </c>
      <c r="AD67" s="110" t="str">
        <f t="shared" si="35"/>
        <v> </v>
      </c>
      <c r="AE67" s="110" t="str">
        <f t="shared" si="35"/>
        <v> </v>
      </c>
      <c r="AF67" s="120">
        <v>8</v>
      </c>
      <c r="AG67" s="121"/>
    </row>
    <row r="68" spans="2:33" s="25" customFormat="1" ht="46.5" customHeight="1" thickBot="1"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8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4">
        <v>15</v>
      </c>
      <c r="AG68" s="115"/>
    </row>
    <row r="69" spans="1:34" ht="36" customHeight="1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U69" s="27"/>
      <c r="V69" s="27"/>
      <c r="W69" s="1"/>
      <c r="X69" s="27"/>
      <c r="Y69" s="27"/>
      <c r="Z69" s="27"/>
      <c r="AA69" s="27"/>
      <c r="AB69" s="27"/>
      <c r="AF69" s="27"/>
      <c r="AG69" s="27"/>
      <c r="AH69" s="28"/>
    </row>
    <row r="70" spans="2:33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U70" s="27"/>
      <c r="V70" s="27"/>
      <c r="W70" s="1"/>
      <c r="X70" s="27"/>
      <c r="Y70" s="27"/>
      <c r="Z70" s="27"/>
      <c r="AA70" s="27"/>
      <c r="AB70" s="27"/>
      <c r="AF70" s="27"/>
      <c r="AG70" s="27"/>
    </row>
    <row r="71" spans="2:33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U71" s="27"/>
      <c r="V71" s="27"/>
      <c r="W71" s="1"/>
      <c r="X71" s="27"/>
      <c r="Y71" s="27"/>
      <c r="Z71" s="27"/>
      <c r="AA71" s="27"/>
      <c r="AB71" s="27"/>
      <c r="AF71" s="27"/>
      <c r="AG71" s="27"/>
    </row>
    <row r="72" spans="2:33" ht="15.75">
      <c r="B72" s="60" t="s">
        <v>34</v>
      </c>
      <c r="C72" s="61"/>
      <c r="D72" s="61"/>
      <c r="E72" s="61"/>
      <c r="F72" s="61"/>
      <c r="G72" s="62"/>
      <c r="H72" s="44"/>
      <c r="I72" s="42"/>
      <c r="J72" s="42"/>
      <c r="K72" s="42">
        <v>4</v>
      </c>
      <c r="L72" s="42">
        <v>6</v>
      </c>
      <c r="M72" s="42">
        <v>10</v>
      </c>
      <c r="N72" s="42">
        <v>16</v>
      </c>
      <c r="O72" s="42">
        <v>18</v>
      </c>
      <c r="P72" s="42">
        <v>20</v>
      </c>
      <c r="Q72" s="42">
        <v>22</v>
      </c>
      <c r="R72" s="42">
        <v>22.875</v>
      </c>
      <c r="S72" s="42"/>
      <c r="T72" s="42">
        <v>8</v>
      </c>
      <c r="U72" s="43">
        <v>6</v>
      </c>
      <c r="V72" s="44"/>
      <c r="W72" s="44">
        <v>0.055</v>
      </c>
      <c r="X72" s="44"/>
      <c r="Y72" s="43"/>
      <c r="Z72" s="43">
        <v>1.5</v>
      </c>
      <c r="AA72" s="43">
        <v>1.75</v>
      </c>
      <c r="AB72" s="43"/>
      <c r="AC72" s="43"/>
      <c r="AD72" s="43"/>
      <c r="AF72" s="27"/>
      <c r="AG72" s="27"/>
    </row>
    <row r="73" spans="2:33" ht="1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3"/>
      <c r="S73" s="23"/>
      <c r="T73" s="23">
        <f>T72/2</f>
        <v>4</v>
      </c>
      <c r="V73" s="42"/>
      <c r="W73" s="1"/>
      <c r="X73" s="45"/>
      <c r="Y73" s="27"/>
      <c r="Z73" s="27"/>
      <c r="AA73" s="27"/>
      <c r="AB73" s="27"/>
      <c r="AF73" s="27"/>
      <c r="AG73" s="27"/>
    </row>
    <row r="74" spans="2:33" ht="15">
      <c r="B74" s="27"/>
      <c r="C74" s="29"/>
      <c r="D74" s="27"/>
      <c r="E74" s="27"/>
      <c r="F74" s="27"/>
      <c r="G74" s="27"/>
      <c r="H74" s="30"/>
      <c r="I74" s="27"/>
      <c r="J74" s="27"/>
      <c r="K74" s="92"/>
      <c r="L74" s="124"/>
      <c r="M74" s="124"/>
      <c r="N74" s="124"/>
      <c r="O74" s="124"/>
      <c r="P74" s="124"/>
      <c r="Q74" s="124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27"/>
      <c r="AG74" s="27"/>
    </row>
  </sheetData>
  <sheetProtection/>
  <mergeCells count="56">
    <mergeCell ref="AF68:AG68"/>
    <mergeCell ref="Y67:Y68"/>
    <mergeCell ref="Z67:Z68"/>
    <mergeCell ref="AF51:AG66"/>
    <mergeCell ref="AF6:AG50"/>
    <mergeCell ref="X67:X68"/>
    <mergeCell ref="AD67:AD68"/>
    <mergeCell ref="AE67:AE68"/>
    <mergeCell ref="AB4:AB11"/>
    <mergeCell ref="AC67:AC68"/>
    <mergeCell ref="U67:U68"/>
    <mergeCell ref="V67:V68"/>
    <mergeCell ref="W67:W68"/>
    <mergeCell ref="B67:R68"/>
    <mergeCell ref="Z4:Z11"/>
    <mergeCell ref="H3:H11"/>
    <mergeCell ref="F65:I65"/>
    <mergeCell ref="I3:I11"/>
    <mergeCell ref="J3:J11"/>
    <mergeCell ref="O3:O11"/>
    <mergeCell ref="K74:Q74"/>
    <mergeCell ref="AA67:AA68"/>
    <mergeCell ref="AB67:AB68"/>
    <mergeCell ref="X4:X11"/>
    <mergeCell ref="Y4:Y11"/>
    <mergeCell ref="Q3:Q11"/>
    <mergeCell ref="K3:K11"/>
    <mergeCell ref="L3:L11"/>
    <mergeCell ref="T67:T68"/>
    <mergeCell ref="P3:P11"/>
    <mergeCell ref="AF67:AG67"/>
    <mergeCell ref="AC4:AC11"/>
    <mergeCell ref="AD4:AD11"/>
    <mergeCell ref="AE4:AE11"/>
    <mergeCell ref="B14:I14"/>
    <mergeCell ref="W4:W11"/>
    <mergeCell ref="R3:R11"/>
    <mergeCell ref="M3:M11"/>
    <mergeCell ref="N3:N11"/>
    <mergeCell ref="S67:S68"/>
    <mergeCell ref="AF3:AF5"/>
    <mergeCell ref="AG3:AG5"/>
    <mergeCell ref="S4:S11"/>
    <mergeCell ref="T4:T11"/>
    <mergeCell ref="U4:U11"/>
    <mergeCell ref="V4:V11"/>
    <mergeCell ref="AA4:AA11"/>
    <mergeCell ref="D3:D11"/>
    <mergeCell ref="E3:E11"/>
    <mergeCell ref="F3:F11"/>
    <mergeCell ref="B3:C11"/>
    <mergeCell ref="F61:I61"/>
    <mergeCell ref="F49:I49"/>
    <mergeCell ref="G3:G11"/>
    <mergeCell ref="F35:I35"/>
    <mergeCell ref="B42:I42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AA4" sqref="AA4:AA11"/>
    </sheetView>
  </sheetViews>
  <sheetFormatPr defaultColWidth="9.140625" defaultRowHeight="12.75"/>
  <cols>
    <col min="1" max="3" width="24.7109375" style="1" customWidth="1"/>
    <col min="4" max="22" width="15.7109375" style="1" customWidth="1"/>
    <col min="23" max="23" width="15.7109375" style="46" customWidth="1"/>
    <col min="24" max="31" width="15.7109375" style="1" customWidth="1"/>
    <col min="32" max="34" width="6.7109375" style="1" customWidth="1"/>
    <col min="35" max="16384" width="9.140625" style="1" customWidth="1"/>
  </cols>
  <sheetData>
    <row r="1" spans="8:27" ht="12.75">
      <c r="H1" s="48"/>
      <c r="S1" s="48"/>
      <c r="T1" s="48"/>
      <c r="U1" s="48"/>
      <c r="V1" s="48"/>
      <c r="W1" s="49"/>
      <c r="X1" s="48"/>
      <c r="Z1" s="48"/>
      <c r="AA1" s="48"/>
    </row>
    <row r="2" spans="1:34" s="4" customFormat="1" ht="36" customHeight="1" thickBot="1">
      <c r="A2" s="2"/>
      <c r="B2" s="31" t="s">
        <v>14</v>
      </c>
      <c r="C2" s="32"/>
      <c r="D2" s="33"/>
      <c r="E2" s="33"/>
      <c r="F2" s="33"/>
      <c r="G2" s="33"/>
      <c r="H2" s="50"/>
      <c r="I2" s="34"/>
      <c r="J2" s="33"/>
      <c r="K2" s="33"/>
      <c r="L2" s="33"/>
      <c r="M2" s="33"/>
      <c r="N2" s="33"/>
      <c r="O2" s="33"/>
      <c r="P2" s="33"/>
      <c r="Q2" s="34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47"/>
      <c r="AH2" s="3"/>
    </row>
    <row r="3" spans="2:34" s="5" customFormat="1" ht="21.75" customHeight="1">
      <c r="B3" s="93" t="s">
        <v>0</v>
      </c>
      <c r="C3" s="95"/>
      <c r="D3" s="89" t="s">
        <v>3</v>
      </c>
      <c r="E3" s="89" t="s">
        <v>4</v>
      </c>
      <c r="F3" s="89" t="s">
        <v>5</v>
      </c>
      <c r="G3" s="86" t="s">
        <v>12</v>
      </c>
      <c r="H3" s="86" t="s">
        <v>94</v>
      </c>
      <c r="I3" s="89" t="s">
        <v>6</v>
      </c>
      <c r="J3" s="86" t="s">
        <v>10</v>
      </c>
      <c r="K3" s="86" t="s">
        <v>15</v>
      </c>
      <c r="L3" s="86" t="s">
        <v>16</v>
      </c>
      <c r="M3" s="86" t="s">
        <v>17</v>
      </c>
      <c r="N3" s="86" t="s">
        <v>18</v>
      </c>
      <c r="O3" s="86" t="s">
        <v>19</v>
      </c>
      <c r="P3" s="86" t="s">
        <v>20</v>
      </c>
      <c r="Q3" s="86" t="s">
        <v>21</v>
      </c>
      <c r="R3" s="86" t="s">
        <v>84</v>
      </c>
      <c r="S3" s="35"/>
      <c r="T3" s="35">
        <v>302</v>
      </c>
      <c r="U3" s="35">
        <v>304</v>
      </c>
      <c r="V3" s="35"/>
      <c r="W3" s="35">
        <v>407</v>
      </c>
      <c r="X3" s="35"/>
      <c r="Y3" s="35"/>
      <c r="Z3" s="35">
        <v>442</v>
      </c>
      <c r="AA3" s="35">
        <v>442</v>
      </c>
      <c r="AB3" s="35">
        <v>442</v>
      </c>
      <c r="AC3" s="35"/>
      <c r="AD3" s="36">
        <v>609</v>
      </c>
      <c r="AE3" s="36"/>
      <c r="AF3" s="116" t="s">
        <v>11</v>
      </c>
      <c r="AG3" s="116" t="s">
        <v>13</v>
      </c>
      <c r="AH3" s="6"/>
    </row>
    <row r="4" spans="2:34" s="5" customFormat="1" ht="27.75" customHeight="1">
      <c r="B4" s="99"/>
      <c r="C4" s="100"/>
      <c r="D4" s="90"/>
      <c r="E4" s="90"/>
      <c r="F4" s="90"/>
      <c r="G4" s="87"/>
      <c r="H4" s="87"/>
      <c r="I4" s="90"/>
      <c r="J4" s="122"/>
      <c r="K4" s="122"/>
      <c r="L4" s="87"/>
      <c r="M4" s="87"/>
      <c r="N4" s="87"/>
      <c r="O4" s="87"/>
      <c r="P4" s="87"/>
      <c r="Q4" s="87"/>
      <c r="R4" s="87"/>
      <c r="S4" s="83"/>
      <c r="T4" s="83" t="s">
        <v>22</v>
      </c>
      <c r="U4" s="83" t="s">
        <v>96</v>
      </c>
      <c r="V4" s="83"/>
      <c r="W4" s="83" t="s">
        <v>82</v>
      </c>
      <c r="X4" s="83"/>
      <c r="Y4" s="109"/>
      <c r="Z4" s="83" t="s">
        <v>83</v>
      </c>
      <c r="AA4" s="109" t="s">
        <v>97</v>
      </c>
      <c r="AB4" s="109" t="s">
        <v>23</v>
      </c>
      <c r="AC4" s="83"/>
      <c r="AD4" s="109" t="s">
        <v>95</v>
      </c>
      <c r="AE4" s="109"/>
      <c r="AF4" s="117"/>
      <c r="AG4" s="119"/>
      <c r="AH4" s="7"/>
    </row>
    <row r="5" spans="2:33" s="5" customFormat="1" ht="27.75" customHeight="1" thickBot="1">
      <c r="B5" s="99"/>
      <c r="C5" s="100"/>
      <c r="D5" s="90"/>
      <c r="E5" s="90"/>
      <c r="F5" s="90"/>
      <c r="G5" s="87"/>
      <c r="H5" s="87"/>
      <c r="I5" s="90"/>
      <c r="J5" s="122"/>
      <c r="K5" s="122"/>
      <c r="L5" s="87"/>
      <c r="M5" s="87"/>
      <c r="N5" s="87"/>
      <c r="O5" s="87"/>
      <c r="P5" s="87"/>
      <c r="Q5" s="87"/>
      <c r="R5" s="87"/>
      <c r="S5" s="84"/>
      <c r="T5" s="84"/>
      <c r="U5" s="84"/>
      <c r="V5" s="84"/>
      <c r="W5" s="84"/>
      <c r="X5" s="84"/>
      <c r="Y5" s="87"/>
      <c r="Z5" s="84"/>
      <c r="AA5" s="87"/>
      <c r="AB5" s="87"/>
      <c r="AC5" s="84"/>
      <c r="AD5" s="87"/>
      <c r="AE5" s="87"/>
      <c r="AF5" s="118"/>
      <c r="AG5" s="119"/>
    </row>
    <row r="6" spans="2:33" s="5" customFormat="1" ht="27.75" customHeight="1">
      <c r="B6" s="99"/>
      <c r="C6" s="100"/>
      <c r="D6" s="90"/>
      <c r="E6" s="90"/>
      <c r="F6" s="90"/>
      <c r="G6" s="87"/>
      <c r="H6" s="87"/>
      <c r="I6" s="90"/>
      <c r="J6" s="122"/>
      <c r="K6" s="122"/>
      <c r="L6" s="87"/>
      <c r="M6" s="87"/>
      <c r="N6" s="87"/>
      <c r="O6" s="87"/>
      <c r="P6" s="87"/>
      <c r="Q6" s="87"/>
      <c r="R6" s="87"/>
      <c r="S6" s="84"/>
      <c r="T6" s="84"/>
      <c r="U6" s="84"/>
      <c r="V6" s="84"/>
      <c r="W6" s="84"/>
      <c r="X6" s="84"/>
      <c r="Y6" s="87"/>
      <c r="Z6" s="84"/>
      <c r="AA6" s="87"/>
      <c r="AB6" s="87"/>
      <c r="AC6" s="84"/>
      <c r="AD6" s="87"/>
      <c r="AE6" s="87"/>
      <c r="AF6" s="103" t="s">
        <v>81</v>
      </c>
      <c r="AG6" s="104"/>
    </row>
    <row r="7" spans="2:33" s="5" customFormat="1" ht="27.75" customHeight="1">
      <c r="B7" s="99"/>
      <c r="C7" s="100"/>
      <c r="D7" s="90"/>
      <c r="E7" s="90"/>
      <c r="F7" s="90"/>
      <c r="G7" s="87"/>
      <c r="H7" s="87"/>
      <c r="I7" s="90"/>
      <c r="J7" s="122"/>
      <c r="K7" s="122"/>
      <c r="L7" s="87"/>
      <c r="M7" s="87"/>
      <c r="N7" s="87"/>
      <c r="O7" s="87"/>
      <c r="P7" s="87"/>
      <c r="Q7" s="87"/>
      <c r="R7" s="87"/>
      <c r="S7" s="84"/>
      <c r="T7" s="84"/>
      <c r="U7" s="84"/>
      <c r="V7" s="84"/>
      <c r="W7" s="84"/>
      <c r="X7" s="84"/>
      <c r="Y7" s="87"/>
      <c r="Z7" s="84"/>
      <c r="AA7" s="87"/>
      <c r="AB7" s="87"/>
      <c r="AC7" s="84"/>
      <c r="AD7" s="87"/>
      <c r="AE7" s="87"/>
      <c r="AF7" s="105"/>
      <c r="AG7" s="106"/>
    </row>
    <row r="8" spans="2:33" s="5" customFormat="1" ht="27.75" customHeight="1">
      <c r="B8" s="99"/>
      <c r="C8" s="100"/>
      <c r="D8" s="90"/>
      <c r="E8" s="90"/>
      <c r="F8" s="90"/>
      <c r="G8" s="87"/>
      <c r="H8" s="87"/>
      <c r="I8" s="90"/>
      <c r="J8" s="122"/>
      <c r="K8" s="122"/>
      <c r="L8" s="87"/>
      <c r="M8" s="87"/>
      <c r="N8" s="87"/>
      <c r="O8" s="87"/>
      <c r="P8" s="87"/>
      <c r="Q8" s="87"/>
      <c r="R8" s="87"/>
      <c r="S8" s="84"/>
      <c r="T8" s="84"/>
      <c r="U8" s="84"/>
      <c r="V8" s="84"/>
      <c r="W8" s="84"/>
      <c r="X8" s="84"/>
      <c r="Y8" s="87"/>
      <c r="Z8" s="84"/>
      <c r="AA8" s="87"/>
      <c r="AB8" s="87"/>
      <c r="AC8" s="84"/>
      <c r="AD8" s="87"/>
      <c r="AE8" s="87"/>
      <c r="AF8" s="105"/>
      <c r="AG8" s="106"/>
    </row>
    <row r="9" spans="2:33" s="5" customFormat="1" ht="27.75" customHeight="1">
      <c r="B9" s="99"/>
      <c r="C9" s="100"/>
      <c r="D9" s="90"/>
      <c r="E9" s="90"/>
      <c r="F9" s="90"/>
      <c r="G9" s="87"/>
      <c r="H9" s="87"/>
      <c r="I9" s="90"/>
      <c r="J9" s="122"/>
      <c r="K9" s="122"/>
      <c r="L9" s="87"/>
      <c r="M9" s="87"/>
      <c r="N9" s="87"/>
      <c r="O9" s="87"/>
      <c r="P9" s="87"/>
      <c r="Q9" s="87"/>
      <c r="R9" s="87"/>
      <c r="S9" s="84"/>
      <c r="T9" s="84"/>
      <c r="U9" s="84"/>
      <c r="V9" s="84"/>
      <c r="W9" s="84"/>
      <c r="X9" s="84"/>
      <c r="Y9" s="87"/>
      <c r="Z9" s="84"/>
      <c r="AA9" s="87"/>
      <c r="AB9" s="87"/>
      <c r="AC9" s="84"/>
      <c r="AD9" s="87"/>
      <c r="AE9" s="87"/>
      <c r="AF9" s="105"/>
      <c r="AG9" s="106"/>
    </row>
    <row r="10" spans="2:33" s="5" customFormat="1" ht="27.75" customHeight="1">
      <c r="B10" s="99"/>
      <c r="C10" s="100"/>
      <c r="D10" s="90"/>
      <c r="E10" s="90"/>
      <c r="F10" s="90"/>
      <c r="G10" s="87"/>
      <c r="H10" s="87"/>
      <c r="I10" s="90"/>
      <c r="J10" s="122"/>
      <c r="K10" s="122"/>
      <c r="L10" s="87"/>
      <c r="M10" s="87"/>
      <c r="N10" s="87"/>
      <c r="O10" s="87"/>
      <c r="P10" s="87"/>
      <c r="Q10" s="87"/>
      <c r="R10" s="87"/>
      <c r="S10" s="84"/>
      <c r="T10" s="84"/>
      <c r="U10" s="84"/>
      <c r="V10" s="84"/>
      <c r="W10" s="84"/>
      <c r="X10" s="84"/>
      <c r="Y10" s="87"/>
      <c r="Z10" s="84"/>
      <c r="AA10" s="87"/>
      <c r="AB10" s="87"/>
      <c r="AC10" s="84"/>
      <c r="AD10" s="87"/>
      <c r="AE10" s="87"/>
      <c r="AF10" s="105"/>
      <c r="AG10" s="106"/>
    </row>
    <row r="11" spans="2:33" s="8" customFormat="1" ht="27.75" customHeight="1">
      <c r="B11" s="101"/>
      <c r="C11" s="102"/>
      <c r="D11" s="91"/>
      <c r="E11" s="91"/>
      <c r="F11" s="91"/>
      <c r="G11" s="88"/>
      <c r="H11" s="88"/>
      <c r="I11" s="91"/>
      <c r="J11" s="123"/>
      <c r="K11" s="123"/>
      <c r="L11" s="88"/>
      <c r="M11" s="88"/>
      <c r="N11" s="88"/>
      <c r="O11" s="88"/>
      <c r="P11" s="88"/>
      <c r="Q11" s="88"/>
      <c r="R11" s="88"/>
      <c r="S11" s="85"/>
      <c r="T11" s="85"/>
      <c r="U11" s="85"/>
      <c r="V11" s="85"/>
      <c r="W11" s="85"/>
      <c r="X11" s="85"/>
      <c r="Y11" s="88"/>
      <c r="Z11" s="85"/>
      <c r="AA11" s="88"/>
      <c r="AB11" s="88"/>
      <c r="AC11" s="85"/>
      <c r="AD11" s="88"/>
      <c r="AE11" s="88"/>
      <c r="AF11" s="105"/>
      <c r="AG11" s="106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11"/>
      <c r="I12" s="11" t="s">
        <v>9</v>
      </c>
      <c r="J12" s="11" t="s">
        <v>9</v>
      </c>
      <c r="K12" s="11" t="s">
        <v>9</v>
      </c>
      <c r="L12" s="11" t="s">
        <v>9</v>
      </c>
      <c r="M12" s="11" t="s">
        <v>9</v>
      </c>
      <c r="N12" s="11" t="s">
        <v>9</v>
      </c>
      <c r="O12" s="11" t="s">
        <v>9</v>
      </c>
      <c r="P12" s="11" t="s">
        <v>9</v>
      </c>
      <c r="Q12" s="11" t="s">
        <v>9</v>
      </c>
      <c r="R12" s="11" t="s">
        <v>9</v>
      </c>
      <c r="S12" s="37"/>
      <c r="T12" s="37" t="s">
        <v>24</v>
      </c>
      <c r="U12" s="37" t="s">
        <v>24</v>
      </c>
      <c r="V12" s="37"/>
      <c r="W12" s="37" t="s">
        <v>25</v>
      </c>
      <c r="X12" s="37"/>
      <c r="Y12" s="37"/>
      <c r="Z12" s="37" t="s">
        <v>24</v>
      </c>
      <c r="AA12" s="37" t="s">
        <v>24</v>
      </c>
      <c r="AB12" s="37" t="s">
        <v>24</v>
      </c>
      <c r="AC12" s="37"/>
      <c r="AD12" s="11" t="s">
        <v>7</v>
      </c>
      <c r="AE12" s="11"/>
      <c r="AF12" s="105"/>
      <c r="AG12" s="106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05"/>
      <c r="AG13" s="106"/>
    </row>
    <row r="14" spans="1:33" s="5" customFormat="1" ht="21.75" customHeight="1">
      <c r="A14" s="12">
        <f>A13+1</f>
        <v>2</v>
      </c>
      <c r="B14" s="77" t="s">
        <v>60</v>
      </c>
      <c r="C14" s="78"/>
      <c r="D14" s="78"/>
      <c r="E14" s="78"/>
      <c r="F14" s="78"/>
      <c r="G14" s="78"/>
      <c r="H14" s="78"/>
      <c r="I14" s="79"/>
      <c r="J14" s="16"/>
      <c r="K14" s="16"/>
      <c r="L14" s="15"/>
      <c r="M14" s="15"/>
      <c r="N14" s="15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05"/>
      <c r="AG14" s="106"/>
    </row>
    <row r="15" spans="1:33" s="5" customFormat="1" ht="21.75" customHeight="1">
      <c r="A15" s="12">
        <f>A14+1</f>
        <v>3</v>
      </c>
      <c r="B15" s="19" t="s">
        <v>27</v>
      </c>
      <c r="C15" s="14"/>
      <c r="D15" s="15"/>
      <c r="E15" s="16"/>
      <c r="F15" s="17"/>
      <c r="G15" s="18"/>
      <c r="H15" s="16"/>
      <c r="I15" s="16"/>
      <c r="J15" s="16"/>
      <c r="K15" s="16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05"/>
      <c r="AG15" s="106"/>
    </row>
    <row r="16" spans="1:33" s="5" customFormat="1" ht="21.75" customHeight="1">
      <c r="A16" s="12">
        <f aca="true" t="shared" si="0" ref="A16:A66">A15+1</f>
        <v>4</v>
      </c>
      <c r="B16" s="13">
        <v>28564.96</v>
      </c>
      <c r="C16" s="14">
        <v>29091.54</v>
      </c>
      <c r="D16" s="15" t="s">
        <v>28</v>
      </c>
      <c r="E16" s="16">
        <f aca="true" t="shared" si="1" ref="E16:E23">C16-B16</f>
        <v>526.5800000000017</v>
      </c>
      <c r="F16" s="17">
        <v>12</v>
      </c>
      <c r="G16" s="18">
        <f>ROUND((2911.977+($F16/2))/2911.977,4)</f>
        <v>1.0021</v>
      </c>
      <c r="H16" s="16"/>
      <c r="I16" s="16">
        <f>IF(G16=0,ROUND($E16*$F16,2),ROUND($E16*$F16*$G16,2))</f>
        <v>6332.23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aca="true" t="shared" si="2" ref="T16:T24">ROUND(((($I16+$J16)*(T$72/12))/27),2)</f>
        <v>156.35</v>
      </c>
      <c r="U16" s="16">
        <f aca="true" t="shared" si="3" ref="U16:U21">ROUND(((($I16+$J16+$N16+$O16+$P16+$Q16)*(U$72/12))/27),2)</f>
        <v>117.26</v>
      </c>
      <c r="V16" s="16"/>
      <c r="W16" s="16">
        <f>ROUND((((($I16+$J16)/9)*W$72)*3),2)</f>
        <v>116.09</v>
      </c>
      <c r="X16" s="16"/>
      <c r="Y16" s="16"/>
      <c r="Z16" s="16">
        <f>ROUND(((($I16+$J16)*(Z$72/12))/27),2)</f>
        <v>29.32</v>
      </c>
      <c r="AA16" s="16">
        <f>ROUND(((($I16+$J16)*(AA$72/12))/27),2)</f>
        <v>34.2</v>
      </c>
      <c r="AB16" s="16">
        <f>$AA16+$Z16</f>
        <v>63.52</v>
      </c>
      <c r="AC16" s="16"/>
      <c r="AD16" s="16"/>
      <c r="AE16" s="16"/>
      <c r="AF16" s="105"/>
      <c r="AG16" s="106"/>
    </row>
    <row r="17" spans="1:33" s="5" customFormat="1" ht="21.75" customHeight="1">
      <c r="A17" s="12">
        <f t="shared" si="0"/>
        <v>5</v>
      </c>
      <c r="B17" s="13">
        <v>28564.96</v>
      </c>
      <c r="C17" s="14">
        <v>29091.54</v>
      </c>
      <c r="D17" s="15" t="s">
        <v>28</v>
      </c>
      <c r="E17" s="16">
        <f t="shared" si="1"/>
        <v>526.5800000000017</v>
      </c>
      <c r="F17" s="80" t="s">
        <v>31</v>
      </c>
      <c r="G17" s="81"/>
      <c r="H17" s="81"/>
      <c r="I17" s="82"/>
      <c r="J17" s="16">
        <v>2117.76</v>
      </c>
      <c r="K17" s="16"/>
      <c r="L17" s="16"/>
      <c r="M17" s="16"/>
      <c r="N17" s="16"/>
      <c r="O17" s="16"/>
      <c r="P17" s="16"/>
      <c r="Q17" s="16"/>
      <c r="R17" s="16"/>
      <c r="S17" s="16"/>
      <c r="T17" s="16">
        <f t="shared" si="2"/>
        <v>52.29</v>
      </c>
      <c r="U17" s="16">
        <f t="shared" si="3"/>
        <v>39.22</v>
      </c>
      <c r="V17" s="16"/>
      <c r="W17" s="16">
        <f aca="true" t="shared" si="4" ref="W17:W34">ROUND((((($I17+$J17)/9)*W$72)*3),2)</f>
        <v>38.83</v>
      </c>
      <c r="X17" s="16"/>
      <c r="Y17" s="16"/>
      <c r="Z17" s="16">
        <f aca="true" t="shared" si="5" ref="Z17:AA34">ROUND(((($I17+$J17)*(Z$72/12))/27),2)</f>
        <v>9.8</v>
      </c>
      <c r="AA17" s="16">
        <f t="shared" si="5"/>
        <v>11.44</v>
      </c>
      <c r="AB17" s="16">
        <f aca="true" t="shared" si="6" ref="AB17:AB34">$AA17+$Z17</f>
        <v>21.240000000000002</v>
      </c>
      <c r="AC17" s="16"/>
      <c r="AD17" s="16"/>
      <c r="AE17" s="16"/>
      <c r="AF17" s="105"/>
      <c r="AG17" s="106"/>
    </row>
    <row r="18" spans="1:33" s="5" customFormat="1" ht="21.75" customHeight="1">
      <c r="A18" s="12">
        <f t="shared" si="0"/>
        <v>6</v>
      </c>
      <c r="B18" s="13">
        <f aca="true" t="shared" si="7" ref="B18:B24">C17</f>
        <v>29091.54</v>
      </c>
      <c r="C18" s="14">
        <v>29471.25</v>
      </c>
      <c r="D18" s="15" t="s">
        <v>28</v>
      </c>
      <c r="E18" s="16">
        <f t="shared" si="1"/>
        <v>379.7099999999991</v>
      </c>
      <c r="F18" s="17">
        <v>24</v>
      </c>
      <c r="G18" s="18">
        <f>ROUND((2911.977+($F18/2))/2911.977,4)</f>
        <v>1.0041</v>
      </c>
      <c r="H18" s="16"/>
      <c r="I18" s="16">
        <f aca="true" t="shared" si="8" ref="I18:I23">IF(G18=0,ROUND($E18*$F18,2),ROUND($E18*$F18*$G18,2))</f>
        <v>9150.4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2"/>
        <v>225.94</v>
      </c>
      <c r="U18" s="16">
        <f t="shared" si="3"/>
        <v>169.45</v>
      </c>
      <c r="V18" s="16"/>
      <c r="W18" s="16">
        <f t="shared" si="4"/>
        <v>167.76</v>
      </c>
      <c r="X18" s="16"/>
      <c r="Y18" s="16"/>
      <c r="Z18" s="16">
        <f t="shared" si="5"/>
        <v>42.36</v>
      </c>
      <c r="AA18" s="16">
        <f t="shared" si="5"/>
        <v>49.42</v>
      </c>
      <c r="AB18" s="16">
        <f t="shared" si="6"/>
        <v>91.78</v>
      </c>
      <c r="AC18" s="16"/>
      <c r="AD18" s="16"/>
      <c r="AE18" s="16"/>
      <c r="AF18" s="105"/>
      <c r="AG18" s="106"/>
    </row>
    <row r="19" spans="1:33" s="5" customFormat="1" ht="21.75" customHeight="1">
      <c r="A19" s="12">
        <f t="shared" si="0"/>
        <v>7</v>
      </c>
      <c r="B19" s="13">
        <f t="shared" si="7"/>
        <v>29471.25</v>
      </c>
      <c r="C19" s="14">
        <v>29794.13</v>
      </c>
      <c r="D19" s="15" t="s">
        <v>28</v>
      </c>
      <c r="E19" s="16">
        <f t="shared" si="1"/>
        <v>322.880000000001</v>
      </c>
      <c r="F19" s="17">
        <v>24</v>
      </c>
      <c r="G19" s="18"/>
      <c r="H19" s="16"/>
      <c r="I19" s="16">
        <f t="shared" si="8"/>
        <v>7749.12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2"/>
        <v>191.34</v>
      </c>
      <c r="U19" s="16">
        <f t="shared" si="3"/>
        <v>143.5</v>
      </c>
      <c r="V19" s="16"/>
      <c r="W19" s="16">
        <f t="shared" si="4"/>
        <v>142.07</v>
      </c>
      <c r="X19" s="16"/>
      <c r="Y19" s="16"/>
      <c r="Z19" s="16">
        <f t="shared" si="5"/>
        <v>35.88</v>
      </c>
      <c r="AA19" s="16">
        <f t="shared" si="5"/>
        <v>41.85</v>
      </c>
      <c r="AB19" s="16">
        <f t="shared" si="6"/>
        <v>77.73</v>
      </c>
      <c r="AC19" s="16"/>
      <c r="AD19" s="16"/>
      <c r="AE19" s="16"/>
      <c r="AF19" s="105"/>
      <c r="AG19" s="106"/>
    </row>
    <row r="20" spans="1:33" s="5" customFormat="1" ht="21.75" customHeight="1">
      <c r="A20" s="12">
        <f t="shared" si="0"/>
        <v>8</v>
      </c>
      <c r="B20" s="13">
        <f t="shared" si="7"/>
        <v>29794.13</v>
      </c>
      <c r="C20" s="14">
        <v>30094.13</v>
      </c>
      <c r="D20" s="15" t="s">
        <v>28</v>
      </c>
      <c r="E20" s="16">
        <f t="shared" si="1"/>
        <v>300</v>
      </c>
      <c r="F20" s="17">
        <v>24</v>
      </c>
      <c r="G20" s="18">
        <f>ROUND((5729.578-($F20/2))/5729.578,4)</f>
        <v>0.9979</v>
      </c>
      <c r="H20" s="16"/>
      <c r="I20" s="16">
        <f t="shared" si="8"/>
        <v>7184.88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2"/>
        <v>177.4</v>
      </c>
      <c r="U20" s="16">
        <f t="shared" si="3"/>
        <v>133.05</v>
      </c>
      <c r="V20" s="16"/>
      <c r="W20" s="16">
        <f t="shared" si="4"/>
        <v>131.72</v>
      </c>
      <c r="X20" s="16"/>
      <c r="Y20" s="16"/>
      <c r="Z20" s="16">
        <f t="shared" si="5"/>
        <v>33.26</v>
      </c>
      <c r="AA20" s="16">
        <f t="shared" si="5"/>
        <v>38.81</v>
      </c>
      <c r="AB20" s="16">
        <f t="shared" si="6"/>
        <v>72.07</v>
      </c>
      <c r="AC20" s="16"/>
      <c r="AD20" s="16"/>
      <c r="AE20" s="16"/>
      <c r="AF20" s="105"/>
      <c r="AG20" s="106"/>
    </row>
    <row r="21" spans="1:33" s="5" customFormat="1" ht="21.75" customHeight="1">
      <c r="A21" s="12">
        <f t="shared" si="0"/>
        <v>9</v>
      </c>
      <c r="B21" s="14">
        <f t="shared" si="7"/>
        <v>30094.13</v>
      </c>
      <c r="C21" s="14">
        <v>30530.56</v>
      </c>
      <c r="D21" s="15" t="s">
        <v>28</v>
      </c>
      <c r="E21" s="16">
        <f t="shared" si="1"/>
        <v>436.4300000000003</v>
      </c>
      <c r="F21" s="17">
        <v>24</v>
      </c>
      <c r="G21" s="18"/>
      <c r="H21" s="16"/>
      <c r="I21" s="16">
        <f t="shared" si="8"/>
        <v>10474.32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f t="shared" si="2"/>
        <v>258.63</v>
      </c>
      <c r="U21" s="16">
        <f t="shared" si="3"/>
        <v>193.97</v>
      </c>
      <c r="V21" s="16"/>
      <c r="W21" s="16">
        <f t="shared" si="4"/>
        <v>192.03</v>
      </c>
      <c r="X21" s="16"/>
      <c r="Y21" s="16"/>
      <c r="Z21" s="16">
        <f t="shared" si="5"/>
        <v>48.49</v>
      </c>
      <c r="AA21" s="16">
        <f t="shared" si="5"/>
        <v>56.57</v>
      </c>
      <c r="AB21" s="16">
        <f t="shared" si="6"/>
        <v>105.06</v>
      </c>
      <c r="AC21" s="16"/>
      <c r="AD21" s="16"/>
      <c r="AE21" s="16"/>
      <c r="AF21" s="105"/>
      <c r="AG21" s="106"/>
    </row>
    <row r="22" spans="1:33" s="5" customFormat="1" ht="21.75" customHeight="1">
      <c r="A22" s="12">
        <f t="shared" si="0"/>
        <v>10</v>
      </c>
      <c r="B22" s="14">
        <f t="shared" si="7"/>
        <v>30530.56</v>
      </c>
      <c r="C22" s="14">
        <v>30730.56</v>
      </c>
      <c r="D22" s="15" t="s">
        <v>28</v>
      </c>
      <c r="E22" s="16">
        <f t="shared" si="1"/>
        <v>200</v>
      </c>
      <c r="F22" s="17">
        <f>ROUND(AVERAGE(27,24),2)</f>
        <v>25.5</v>
      </c>
      <c r="G22" s="18">
        <f>ROUND((((477.458+(((27.5+24)/2)/2))/477.458)+1)/2,4)</f>
        <v>1.0135</v>
      </c>
      <c r="H22" s="16"/>
      <c r="I22" s="16">
        <f t="shared" si="8"/>
        <v>5168.85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2"/>
        <v>127.63</v>
      </c>
      <c r="U22" s="16">
        <f aca="true" t="shared" si="9" ref="U22:U34">ROUND(((($I22+$J22+$N22+$O22+$P22+$Q22)*(U$72/12))/27),2)</f>
        <v>95.72</v>
      </c>
      <c r="V22" s="16"/>
      <c r="W22" s="16">
        <f t="shared" si="4"/>
        <v>94.76</v>
      </c>
      <c r="X22" s="16"/>
      <c r="Y22" s="16"/>
      <c r="Z22" s="16">
        <f t="shared" si="5"/>
        <v>23.93</v>
      </c>
      <c r="AA22" s="16">
        <f t="shared" si="5"/>
        <v>27.92</v>
      </c>
      <c r="AB22" s="16">
        <f t="shared" si="6"/>
        <v>51.85</v>
      </c>
      <c r="AC22" s="16"/>
      <c r="AD22" s="16"/>
      <c r="AE22" s="16"/>
      <c r="AF22" s="105"/>
      <c r="AG22" s="106"/>
    </row>
    <row r="23" spans="1:33" s="5" customFormat="1" ht="21.75" customHeight="1">
      <c r="A23" s="12">
        <f t="shared" si="0"/>
        <v>11</v>
      </c>
      <c r="B23" s="14">
        <f t="shared" si="7"/>
        <v>30730.56</v>
      </c>
      <c r="C23" s="14">
        <v>30796.22</v>
      </c>
      <c r="D23" s="15" t="s">
        <v>28</v>
      </c>
      <c r="E23" s="16">
        <f t="shared" si="1"/>
        <v>65.65999999999985</v>
      </c>
      <c r="F23" s="17">
        <v>27</v>
      </c>
      <c r="G23" s="18">
        <f>ROUND((477.458+(27.5/2))/477.458,4)</f>
        <v>1.0288</v>
      </c>
      <c r="H23" s="16"/>
      <c r="I23" s="16">
        <f t="shared" si="8"/>
        <v>1823.88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2"/>
        <v>45.03</v>
      </c>
      <c r="U23" s="16">
        <f t="shared" si="9"/>
        <v>33.78</v>
      </c>
      <c r="V23" s="16"/>
      <c r="W23" s="16">
        <f t="shared" si="4"/>
        <v>33.44</v>
      </c>
      <c r="X23" s="16"/>
      <c r="Y23" s="16"/>
      <c r="Z23" s="16">
        <f t="shared" si="5"/>
        <v>8.44</v>
      </c>
      <c r="AA23" s="16">
        <f t="shared" si="5"/>
        <v>9.85</v>
      </c>
      <c r="AB23" s="16">
        <f t="shared" si="6"/>
        <v>18.29</v>
      </c>
      <c r="AC23" s="16"/>
      <c r="AD23" s="16"/>
      <c r="AE23" s="16"/>
      <c r="AF23" s="105"/>
      <c r="AG23" s="106"/>
    </row>
    <row r="24" spans="1:33" s="5" customFormat="1" ht="21.75" customHeight="1">
      <c r="A24" s="12">
        <f t="shared" si="0"/>
        <v>12</v>
      </c>
      <c r="B24" s="14">
        <f t="shared" si="7"/>
        <v>30796.22</v>
      </c>
      <c r="C24" s="14">
        <v>739.01</v>
      </c>
      <c r="D24" s="15" t="s">
        <v>28</v>
      </c>
      <c r="E24" s="16">
        <f>(C24-736.18)+(30815.76-B24)</f>
        <v>22.369999999997276</v>
      </c>
      <c r="F24" s="80" t="s">
        <v>31</v>
      </c>
      <c r="G24" s="81"/>
      <c r="H24" s="81"/>
      <c r="I24" s="82"/>
      <c r="J24" s="16">
        <v>636.72</v>
      </c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2"/>
        <v>15.72</v>
      </c>
      <c r="U24" s="16">
        <f t="shared" si="9"/>
        <v>11.79</v>
      </c>
      <c r="V24" s="16"/>
      <c r="W24" s="16">
        <f t="shared" si="4"/>
        <v>11.67</v>
      </c>
      <c r="X24" s="16"/>
      <c r="Y24" s="16"/>
      <c r="Z24" s="16">
        <f t="shared" si="5"/>
        <v>2.95</v>
      </c>
      <c r="AA24" s="16">
        <f t="shared" si="5"/>
        <v>3.44</v>
      </c>
      <c r="AB24" s="16">
        <f t="shared" si="6"/>
        <v>6.390000000000001</v>
      </c>
      <c r="AC24" s="16"/>
      <c r="AD24" s="16"/>
      <c r="AE24" s="16"/>
      <c r="AF24" s="105"/>
      <c r="AG24" s="106"/>
    </row>
    <row r="25" spans="1:33" s="5" customFormat="1" ht="21.75" customHeight="1">
      <c r="A25" s="12">
        <f t="shared" si="0"/>
        <v>13</v>
      </c>
      <c r="B25" s="19"/>
      <c r="C25" s="14"/>
      <c r="D25" s="15"/>
      <c r="E25" s="16"/>
      <c r="F25" s="17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05"/>
      <c r="AG25" s="106"/>
    </row>
    <row r="26" spans="1:33" s="5" customFormat="1" ht="21.75" customHeight="1">
      <c r="A26" s="12">
        <f t="shared" si="0"/>
        <v>14</v>
      </c>
      <c r="B26" s="13">
        <v>990.81</v>
      </c>
      <c r="C26" s="14">
        <v>997.74</v>
      </c>
      <c r="D26" s="15" t="s">
        <v>28</v>
      </c>
      <c r="E26" s="16">
        <f aca="true" t="shared" si="10" ref="E26:E34">C26-B26</f>
        <v>6.930000000000064</v>
      </c>
      <c r="F26" s="80" t="s">
        <v>31</v>
      </c>
      <c r="G26" s="81"/>
      <c r="H26" s="81"/>
      <c r="I26" s="82"/>
      <c r="J26" s="16">
        <v>192.13</v>
      </c>
      <c r="K26" s="16"/>
      <c r="L26" s="16"/>
      <c r="M26" s="16"/>
      <c r="N26" s="16"/>
      <c r="O26" s="16"/>
      <c r="P26" s="16"/>
      <c r="Q26" s="16"/>
      <c r="R26" s="16"/>
      <c r="S26" s="16"/>
      <c r="T26" s="16">
        <f aca="true" t="shared" si="11" ref="T26:T34">ROUND(((($I26+$J26)*(T$72/12))/27),2)</f>
        <v>4.74</v>
      </c>
      <c r="U26" s="16">
        <f t="shared" si="9"/>
        <v>3.56</v>
      </c>
      <c r="V26" s="16"/>
      <c r="W26" s="16">
        <f t="shared" si="4"/>
        <v>3.52</v>
      </c>
      <c r="X26" s="16"/>
      <c r="Y26" s="16"/>
      <c r="Z26" s="16">
        <f t="shared" si="5"/>
        <v>0.89</v>
      </c>
      <c r="AA26" s="16">
        <f t="shared" si="5"/>
        <v>1.04</v>
      </c>
      <c r="AB26" s="16">
        <f t="shared" si="6"/>
        <v>1.9300000000000002</v>
      </c>
      <c r="AC26" s="16"/>
      <c r="AD26" s="16"/>
      <c r="AE26" s="16"/>
      <c r="AF26" s="105"/>
      <c r="AG26" s="106"/>
    </row>
    <row r="27" spans="1:33" s="5" customFormat="1" ht="21.75" customHeight="1">
      <c r="A27" s="12">
        <f t="shared" si="0"/>
        <v>15</v>
      </c>
      <c r="B27" s="13">
        <f aca="true" t="shared" si="12" ref="B27:B34">C26</f>
        <v>997.74</v>
      </c>
      <c r="C27" s="14">
        <v>1000</v>
      </c>
      <c r="D27" s="15" t="s">
        <v>28</v>
      </c>
      <c r="E27" s="16">
        <f t="shared" si="10"/>
        <v>2.259999999999991</v>
      </c>
      <c r="F27" s="17">
        <v>27</v>
      </c>
      <c r="G27" s="18">
        <f>ROUND((477.458+(27.5/2))/477.458,4)</f>
        <v>1.0288</v>
      </c>
      <c r="H27" s="65"/>
      <c r="I27" s="16">
        <f aca="true" t="shared" si="13" ref="I27:I34">IF(G27=0,ROUND($E27*$F27,2),ROUND($E27*$F27*$G27,2))</f>
        <v>62.78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1"/>
        <v>1.55</v>
      </c>
      <c r="U27" s="16">
        <f t="shared" si="9"/>
        <v>1.16</v>
      </c>
      <c r="V27" s="16"/>
      <c r="W27" s="16">
        <f t="shared" si="4"/>
        <v>1.15</v>
      </c>
      <c r="X27" s="16"/>
      <c r="Y27" s="16"/>
      <c r="Z27" s="16">
        <f t="shared" si="5"/>
        <v>0.29</v>
      </c>
      <c r="AA27" s="16">
        <f t="shared" si="5"/>
        <v>0.34</v>
      </c>
      <c r="AB27" s="16">
        <f t="shared" si="6"/>
        <v>0.63</v>
      </c>
      <c r="AC27" s="16"/>
      <c r="AD27" s="16"/>
      <c r="AE27" s="16"/>
      <c r="AF27" s="105"/>
      <c r="AG27" s="106"/>
    </row>
    <row r="28" spans="1:33" s="5" customFormat="1" ht="21.75" customHeight="1">
      <c r="A28" s="12">
        <f t="shared" si="0"/>
        <v>16</v>
      </c>
      <c r="B28" s="13">
        <f t="shared" si="12"/>
        <v>1000</v>
      </c>
      <c r="C28" s="14">
        <v>1100</v>
      </c>
      <c r="D28" s="15" t="s">
        <v>28</v>
      </c>
      <c r="E28" s="16">
        <f t="shared" si="10"/>
        <v>100</v>
      </c>
      <c r="F28" s="17">
        <v>27</v>
      </c>
      <c r="G28" s="18">
        <f>ROUND((477.458+(((27.5+27)/2)/2))/477.458,4)</f>
        <v>1.0285</v>
      </c>
      <c r="H28" s="65"/>
      <c r="I28" s="16">
        <f t="shared" si="13"/>
        <v>2776.95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f t="shared" si="11"/>
        <v>68.57</v>
      </c>
      <c r="U28" s="16">
        <f t="shared" si="9"/>
        <v>51.43</v>
      </c>
      <c r="V28" s="16"/>
      <c r="W28" s="16">
        <f t="shared" si="4"/>
        <v>50.91</v>
      </c>
      <c r="X28" s="16"/>
      <c r="Y28" s="16"/>
      <c r="Z28" s="16">
        <f t="shared" si="5"/>
        <v>12.86</v>
      </c>
      <c r="AA28" s="16">
        <f t="shared" si="5"/>
        <v>15</v>
      </c>
      <c r="AB28" s="16">
        <f t="shared" si="6"/>
        <v>27.86</v>
      </c>
      <c r="AC28" s="16"/>
      <c r="AD28" s="16"/>
      <c r="AE28" s="16"/>
      <c r="AF28" s="105"/>
      <c r="AG28" s="106"/>
    </row>
    <row r="29" spans="1:33" s="5" customFormat="1" ht="21.75" customHeight="1">
      <c r="A29" s="12">
        <f t="shared" si="0"/>
        <v>17</v>
      </c>
      <c r="B29" s="13">
        <f t="shared" si="12"/>
        <v>1100</v>
      </c>
      <c r="C29" s="14">
        <v>1387.73</v>
      </c>
      <c r="D29" s="15" t="s">
        <v>28</v>
      </c>
      <c r="E29" s="16">
        <f t="shared" si="10"/>
        <v>287.73</v>
      </c>
      <c r="F29" s="17">
        <v>27</v>
      </c>
      <c r="G29" s="18">
        <f>ROUND((477.458+($F29/2))/477.458,4)</f>
        <v>1.0283</v>
      </c>
      <c r="H29" s="18"/>
      <c r="I29" s="16">
        <f t="shared" si="13"/>
        <v>7988.56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>
        <f t="shared" si="11"/>
        <v>197.25</v>
      </c>
      <c r="U29" s="16">
        <f t="shared" si="9"/>
        <v>147.94</v>
      </c>
      <c r="V29" s="16"/>
      <c r="W29" s="16">
        <f t="shared" si="4"/>
        <v>146.46</v>
      </c>
      <c r="X29" s="16"/>
      <c r="Y29" s="16"/>
      <c r="Z29" s="16">
        <f t="shared" si="5"/>
        <v>36.98</v>
      </c>
      <c r="AA29" s="16">
        <f t="shared" si="5"/>
        <v>43.15</v>
      </c>
      <c r="AB29" s="16">
        <f t="shared" si="6"/>
        <v>80.13</v>
      </c>
      <c r="AC29" s="16"/>
      <c r="AD29" s="16"/>
      <c r="AE29" s="16"/>
      <c r="AF29" s="105"/>
      <c r="AG29" s="106"/>
    </row>
    <row r="30" spans="1:33" s="5" customFormat="1" ht="21.75" customHeight="1">
      <c r="A30" s="12">
        <f t="shared" si="0"/>
        <v>18</v>
      </c>
      <c r="B30" s="13">
        <f t="shared" si="12"/>
        <v>1387.73</v>
      </c>
      <c r="C30" s="14">
        <v>1962.73</v>
      </c>
      <c r="D30" s="15" t="s">
        <v>28</v>
      </c>
      <c r="E30" s="16">
        <f t="shared" si="10"/>
        <v>575</v>
      </c>
      <c r="F30" s="17">
        <v>27</v>
      </c>
      <c r="G30" s="18">
        <f>ROUND((1+((848.826-($F30/2))/848.826))/2,4)</f>
        <v>0.992</v>
      </c>
      <c r="H30" s="18"/>
      <c r="I30" s="16">
        <f t="shared" si="13"/>
        <v>15400.8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>
        <f t="shared" si="11"/>
        <v>380.27</v>
      </c>
      <c r="U30" s="16">
        <f t="shared" si="9"/>
        <v>285.2</v>
      </c>
      <c r="V30" s="16"/>
      <c r="W30" s="16">
        <f t="shared" si="4"/>
        <v>282.35</v>
      </c>
      <c r="X30" s="16"/>
      <c r="Y30" s="16"/>
      <c r="Z30" s="16">
        <f t="shared" si="5"/>
        <v>71.3</v>
      </c>
      <c r="AA30" s="16">
        <f t="shared" si="5"/>
        <v>83.18</v>
      </c>
      <c r="AB30" s="16">
        <f t="shared" si="6"/>
        <v>154.48000000000002</v>
      </c>
      <c r="AC30" s="16"/>
      <c r="AD30" s="16"/>
      <c r="AE30" s="16"/>
      <c r="AF30" s="105"/>
      <c r="AG30" s="106"/>
    </row>
    <row r="31" spans="1:33" s="5" customFormat="1" ht="21.75" customHeight="1">
      <c r="A31" s="12">
        <f t="shared" si="0"/>
        <v>19</v>
      </c>
      <c r="B31" s="13">
        <f t="shared" si="12"/>
        <v>1962.73</v>
      </c>
      <c r="C31" s="14">
        <v>2239.81</v>
      </c>
      <c r="D31" s="15" t="s">
        <v>28</v>
      </c>
      <c r="E31" s="16">
        <f t="shared" si="10"/>
        <v>277.0799999999999</v>
      </c>
      <c r="F31" s="17">
        <v>27</v>
      </c>
      <c r="G31" s="18">
        <f>ROUND((848.826-($F31/2))/848.826,4)</f>
        <v>0.9841</v>
      </c>
      <c r="H31" s="18"/>
      <c r="I31" s="16">
        <f t="shared" si="13"/>
        <v>7362.21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>
        <f t="shared" si="11"/>
        <v>181.78</v>
      </c>
      <c r="U31" s="16">
        <f t="shared" si="9"/>
        <v>136.34</v>
      </c>
      <c r="V31" s="16"/>
      <c r="W31" s="16">
        <f t="shared" si="4"/>
        <v>134.97</v>
      </c>
      <c r="X31" s="16"/>
      <c r="Y31" s="16"/>
      <c r="Z31" s="16">
        <f t="shared" si="5"/>
        <v>34.08</v>
      </c>
      <c r="AA31" s="16">
        <f t="shared" si="5"/>
        <v>39.77</v>
      </c>
      <c r="AB31" s="16">
        <f t="shared" si="6"/>
        <v>73.85</v>
      </c>
      <c r="AC31" s="16"/>
      <c r="AD31" s="16"/>
      <c r="AE31" s="16"/>
      <c r="AF31" s="105"/>
      <c r="AG31" s="106"/>
    </row>
    <row r="32" spans="1:33" s="5" customFormat="1" ht="21.75" customHeight="1">
      <c r="A32" s="12">
        <f t="shared" si="0"/>
        <v>20</v>
      </c>
      <c r="B32" s="13">
        <f t="shared" si="12"/>
        <v>2239.81</v>
      </c>
      <c r="C32" s="14">
        <v>2464.81</v>
      </c>
      <c r="D32" s="15" t="s">
        <v>28</v>
      </c>
      <c r="E32" s="16">
        <f t="shared" si="10"/>
        <v>225</v>
      </c>
      <c r="F32" s="17">
        <f>ROUND(AVERAGE(27,24),2)</f>
        <v>25.5</v>
      </c>
      <c r="G32" s="18">
        <f>ROUND((1+((848.826-($F32/2))/848.826))/2,4)</f>
        <v>0.9925</v>
      </c>
      <c r="H32" s="18"/>
      <c r="I32" s="16">
        <f t="shared" si="13"/>
        <v>5694.47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>
        <f t="shared" si="11"/>
        <v>140.6</v>
      </c>
      <c r="U32" s="16">
        <f t="shared" si="9"/>
        <v>105.45</v>
      </c>
      <c r="V32" s="16"/>
      <c r="W32" s="16">
        <f t="shared" si="4"/>
        <v>104.4</v>
      </c>
      <c r="X32" s="16"/>
      <c r="Y32" s="16"/>
      <c r="Z32" s="16">
        <f t="shared" si="5"/>
        <v>26.36</v>
      </c>
      <c r="AA32" s="16">
        <f t="shared" si="5"/>
        <v>30.76</v>
      </c>
      <c r="AB32" s="16">
        <f t="shared" si="6"/>
        <v>57.120000000000005</v>
      </c>
      <c r="AC32" s="16"/>
      <c r="AD32" s="16"/>
      <c r="AE32" s="16"/>
      <c r="AF32" s="105"/>
      <c r="AG32" s="106"/>
    </row>
    <row r="33" spans="1:33" s="5" customFormat="1" ht="21.75" customHeight="1">
      <c r="A33" s="12">
        <f t="shared" si="0"/>
        <v>21</v>
      </c>
      <c r="B33" s="13">
        <f t="shared" si="12"/>
        <v>2464.81</v>
      </c>
      <c r="C33" s="14">
        <v>3264.81</v>
      </c>
      <c r="D33" s="15" t="s">
        <v>28</v>
      </c>
      <c r="E33" s="16">
        <f t="shared" si="10"/>
        <v>800</v>
      </c>
      <c r="F33" s="17">
        <f>ROUND(AVERAGE(40,24),2)</f>
        <v>32</v>
      </c>
      <c r="G33" s="18"/>
      <c r="H33" s="16"/>
      <c r="I33" s="16">
        <f t="shared" si="13"/>
        <v>25600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>
        <f t="shared" si="11"/>
        <v>632.1</v>
      </c>
      <c r="U33" s="16">
        <f t="shared" si="9"/>
        <v>474.07</v>
      </c>
      <c r="V33" s="16"/>
      <c r="W33" s="16">
        <f t="shared" si="4"/>
        <v>469.33</v>
      </c>
      <c r="X33" s="16"/>
      <c r="Y33" s="16"/>
      <c r="Z33" s="16">
        <f t="shared" si="5"/>
        <v>118.52</v>
      </c>
      <c r="AA33" s="16">
        <f t="shared" si="5"/>
        <v>138.27</v>
      </c>
      <c r="AB33" s="16">
        <f t="shared" si="6"/>
        <v>256.79</v>
      </c>
      <c r="AC33" s="16"/>
      <c r="AD33" s="16"/>
      <c r="AE33" s="16"/>
      <c r="AF33" s="105"/>
      <c r="AG33" s="106"/>
    </row>
    <row r="34" spans="1:33" s="5" customFormat="1" ht="21.75" customHeight="1">
      <c r="A34" s="12">
        <f t="shared" si="0"/>
        <v>22</v>
      </c>
      <c r="B34" s="13">
        <f t="shared" si="12"/>
        <v>3264.81</v>
      </c>
      <c r="C34" s="14">
        <v>3382</v>
      </c>
      <c r="D34" s="15" t="s">
        <v>28</v>
      </c>
      <c r="E34" s="16">
        <f t="shared" si="10"/>
        <v>117.19000000000005</v>
      </c>
      <c r="F34" s="17">
        <v>24</v>
      </c>
      <c r="G34" s="18"/>
      <c r="H34" s="16"/>
      <c r="I34" s="16">
        <f t="shared" si="13"/>
        <v>2812.56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>
        <f t="shared" si="11"/>
        <v>69.45</v>
      </c>
      <c r="U34" s="16">
        <f t="shared" si="9"/>
        <v>52.08</v>
      </c>
      <c r="V34" s="16"/>
      <c r="W34" s="16">
        <f t="shared" si="4"/>
        <v>51.56</v>
      </c>
      <c r="X34" s="16"/>
      <c r="Y34" s="16"/>
      <c r="Z34" s="16">
        <f t="shared" si="5"/>
        <v>13.02</v>
      </c>
      <c r="AA34" s="16">
        <f t="shared" si="5"/>
        <v>15.19</v>
      </c>
      <c r="AB34" s="16">
        <f t="shared" si="6"/>
        <v>28.21</v>
      </c>
      <c r="AC34" s="16"/>
      <c r="AD34" s="16"/>
      <c r="AE34" s="16"/>
      <c r="AF34" s="105"/>
      <c r="AG34" s="106"/>
    </row>
    <row r="35" spans="1:33" s="5" customFormat="1" ht="21.75" customHeight="1">
      <c r="A35" s="12">
        <f t="shared" si="0"/>
        <v>23</v>
      </c>
      <c r="B35" s="13"/>
      <c r="C35" s="14"/>
      <c r="D35" s="15"/>
      <c r="E35" s="16"/>
      <c r="F35" s="17"/>
      <c r="G35" s="18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05"/>
      <c r="AG35" s="106"/>
    </row>
    <row r="36" spans="1:33" s="5" customFormat="1" ht="21.75" customHeight="1">
      <c r="A36" s="12">
        <f t="shared" si="0"/>
        <v>24</v>
      </c>
      <c r="B36" s="19" t="s">
        <v>35</v>
      </c>
      <c r="C36" s="38"/>
      <c r="D36" s="15"/>
      <c r="E36" s="16"/>
      <c r="F36" s="17"/>
      <c r="G36" s="1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05"/>
      <c r="AG36" s="106"/>
    </row>
    <row r="37" spans="1:33" s="5" customFormat="1" ht="21.75" customHeight="1">
      <c r="A37" s="12">
        <f t="shared" si="0"/>
        <v>25</v>
      </c>
      <c r="B37" s="14">
        <v>28564.96</v>
      </c>
      <c r="C37" s="38">
        <v>29213.63</v>
      </c>
      <c r="D37" s="15" t="s">
        <v>33</v>
      </c>
      <c r="E37" s="16">
        <f aca="true" t="shared" si="14" ref="E37:E43">C37-B37</f>
        <v>648.6700000000019</v>
      </c>
      <c r="F37" s="16">
        <v>10</v>
      </c>
      <c r="G37" s="18">
        <f aca="true" t="shared" si="15" ref="G37:G42">ROUND((2911.977-($F37/2))/2911.977,4)</f>
        <v>0.9983</v>
      </c>
      <c r="H37" s="18">
        <f aca="true" t="shared" si="16" ref="H37:H42">ROUND((2911.977-($F37))/2911.977,4)</f>
        <v>0.9966</v>
      </c>
      <c r="I37" s="16">
        <f aca="true" t="shared" si="17" ref="I37:I42">IF($G37=0,ROUND($E37*$F37,2),ROUND($E37*$F37*$G37,2))</f>
        <v>6475.67</v>
      </c>
      <c r="J37" s="16"/>
      <c r="K37" s="16">
        <f>IF($H37=0,ROUND($E37*(K$72/12),2),ROUND($E37*(K$72/12)*$H37,2))</f>
        <v>215.49</v>
      </c>
      <c r="L37" s="16"/>
      <c r="M37" s="16">
        <f>IF($H37=0,ROUND($E37*(M$72/12),2),ROUND($E37*(M$72/12)*$H37,2))</f>
        <v>538.72</v>
      </c>
      <c r="N37" s="16">
        <f>IF($H37=0,ROUND($E37*(N$72/12),2),ROUND($E37*(N$72/12)*$H37,2))</f>
        <v>861.95</v>
      </c>
      <c r="O37" s="16"/>
      <c r="P37" s="16"/>
      <c r="Q37" s="16"/>
      <c r="R37" s="16"/>
      <c r="S37" s="16"/>
      <c r="T37" s="16">
        <f>ROUND(((($I37+$J37)*(T$72/12)+($K37)*(T$73/12)+($M37)*(T$73/12))/27),2)</f>
        <v>169.2</v>
      </c>
      <c r="U37" s="16">
        <f>ROUND(((($I37+$J37+$N37+$O37+$P37+$Q37)*(U$72/12))/27),2)</f>
        <v>135.88</v>
      </c>
      <c r="V37" s="16"/>
      <c r="W37" s="16">
        <f>ROUND(((($I37+$J37)/9)*$W$72)+((($I37+$J37+$K37)/9)*$W$72)+((($I37+$J37+$M37)/9)*$W$72),2)</f>
        <v>123.33</v>
      </c>
      <c r="X37" s="16"/>
      <c r="Y37" s="16"/>
      <c r="Z37" s="16">
        <f aca="true" t="shared" si="18" ref="Z37:AA52">ROUND(((($I37+$J37)*(Z$72/12))/27),2)</f>
        <v>29.98</v>
      </c>
      <c r="AA37" s="16">
        <f t="shared" si="18"/>
        <v>34.98</v>
      </c>
      <c r="AB37" s="16"/>
      <c r="AC37" s="16"/>
      <c r="AD37" s="16"/>
      <c r="AE37" s="16"/>
      <c r="AF37" s="105"/>
      <c r="AG37" s="106"/>
    </row>
    <row r="38" spans="1:33" s="5" customFormat="1" ht="21.75" customHeight="1">
      <c r="A38" s="12">
        <f t="shared" si="0"/>
        <v>26</v>
      </c>
      <c r="B38" s="13">
        <f aca="true" t="shared" si="19" ref="B38:B50">C37</f>
        <v>29213.63</v>
      </c>
      <c r="C38" s="21">
        <v>29231.83</v>
      </c>
      <c r="D38" s="15" t="s">
        <v>33</v>
      </c>
      <c r="E38" s="16">
        <f t="shared" si="14"/>
        <v>18.200000000000728</v>
      </c>
      <c r="F38" s="16">
        <v>10</v>
      </c>
      <c r="G38" s="18">
        <f t="shared" si="15"/>
        <v>0.9983</v>
      </c>
      <c r="H38" s="18">
        <f t="shared" si="16"/>
        <v>0.9966</v>
      </c>
      <c r="I38" s="16">
        <f t="shared" si="17"/>
        <v>181.69</v>
      </c>
      <c r="J38" s="16"/>
      <c r="K38" s="16"/>
      <c r="L38" s="16"/>
      <c r="M38" s="16"/>
      <c r="N38" s="16"/>
      <c r="O38" s="16">
        <f>IF($H38=0,ROUND($E38*(O$72/12),2),ROUND($E38*(O$72/12)*$H38,2))</f>
        <v>27.21</v>
      </c>
      <c r="P38" s="16"/>
      <c r="Q38" s="16"/>
      <c r="R38" s="16"/>
      <c r="S38" s="16"/>
      <c r="T38" s="16">
        <f>ROUND(((($I38+$J38)*(T$72/12)+($K38)*(T$73/12)+($M38)*(T$73/12))/27),2)</f>
        <v>4.49</v>
      </c>
      <c r="U38" s="16">
        <f>ROUND(((($I38+$J38+$N38+$O38+$P38+$Q38)*(U$72/12))/27),2)</f>
        <v>3.87</v>
      </c>
      <c r="V38" s="16"/>
      <c r="W38" s="16">
        <f>ROUND(((($I38+$J38)/9)*$W$72)+((($I38+$J38+$K38)/9)*$W$72)+((($I38+$J38+$M38)/9)*$W$72),2)</f>
        <v>3.33</v>
      </c>
      <c r="X38" s="16"/>
      <c r="Y38" s="16"/>
      <c r="Z38" s="16">
        <f t="shared" si="18"/>
        <v>0.84</v>
      </c>
      <c r="AA38" s="16">
        <f t="shared" si="18"/>
        <v>0.98</v>
      </c>
      <c r="AB38" s="16"/>
      <c r="AC38" s="16"/>
      <c r="AD38" s="16">
        <f>IF($H38=0,$E38,ROUND($E38*$H38,2))</f>
        <v>18.14</v>
      </c>
      <c r="AE38" s="16"/>
      <c r="AF38" s="105"/>
      <c r="AG38" s="106"/>
    </row>
    <row r="39" spans="1:33" s="5" customFormat="1" ht="21.75" customHeight="1">
      <c r="A39" s="12">
        <f t="shared" si="0"/>
        <v>27</v>
      </c>
      <c r="B39" s="13">
        <f t="shared" si="19"/>
        <v>29231.83</v>
      </c>
      <c r="C39" s="14">
        <v>29280</v>
      </c>
      <c r="D39" s="15" t="s">
        <v>33</v>
      </c>
      <c r="E39" s="16">
        <f>C39-B39</f>
        <v>48.169999999998254</v>
      </c>
      <c r="F39" s="16">
        <v>10</v>
      </c>
      <c r="G39" s="18">
        <f t="shared" si="15"/>
        <v>0.9983</v>
      </c>
      <c r="H39" s="18">
        <f t="shared" si="16"/>
        <v>0.9966</v>
      </c>
      <c r="I39" s="16">
        <f t="shared" si="17"/>
        <v>480.88</v>
      </c>
      <c r="J39" s="16"/>
      <c r="K39" s="16"/>
      <c r="L39" s="16">
        <f>IF($H39=0,ROUND($E39*(L$72/12),2),ROUND($E39*(L$72/12)*$H39,2))</f>
        <v>24</v>
      </c>
      <c r="M39" s="16">
        <f>IF($H39=0,ROUND($E39*(M$72/12),2),ROUND($E39*(M$72/12)*$H39,2))</f>
        <v>40.01</v>
      </c>
      <c r="N39" s="16">
        <f>IF($H39=0,ROUND($E39*(N$72/12),2),ROUND($E39*(N$72/12)*$H39,2))</f>
        <v>64.01</v>
      </c>
      <c r="O39" s="16"/>
      <c r="P39" s="16"/>
      <c r="Q39" s="16">
        <f>IF($H39=0,ROUND($E39*(Q$72/12),2),ROUND($E39*(Q$72/12)*$H39,2))</f>
        <v>88.01</v>
      </c>
      <c r="R39" s="16">
        <f>IF($H39=0,ROUND($E39*(R$72/12),2),ROUND($E39*(R$72/12)*$H39,2))</f>
        <v>91.51</v>
      </c>
      <c r="S39" s="16"/>
      <c r="T39" s="16">
        <f>ROUND(((($I39+$J39+$R39)*(T$72/12)+($M39)*(T$73/12)+($N39)*(T$73/12))/27),2)</f>
        <v>15.42</v>
      </c>
      <c r="U39" s="16">
        <f>ROUND(((($I39+$J39+$R39+$Q39)*(U$72/12))/27),2)</f>
        <v>12.23</v>
      </c>
      <c r="V39" s="16"/>
      <c r="W39" s="16">
        <f>ROUND(((($I39+$J297+$L39+$R39)/9)*$W$72)+((($I39+$J39+$M39+$R39)/9)*$W$72)+((($I39+$J39+$N39+$R39)/9)*$W$72),2)</f>
        <v>11.28</v>
      </c>
      <c r="X39" s="16"/>
      <c r="Y39" s="16"/>
      <c r="Z39" s="16">
        <f>ROUND(((($I39+$J39)*(Z$72/12))/27),2)</f>
        <v>2.23</v>
      </c>
      <c r="AA39" s="16">
        <f>ROUND(((($I39+$J39+$R39+$L39)*(AA$72/12))/27),2)</f>
        <v>3.22</v>
      </c>
      <c r="AB39" s="16"/>
      <c r="AC39" s="16"/>
      <c r="AD39" s="16"/>
      <c r="AE39" s="16"/>
      <c r="AF39" s="105"/>
      <c r="AG39" s="106"/>
    </row>
    <row r="40" spans="1:33" s="5" customFormat="1" ht="21.75" customHeight="1">
      <c r="A40" s="12">
        <f t="shared" si="0"/>
        <v>28</v>
      </c>
      <c r="B40" s="13">
        <f t="shared" si="19"/>
        <v>29280</v>
      </c>
      <c r="C40" s="14">
        <v>29290</v>
      </c>
      <c r="D40" s="15" t="s">
        <v>33</v>
      </c>
      <c r="E40" s="16">
        <f t="shared" si="14"/>
        <v>10</v>
      </c>
      <c r="F40" s="17">
        <f>ROUND(AVERAGE(10,12),2)</f>
        <v>11</v>
      </c>
      <c r="G40" s="18">
        <f t="shared" si="15"/>
        <v>0.9981</v>
      </c>
      <c r="H40" s="18">
        <f t="shared" si="16"/>
        <v>0.9962</v>
      </c>
      <c r="I40" s="16">
        <f t="shared" si="17"/>
        <v>109.79</v>
      </c>
      <c r="J40" s="16"/>
      <c r="K40" s="16"/>
      <c r="L40" s="16"/>
      <c r="M40" s="16"/>
      <c r="N40" s="16"/>
      <c r="O40" s="16">
        <f>IF($H40=0,ROUND($E40*(O$72/12),2),ROUND($E40*(O$72/12)*$H40,2))</f>
        <v>14.94</v>
      </c>
      <c r="P40" s="16"/>
      <c r="Q40" s="16"/>
      <c r="R40" s="16"/>
      <c r="S40" s="16"/>
      <c r="T40" s="16">
        <f aca="true" t="shared" si="20" ref="T40:T50">ROUND(((($I40+$J40)*(T$72/12)+($K40)*(T$73/12)+($M40)*(T$73/12))/27),2)</f>
        <v>2.71</v>
      </c>
      <c r="U40" s="16">
        <f aca="true" t="shared" si="21" ref="U40:U50">ROUND(((($I40+$J40+$N40+$O40+$P40+$Q40)*(U$72/12))/27),2)</f>
        <v>2.31</v>
      </c>
      <c r="V40" s="16"/>
      <c r="W40" s="16">
        <f aca="true" t="shared" si="22" ref="W40:W50">ROUND(((($I40+$J40)/9)*$W$72)+((($I40+$J40+$K40)/9)*$W$72)+((($I40+$J40+$M40)/9)*$W$72),2)</f>
        <v>2.01</v>
      </c>
      <c r="X40" s="16"/>
      <c r="Y40" s="16"/>
      <c r="Z40" s="16">
        <f>ROUND(((($I40+$J40)*(Z$72/12))/27),2)</f>
        <v>0.51</v>
      </c>
      <c r="AA40" s="16">
        <f>ROUND(((($I40+$J40)*(AA$72/12))/27),2)</f>
        <v>0.59</v>
      </c>
      <c r="AB40" s="16"/>
      <c r="AC40" s="16"/>
      <c r="AD40" s="16">
        <f>IF($H40=0,$E40,ROUND($E40*$H40,2))</f>
        <v>9.96</v>
      </c>
      <c r="AE40" s="16"/>
      <c r="AF40" s="105"/>
      <c r="AG40" s="106"/>
    </row>
    <row r="41" spans="1:33" s="5" customFormat="1" ht="21.75" customHeight="1">
      <c r="A41" s="12">
        <f t="shared" si="0"/>
        <v>29</v>
      </c>
      <c r="B41" s="13">
        <f t="shared" si="19"/>
        <v>29290</v>
      </c>
      <c r="C41" s="14">
        <v>29428.29</v>
      </c>
      <c r="D41" s="15" t="s">
        <v>33</v>
      </c>
      <c r="E41" s="16">
        <f t="shared" si="14"/>
        <v>138.29000000000087</v>
      </c>
      <c r="F41" s="17">
        <v>12</v>
      </c>
      <c r="G41" s="18">
        <f t="shared" si="15"/>
        <v>0.9979</v>
      </c>
      <c r="H41" s="18">
        <f t="shared" si="16"/>
        <v>0.9959</v>
      </c>
      <c r="I41" s="16">
        <f t="shared" si="17"/>
        <v>1656</v>
      </c>
      <c r="J41" s="16"/>
      <c r="K41" s="16"/>
      <c r="L41" s="16"/>
      <c r="M41" s="16"/>
      <c r="N41" s="16"/>
      <c r="O41" s="16">
        <f>IF($H41=0,ROUND($E41*(O$72/12),2),ROUND($E41*(O$72/12)*$H41,2))</f>
        <v>206.58</v>
      </c>
      <c r="P41" s="16"/>
      <c r="Q41" s="16"/>
      <c r="R41" s="16"/>
      <c r="S41" s="16"/>
      <c r="T41" s="16">
        <f t="shared" si="20"/>
        <v>40.89</v>
      </c>
      <c r="U41" s="16">
        <f t="shared" si="21"/>
        <v>34.49</v>
      </c>
      <c r="V41" s="16"/>
      <c r="W41" s="16">
        <f t="shared" si="22"/>
        <v>30.36</v>
      </c>
      <c r="X41" s="16"/>
      <c r="Y41" s="16"/>
      <c r="Z41" s="16">
        <f>ROUND(((($I41+$J41)*(Z$72/12))/27),2)</f>
        <v>7.67</v>
      </c>
      <c r="AA41" s="16">
        <f>ROUND(((($I41+$J41)*(AA$72/12))/27),2)</f>
        <v>8.94</v>
      </c>
      <c r="AB41" s="16"/>
      <c r="AC41" s="16"/>
      <c r="AD41" s="16">
        <f>IF($H41=0,$E41,ROUND($E41*$H41,2))</f>
        <v>137.72</v>
      </c>
      <c r="AE41" s="16"/>
      <c r="AF41" s="105"/>
      <c r="AG41" s="106"/>
    </row>
    <row r="42" spans="1:33" s="5" customFormat="1" ht="21.75" customHeight="1">
      <c r="A42" s="12">
        <f t="shared" si="0"/>
        <v>30</v>
      </c>
      <c r="B42" s="13">
        <f t="shared" si="19"/>
        <v>29428.29</v>
      </c>
      <c r="C42" s="14">
        <v>29471.25</v>
      </c>
      <c r="D42" s="15" t="s">
        <v>33</v>
      </c>
      <c r="E42" s="16">
        <f t="shared" si="14"/>
        <v>42.95999999999913</v>
      </c>
      <c r="F42" s="17">
        <f>ROUND(AVERAGE(10.282,12),2)</f>
        <v>11.14</v>
      </c>
      <c r="G42" s="18">
        <f t="shared" si="15"/>
        <v>0.9981</v>
      </c>
      <c r="H42" s="18">
        <f t="shared" si="16"/>
        <v>0.9962</v>
      </c>
      <c r="I42" s="16">
        <f t="shared" si="17"/>
        <v>477.67</v>
      </c>
      <c r="J42" s="16"/>
      <c r="K42" s="16">
        <f aca="true" t="shared" si="23" ref="K42:K48">IF($H42=0,ROUND($E42*(K$72/12),2),ROUND($E42*(K$72/12)*$H42,2))</f>
        <v>14.27</v>
      </c>
      <c r="L42" s="16"/>
      <c r="M42" s="16">
        <f aca="true" t="shared" si="24" ref="M42:N48">IF($H42=0,ROUND($E42*(M$72/12),2),ROUND($E42*(M$72/12)*$H42,2))</f>
        <v>35.66</v>
      </c>
      <c r="N42" s="16">
        <f t="shared" si="24"/>
        <v>57.06</v>
      </c>
      <c r="O42" s="16"/>
      <c r="P42" s="16"/>
      <c r="Q42" s="16"/>
      <c r="R42" s="16"/>
      <c r="S42" s="16"/>
      <c r="T42" s="16">
        <f t="shared" si="20"/>
        <v>12.41</v>
      </c>
      <c r="U42" s="16">
        <f t="shared" si="21"/>
        <v>9.9</v>
      </c>
      <c r="V42" s="16"/>
      <c r="W42" s="16">
        <f t="shared" si="22"/>
        <v>9.06</v>
      </c>
      <c r="X42" s="16"/>
      <c r="Y42" s="16"/>
      <c r="Z42" s="16">
        <f t="shared" si="18"/>
        <v>2.21</v>
      </c>
      <c r="AA42" s="16">
        <f t="shared" si="18"/>
        <v>2.58</v>
      </c>
      <c r="AB42" s="16"/>
      <c r="AC42" s="16"/>
      <c r="AD42" s="16"/>
      <c r="AE42" s="16"/>
      <c r="AF42" s="105"/>
      <c r="AG42" s="106"/>
    </row>
    <row r="43" spans="1:33" s="5" customFormat="1" ht="21.75" customHeight="1">
      <c r="A43" s="12">
        <f t="shared" si="0"/>
        <v>31</v>
      </c>
      <c r="B43" s="13">
        <f t="shared" si="19"/>
        <v>29471.25</v>
      </c>
      <c r="C43" s="14">
        <v>29628.29</v>
      </c>
      <c r="D43" s="15" t="s">
        <v>33</v>
      </c>
      <c r="E43" s="16">
        <f t="shared" si="14"/>
        <v>157.04000000000087</v>
      </c>
      <c r="F43" s="17">
        <f>ROUND(AVERAGE(10.282,4),2)</f>
        <v>7.14</v>
      </c>
      <c r="G43" s="18"/>
      <c r="H43" s="18"/>
      <c r="I43" s="16">
        <f aca="true" t="shared" si="25" ref="I43:I49">IF(G43=0,ROUND($E43*$F43,2),ROUND($E43*$F43*$G43,2))</f>
        <v>1121.27</v>
      </c>
      <c r="J43" s="16"/>
      <c r="K43" s="16">
        <f t="shared" si="23"/>
        <v>52.35</v>
      </c>
      <c r="L43" s="16"/>
      <c r="M43" s="16">
        <f t="shared" si="24"/>
        <v>130.87</v>
      </c>
      <c r="N43" s="16">
        <f t="shared" si="24"/>
        <v>209.39</v>
      </c>
      <c r="O43" s="16"/>
      <c r="P43" s="16"/>
      <c r="Q43" s="16"/>
      <c r="R43" s="16"/>
      <c r="S43" s="16"/>
      <c r="T43" s="16">
        <f t="shared" si="20"/>
        <v>29.95</v>
      </c>
      <c r="U43" s="16">
        <f t="shared" si="21"/>
        <v>24.64</v>
      </c>
      <c r="V43" s="16"/>
      <c r="W43" s="16">
        <f t="shared" si="22"/>
        <v>21.68</v>
      </c>
      <c r="X43" s="16"/>
      <c r="Y43" s="16"/>
      <c r="Z43" s="16">
        <f t="shared" si="18"/>
        <v>5.19</v>
      </c>
      <c r="AA43" s="16">
        <f t="shared" si="18"/>
        <v>6.06</v>
      </c>
      <c r="AB43" s="16"/>
      <c r="AC43" s="16"/>
      <c r="AD43" s="16"/>
      <c r="AE43" s="16"/>
      <c r="AF43" s="105"/>
      <c r="AG43" s="106"/>
    </row>
    <row r="44" spans="1:33" s="5" customFormat="1" ht="21.75" customHeight="1">
      <c r="A44" s="12">
        <f t="shared" si="0"/>
        <v>32</v>
      </c>
      <c r="B44" s="13">
        <f t="shared" si="19"/>
        <v>29628.29</v>
      </c>
      <c r="C44" s="14">
        <v>29794.13</v>
      </c>
      <c r="D44" s="15" t="s">
        <v>33</v>
      </c>
      <c r="E44" s="16">
        <f>C44-B44</f>
        <v>165.84000000000015</v>
      </c>
      <c r="F44" s="17">
        <v>4</v>
      </c>
      <c r="G44" s="18"/>
      <c r="H44" s="18"/>
      <c r="I44" s="16">
        <f t="shared" si="25"/>
        <v>663.36</v>
      </c>
      <c r="J44" s="16"/>
      <c r="K44" s="16">
        <f t="shared" si="23"/>
        <v>55.28</v>
      </c>
      <c r="L44" s="16"/>
      <c r="M44" s="16">
        <f t="shared" si="24"/>
        <v>138.2</v>
      </c>
      <c r="N44" s="16">
        <f t="shared" si="24"/>
        <v>221.12</v>
      </c>
      <c r="O44" s="16"/>
      <c r="P44" s="16"/>
      <c r="Q44" s="16"/>
      <c r="R44" s="16"/>
      <c r="S44" s="16"/>
      <c r="T44" s="16">
        <f t="shared" si="20"/>
        <v>18.77</v>
      </c>
      <c r="U44" s="16">
        <f t="shared" si="21"/>
        <v>16.38</v>
      </c>
      <c r="V44" s="16"/>
      <c r="W44" s="16">
        <f t="shared" si="22"/>
        <v>13.34</v>
      </c>
      <c r="X44" s="16"/>
      <c r="Y44" s="16"/>
      <c r="Z44" s="16">
        <f t="shared" si="18"/>
        <v>3.07</v>
      </c>
      <c r="AA44" s="16">
        <f t="shared" si="18"/>
        <v>3.58</v>
      </c>
      <c r="AB44" s="16"/>
      <c r="AC44" s="16"/>
      <c r="AD44" s="16"/>
      <c r="AE44" s="16"/>
      <c r="AF44" s="105"/>
      <c r="AG44" s="106"/>
    </row>
    <row r="45" spans="1:33" s="5" customFormat="1" ht="21.75" customHeight="1">
      <c r="A45" s="12">
        <f t="shared" si="0"/>
        <v>33</v>
      </c>
      <c r="B45" s="13">
        <f t="shared" si="19"/>
        <v>29794.13</v>
      </c>
      <c r="C45" s="14">
        <v>30094.13</v>
      </c>
      <c r="D45" s="15" t="s">
        <v>33</v>
      </c>
      <c r="E45" s="16">
        <f aca="true" t="shared" si="26" ref="E45:E50">C45-B45</f>
        <v>300</v>
      </c>
      <c r="F45" s="17">
        <v>4</v>
      </c>
      <c r="G45" s="18">
        <f>ROUND((5729.578+($F45/2))/5729.578,4)</f>
        <v>1.0003</v>
      </c>
      <c r="H45" s="18">
        <f>ROUND((5729.578+($F45))/5729.578,4)</f>
        <v>1.0007</v>
      </c>
      <c r="I45" s="16">
        <f t="shared" si="25"/>
        <v>1200.36</v>
      </c>
      <c r="J45" s="16"/>
      <c r="K45" s="16">
        <f t="shared" si="23"/>
        <v>100.07</v>
      </c>
      <c r="L45" s="16"/>
      <c r="M45" s="16">
        <f t="shared" si="24"/>
        <v>250.18</v>
      </c>
      <c r="N45" s="16">
        <f t="shared" si="24"/>
        <v>400.28</v>
      </c>
      <c r="O45" s="16"/>
      <c r="P45" s="16"/>
      <c r="Q45" s="16"/>
      <c r="R45" s="16"/>
      <c r="S45" s="16"/>
      <c r="T45" s="16">
        <f t="shared" si="20"/>
        <v>33.96</v>
      </c>
      <c r="U45" s="16">
        <f t="shared" si="21"/>
        <v>29.64</v>
      </c>
      <c r="V45" s="16"/>
      <c r="W45" s="16">
        <f t="shared" si="22"/>
        <v>24.15</v>
      </c>
      <c r="X45" s="16"/>
      <c r="Y45" s="16"/>
      <c r="Z45" s="16">
        <f t="shared" si="18"/>
        <v>5.56</v>
      </c>
      <c r="AA45" s="16">
        <f t="shared" si="18"/>
        <v>6.48</v>
      </c>
      <c r="AB45" s="16"/>
      <c r="AC45" s="16"/>
      <c r="AD45" s="16"/>
      <c r="AE45" s="16"/>
      <c r="AF45" s="105"/>
      <c r="AG45" s="106"/>
    </row>
    <row r="46" spans="1:33" s="5" customFormat="1" ht="21.75" customHeight="1">
      <c r="A46" s="12">
        <f t="shared" si="0"/>
        <v>34</v>
      </c>
      <c r="B46" s="13">
        <f t="shared" si="19"/>
        <v>30094.13</v>
      </c>
      <c r="C46" s="14">
        <v>30530.56</v>
      </c>
      <c r="D46" s="15" t="s">
        <v>33</v>
      </c>
      <c r="E46" s="16">
        <f t="shared" si="26"/>
        <v>436.4300000000003</v>
      </c>
      <c r="F46" s="17">
        <v>4</v>
      </c>
      <c r="G46" s="18"/>
      <c r="H46" s="18"/>
      <c r="I46" s="16">
        <f t="shared" si="25"/>
        <v>1745.72</v>
      </c>
      <c r="J46" s="16"/>
      <c r="K46" s="16">
        <f t="shared" si="23"/>
        <v>145.48</v>
      </c>
      <c r="L46" s="16"/>
      <c r="M46" s="16">
        <f t="shared" si="24"/>
        <v>363.69</v>
      </c>
      <c r="N46" s="16">
        <f t="shared" si="24"/>
        <v>581.91</v>
      </c>
      <c r="O46" s="16"/>
      <c r="P46" s="16"/>
      <c r="Q46" s="16"/>
      <c r="R46" s="16"/>
      <c r="S46" s="16"/>
      <c r="T46" s="16">
        <f t="shared" si="20"/>
        <v>49.39</v>
      </c>
      <c r="U46" s="16">
        <f t="shared" si="21"/>
        <v>43.1</v>
      </c>
      <c r="V46" s="16"/>
      <c r="W46" s="16">
        <f t="shared" si="22"/>
        <v>35.12</v>
      </c>
      <c r="X46" s="16"/>
      <c r="Y46" s="16"/>
      <c r="Z46" s="16">
        <f t="shared" si="18"/>
        <v>8.08</v>
      </c>
      <c r="AA46" s="16">
        <f t="shared" si="18"/>
        <v>9.43</v>
      </c>
      <c r="AB46" s="16"/>
      <c r="AC46" s="16"/>
      <c r="AD46" s="16"/>
      <c r="AE46" s="16"/>
      <c r="AF46" s="105"/>
      <c r="AG46" s="106"/>
    </row>
    <row r="47" spans="1:33" s="5" customFormat="1" ht="21.75" customHeight="1">
      <c r="A47" s="12">
        <f t="shared" si="0"/>
        <v>35</v>
      </c>
      <c r="B47" s="13">
        <f t="shared" si="19"/>
        <v>30530.56</v>
      </c>
      <c r="C47" s="14">
        <v>30730.56</v>
      </c>
      <c r="D47" s="15" t="s">
        <v>33</v>
      </c>
      <c r="E47" s="16">
        <f t="shared" si="26"/>
        <v>200</v>
      </c>
      <c r="F47" s="17">
        <v>4</v>
      </c>
      <c r="G47" s="18">
        <f>ROUND((((477.458-(((3.5+4)/2)/2))/477.458)+1)/2,4)</f>
        <v>0.998</v>
      </c>
      <c r="H47" s="18">
        <f>ROUND((((477.458-(((3.5+4)/2)))/477.458)+1)/2,4)</f>
        <v>0.9961</v>
      </c>
      <c r="I47" s="16">
        <f t="shared" si="25"/>
        <v>798.4</v>
      </c>
      <c r="J47" s="16"/>
      <c r="K47" s="16">
        <f t="shared" si="23"/>
        <v>66.41</v>
      </c>
      <c r="L47" s="16"/>
      <c r="M47" s="16">
        <f t="shared" si="24"/>
        <v>166.02</v>
      </c>
      <c r="N47" s="16">
        <f t="shared" si="24"/>
        <v>265.63</v>
      </c>
      <c r="O47" s="16"/>
      <c r="P47" s="16"/>
      <c r="Q47" s="16"/>
      <c r="R47" s="16"/>
      <c r="S47" s="16"/>
      <c r="T47" s="16">
        <f t="shared" si="20"/>
        <v>22.58</v>
      </c>
      <c r="U47" s="16">
        <f t="shared" si="21"/>
        <v>19.7</v>
      </c>
      <c r="V47" s="16"/>
      <c r="W47" s="16">
        <f t="shared" si="22"/>
        <v>16.06</v>
      </c>
      <c r="X47" s="16"/>
      <c r="Y47" s="16"/>
      <c r="Z47" s="16">
        <f t="shared" si="18"/>
        <v>3.7</v>
      </c>
      <c r="AA47" s="16">
        <f t="shared" si="18"/>
        <v>4.31</v>
      </c>
      <c r="AB47" s="16"/>
      <c r="AC47" s="16"/>
      <c r="AD47" s="16"/>
      <c r="AE47" s="16"/>
      <c r="AF47" s="105"/>
      <c r="AG47" s="106"/>
    </row>
    <row r="48" spans="1:33" s="5" customFormat="1" ht="21.75" customHeight="1">
      <c r="A48" s="12">
        <f t="shared" si="0"/>
        <v>36</v>
      </c>
      <c r="B48" s="13">
        <f t="shared" si="19"/>
        <v>30730.56</v>
      </c>
      <c r="C48" s="14">
        <v>30749.11</v>
      </c>
      <c r="D48" s="15" t="s">
        <v>33</v>
      </c>
      <c r="E48" s="16">
        <f t="shared" si="26"/>
        <v>18.549999999999272</v>
      </c>
      <c r="F48" s="17">
        <v>4</v>
      </c>
      <c r="G48" s="18">
        <f>ROUND((477.458-(3.5/2))/477.458,4)</f>
        <v>0.9963</v>
      </c>
      <c r="H48" s="18">
        <f>ROUND((477.458-(3.5))/477.458,4)</f>
        <v>0.9927</v>
      </c>
      <c r="I48" s="16">
        <f t="shared" si="25"/>
        <v>73.93</v>
      </c>
      <c r="J48" s="16"/>
      <c r="K48" s="16">
        <f t="shared" si="23"/>
        <v>6.14</v>
      </c>
      <c r="L48" s="16"/>
      <c r="M48" s="16">
        <f t="shared" si="24"/>
        <v>15.35</v>
      </c>
      <c r="N48" s="16">
        <f t="shared" si="24"/>
        <v>24.55</v>
      </c>
      <c r="O48" s="16"/>
      <c r="P48" s="16"/>
      <c r="Q48" s="16"/>
      <c r="R48" s="16"/>
      <c r="S48" s="16"/>
      <c r="T48" s="16">
        <f t="shared" si="20"/>
        <v>2.09</v>
      </c>
      <c r="U48" s="16">
        <f t="shared" si="21"/>
        <v>1.82</v>
      </c>
      <c r="V48" s="16"/>
      <c r="W48" s="16">
        <f t="shared" si="22"/>
        <v>1.49</v>
      </c>
      <c r="X48" s="16"/>
      <c r="Y48" s="16"/>
      <c r="Z48" s="16">
        <f t="shared" si="18"/>
        <v>0.34</v>
      </c>
      <c r="AA48" s="16">
        <f t="shared" si="18"/>
        <v>0.4</v>
      </c>
      <c r="AB48" s="16"/>
      <c r="AC48" s="16"/>
      <c r="AD48" s="16"/>
      <c r="AE48" s="16"/>
      <c r="AF48" s="105"/>
      <c r="AG48" s="106"/>
    </row>
    <row r="49" spans="1:33" s="5" customFormat="1" ht="21.75" customHeight="1">
      <c r="A49" s="12">
        <f t="shared" si="0"/>
        <v>37</v>
      </c>
      <c r="B49" s="13">
        <f t="shared" si="19"/>
        <v>30749.11</v>
      </c>
      <c r="C49" s="14">
        <v>30788.67</v>
      </c>
      <c r="D49" s="15" t="s">
        <v>33</v>
      </c>
      <c r="E49" s="16">
        <f t="shared" si="26"/>
        <v>39.55999999999767</v>
      </c>
      <c r="F49" s="17">
        <v>4</v>
      </c>
      <c r="G49" s="18">
        <f>ROUND((477.458-($F49/2))/477.458,4)</f>
        <v>0.9958</v>
      </c>
      <c r="H49" s="18">
        <f>ROUND((477.458-($F49))/477.458,4)</f>
        <v>0.9916</v>
      </c>
      <c r="I49" s="16">
        <f t="shared" si="25"/>
        <v>157.58</v>
      </c>
      <c r="J49" s="16"/>
      <c r="K49" s="16"/>
      <c r="L49" s="16"/>
      <c r="M49" s="16"/>
      <c r="N49" s="16"/>
      <c r="O49" s="16">
        <f>IF($H49=0,ROUND($E49*(O$72/12),2),ROUND($E49*(O$72/12)*$H49,2))</f>
        <v>58.84</v>
      </c>
      <c r="P49" s="16"/>
      <c r="Q49" s="41"/>
      <c r="R49" s="16"/>
      <c r="S49" s="16"/>
      <c r="T49" s="16">
        <f t="shared" si="20"/>
        <v>3.89</v>
      </c>
      <c r="U49" s="16">
        <f t="shared" si="21"/>
        <v>4.01</v>
      </c>
      <c r="V49" s="16"/>
      <c r="W49" s="16">
        <f t="shared" si="22"/>
        <v>2.89</v>
      </c>
      <c r="X49" s="16"/>
      <c r="Y49" s="16"/>
      <c r="Z49" s="16">
        <f t="shared" si="18"/>
        <v>0.73</v>
      </c>
      <c r="AA49" s="16">
        <f t="shared" si="18"/>
        <v>0.85</v>
      </c>
      <c r="AB49" s="16"/>
      <c r="AC49" s="16"/>
      <c r="AD49" s="16">
        <f>IF($H49=0,$E49,ROUND($E49*$H49,2))</f>
        <v>39.23</v>
      </c>
      <c r="AE49" s="16"/>
      <c r="AF49" s="105"/>
      <c r="AG49" s="106"/>
    </row>
    <row r="50" spans="1:33" s="5" customFormat="1" ht="21.75" customHeight="1" thickBot="1">
      <c r="A50" s="12">
        <f t="shared" si="0"/>
        <v>38</v>
      </c>
      <c r="B50" s="13">
        <f t="shared" si="19"/>
        <v>30788.67</v>
      </c>
      <c r="C50" s="14">
        <v>30792.46</v>
      </c>
      <c r="D50" s="15" t="s">
        <v>33</v>
      </c>
      <c r="E50" s="16">
        <f t="shared" si="26"/>
        <v>3.790000000000873</v>
      </c>
      <c r="F50" s="80" t="s">
        <v>31</v>
      </c>
      <c r="G50" s="81"/>
      <c r="H50" s="81"/>
      <c r="I50" s="82"/>
      <c r="J50" s="16">
        <v>15.19</v>
      </c>
      <c r="K50" s="16"/>
      <c r="L50" s="16"/>
      <c r="M50" s="16"/>
      <c r="N50" s="16"/>
      <c r="O50" s="16"/>
      <c r="P50" s="16"/>
      <c r="Q50" s="16"/>
      <c r="R50" s="16"/>
      <c r="S50" s="16"/>
      <c r="T50" s="16">
        <f t="shared" si="20"/>
        <v>0.38</v>
      </c>
      <c r="U50" s="16">
        <f t="shared" si="21"/>
        <v>0.28</v>
      </c>
      <c r="V50" s="16"/>
      <c r="W50" s="16">
        <f t="shared" si="22"/>
        <v>0.28</v>
      </c>
      <c r="X50" s="16"/>
      <c r="Y50" s="16"/>
      <c r="Z50" s="16">
        <f t="shared" si="18"/>
        <v>0.07</v>
      </c>
      <c r="AA50" s="16">
        <f t="shared" si="18"/>
        <v>0.08</v>
      </c>
      <c r="AB50" s="16"/>
      <c r="AC50" s="16"/>
      <c r="AD50" s="16"/>
      <c r="AE50" s="16"/>
      <c r="AF50" s="107"/>
      <c r="AG50" s="108"/>
    </row>
    <row r="51" spans="1:33" s="5" customFormat="1" ht="21.75" customHeight="1">
      <c r="A51" s="12">
        <f t="shared" si="0"/>
        <v>39</v>
      </c>
      <c r="B51" s="13"/>
      <c r="C51" s="14"/>
      <c r="D51" s="15"/>
      <c r="E51" s="16"/>
      <c r="F51" s="17"/>
      <c r="G51" s="1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03" t="s">
        <v>93</v>
      </c>
      <c r="AG51" s="104"/>
    </row>
    <row r="52" spans="1:33" s="5" customFormat="1" ht="21.75" customHeight="1">
      <c r="A52" s="12">
        <f t="shared" si="0"/>
        <v>40</v>
      </c>
      <c r="B52" s="13">
        <v>981.21</v>
      </c>
      <c r="C52" s="14">
        <v>983.48</v>
      </c>
      <c r="D52" s="15" t="s">
        <v>33</v>
      </c>
      <c r="E52" s="16">
        <f aca="true" t="shared" si="27" ref="E52:E58">C52-B52</f>
        <v>2.269999999999982</v>
      </c>
      <c r="F52" s="80" t="s">
        <v>31</v>
      </c>
      <c r="G52" s="81"/>
      <c r="H52" s="81"/>
      <c r="I52" s="82"/>
      <c r="J52" s="16">
        <v>4.51</v>
      </c>
      <c r="K52" s="16">
        <f aca="true" t="shared" si="28" ref="K52:K58">IF($H52=0,ROUND($E52*(K$72/12),2),ROUND($E52*(K$72/12)*$H52,2))</f>
        <v>0.76</v>
      </c>
      <c r="L52" s="16"/>
      <c r="M52" s="16">
        <f>IF($H52=0,ROUND($E52*(M$72/12),2),ROUND($E52*(M$72/12)*$H52,2))</f>
        <v>1.89</v>
      </c>
      <c r="N52" s="16">
        <f aca="true" t="shared" si="29" ref="M52:N58">IF($H52=0,ROUND($E52*(N$72/12),2),ROUND($E52*(N$72/12)*$H52,2))</f>
        <v>3.03</v>
      </c>
      <c r="O52" s="16"/>
      <c r="P52" s="16"/>
      <c r="Q52" s="16"/>
      <c r="R52" s="16"/>
      <c r="S52" s="16"/>
      <c r="T52" s="16">
        <f aca="true" t="shared" si="30" ref="T52:T58">ROUND(((($I52+$J52)*(T$72/12)+($K52)*(T$73/12)+($M52)*(T$73/12))/27),2)</f>
        <v>0.14</v>
      </c>
      <c r="U52" s="16">
        <f aca="true" t="shared" si="31" ref="U52:U58">ROUND(((($I52+$J52+$N52+$O52+$P52+$Q52)*(U$72/12))/27),2)</f>
        <v>0.14</v>
      </c>
      <c r="V52" s="16"/>
      <c r="W52" s="16">
        <f aca="true" t="shared" si="32" ref="W52:W58">ROUND(((($I52+$J52)/9)*$W$72)+((($I52+$J52+$K52)/9)*$W$72)+((($I52+$J52+$M52)/9)*$W$72),2)</f>
        <v>0.1</v>
      </c>
      <c r="X52" s="16"/>
      <c r="Y52" s="16"/>
      <c r="Z52" s="16">
        <f>ROUND(((($I52+$J52)*(Z$72/12))/27),2)</f>
        <v>0.02</v>
      </c>
      <c r="AA52" s="16">
        <f t="shared" si="18"/>
        <v>0.02</v>
      </c>
      <c r="AB52" s="16"/>
      <c r="AC52" s="16"/>
      <c r="AD52" s="16"/>
      <c r="AE52" s="16"/>
      <c r="AF52" s="105"/>
      <c r="AG52" s="106"/>
    </row>
    <row r="53" spans="1:33" s="5" customFormat="1" ht="21.75" customHeight="1">
      <c r="A53" s="12">
        <f t="shared" si="0"/>
        <v>41</v>
      </c>
      <c r="B53" s="13">
        <f aca="true" t="shared" si="33" ref="B53:B58">C52</f>
        <v>983.48</v>
      </c>
      <c r="C53" s="14">
        <v>1000</v>
      </c>
      <c r="D53" s="15" t="s">
        <v>33</v>
      </c>
      <c r="E53" s="16">
        <f t="shared" si="27"/>
        <v>16.519999999999982</v>
      </c>
      <c r="F53" s="17">
        <v>4</v>
      </c>
      <c r="G53" s="18">
        <f>ROUND((477.458-(3.5/2))/477.458,4)</f>
        <v>0.9963</v>
      </c>
      <c r="H53" s="18">
        <f>ROUND((477.458-(3.5))/477.458,4)</f>
        <v>0.9927</v>
      </c>
      <c r="I53" s="16">
        <f>IF(G53=0,ROUND($E53*$F53,2),ROUND($E53*$F53*$G53,2))</f>
        <v>65.84</v>
      </c>
      <c r="J53" s="16"/>
      <c r="K53" s="16">
        <f t="shared" si="28"/>
        <v>5.47</v>
      </c>
      <c r="L53" s="16"/>
      <c r="M53" s="16">
        <f t="shared" si="29"/>
        <v>13.67</v>
      </c>
      <c r="N53" s="16">
        <f t="shared" si="29"/>
        <v>21.87</v>
      </c>
      <c r="O53" s="16"/>
      <c r="P53" s="16"/>
      <c r="Q53" s="16"/>
      <c r="R53" s="16"/>
      <c r="S53" s="16"/>
      <c r="T53" s="16">
        <f t="shared" si="30"/>
        <v>1.86</v>
      </c>
      <c r="U53" s="16">
        <f t="shared" si="31"/>
        <v>1.62</v>
      </c>
      <c r="V53" s="16"/>
      <c r="W53" s="16">
        <f t="shared" si="32"/>
        <v>1.32</v>
      </c>
      <c r="X53" s="16"/>
      <c r="Y53" s="16"/>
      <c r="Z53" s="16">
        <f>ROUND(((($I53+$J53)*(Z$72/12))/27),2)</f>
        <v>0.3</v>
      </c>
      <c r="AA53" s="16">
        <f aca="true" t="shared" si="34" ref="Z53:AA58">ROUND(((($I53+$J53)*(AA$72/12))/27),2)</f>
        <v>0.36</v>
      </c>
      <c r="AB53" s="16"/>
      <c r="AC53" s="16"/>
      <c r="AD53" s="16"/>
      <c r="AE53" s="16"/>
      <c r="AF53" s="105"/>
      <c r="AG53" s="106"/>
    </row>
    <row r="54" spans="1:33" s="5" customFormat="1" ht="21.75" customHeight="1">
      <c r="A54" s="12">
        <f t="shared" si="0"/>
        <v>42</v>
      </c>
      <c r="B54" s="13">
        <f t="shared" si="33"/>
        <v>1000</v>
      </c>
      <c r="C54" s="14">
        <v>1100</v>
      </c>
      <c r="D54" s="15" t="s">
        <v>33</v>
      </c>
      <c r="E54" s="16">
        <f t="shared" si="27"/>
        <v>100</v>
      </c>
      <c r="F54" s="17">
        <v>4</v>
      </c>
      <c r="G54" s="18">
        <f>ROUND((477.458-(((4+3.5)/2)/2))/477.458,4)</f>
        <v>0.9961</v>
      </c>
      <c r="H54" s="18">
        <f>ROUND((477.458-(((4+3.5)/2)))/477.458,4)</f>
        <v>0.9921</v>
      </c>
      <c r="I54" s="16">
        <f>IF(G54=0,ROUND($E54*$F54,2),ROUND($E54*$F54*$G54,2))</f>
        <v>398.44</v>
      </c>
      <c r="J54" s="16"/>
      <c r="K54" s="16">
        <f t="shared" si="28"/>
        <v>33.07</v>
      </c>
      <c r="L54" s="16"/>
      <c r="M54" s="16">
        <f t="shared" si="29"/>
        <v>82.68</v>
      </c>
      <c r="N54" s="16">
        <f t="shared" si="29"/>
        <v>132.28</v>
      </c>
      <c r="O54" s="16"/>
      <c r="P54" s="16"/>
      <c r="Q54" s="16"/>
      <c r="R54" s="16"/>
      <c r="S54" s="16"/>
      <c r="T54" s="16">
        <f t="shared" si="30"/>
        <v>11.27</v>
      </c>
      <c r="U54" s="16">
        <f t="shared" si="31"/>
        <v>9.83</v>
      </c>
      <c r="V54" s="16"/>
      <c r="W54" s="16">
        <f t="shared" si="32"/>
        <v>8.01</v>
      </c>
      <c r="X54" s="16"/>
      <c r="Y54" s="16"/>
      <c r="Z54" s="16">
        <f>ROUND(((($I54+$J54)*(Z$72/12))/27),2)</f>
        <v>1.84</v>
      </c>
      <c r="AA54" s="16">
        <f t="shared" si="34"/>
        <v>2.15</v>
      </c>
      <c r="AB54" s="16"/>
      <c r="AC54" s="16"/>
      <c r="AD54" s="16"/>
      <c r="AE54" s="16"/>
      <c r="AF54" s="105"/>
      <c r="AG54" s="106"/>
    </row>
    <row r="55" spans="1:33" s="5" customFormat="1" ht="21.75" customHeight="1">
      <c r="A55" s="12">
        <f t="shared" si="0"/>
        <v>43</v>
      </c>
      <c r="B55" s="13">
        <f t="shared" si="33"/>
        <v>1100</v>
      </c>
      <c r="C55" s="14">
        <v>1387.73</v>
      </c>
      <c r="D55" s="15" t="s">
        <v>33</v>
      </c>
      <c r="E55" s="16">
        <f t="shared" si="27"/>
        <v>287.73</v>
      </c>
      <c r="F55" s="17">
        <v>4</v>
      </c>
      <c r="G55" s="18">
        <f>ROUND((477.458-($F55/2))/477.458,4)</f>
        <v>0.9958</v>
      </c>
      <c r="H55" s="18">
        <f>ROUND((477.458-($F55))/477.458,4)</f>
        <v>0.9916</v>
      </c>
      <c r="I55" s="16">
        <f>IF(G55=0,ROUND($E55*$F55,2),ROUND($E55*$F55*$G55,2))</f>
        <v>1146.09</v>
      </c>
      <c r="J55" s="16"/>
      <c r="K55" s="16">
        <f t="shared" si="28"/>
        <v>95.1</v>
      </c>
      <c r="L55" s="16"/>
      <c r="M55" s="16">
        <f t="shared" si="29"/>
        <v>237.76</v>
      </c>
      <c r="N55" s="16">
        <f t="shared" si="29"/>
        <v>380.42</v>
      </c>
      <c r="O55" s="16"/>
      <c r="P55" s="16"/>
      <c r="Q55" s="16"/>
      <c r="R55" s="16"/>
      <c r="S55" s="16"/>
      <c r="T55" s="16">
        <f t="shared" si="30"/>
        <v>32.41</v>
      </c>
      <c r="U55" s="16">
        <f t="shared" si="31"/>
        <v>28.27</v>
      </c>
      <c r="V55" s="16"/>
      <c r="W55" s="16">
        <f t="shared" si="32"/>
        <v>23.05</v>
      </c>
      <c r="X55" s="16"/>
      <c r="Y55" s="16"/>
      <c r="Z55" s="16">
        <f t="shared" si="34"/>
        <v>5.31</v>
      </c>
      <c r="AA55" s="16">
        <f t="shared" si="34"/>
        <v>6.19</v>
      </c>
      <c r="AB55" s="16"/>
      <c r="AC55" s="16"/>
      <c r="AD55" s="16"/>
      <c r="AE55" s="16"/>
      <c r="AF55" s="105"/>
      <c r="AG55" s="106"/>
    </row>
    <row r="56" spans="1:33" s="5" customFormat="1" ht="21.75" customHeight="1">
      <c r="A56" s="12">
        <f t="shared" si="0"/>
        <v>44</v>
      </c>
      <c r="B56" s="13">
        <f t="shared" si="33"/>
        <v>1387.73</v>
      </c>
      <c r="C56" s="14">
        <v>1962.73</v>
      </c>
      <c r="D56" s="15" t="s">
        <v>33</v>
      </c>
      <c r="E56" s="16">
        <f t="shared" si="27"/>
        <v>575</v>
      </c>
      <c r="F56" s="17">
        <v>4</v>
      </c>
      <c r="G56" s="18">
        <f>ROUND((1+((848.826+($F56/2))/848.826))/2,4)</f>
        <v>1.0012</v>
      </c>
      <c r="H56" s="18">
        <f>ROUND((1+((848.826+($F56))/848.826))/2,4)</f>
        <v>1.0024</v>
      </c>
      <c r="I56" s="16">
        <f>IF(G56=0,ROUND($E56*$F56,2),ROUND($E56*$F56*$G56,2))</f>
        <v>2302.76</v>
      </c>
      <c r="J56" s="16"/>
      <c r="K56" s="16">
        <f t="shared" si="28"/>
        <v>192.13</v>
      </c>
      <c r="L56" s="16"/>
      <c r="M56" s="16">
        <f t="shared" si="29"/>
        <v>480.32</v>
      </c>
      <c r="N56" s="16">
        <f t="shared" si="29"/>
        <v>768.51</v>
      </c>
      <c r="O56" s="16"/>
      <c r="P56" s="16"/>
      <c r="Q56" s="16"/>
      <c r="R56" s="16"/>
      <c r="S56" s="16"/>
      <c r="T56" s="16">
        <f t="shared" si="30"/>
        <v>65.16</v>
      </c>
      <c r="U56" s="16">
        <f t="shared" si="31"/>
        <v>56.88</v>
      </c>
      <c r="V56" s="16"/>
      <c r="W56" s="16">
        <f t="shared" si="32"/>
        <v>46.33</v>
      </c>
      <c r="X56" s="16"/>
      <c r="Y56" s="16"/>
      <c r="Z56" s="16">
        <f t="shared" si="34"/>
        <v>10.66</v>
      </c>
      <c r="AA56" s="16">
        <f t="shared" si="34"/>
        <v>12.44</v>
      </c>
      <c r="AB56" s="16"/>
      <c r="AC56" s="16"/>
      <c r="AD56" s="16"/>
      <c r="AE56" s="16"/>
      <c r="AF56" s="105"/>
      <c r="AG56" s="106"/>
    </row>
    <row r="57" spans="1:33" s="5" customFormat="1" ht="21.75" customHeight="1">
      <c r="A57" s="12">
        <f t="shared" si="0"/>
        <v>45</v>
      </c>
      <c r="B57" s="13">
        <f t="shared" si="33"/>
        <v>1962.73</v>
      </c>
      <c r="C57" s="14">
        <v>2239.81</v>
      </c>
      <c r="D57" s="15" t="s">
        <v>33</v>
      </c>
      <c r="E57" s="16">
        <f t="shared" si="27"/>
        <v>277.0799999999999</v>
      </c>
      <c r="F57" s="17">
        <v>4</v>
      </c>
      <c r="G57" s="18">
        <f>ROUND((848.826+($F57/2))/848.826,4)</f>
        <v>1.0024</v>
      </c>
      <c r="H57" s="18">
        <f>ROUND((848.826+($F57))/848.826,4)</f>
        <v>1.0047</v>
      </c>
      <c r="I57" s="16">
        <f>IF(G57=0,ROUND($E57*$F57,2),ROUND($E57*$F57*$G57,2))</f>
        <v>1110.98</v>
      </c>
      <c r="J57" s="16"/>
      <c r="K57" s="16">
        <f t="shared" si="28"/>
        <v>92.79</v>
      </c>
      <c r="L57" s="16"/>
      <c r="M57" s="16">
        <f t="shared" si="29"/>
        <v>231.99</v>
      </c>
      <c r="N57" s="16">
        <f t="shared" si="29"/>
        <v>371.18</v>
      </c>
      <c r="O57" s="16"/>
      <c r="P57" s="16"/>
      <c r="Q57" s="16"/>
      <c r="R57" s="16"/>
      <c r="S57" s="16"/>
      <c r="T57" s="16">
        <f t="shared" si="30"/>
        <v>31.44</v>
      </c>
      <c r="U57" s="16">
        <f t="shared" si="31"/>
        <v>27.45</v>
      </c>
      <c r="V57" s="16"/>
      <c r="W57" s="16">
        <f t="shared" si="32"/>
        <v>22.35</v>
      </c>
      <c r="X57" s="16"/>
      <c r="Y57" s="16"/>
      <c r="Z57" s="16">
        <f t="shared" si="34"/>
        <v>5.14</v>
      </c>
      <c r="AA57" s="16">
        <f t="shared" si="34"/>
        <v>6</v>
      </c>
      <c r="AB57" s="16"/>
      <c r="AC57" s="16"/>
      <c r="AD57" s="16"/>
      <c r="AE57" s="16"/>
      <c r="AF57" s="105"/>
      <c r="AG57" s="106"/>
    </row>
    <row r="58" spans="1:33" s="5" customFormat="1" ht="21.75" customHeight="1">
      <c r="A58" s="12">
        <f t="shared" si="0"/>
        <v>46</v>
      </c>
      <c r="B58" s="13">
        <f t="shared" si="33"/>
        <v>2239.81</v>
      </c>
      <c r="C58" s="14">
        <v>2318.76</v>
      </c>
      <c r="D58" s="15" t="s">
        <v>33</v>
      </c>
      <c r="E58" s="16">
        <f t="shared" si="27"/>
        <v>78.95000000000027</v>
      </c>
      <c r="F58" s="80" t="s">
        <v>31</v>
      </c>
      <c r="G58" s="81"/>
      <c r="H58" s="81"/>
      <c r="I58" s="82"/>
      <c r="J58" s="16">
        <v>315.805</v>
      </c>
      <c r="K58" s="16">
        <f t="shared" si="28"/>
        <v>26.32</v>
      </c>
      <c r="L58" s="16"/>
      <c r="M58" s="16">
        <f t="shared" si="29"/>
        <v>65.79</v>
      </c>
      <c r="N58" s="16">
        <f t="shared" si="29"/>
        <v>105.27</v>
      </c>
      <c r="O58" s="16"/>
      <c r="P58" s="16"/>
      <c r="Q58" s="16"/>
      <c r="R58" s="16"/>
      <c r="S58" s="16"/>
      <c r="T58" s="16">
        <f t="shared" si="30"/>
        <v>8.93</v>
      </c>
      <c r="U58" s="16">
        <f t="shared" si="31"/>
        <v>7.8</v>
      </c>
      <c r="V58" s="16"/>
      <c r="W58" s="16">
        <f t="shared" si="32"/>
        <v>6.35</v>
      </c>
      <c r="X58" s="16"/>
      <c r="Y58" s="16"/>
      <c r="Z58" s="16">
        <f t="shared" si="34"/>
        <v>1.46</v>
      </c>
      <c r="AA58" s="16">
        <f t="shared" si="34"/>
        <v>1.71</v>
      </c>
      <c r="AB58" s="16"/>
      <c r="AC58" s="16"/>
      <c r="AD58" s="16"/>
      <c r="AE58" s="16"/>
      <c r="AF58" s="105"/>
      <c r="AG58" s="106"/>
    </row>
    <row r="59" spans="1:33" s="5" customFormat="1" ht="21.75" customHeight="1">
      <c r="A59" s="12">
        <f t="shared" si="0"/>
        <v>47</v>
      </c>
      <c r="B59" s="13"/>
      <c r="C59" s="14"/>
      <c r="D59" s="15"/>
      <c r="E59" s="16"/>
      <c r="F59" s="17"/>
      <c r="G59" s="18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05"/>
      <c r="AG59" s="106"/>
    </row>
    <row r="60" spans="1:33" s="5" customFormat="1" ht="21.75" customHeight="1">
      <c r="A60" s="12">
        <f t="shared" si="0"/>
        <v>48</v>
      </c>
      <c r="B60" s="13"/>
      <c r="C60" s="14"/>
      <c r="D60" s="15"/>
      <c r="E60" s="16"/>
      <c r="F60" s="17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05"/>
      <c r="AG60" s="106"/>
    </row>
    <row r="61" spans="1:33" s="5" customFormat="1" ht="21.75" customHeight="1">
      <c r="A61" s="12">
        <f t="shared" si="0"/>
        <v>49</v>
      </c>
      <c r="B61" s="13"/>
      <c r="C61" s="14"/>
      <c r="D61" s="15"/>
      <c r="E61" s="16"/>
      <c r="F61" s="17"/>
      <c r="G61" s="18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05"/>
      <c r="AG61" s="106"/>
    </row>
    <row r="62" spans="1:33" s="24" customFormat="1" ht="21.75" customHeight="1">
      <c r="A62" s="12">
        <f t="shared" si="0"/>
        <v>50</v>
      </c>
      <c r="B62" s="13"/>
      <c r="C62" s="14"/>
      <c r="D62" s="15"/>
      <c r="E62" s="16"/>
      <c r="F62" s="17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05"/>
      <c r="AG62" s="106"/>
    </row>
    <row r="63" spans="1:33" s="24" customFormat="1" ht="21.75" customHeight="1">
      <c r="A63" s="12">
        <f t="shared" si="0"/>
        <v>51</v>
      </c>
      <c r="B63" s="13"/>
      <c r="C63" s="14"/>
      <c r="D63" s="15"/>
      <c r="E63" s="16"/>
      <c r="F63" s="17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05"/>
      <c r="AG63" s="106"/>
    </row>
    <row r="64" spans="1:33" s="24" customFormat="1" ht="21.75" customHeight="1">
      <c r="A64" s="12">
        <f t="shared" si="0"/>
        <v>52</v>
      </c>
      <c r="B64" s="13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12"/>
      <c r="AG64" s="106"/>
    </row>
    <row r="65" spans="1:33" s="24" customFormat="1" ht="21.75" customHeight="1">
      <c r="A65" s="12">
        <f t="shared" si="0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12"/>
      <c r="AG65" s="106"/>
    </row>
    <row r="66" spans="1:33" s="24" customFormat="1" ht="21.75" customHeight="1" thickBot="1">
      <c r="A66" s="12">
        <f t="shared" si="0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13"/>
      <c r="AG66" s="108"/>
    </row>
    <row r="67" spans="2:33" s="25" customFormat="1" ht="46.5" customHeight="1">
      <c r="B67" s="93" t="s">
        <v>8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5"/>
      <c r="S67" s="110" t="str">
        <f>IF(SUM(S13:S66)=0," ",ROUNDUP(SUM(S13:S66),0))</f>
        <v> </v>
      </c>
      <c r="T67" s="110">
        <f aca="true" t="shared" si="35" ref="T67:AE67">IF(SUM(T13:T66)=0," ",ROUNDUP(SUM(T13:T66),0))</f>
        <v>3484</v>
      </c>
      <c r="U67" s="110">
        <f t="shared" si="35"/>
        <v>2666</v>
      </c>
      <c r="V67" s="110" t="str">
        <f t="shared" si="35"/>
        <v> </v>
      </c>
      <c r="W67" s="110">
        <f t="shared" si="35"/>
        <v>2575</v>
      </c>
      <c r="X67" s="110" t="str">
        <f t="shared" si="35"/>
        <v> </v>
      </c>
      <c r="Y67" s="110" t="str">
        <f t="shared" si="35"/>
        <v> </v>
      </c>
      <c r="Z67" s="110">
        <f t="shared" si="35"/>
        <v>644</v>
      </c>
      <c r="AA67" s="110">
        <f t="shared" si="35"/>
        <v>752</v>
      </c>
      <c r="AB67" s="110">
        <f t="shared" si="35"/>
        <v>1189</v>
      </c>
      <c r="AC67" s="110" t="str">
        <f t="shared" si="35"/>
        <v> </v>
      </c>
      <c r="AD67" s="110">
        <f t="shared" si="35"/>
        <v>206</v>
      </c>
      <c r="AE67" s="110" t="str">
        <f t="shared" si="35"/>
        <v> </v>
      </c>
      <c r="AF67" s="120">
        <v>9</v>
      </c>
      <c r="AG67" s="121"/>
    </row>
    <row r="68" spans="2:33" s="25" customFormat="1" ht="46.5" customHeight="1" thickBot="1"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8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4">
        <v>15</v>
      </c>
      <c r="AG68" s="115"/>
    </row>
    <row r="69" spans="1:34" ht="36" customHeight="1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U69" s="27"/>
      <c r="V69" s="27"/>
      <c r="W69" s="1"/>
      <c r="X69" s="27"/>
      <c r="Y69" s="27"/>
      <c r="Z69" s="27"/>
      <c r="AA69" s="27"/>
      <c r="AB69" s="27"/>
      <c r="AF69" s="27"/>
      <c r="AG69" s="27"/>
      <c r="AH69" s="28"/>
    </row>
    <row r="70" spans="2:33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U70" s="27"/>
      <c r="V70" s="27"/>
      <c r="W70" s="1"/>
      <c r="X70" s="27"/>
      <c r="Y70" s="27"/>
      <c r="Z70" s="27"/>
      <c r="AA70" s="27"/>
      <c r="AB70" s="27"/>
      <c r="AF70" s="27"/>
      <c r="AG70" s="27"/>
    </row>
    <row r="71" spans="2:33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U71" s="27"/>
      <c r="V71" s="27"/>
      <c r="W71" s="1"/>
      <c r="X71" s="27"/>
      <c r="Y71" s="27"/>
      <c r="Z71" s="27"/>
      <c r="AA71" s="27"/>
      <c r="AB71" s="27"/>
      <c r="AF71" s="27"/>
      <c r="AG71" s="27"/>
    </row>
    <row r="72" spans="2:33" ht="15.75">
      <c r="B72" s="60" t="s">
        <v>34</v>
      </c>
      <c r="C72" s="61"/>
      <c r="D72" s="61"/>
      <c r="E72" s="61"/>
      <c r="F72" s="61"/>
      <c r="G72" s="62"/>
      <c r="H72" s="44"/>
      <c r="I72" s="42"/>
      <c r="J72" s="42"/>
      <c r="K72" s="42">
        <v>4</v>
      </c>
      <c r="L72" s="42">
        <v>6</v>
      </c>
      <c r="M72" s="42">
        <v>10</v>
      </c>
      <c r="N72" s="42">
        <v>16</v>
      </c>
      <c r="O72" s="42">
        <v>18</v>
      </c>
      <c r="P72" s="42">
        <v>20</v>
      </c>
      <c r="Q72" s="42">
        <v>22</v>
      </c>
      <c r="R72" s="42">
        <v>22.875</v>
      </c>
      <c r="S72" s="42"/>
      <c r="T72" s="42">
        <v>8</v>
      </c>
      <c r="U72" s="43">
        <v>6</v>
      </c>
      <c r="V72" s="44"/>
      <c r="W72" s="44">
        <v>0.055</v>
      </c>
      <c r="X72" s="44"/>
      <c r="Y72" s="43"/>
      <c r="Z72" s="43">
        <v>1.5</v>
      </c>
      <c r="AA72" s="43">
        <v>1.75</v>
      </c>
      <c r="AB72" s="43"/>
      <c r="AC72" s="43"/>
      <c r="AD72" s="43"/>
      <c r="AF72" s="27"/>
      <c r="AG72" s="27"/>
    </row>
    <row r="73" spans="2:33" ht="1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3"/>
      <c r="S73" s="23"/>
      <c r="T73" s="23">
        <f>T72/2</f>
        <v>4</v>
      </c>
      <c r="V73" s="42"/>
      <c r="W73" s="1"/>
      <c r="X73" s="45"/>
      <c r="Y73" s="27"/>
      <c r="Z73" s="27"/>
      <c r="AA73" s="27"/>
      <c r="AB73" s="27"/>
      <c r="AF73" s="27"/>
      <c r="AG73" s="27"/>
    </row>
    <row r="74" spans="2:33" ht="15">
      <c r="B74" s="27"/>
      <c r="C74" s="29"/>
      <c r="D74" s="27"/>
      <c r="E74" s="27"/>
      <c r="F74" s="27"/>
      <c r="G74" s="27"/>
      <c r="H74" s="30"/>
      <c r="I74" s="27"/>
      <c r="J74" s="27"/>
      <c r="K74" s="92"/>
      <c r="L74" s="124"/>
      <c r="M74" s="124"/>
      <c r="N74" s="124"/>
      <c r="O74" s="124"/>
      <c r="P74" s="124"/>
      <c r="Q74" s="124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27"/>
      <c r="AG74" s="27"/>
    </row>
  </sheetData>
  <sheetProtection/>
  <mergeCells count="57">
    <mergeCell ref="K3:K11"/>
    <mergeCell ref="S4:S11"/>
    <mergeCell ref="M3:M11"/>
    <mergeCell ref="J3:J11"/>
    <mergeCell ref="X4:X11"/>
    <mergeCell ref="Z4:Z11"/>
    <mergeCell ref="L3:L11"/>
    <mergeCell ref="R3:R11"/>
    <mergeCell ref="O3:O11"/>
    <mergeCell ref="Y4:Y11"/>
    <mergeCell ref="T4:T11"/>
    <mergeCell ref="N3:N11"/>
    <mergeCell ref="P3:P11"/>
    <mergeCell ref="Q3:Q11"/>
    <mergeCell ref="AD4:AD11"/>
    <mergeCell ref="AE4:AE11"/>
    <mergeCell ref="AB4:AB11"/>
    <mergeCell ref="AG3:AG5"/>
    <mergeCell ref="AF3:AF5"/>
    <mergeCell ref="AC67:AC68"/>
    <mergeCell ref="AF51:AG66"/>
    <mergeCell ref="AF6:AG50"/>
    <mergeCell ref="AF68:AG68"/>
    <mergeCell ref="AD67:AD68"/>
    <mergeCell ref="AC4:AC11"/>
    <mergeCell ref="AF67:AG67"/>
    <mergeCell ref="AE67:AE68"/>
    <mergeCell ref="W67:W68"/>
    <mergeCell ref="U4:U11"/>
    <mergeCell ref="V4:V11"/>
    <mergeCell ref="AA4:AA11"/>
    <mergeCell ref="W4:W11"/>
    <mergeCell ref="X67:X68"/>
    <mergeCell ref="K74:Q74"/>
    <mergeCell ref="Y67:Y68"/>
    <mergeCell ref="Z67:Z68"/>
    <mergeCell ref="AA67:AA68"/>
    <mergeCell ref="AB67:AB68"/>
    <mergeCell ref="T67:T68"/>
    <mergeCell ref="B67:R68"/>
    <mergeCell ref="U67:U68"/>
    <mergeCell ref="V67:V68"/>
    <mergeCell ref="S67:S68"/>
    <mergeCell ref="B3:C11"/>
    <mergeCell ref="D3:D11"/>
    <mergeCell ref="E3:E11"/>
    <mergeCell ref="F3:F11"/>
    <mergeCell ref="I3:I11"/>
    <mergeCell ref="H3:H11"/>
    <mergeCell ref="G3:G11"/>
    <mergeCell ref="B14:I14"/>
    <mergeCell ref="F26:I26"/>
    <mergeCell ref="F24:I24"/>
    <mergeCell ref="F17:I17"/>
    <mergeCell ref="F58:I58"/>
    <mergeCell ref="F52:I52"/>
    <mergeCell ref="F50:I50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AA4" sqref="AA4:AA11"/>
    </sheetView>
  </sheetViews>
  <sheetFormatPr defaultColWidth="9.140625" defaultRowHeight="12.75"/>
  <cols>
    <col min="1" max="3" width="24.7109375" style="1" customWidth="1"/>
    <col min="4" max="22" width="15.7109375" style="1" customWidth="1"/>
    <col min="23" max="23" width="15.7109375" style="46" customWidth="1"/>
    <col min="24" max="31" width="15.7109375" style="1" customWidth="1"/>
    <col min="32" max="34" width="6.7109375" style="1" customWidth="1"/>
    <col min="35" max="16384" width="9.140625" style="1" customWidth="1"/>
  </cols>
  <sheetData>
    <row r="1" spans="8:27" ht="12.75">
      <c r="H1" s="48"/>
      <c r="S1" s="48"/>
      <c r="T1" s="48"/>
      <c r="U1" s="48"/>
      <c r="V1" s="48"/>
      <c r="W1" s="49"/>
      <c r="X1" s="48"/>
      <c r="Z1" s="48"/>
      <c r="AA1" s="48"/>
    </row>
    <row r="2" spans="1:34" s="4" customFormat="1" ht="36" customHeight="1" thickBot="1">
      <c r="A2" s="2"/>
      <c r="B2" s="31" t="s">
        <v>14</v>
      </c>
      <c r="C2" s="32"/>
      <c r="D2" s="33"/>
      <c r="E2" s="33"/>
      <c r="F2" s="33"/>
      <c r="G2" s="33"/>
      <c r="H2" s="50"/>
      <c r="I2" s="34"/>
      <c r="J2" s="33"/>
      <c r="K2" s="33"/>
      <c r="L2" s="33"/>
      <c r="M2" s="33"/>
      <c r="N2" s="33"/>
      <c r="O2" s="33"/>
      <c r="P2" s="33"/>
      <c r="Q2" s="34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  <c r="AD2" s="47"/>
      <c r="AH2" s="3"/>
    </row>
    <row r="3" spans="2:34" s="5" customFormat="1" ht="21.75" customHeight="1">
      <c r="B3" s="93" t="s">
        <v>0</v>
      </c>
      <c r="C3" s="95"/>
      <c r="D3" s="89" t="s">
        <v>3</v>
      </c>
      <c r="E3" s="89" t="s">
        <v>4</v>
      </c>
      <c r="F3" s="89" t="s">
        <v>5</v>
      </c>
      <c r="G3" s="86" t="s">
        <v>12</v>
      </c>
      <c r="H3" s="86" t="s">
        <v>94</v>
      </c>
      <c r="I3" s="89" t="s">
        <v>6</v>
      </c>
      <c r="J3" s="86" t="s">
        <v>10</v>
      </c>
      <c r="K3" s="86" t="s">
        <v>15</v>
      </c>
      <c r="L3" s="86" t="s">
        <v>16</v>
      </c>
      <c r="M3" s="86" t="s">
        <v>17</v>
      </c>
      <c r="N3" s="86" t="s">
        <v>18</v>
      </c>
      <c r="O3" s="86" t="s">
        <v>19</v>
      </c>
      <c r="P3" s="86" t="s">
        <v>20</v>
      </c>
      <c r="Q3" s="86" t="s">
        <v>21</v>
      </c>
      <c r="R3" s="86" t="s">
        <v>84</v>
      </c>
      <c r="S3" s="35"/>
      <c r="T3" s="35">
        <v>302</v>
      </c>
      <c r="U3" s="35">
        <v>304</v>
      </c>
      <c r="V3" s="35"/>
      <c r="W3" s="35">
        <v>407</v>
      </c>
      <c r="X3" s="35"/>
      <c r="Y3" s="35"/>
      <c r="Z3" s="35">
        <v>442</v>
      </c>
      <c r="AA3" s="35">
        <v>442</v>
      </c>
      <c r="AB3" s="35">
        <v>442</v>
      </c>
      <c r="AC3" s="35"/>
      <c r="AD3" s="36">
        <v>609</v>
      </c>
      <c r="AE3" s="36"/>
      <c r="AF3" s="116" t="s">
        <v>11</v>
      </c>
      <c r="AG3" s="116" t="s">
        <v>13</v>
      </c>
      <c r="AH3" s="6"/>
    </row>
    <row r="4" spans="2:34" s="5" customFormat="1" ht="27.75" customHeight="1">
      <c r="B4" s="99"/>
      <c r="C4" s="100"/>
      <c r="D4" s="90"/>
      <c r="E4" s="90"/>
      <c r="F4" s="90"/>
      <c r="G4" s="87"/>
      <c r="H4" s="87"/>
      <c r="I4" s="90"/>
      <c r="J4" s="87"/>
      <c r="K4" s="87"/>
      <c r="L4" s="87"/>
      <c r="M4" s="87"/>
      <c r="N4" s="87"/>
      <c r="O4" s="87"/>
      <c r="P4" s="87"/>
      <c r="Q4" s="87"/>
      <c r="R4" s="87"/>
      <c r="S4" s="83"/>
      <c r="T4" s="83" t="s">
        <v>22</v>
      </c>
      <c r="U4" s="83" t="s">
        <v>96</v>
      </c>
      <c r="V4" s="83"/>
      <c r="W4" s="83" t="s">
        <v>82</v>
      </c>
      <c r="X4" s="83"/>
      <c r="Y4" s="109"/>
      <c r="Z4" s="83" t="s">
        <v>83</v>
      </c>
      <c r="AA4" s="109" t="s">
        <v>97</v>
      </c>
      <c r="AB4" s="109" t="s">
        <v>23</v>
      </c>
      <c r="AC4" s="83"/>
      <c r="AD4" s="109" t="s">
        <v>95</v>
      </c>
      <c r="AE4" s="109"/>
      <c r="AF4" s="117"/>
      <c r="AG4" s="119"/>
      <c r="AH4" s="7"/>
    </row>
    <row r="5" spans="2:33" s="5" customFormat="1" ht="27.75" customHeight="1" thickBot="1">
      <c r="B5" s="99"/>
      <c r="C5" s="100"/>
      <c r="D5" s="90"/>
      <c r="E5" s="90"/>
      <c r="F5" s="90"/>
      <c r="G5" s="87"/>
      <c r="H5" s="87"/>
      <c r="I5" s="90"/>
      <c r="J5" s="87"/>
      <c r="K5" s="87"/>
      <c r="L5" s="87"/>
      <c r="M5" s="87"/>
      <c r="N5" s="87"/>
      <c r="O5" s="87"/>
      <c r="P5" s="87"/>
      <c r="Q5" s="87"/>
      <c r="R5" s="87"/>
      <c r="S5" s="84"/>
      <c r="T5" s="84"/>
      <c r="U5" s="84"/>
      <c r="V5" s="84"/>
      <c r="W5" s="84"/>
      <c r="X5" s="84"/>
      <c r="Y5" s="87"/>
      <c r="Z5" s="84"/>
      <c r="AA5" s="87"/>
      <c r="AB5" s="87"/>
      <c r="AC5" s="84"/>
      <c r="AD5" s="87"/>
      <c r="AE5" s="87"/>
      <c r="AF5" s="118"/>
      <c r="AG5" s="119"/>
    </row>
    <row r="6" spans="2:33" s="5" customFormat="1" ht="27.75" customHeight="1">
      <c r="B6" s="99"/>
      <c r="C6" s="100"/>
      <c r="D6" s="90"/>
      <c r="E6" s="90"/>
      <c r="F6" s="90"/>
      <c r="G6" s="87"/>
      <c r="H6" s="87"/>
      <c r="I6" s="90"/>
      <c r="J6" s="87"/>
      <c r="K6" s="87"/>
      <c r="L6" s="87"/>
      <c r="M6" s="87"/>
      <c r="N6" s="87"/>
      <c r="O6" s="87"/>
      <c r="P6" s="87"/>
      <c r="Q6" s="87"/>
      <c r="R6" s="87"/>
      <c r="S6" s="84"/>
      <c r="T6" s="84"/>
      <c r="U6" s="84"/>
      <c r="V6" s="84"/>
      <c r="W6" s="84"/>
      <c r="X6" s="84"/>
      <c r="Y6" s="87"/>
      <c r="Z6" s="84"/>
      <c r="AA6" s="87"/>
      <c r="AB6" s="87"/>
      <c r="AC6" s="84"/>
      <c r="AD6" s="87"/>
      <c r="AE6" s="87"/>
      <c r="AF6" s="103" t="s">
        <v>81</v>
      </c>
      <c r="AG6" s="104"/>
    </row>
    <row r="7" spans="2:33" s="5" customFormat="1" ht="27.75" customHeight="1">
      <c r="B7" s="99"/>
      <c r="C7" s="100"/>
      <c r="D7" s="90"/>
      <c r="E7" s="90"/>
      <c r="F7" s="90"/>
      <c r="G7" s="87"/>
      <c r="H7" s="87"/>
      <c r="I7" s="90"/>
      <c r="J7" s="87"/>
      <c r="K7" s="87"/>
      <c r="L7" s="87"/>
      <c r="M7" s="87"/>
      <c r="N7" s="87"/>
      <c r="O7" s="87"/>
      <c r="P7" s="87"/>
      <c r="Q7" s="87"/>
      <c r="R7" s="87"/>
      <c r="S7" s="84"/>
      <c r="T7" s="84"/>
      <c r="U7" s="84"/>
      <c r="V7" s="84"/>
      <c r="W7" s="84"/>
      <c r="X7" s="84"/>
      <c r="Y7" s="87"/>
      <c r="Z7" s="84"/>
      <c r="AA7" s="87"/>
      <c r="AB7" s="87"/>
      <c r="AC7" s="84"/>
      <c r="AD7" s="87"/>
      <c r="AE7" s="87"/>
      <c r="AF7" s="105"/>
      <c r="AG7" s="106"/>
    </row>
    <row r="8" spans="2:33" s="5" customFormat="1" ht="27.75" customHeight="1">
      <c r="B8" s="99"/>
      <c r="C8" s="100"/>
      <c r="D8" s="90"/>
      <c r="E8" s="90"/>
      <c r="F8" s="90"/>
      <c r="G8" s="87"/>
      <c r="H8" s="87"/>
      <c r="I8" s="90"/>
      <c r="J8" s="87"/>
      <c r="K8" s="87"/>
      <c r="L8" s="87"/>
      <c r="M8" s="87"/>
      <c r="N8" s="87"/>
      <c r="O8" s="87"/>
      <c r="P8" s="87"/>
      <c r="Q8" s="87"/>
      <c r="R8" s="87"/>
      <c r="S8" s="84"/>
      <c r="T8" s="84"/>
      <c r="U8" s="84"/>
      <c r="V8" s="84"/>
      <c r="W8" s="84"/>
      <c r="X8" s="84"/>
      <c r="Y8" s="87"/>
      <c r="Z8" s="84"/>
      <c r="AA8" s="87"/>
      <c r="AB8" s="87"/>
      <c r="AC8" s="84"/>
      <c r="AD8" s="87"/>
      <c r="AE8" s="87"/>
      <c r="AF8" s="105"/>
      <c r="AG8" s="106"/>
    </row>
    <row r="9" spans="2:33" s="5" customFormat="1" ht="27.75" customHeight="1">
      <c r="B9" s="99"/>
      <c r="C9" s="100"/>
      <c r="D9" s="90"/>
      <c r="E9" s="90"/>
      <c r="F9" s="90"/>
      <c r="G9" s="87"/>
      <c r="H9" s="87"/>
      <c r="I9" s="90"/>
      <c r="J9" s="87"/>
      <c r="K9" s="87"/>
      <c r="L9" s="87"/>
      <c r="M9" s="87"/>
      <c r="N9" s="87"/>
      <c r="O9" s="87"/>
      <c r="P9" s="87"/>
      <c r="Q9" s="87"/>
      <c r="R9" s="87"/>
      <c r="S9" s="84"/>
      <c r="T9" s="84"/>
      <c r="U9" s="84"/>
      <c r="V9" s="84"/>
      <c r="W9" s="84"/>
      <c r="X9" s="84"/>
      <c r="Y9" s="87"/>
      <c r="Z9" s="84"/>
      <c r="AA9" s="87"/>
      <c r="AB9" s="87"/>
      <c r="AC9" s="84"/>
      <c r="AD9" s="87"/>
      <c r="AE9" s="87"/>
      <c r="AF9" s="105"/>
      <c r="AG9" s="106"/>
    </row>
    <row r="10" spans="2:33" s="5" customFormat="1" ht="27.75" customHeight="1">
      <c r="B10" s="99"/>
      <c r="C10" s="100"/>
      <c r="D10" s="90"/>
      <c r="E10" s="90"/>
      <c r="F10" s="90"/>
      <c r="G10" s="87"/>
      <c r="H10" s="87"/>
      <c r="I10" s="90"/>
      <c r="J10" s="87"/>
      <c r="K10" s="87"/>
      <c r="L10" s="87"/>
      <c r="M10" s="87"/>
      <c r="N10" s="87"/>
      <c r="O10" s="87"/>
      <c r="P10" s="87"/>
      <c r="Q10" s="87"/>
      <c r="R10" s="87"/>
      <c r="S10" s="84"/>
      <c r="T10" s="84"/>
      <c r="U10" s="84"/>
      <c r="V10" s="84"/>
      <c r="W10" s="84"/>
      <c r="X10" s="84"/>
      <c r="Y10" s="87"/>
      <c r="Z10" s="84"/>
      <c r="AA10" s="87"/>
      <c r="AB10" s="87"/>
      <c r="AC10" s="84"/>
      <c r="AD10" s="87"/>
      <c r="AE10" s="87"/>
      <c r="AF10" s="105"/>
      <c r="AG10" s="106"/>
    </row>
    <row r="11" spans="2:33" s="8" customFormat="1" ht="27.75" customHeight="1">
      <c r="B11" s="101"/>
      <c r="C11" s="102"/>
      <c r="D11" s="91"/>
      <c r="E11" s="91"/>
      <c r="F11" s="91"/>
      <c r="G11" s="88"/>
      <c r="H11" s="88"/>
      <c r="I11" s="91"/>
      <c r="J11" s="88"/>
      <c r="K11" s="88"/>
      <c r="L11" s="88"/>
      <c r="M11" s="88"/>
      <c r="N11" s="88"/>
      <c r="O11" s="88"/>
      <c r="P11" s="88"/>
      <c r="Q11" s="88"/>
      <c r="R11" s="88"/>
      <c r="S11" s="85"/>
      <c r="T11" s="85"/>
      <c r="U11" s="85"/>
      <c r="V11" s="85"/>
      <c r="W11" s="85"/>
      <c r="X11" s="85"/>
      <c r="Y11" s="88"/>
      <c r="Z11" s="85"/>
      <c r="AA11" s="88"/>
      <c r="AB11" s="88"/>
      <c r="AC11" s="85"/>
      <c r="AD11" s="88"/>
      <c r="AE11" s="88"/>
      <c r="AF11" s="105"/>
      <c r="AG11" s="106"/>
    </row>
    <row r="12" spans="2:33" s="9" customFormat="1" ht="21.75" customHeight="1" thickBot="1">
      <c r="B12" s="10" t="s">
        <v>1</v>
      </c>
      <c r="C12" s="10" t="s">
        <v>2</v>
      </c>
      <c r="D12" s="11"/>
      <c r="E12" s="11" t="s">
        <v>7</v>
      </c>
      <c r="F12" s="11" t="s">
        <v>7</v>
      </c>
      <c r="G12" s="11"/>
      <c r="H12" s="11"/>
      <c r="I12" s="11" t="s">
        <v>9</v>
      </c>
      <c r="J12" s="11" t="s">
        <v>9</v>
      </c>
      <c r="K12" s="11" t="s">
        <v>9</v>
      </c>
      <c r="L12" s="11" t="s">
        <v>9</v>
      </c>
      <c r="M12" s="11" t="s">
        <v>9</v>
      </c>
      <c r="N12" s="11" t="s">
        <v>9</v>
      </c>
      <c r="O12" s="11" t="s">
        <v>9</v>
      </c>
      <c r="P12" s="11" t="s">
        <v>9</v>
      </c>
      <c r="Q12" s="11" t="s">
        <v>9</v>
      </c>
      <c r="R12" s="11" t="s">
        <v>9</v>
      </c>
      <c r="S12" s="37"/>
      <c r="T12" s="37" t="s">
        <v>24</v>
      </c>
      <c r="U12" s="37" t="s">
        <v>24</v>
      </c>
      <c r="V12" s="37"/>
      <c r="W12" s="37" t="s">
        <v>25</v>
      </c>
      <c r="X12" s="37"/>
      <c r="Y12" s="37"/>
      <c r="Z12" s="37" t="s">
        <v>24</v>
      </c>
      <c r="AA12" s="37" t="s">
        <v>24</v>
      </c>
      <c r="AB12" s="37" t="s">
        <v>24</v>
      </c>
      <c r="AC12" s="37"/>
      <c r="AD12" s="11" t="s">
        <v>7</v>
      </c>
      <c r="AE12" s="11"/>
      <c r="AF12" s="105"/>
      <c r="AG12" s="106"/>
    </row>
    <row r="13" spans="1:33" s="5" customFormat="1" ht="21.75" customHeight="1">
      <c r="A13" s="12">
        <v>1</v>
      </c>
      <c r="B13" s="13"/>
      <c r="C13" s="14"/>
      <c r="D13" s="15"/>
      <c r="E13" s="16"/>
      <c r="F13" s="17"/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05"/>
      <c r="AG13" s="106"/>
    </row>
    <row r="14" spans="1:33" s="5" customFormat="1" ht="21.75" customHeight="1">
      <c r="A14" s="12">
        <f>A13+1</f>
        <v>2</v>
      </c>
      <c r="B14" s="77" t="s">
        <v>78</v>
      </c>
      <c r="C14" s="78"/>
      <c r="D14" s="78"/>
      <c r="E14" s="78"/>
      <c r="F14" s="78"/>
      <c r="G14" s="78"/>
      <c r="H14" s="78"/>
      <c r="I14" s="7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05"/>
      <c r="AG14" s="106"/>
    </row>
    <row r="15" spans="1:33" s="5" customFormat="1" ht="21.75" customHeight="1">
      <c r="A15" s="12">
        <f>A14+1</f>
        <v>3</v>
      </c>
      <c r="B15" s="19" t="s">
        <v>36</v>
      </c>
      <c r="C15" s="55"/>
      <c r="D15" s="15"/>
      <c r="E15" s="16"/>
      <c r="F15" s="22"/>
      <c r="G15" s="18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05"/>
      <c r="AG15" s="106"/>
    </row>
    <row r="16" spans="1:33" s="5" customFormat="1" ht="21.75" customHeight="1">
      <c r="A16" s="12">
        <f>A15+1</f>
        <v>4</v>
      </c>
      <c r="B16" s="13">
        <v>29477.53</v>
      </c>
      <c r="C16" s="14">
        <v>29500</v>
      </c>
      <c r="D16" s="15" t="s">
        <v>28</v>
      </c>
      <c r="E16" s="16">
        <f aca="true" t="shared" si="0" ref="E16:E26">C16-B16</f>
        <v>22.470000000001164</v>
      </c>
      <c r="F16" s="80" t="s">
        <v>31</v>
      </c>
      <c r="G16" s="81"/>
      <c r="H16" s="81"/>
      <c r="I16" s="82"/>
      <c r="J16" s="16">
        <v>220.88</v>
      </c>
      <c r="K16" s="16"/>
      <c r="L16" s="16">
        <f>IF($H16=0,ROUND($E16*(L$72/12),2),ROUND($E16*(L$72/12)*$H16,2))</f>
        <v>11.24</v>
      </c>
      <c r="M16" s="16">
        <f aca="true" t="shared" si="1" ref="M16:O26">IF($H16=0,ROUND($E16*(M$72/12),2),ROUND($E16*(M$72/12)*$H16,2))</f>
        <v>18.73</v>
      </c>
      <c r="N16" s="16">
        <f t="shared" si="1"/>
        <v>29.96</v>
      </c>
      <c r="O16" s="16"/>
      <c r="P16" s="16">
        <f>IF($H16=0,ROUND($E16*(P$72/12),2),ROUND($E16*(P$72/12)*$H16,2))</f>
        <v>37.45</v>
      </c>
      <c r="Q16" s="16">
        <f>IF($H16=0,ROUND($E16*(Q$72/12),2),ROUND($E16*(Q$72/12)*$H16,2))</f>
        <v>41.2</v>
      </c>
      <c r="R16" s="16"/>
      <c r="S16" s="16"/>
      <c r="T16" s="16">
        <f>ROUND(((($I16+$J16+$P16)*(T$72/12)+($M16)*(T$73/12)+($N16)*(T$73/12))/27),2)</f>
        <v>6.98</v>
      </c>
      <c r="U16" s="16">
        <f>ROUND(((($I16+$J16+$P16+$Q16)*(U$72/12))/27),2)</f>
        <v>5.55</v>
      </c>
      <c r="V16" s="16"/>
      <c r="W16" s="16">
        <f>ROUND(((($I16+$J274+$L16+$P16)/9)*$W$72)+((($I16+$J16+$M16+$P16)/9)*$W$72)+((($I16+$J16+$N16+$P16)/9)*$W$72),2)</f>
        <v>3.75</v>
      </c>
      <c r="X16" s="16"/>
      <c r="Y16" s="16"/>
      <c r="Z16" s="16">
        <f aca="true" t="shared" si="2" ref="Z16:Z25">ROUND(((($I16+$J16)*(Z$72/12))/27),2)</f>
        <v>1.02</v>
      </c>
      <c r="AA16" s="16">
        <f>ROUND(((($I16+$J16+$P16+$L16)*(AA$72/12))/27),2)</f>
        <v>1.46</v>
      </c>
      <c r="AB16" s="16"/>
      <c r="AC16" s="16"/>
      <c r="AD16" s="16"/>
      <c r="AE16" s="16"/>
      <c r="AF16" s="105"/>
      <c r="AG16" s="106"/>
    </row>
    <row r="17" spans="1:33" s="5" customFormat="1" ht="21.75" customHeight="1">
      <c r="A17" s="12">
        <f aca="true" t="shared" si="3" ref="A17:A66">A16+1</f>
        <v>5</v>
      </c>
      <c r="B17" s="13">
        <f aca="true" t="shared" si="4" ref="B17:B24">C16</f>
        <v>29500</v>
      </c>
      <c r="C17" s="14">
        <v>29750</v>
      </c>
      <c r="D17" s="15" t="s">
        <v>28</v>
      </c>
      <c r="E17" s="16">
        <f t="shared" si="0"/>
        <v>250</v>
      </c>
      <c r="F17" s="17">
        <v>10</v>
      </c>
      <c r="G17" s="18"/>
      <c r="H17" s="16"/>
      <c r="I17" s="16">
        <f aca="true" t="shared" si="5" ref="I17:I25">IF(G17=0,ROUND($E17*$F17,2),ROUND($E17*$F17*$G17,2))</f>
        <v>2500</v>
      </c>
      <c r="J17" s="16"/>
      <c r="K17" s="16"/>
      <c r="L17" s="16">
        <f>IF($H17=0,ROUND($E17*(L$72/12),2),ROUND($E17*(L$72/12)*$H17,2))</f>
        <v>125</v>
      </c>
      <c r="M17" s="16">
        <f t="shared" si="1"/>
        <v>208.33</v>
      </c>
      <c r="N17" s="16">
        <f t="shared" si="1"/>
        <v>333.33</v>
      </c>
      <c r="O17" s="16"/>
      <c r="P17" s="16">
        <f>IF($H17=0,ROUND($E17*(P$72/12),2),ROUND($E17*(P$72/12)*$H17,2))</f>
        <v>416.67</v>
      </c>
      <c r="Q17" s="16">
        <f>IF($H17=0,ROUND($E17*(Q$72/12),2),ROUND($E17*(Q$72/12)*$H17,2))</f>
        <v>458.33</v>
      </c>
      <c r="R17" s="16"/>
      <c r="S17" s="16"/>
      <c r="T17" s="16">
        <f>ROUND(((($I17+$J17+$P17)*(T$72/12)+($M17)*(T$73/12)+($N17)*(T$73/12))/27),2)</f>
        <v>78.7</v>
      </c>
      <c r="U17" s="16">
        <f>ROUND(((($I17+$J17+$P17+$Q17)*(U$72/12))/27),2)</f>
        <v>62.5</v>
      </c>
      <c r="V17" s="16"/>
      <c r="W17" s="16">
        <f>ROUND(((($I17+$J275+$L17+$P17)/9)*$W$72)+((($I17+$J17+$M17+$P17)/9)*$W$72)+((($I17+$J17+$N17+$P17)/9)*$W$72),2)</f>
        <v>57.55</v>
      </c>
      <c r="X17" s="16"/>
      <c r="Y17" s="16"/>
      <c r="Z17" s="16">
        <f t="shared" si="2"/>
        <v>11.57</v>
      </c>
      <c r="AA17" s="16">
        <f>ROUND(((($I17+$J17+$P17+$L17)*(AA$72/12))/27),2)</f>
        <v>16.43</v>
      </c>
      <c r="AB17" s="16"/>
      <c r="AC17" s="16"/>
      <c r="AD17" s="16"/>
      <c r="AE17" s="16"/>
      <c r="AF17" s="105"/>
      <c r="AG17" s="106"/>
    </row>
    <row r="18" spans="1:33" s="5" customFormat="1" ht="21.75" customHeight="1">
      <c r="A18" s="12">
        <f t="shared" si="3"/>
        <v>6</v>
      </c>
      <c r="B18" s="13">
        <f t="shared" si="4"/>
        <v>29750</v>
      </c>
      <c r="C18" s="14">
        <v>29794.13</v>
      </c>
      <c r="D18" s="15" t="s">
        <v>28</v>
      </c>
      <c r="E18" s="16">
        <f t="shared" si="0"/>
        <v>44.13000000000102</v>
      </c>
      <c r="F18" s="17">
        <v>10</v>
      </c>
      <c r="G18" s="18"/>
      <c r="H18" s="16"/>
      <c r="I18" s="16">
        <f t="shared" si="5"/>
        <v>441.3</v>
      </c>
      <c r="J18" s="16"/>
      <c r="K18" s="16">
        <f aca="true" t="shared" si="6" ref="K18:K25">IF($H18=0,ROUND($E18*(K$72/12),2),ROUND($E18*(K$72/12)*$H18,2))</f>
        <v>14.71</v>
      </c>
      <c r="L18" s="16"/>
      <c r="M18" s="16">
        <f t="shared" si="1"/>
        <v>36.78</v>
      </c>
      <c r="N18" s="16">
        <f t="shared" si="1"/>
        <v>58.84</v>
      </c>
      <c r="O18" s="16"/>
      <c r="P18" s="16"/>
      <c r="Q18" s="16"/>
      <c r="R18" s="16"/>
      <c r="S18" s="16"/>
      <c r="T18" s="16">
        <f aca="true" t="shared" si="7" ref="T18:T25">ROUND(((($I18+$J18)*(T$72/12)+($K18)*(T$73/12)+($M18)*(T$73/12))/27),2)</f>
        <v>11.53</v>
      </c>
      <c r="U18" s="16">
        <f aca="true" t="shared" si="8" ref="U18:U25">ROUND(((($I18+$J18+$N18+$O18+$P18+$Q18)*(U$72/12))/27),2)</f>
        <v>9.26</v>
      </c>
      <c r="V18" s="16"/>
      <c r="W18" s="16">
        <f aca="true" t="shared" si="9" ref="W18:W24">ROUND(((($I18+$J18)/9)*$W$72)+((($I18+$J18+$K18)/9)*$W$72)+((($I18+$J18+$M18)/9)*$W$72),2)</f>
        <v>8.41</v>
      </c>
      <c r="X18" s="16"/>
      <c r="Y18" s="16"/>
      <c r="Z18" s="16">
        <f t="shared" si="2"/>
        <v>2.04</v>
      </c>
      <c r="AA18" s="16">
        <f aca="true" t="shared" si="10" ref="AA18:AA26">ROUND(((($I18+$J18)*(AA$72/12))/27),2)</f>
        <v>2.38</v>
      </c>
      <c r="AB18" s="16"/>
      <c r="AC18" s="16"/>
      <c r="AD18" s="16"/>
      <c r="AE18" s="16"/>
      <c r="AF18" s="105"/>
      <c r="AG18" s="106"/>
    </row>
    <row r="19" spans="1:33" s="5" customFormat="1" ht="21.75" customHeight="1">
      <c r="A19" s="12">
        <f t="shared" si="3"/>
        <v>7</v>
      </c>
      <c r="B19" s="14">
        <f t="shared" si="4"/>
        <v>29794.13</v>
      </c>
      <c r="C19" s="14">
        <v>30094.13</v>
      </c>
      <c r="D19" s="15" t="s">
        <v>28</v>
      </c>
      <c r="E19" s="16">
        <f t="shared" si="0"/>
        <v>300</v>
      </c>
      <c r="F19" s="17">
        <v>10</v>
      </c>
      <c r="G19" s="18">
        <f>ROUND((5729.578-24-($F19/2))/5729.578,4)</f>
        <v>0.9949</v>
      </c>
      <c r="H19" s="18">
        <f>ROUND((5729.578-24-($F19))/5729.578,4)</f>
        <v>0.9941</v>
      </c>
      <c r="I19" s="16">
        <f t="shared" si="5"/>
        <v>2984.7</v>
      </c>
      <c r="J19" s="16"/>
      <c r="K19" s="16">
        <f t="shared" si="6"/>
        <v>99.41</v>
      </c>
      <c r="L19" s="16"/>
      <c r="M19" s="16">
        <f t="shared" si="1"/>
        <v>248.53</v>
      </c>
      <c r="N19" s="16">
        <f t="shared" si="1"/>
        <v>397.64</v>
      </c>
      <c r="O19" s="16"/>
      <c r="P19" s="16"/>
      <c r="Q19" s="16"/>
      <c r="R19" s="16"/>
      <c r="S19" s="16"/>
      <c r="T19" s="16">
        <f t="shared" si="7"/>
        <v>77.99</v>
      </c>
      <c r="U19" s="16">
        <f t="shared" si="8"/>
        <v>62.64</v>
      </c>
      <c r="V19" s="16"/>
      <c r="W19" s="16">
        <f t="shared" si="9"/>
        <v>56.85</v>
      </c>
      <c r="X19" s="16"/>
      <c r="Y19" s="16"/>
      <c r="Z19" s="16">
        <f t="shared" si="2"/>
        <v>13.82</v>
      </c>
      <c r="AA19" s="16">
        <f t="shared" si="10"/>
        <v>16.12</v>
      </c>
      <c r="AB19" s="16"/>
      <c r="AC19" s="16"/>
      <c r="AD19" s="16"/>
      <c r="AE19" s="16"/>
      <c r="AF19" s="105"/>
      <c r="AG19" s="106"/>
    </row>
    <row r="20" spans="1:33" s="5" customFormat="1" ht="21.75" customHeight="1">
      <c r="A20" s="12">
        <f t="shared" si="3"/>
        <v>8</v>
      </c>
      <c r="B20" s="13">
        <f t="shared" si="4"/>
        <v>30094.13</v>
      </c>
      <c r="C20" s="14">
        <v>30530.56</v>
      </c>
      <c r="D20" s="15" t="s">
        <v>28</v>
      </c>
      <c r="E20" s="16">
        <f t="shared" si="0"/>
        <v>436.4300000000003</v>
      </c>
      <c r="F20" s="17">
        <v>10</v>
      </c>
      <c r="G20" s="18"/>
      <c r="H20" s="18"/>
      <c r="I20" s="16">
        <f t="shared" si="5"/>
        <v>4364.3</v>
      </c>
      <c r="J20" s="16"/>
      <c r="K20" s="16">
        <f t="shared" si="6"/>
        <v>145.48</v>
      </c>
      <c r="L20" s="16"/>
      <c r="M20" s="16">
        <f t="shared" si="1"/>
        <v>363.69</v>
      </c>
      <c r="N20" s="16">
        <f t="shared" si="1"/>
        <v>581.91</v>
      </c>
      <c r="O20" s="16"/>
      <c r="P20" s="16"/>
      <c r="Q20" s="16"/>
      <c r="R20" s="16"/>
      <c r="S20" s="16"/>
      <c r="T20" s="16">
        <f t="shared" si="7"/>
        <v>114.05</v>
      </c>
      <c r="U20" s="16">
        <f t="shared" si="8"/>
        <v>91.6</v>
      </c>
      <c r="V20" s="16"/>
      <c r="W20" s="16">
        <f t="shared" si="9"/>
        <v>83.12</v>
      </c>
      <c r="X20" s="16"/>
      <c r="Y20" s="16"/>
      <c r="Z20" s="16">
        <f t="shared" si="2"/>
        <v>20.21</v>
      </c>
      <c r="AA20" s="16">
        <f t="shared" si="10"/>
        <v>23.57</v>
      </c>
      <c r="AB20" s="16"/>
      <c r="AC20" s="16"/>
      <c r="AD20" s="16"/>
      <c r="AE20" s="16"/>
      <c r="AF20" s="105"/>
      <c r="AG20" s="106"/>
    </row>
    <row r="21" spans="1:33" s="5" customFormat="1" ht="21.75" customHeight="1">
      <c r="A21" s="12">
        <f t="shared" si="3"/>
        <v>9</v>
      </c>
      <c r="B21" s="13">
        <f t="shared" si="4"/>
        <v>30530.56</v>
      </c>
      <c r="C21" s="14">
        <v>30650</v>
      </c>
      <c r="D21" s="15" t="s">
        <v>28</v>
      </c>
      <c r="E21" s="16">
        <f t="shared" si="0"/>
        <v>119.43999999999869</v>
      </c>
      <c r="F21" s="17">
        <v>10</v>
      </c>
      <c r="G21" s="18">
        <f>ROUND((((477.458+((24+26.09)/2)+($F21/2))/477.458)+1)/2,4)</f>
        <v>1.0315</v>
      </c>
      <c r="H21" s="18">
        <f>ROUND((((477.458+((24+26.09)/2)+($F21))/477.458)+1)/2,4)</f>
        <v>1.0367</v>
      </c>
      <c r="I21" s="16">
        <f t="shared" si="5"/>
        <v>1232.02</v>
      </c>
      <c r="J21" s="16"/>
      <c r="K21" s="16">
        <f t="shared" si="6"/>
        <v>41.27</v>
      </c>
      <c r="L21" s="16"/>
      <c r="M21" s="16">
        <f t="shared" si="1"/>
        <v>103.19</v>
      </c>
      <c r="N21" s="16">
        <f t="shared" si="1"/>
        <v>165.1</v>
      </c>
      <c r="O21" s="16"/>
      <c r="P21" s="16"/>
      <c r="Q21" s="16"/>
      <c r="R21" s="16"/>
      <c r="S21" s="16"/>
      <c r="T21" s="16">
        <f t="shared" si="7"/>
        <v>32.2</v>
      </c>
      <c r="U21" s="16">
        <f t="shared" si="8"/>
        <v>25.87</v>
      </c>
      <c r="V21" s="16"/>
      <c r="W21" s="16">
        <f t="shared" si="9"/>
        <v>23.47</v>
      </c>
      <c r="X21" s="16"/>
      <c r="Y21" s="16"/>
      <c r="Z21" s="16">
        <f t="shared" si="2"/>
        <v>5.7</v>
      </c>
      <c r="AA21" s="16">
        <f t="shared" si="10"/>
        <v>6.65</v>
      </c>
      <c r="AB21" s="16"/>
      <c r="AC21" s="16"/>
      <c r="AD21" s="16"/>
      <c r="AE21" s="16"/>
      <c r="AF21" s="105"/>
      <c r="AG21" s="106"/>
    </row>
    <row r="22" spans="1:33" s="5" customFormat="1" ht="21.75" customHeight="1">
      <c r="A22" s="12">
        <f t="shared" si="3"/>
        <v>10</v>
      </c>
      <c r="B22" s="13">
        <f t="shared" si="4"/>
        <v>30650</v>
      </c>
      <c r="C22" s="14">
        <v>30730.56</v>
      </c>
      <c r="D22" s="15" t="s">
        <v>28</v>
      </c>
      <c r="E22" s="16">
        <f t="shared" si="0"/>
        <v>80.56000000000131</v>
      </c>
      <c r="F22" s="17">
        <f>ROUND(AVERAGE(10,6.126),2)</f>
        <v>8.06</v>
      </c>
      <c r="G22" s="18">
        <f>ROUND((((477.458+((27.5+26.09)/2)+($F22/2))/477.458)+1)/2,4)</f>
        <v>1.0323</v>
      </c>
      <c r="H22" s="18">
        <f>ROUND((((477.458+((27.5+26.09)/2)+($F22))/477.458)+1)/2,4)</f>
        <v>1.0365</v>
      </c>
      <c r="I22" s="16">
        <f t="shared" si="5"/>
        <v>670.29</v>
      </c>
      <c r="J22" s="16"/>
      <c r="K22" s="16">
        <f t="shared" si="6"/>
        <v>27.83</v>
      </c>
      <c r="L22" s="16"/>
      <c r="M22" s="16">
        <f t="shared" si="1"/>
        <v>69.58</v>
      </c>
      <c r="N22" s="16">
        <f t="shared" si="1"/>
        <v>111.33</v>
      </c>
      <c r="O22" s="16"/>
      <c r="P22" s="16"/>
      <c r="Q22" s="16"/>
      <c r="R22" s="16"/>
      <c r="S22" s="16"/>
      <c r="T22" s="16">
        <f>ROUND(((($I22+$J22)*(T$72/12)+($K22)*(T$73/12)+($M22)*(T$73/12))/27),2)</f>
        <v>17.75</v>
      </c>
      <c r="U22" s="16">
        <f t="shared" si="8"/>
        <v>14.47</v>
      </c>
      <c r="V22" s="16"/>
      <c r="W22" s="16">
        <f t="shared" si="9"/>
        <v>12.88</v>
      </c>
      <c r="X22" s="16"/>
      <c r="Y22" s="16"/>
      <c r="Z22" s="16">
        <f t="shared" si="2"/>
        <v>3.1</v>
      </c>
      <c r="AA22" s="16">
        <f t="shared" si="10"/>
        <v>3.62</v>
      </c>
      <c r="AB22" s="16"/>
      <c r="AC22" s="16"/>
      <c r="AD22" s="16"/>
      <c r="AE22" s="16"/>
      <c r="AF22" s="105"/>
      <c r="AG22" s="106"/>
    </row>
    <row r="23" spans="1:33" s="5" customFormat="1" ht="21.75" customHeight="1">
      <c r="A23" s="12">
        <f t="shared" si="3"/>
        <v>11</v>
      </c>
      <c r="B23" s="13">
        <f t="shared" si="4"/>
        <v>30730.56</v>
      </c>
      <c r="C23" s="14">
        <v>30800</v>
      </c>
      <c r="D23" s="15" t="s">
        <v>28</v>
      </c>
      <c r="E23" s="16">
        <f t="shared" si="0"/>
        <v>69.43999999999869</v>
      </c>
      <c r="F23" s="17">
        <f>ROUND(AVERAGE(4,6.126),2)</f>
        <v>5.06</v>
      </c>
      <c r="G23" s="18">
        <f>ROUND((((477.458+27.5+($F23/2))/477.458)+1)/2,4)</f>
        <v>1.0314</v>
      </c>
      <c r="H23" s="18">
        <f>ROUND((((477.458+27.5+($F23))/477.458)+1)/2,4)</f>
        <v>1.0341</v>
      </c>
      <c r="I23" s="16">
        <f t="shared" si="5"/>
        <v>362.4</v>
      </c>
      <c r="J23" s="16"/>
      <c r="K23" s="16">
        <f t="shared" si="6"/>
        <v>23.94</v>
      </c>
      <c r="L23" s="16"/>
      <c r="M23" s="16">
        <f t="shared" si="1"/>
        <v>59.84</v>
      </c>
      <c r="N23" s="16">
        <f t="shared" si="1"/>
        <v>95.74</v>
      </c>
      <c r="O23" s="16"/>
      <c r="P23" s="16"/>
      <c r="Q23" s="16"/>
      <c r="R23" s="16"/>
      <c r="S23" s="16"/>
      <c r="T23" s="16">
        <f t="shared" si="7"/>
        <v>9.98</v>
      </c>
      <c r="U23" s="16">
        <f t="shared" si="8"/>
        <v>8.48</v>
      </c>
      <c r="V23" s="16"/>
      <c r="W23" s="16">
        <f t="shared" si="9"/>
        <v>7.16</v>
      </c>
      <c r="X23" s="16"/>
      <c r="Y23" s="16"/>
      <c r="Z23" s="16">
        <f t="shared" si="2"/>
        <v>1.68</v>
      </c>
      <c r="AA23" s="16">
        <f t="shared" si="10"/>
        <v>1.96</v>
      </c>
      <c r="AB23" s="16"/>
      <c r="AC23" s="16"/>
      <c r="AD23" s="16"/>
      <c r="AE23" s="16"/>
      <c r="AF23" s="105"/>
      <c r="AG23" s="106"/>
    </row>
    <row r="24" spans="1:33" s="5" customFormat="1" ht="21.75" customHeight="1">
      <c r="A24" s="12">
        <f t="shared" si="3"/>
        <v>12</v>
      </c>
      <c r="B24" s="13">
        <f t="shared" si="4"/>
        <v>30800</v>
      </c>
      <c r="C24" s="14">
        <v>30815.76</v>
      </c>
      <c r="D24" s="15" t="s">
        <v>28</v>
      </c>
      <c r="E24" s="16">
        <f t="shared" si="0"/>
        <v>15.7599999999984</v>
      </c>
      <c r="F24" s="17">
        <v>4</v>
      </c>
      <c r="G24" s="18">
        <f>ROUND((((477.458+27.5+($F24/2))/477.458)+1)/2,4)</f>
        <v>1.0309</v>
      </c>
      <c r="H24" s="18">
        <f>ROUND((((477.458+27.5+($F24))/477.458)+1)/2,4)</f>
        <v>1.033</v>
      </c>
      <c r="I24" s="16">
        <f t="shared" si="5"/>
        <v>64.99</v>
      </c>
      <c r="J24" s="16"/>
      <c r="K24" s="16">
        <f t="shared" si="6"/>
        <v>5.43</v>
      </c>
      <c r="L24" s="16"/>
      <c r="M24" s="16">
        <f t="shared" si="1"/>
        <v>13.57</v>
      </c>
      <c r="N24" s="16">
        <f t="shared" si="1"/>
        <v>21.71</v>
      </c>
      <c r="O24" s="16"/>
      <c r="P24" s="16"/>
      <c r="Q24" s="16"/>
      <c r="R24" s="16"/>
      <c r="S24" s="16"/>
      <c r="T24" s="16">
        <f t="shared" si="7"/>
        <v>1.84</v>
      </c>
      <c r="U24" s="16">
        <f t="shared" si="8"/>
        <v>1.61</v>
      </c>
      <c r="V24" s="16"/>
      <c r="W24" s="16">
        <f t="shared" si="9"/>
        <v>1.31</v>
      </c>
      <c r="X24" s="16"/>
      <c r="Y24" s="16"/>
      <c r="Z24" s="16">
        <f t="shared" si="2"/>
        <v>0.3</v>
      </c>
      <c r="AA24" s="16">
        <f t="shared" si="10"/>
        <v>0.35</v>
      </c>
      <c r="AB24" s="16"/>
      <c r="AC24" s="16"/>
      <c r="AD24" s="16"/>
      <c r="AE24" s="16"/>
      <c r="AF24" s="105"/>
      <c r="AG24" s="106"/>
    </row>
    <row r="25" spans="1:33" s="5" customFormat="1" ht="21.75" customHeight="1">
      <c r="A25" s="12">
        <f t="shared" si="3"/>
        <v>13</v>
      </c>
      <c r="B25" s="13">
        <v>736.18</v>
      </c>
      <c r="C25" s="14">
        <v>748.73</v>
      </c>
      <c r="D25" s="15" t="s">
        <v>28</v>
      </c>
      <c r="E25" s="16">
        <f t="shared" si="0"/>
        <v>12.550000000000068</v>
      </c>
      <c r="F25" s="17">
        <v>4</v>
      </c>
      <c r="G25" s="18">
        <f>ROUND((((477.458+27.5+($F25/2))/477.458)+1)/2,4)</f>
        <v>1.0309</v>
      </c>
      <c r="H25" s="18">
        <f>ROUND((((477.458+27.5+($F25))/477.458)+1)/2,4)</f>
        <v>1.033</v>
      </c>
      <c r="I25" s="16">
        <f t="shared" si="5"/>
        <v>51.75</v>
      </c>
      <c r="J25" s="16"/>
      <c r="K25" s="16">
        <f t="shared" si="6"/>
        <v>4.32</v>
      </c>
      <c r="L25" s="16"/>
      <c r="M25" s="16">
        <f t="shared" si="1"/>
        <v>10.8</v>
      </c>
      <c r="N25" s="16">
        <f t="shared" si="1"/>
        <v>17.29</v>
      </c>
      <c r="O25" s="16"/>
      <c r="P25" s="16"/>
      <c r="Q25" s="16"/>
      <c r="R25" s="16"/>
      <c r="S25" s="16"/>
      <c r="T25" s="16">
        <f t="shared" si="7"/>
        <v>1.46</v>
      </c>
      <c r="U25" s="16">
        <f t="shared" si="8"/>
        <v>1.28</v>
      </c>
      <c r="V25" s="16"/>
      <c r="W25" s="16">
        <f>ROUND(((($I25+$J25)/9)*$W$72)+((($I25+$J25+$K25)/9)*$W$72)+((($I25+$J25+$M25)/9)*$W$72),2)</f>
        <v>1.04</v>
      </c>
      <c r="X25" s="16"/>
      <c r="Y25" s="16"/>
      <c r="Z25" s="16">
        <f t="shared" si="2"/>
        <v>0.24</v>
      </c>
      <c r="AA25" s="16">
        <f t="shared" si="10"/>
        <v>0.28</v>
      </c>
      <c r="AB25" s="16"/>
      <c r="AC25" s="16"/>
      <c r="AD25" s="16"/>
      <c r="AE25" s="16"/>
      <c r="AF25" s="105"/>
      <c r="AG25" s="106"/>
    </row>
    <row r="26" spans="1:33" s="5" customFormat="1" ht="21.75" customHeight="1">
      <c r="A26" s="12">
        <f t="shared" si="3"/>
        <v>14</v>
      </c>
      <c r="B26" s="13">
        <f>C25</f>
        <v>748.73</v>
      </c>
      <c r="C26" s="14">
        <v>765.76</v>
      </c>
      <c r="D26" s="15" t="s">
        <v>28</v>
      </c>
      <c r="E26" s="16">
        <f t="shared" si="0"/>
        <v>17.029999999999973</v>
      </c>
      <c r="F26" s="80" t="s">
        <v>31</v>
      </c>
      <c r="G26" s="81"/>
      <c r="H26" s="81"/>
      <c r="I26" s="82"/>
      <c r="J26" s="16">
        <v>60.52</v>
      </c>
      <c r="K26" s="41"/>
      <c r="L26" s="16"/>
      <c r="M26" s="16"/>
      <c r="N26" s="16"/>
      <c r="O26" s="16">
        <f t="shared" si="1"/>
        <v>25.55</v>
      </c>
      <c r="P26" s="16"/>
      <c r="Q26" s="16"/>
      <c r="R26" s="16"/>
      <c r="S26" s="16"/>
      <c r="T26" s="16">
        <f>ROUND(((($I26+$J26)*(T$72/12)+($K26)*(T$73/12)+($M26)*(T$73/12))/27),2)</f>
        <v>1.49</v>
      </c>
      <c r="U26" s="16">
        <f>ROUND(((($I26+$J26+$N26+$O26+$P26+$Q26)*(U$72/12))/27),2)</f>
        <v>1.59</v>
      </c>
      <c r="V26" s="16"/>
      <c r="W26" s="16">
        <f>ROUND(((($I26+$J26)/9)*$W$72)+((($I26+$J26+$K26)/9)*$W$72)+((($I26+$J26+$M26)/9)*$W$72),2)</f>
        <v>1.11</v>
      </c>
      <c r="X26" s="16"/>
      <c r="Y26" s="16"/>
      <c r="Z26" s="16">
        <f>ROUND(((($I26+$J26)*(Z$72/12))/27),2)</f>
        <v>0.28</v>
      </c>
      <c r="AA26" s="16">
        <f t="shared" si="10"/>
        <v>0.33</v>
      </c>
      <c r="AB26" s="16"/>
      <c r="AC26" s="16"/>
      <c r="AD26" s="16">
        <v>18.15</v>
      </c>
      <c r="AE26" s="16"/>
      <c r="AF26" s="105"/>
      <c r="AG26" s="106"/>
    </row>
    <row r="27" spans="1:33" s="5" customFormat="1" ht="21.75" customHeight="1">
      <c r="A27" s="12">
        <f t="shared" si="3"/>
        <v>15</v>
      </c>
      <c r="B27" s="13"/>
      <c r="C27" s="14"/>
      <c r="D27" s="15"/>
      <c r="E27" s="16"/>
      <c r="F27" s="17"/>
      <c r="G27" s="18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05"/>
      <c r="AG27" s="106"/>
    </row>
    <row r="28" spans="1:33" s="5" customFormat="1" ht="21.75" customHeight="1">
      <c r="A28" s="12">
        <f t="shared" si="3"/>
        <v>16</v>
      </c>
      <c r="B28" s="13">
        <v>997.74</v>
      </c>
      <c r="C28" s="14">
        <v>999.7</v>
      </c>
      <c r="D28" s="15" t="s">
        <v>28</v>
      </c>
      <c r="E28" s="16">
        <f aca="true" t="shared" si="11" ref="E28:E34">C28-B28</f>
        <v>1.9600000000000364</v>
      </c>
      <c r="F28" s="80" t="s">
        <v>31</v>
      </c>
      <c r="G28" s="81"/>
      <c r="H28" s="81"/>
      <c r="I28" s="82"/>
      <c r="J28" s="16">
        <v>4.16</v>
      </c>
      <c r="K28" s="16"/>
      <c r="L28" s="16"/>
      <c r="M28" s="16"/>
      <c r="N28" s="16"/>
      <c r="O28" s="16"/>
      <c r="P28" s="16"/>
      <c r="Q28" s="16"/>
      <c r="R28" s="16"/>
      <c r="S28" s="16"/>
      <c r="T28" s="16">
        <f>ROUND(((($I28+$J28)*(T$72/12)+($K28)*(T$73/12)+($M28)*(T$73/12))/27),2)</f>
        <v>0.1</v>
      </c>
      <c r="U28" s="16">
        <f>ROUND(((($I28+$J28+$N28+$O28+$P28+$Q28)*(U$72/12))/27),2)</f>
        <v>0.08</v>
      </c>
      <c r="V28" s="16"/>
      <c r="W28" s="16">
        <f>ROUND(((($I28+$J28)/9)*$W$72)+((($I28+$J28+$K28)/9)*$W$72)+((($I28+$J28+$M28)/9)*$W$72),2)</f>
        <v>0.08</v>
      </c>
      <c r="X28" s="16"/>
      <c r="Y28" s="16"/>
      <c r="Z28" s="16">
        <f>ROUND(((($I28+$J28)*(Z$72/12))/27),2)</f>
        <v>0.02</v>
      </c>
      <c r="AA28" s="16">
        <f>ROUND(((($I28+$J28)*(AA$72/12))/27),2)</f>
        <v>0.02</v>
      </c>
      <c r="AB28" s="16"/>
      <c r="AC28" s="16"/>
      <c r="AD28" s="16"/>
      <c r="AE28" s="16"/>
      <c r="AF28" s="105"/>
      <c r="AG28" s="106"/>
    </row>
    <row r="29" spans="1:33" s="5" customFormat="1" ht="21.75" customHeight="1">
      <c r="A29" s="12">
        <f t="shared" si="3"/>
        <v>17</v>
      </c>
      <c r="B29" s="14">
        <f aca="true" t="shared" si="12" ref="B29:B34">C28</f>
        <v>999.7</v>
      </c>
      <c r="C29" s="14">
        <v>1000</v>
      </c>
      <c r="D29" s="15" t="s">
        <v>28</v>
      </c>
      <c r="E29" s="16">
        <f t="shared" si="11"/>
        <v>0.2999999999999545</v>
      </c>
      <c r="F29" s="17">
        <v>4</v>
      </c>
      <c r="G29" s="18">
        <f>ROUND((477.458+27.5+($F29/2))/477.458,4)</f>
        <v>1.0618</v>
      </c>
      <c r="H29" s="18">
        <f>ROUND((477.458+27.5+($F29))/477.458,4)</f>
        <v>1.066</v>
      </c>
      <c r="I29" s="16">
        <f aca="true" t="shared" si="13" ref="I29:I34">IF(G29=0,ROUND($E29*$F29,2),ROUND($E29*$F29*$G29,2))</f>
        <v>1.27</v>
      </c>
      <c r="J29" s="16"/>
      <c r="K29" s="16"/>
      <c r="L29" s="16">
        <f aca="true" t="shared" si="14" ref="L29:N34">IF($H29=0,ROUND($E29*(L$72/12),2),ROUND($E29*(L$72/12)*$H29,2))</f>
        <v>0.16</v>
      </c>
      <c r="M29" s="16">
        <f t="shared" si="14"/>
        <v>0.27</v>
      </c>
      <c r="N29" s="16">
        <f t="shared" si="14"/>
        <v>0.43</v>
      </c>
      <c r="O29" s="16"/>
      <c r="P29" s="16">
        <f aca="true" t="shared" si="15" ref="P29:Q33">IF($H29=0,ROUND($E29*(P$72/12),2),ROUND($E29*(P$72/12)*$H29,2))</f>
        <v>0.53</v>
      </c>
      <c r="Q29" s="16">
        <f t="shared" si="15"/>
        <v>0.59</v>
      </c>
      <c r="R29" s="16"/>
      <c r="S29" s="16"/>
      <c r="T29" s="16">
        <f>ROUND(((($I29+$J29+$P29)*(T$72/12)+($M29)*(T$73/12)+($N29)*(T$73/12))/27),2)</f>
        <v>0.05</v>
      </c>
      <c r="U29" s="16">
        <f>ROUND(((($I29+$J29+$P29+$Q29)*(U$72/12))/27),2)</f>
        <v>0.04</v>
      </c>
      <c r="V29" s="16"/>
      <c r="W29" s="16">
        <f>ROUND(((($I29+$J287+$L29+$P29)/9)*$W$72)+((($I29+$J29+$M29+$P29)/9)*$W$72)+((($I29+$J29+$N29+$P29)/9)*$W$72),2)</f>
        <v>0.04</v>
      </c>
      <c r="X29" s="16"/>
      <c r="Y29" s="16"/>
      <c r="Z29" s="16">
        <f aca="true" t="shared" si="16" ref="Z29:Z34">ROUND(((($I29+$J29)*(Z$72/12))/27),2)</f>
        <v>0.01</v>
      </c>
      <c r="AA29" s="16">
        <f>ROUND(((($I29+$J29+$P29+$L29)*(AA$72/12))/27),2)</f>
        <v>0.01</v>
      </c>
      <c r="AB29" s="16"/>
      <c r="AC29" s="16"/>
      <c r="AD29" s="16"/>
      <c r="AE29" s="16"/>
      <c r="AF29" s="105"/>
      <c r="AG29" s="106"/>
    </row>
    <row r="30" spans="1:33" s="5" customFormat="1" ht="21.75" customHeight="1">
      <c r="A30" s="12">
        <f t="shared" si="3"/>
        <v>18</v>
      </c>
      <c r="B30" s="14">
        <f t="shared" si="12"/>
        <v>1000</v>
      </c>
      <c r="C30" s="14">
        <v>1030</v>
      </c>
      <c r="D30" s="15" t="s">
        <v>28</v>
      </c>
      <c r="E30" s="16">
        <f t="shared" si="11"/>
        <v>30</v>
      </c>
      <c r="F30" s="17">
        <f>ROUND(AVERAGE(4,10),2)</f>
        <v>7</v>
      </c>
      <c r="G30" s="18">
        <f>ROUND((477.458+((27.5+27.35)/2)+($F30/2))/477.458,4)</f>
        <v>1.0648</v>
      </c>
      <c r="H30" s="18">
        <f>ROUND((477.458+((27.5+27.35)/2)+($F30))/477.458,4)</f>
        <v>1.0721</v>
      </c>
      <c r="I30" s="16">
        <f t="shared" si="13"/>
        <v>223.61</v>
      </c>
      <c r="J30" s="16"/>
      <c r="K30" s="16"/>
      <c r="L30" s="16">
        <f t="shared" si="14"/>
        <v>16.08</v>
      </c>
      <c r="M30" s="16">
        <f t="shared" si="14"/>
        <v>26.8</v>
      </c>
      <c r="N30" s="16">
        <f t="shared" si="14"/>
        <v>42.88</v>
      </c>
      <c r="O30" s="16"/>
      <c r="P30" s="16">
        <f t="shared" si="15"/>
        <v>53.61</v>
      </c>
      <c r="Q30" s="16">
        <f t="shared" si="15"/>
        <v>58.97</v>
      </c>
      <c r="R30" s="16"/>
      <c r="S30" s="16"/>
      <c r="T30" s="16">
        <f>ROUND(((($I30+$J30+$P30)*(T$72/12)+($M30)*(T$73/12)+($N30)*(T$73/12))/27),2)</f>
        <v>7.71</v>
      </c>
      <c r="U30" s="16">
        <f>ROUND(((($I30+$J30+$P30+$Q30)*(U$72/12))/27),2)</f>
        <v>6.23</v>
      </c>
      <c r="V30" s="16"/>
      <c r="W30" s="16">
        <f>ROUND(((($I30+$J288+$L30+$P30)/9)*$W$72)+((($I30+$J30+$M30+$P30)/9)*$W$72)+((($I30+$J30+$N30+$P30)/9)*$W$72),2)</f>
        <v>5.61</v>
      </c>
      <c r="X30" s="16"/>
      <c r="Y30" s="16"/>
      <c r="Z30" s="16">
        <f t="shared" si="16"/>
        <v>1.04</v>
      </c>
      <c r="AA30" s="16">
        <f>ROUND(((($I30+$J30+$P30+$L30)*(AA$72/12))/27),2)</f>
        <v>1.58</v>
      </c>
      <c r="AB30" s="16"/>
      <c r="AC30" s="16"/>
      <c r="AD30" s="16"/>
      <c r="AE30" s="16"/>
      <c r="AF30" s="105"/>
      <c r="AG30" s="106"/>
    </row>
    <row r="31" spans="1:33" s="5" customFormat="1" ht="21.75" customHeight="1">
      <c r="A31" s="12">
        <f t="shared" si="3"/>
        <v>19</v>
      </c>
      <c r="B31" s="14">
        <f t="shared" si="12"/>
        <v>1030</v>
      </c>
      <c r="C31" s="14">
        <v>1100</v>
      </c>
      <c r="D31" s="15" t="s">
        <v>28</v>
      </c>
      <c r="E31" s="16">
        <f t="shared" si="11"/>
        <v>70</v>
      </c>
      <c r="F31" s="17">
        <v>10</v>
      </c>
      <c r="G31" s="18">
        <f>ROUND((477.458+((27+27.35)/2)+($F31/2))/477.458,4)</f>
        <v>1.0674</v>
      </c>
      <c r="H31" s="18">
        <f>ROUND((477.458+((27+27.35)/2)+($F31))/477.458,4)</f>
        <v>1.0779</v>
      </c>
      <c r="I31" s="16">
        <f t="shared" si="13"/>
        <v>747.18</v>
      </c>
      <c r="J31" s="16"/>
      <c r="K31" s="16"/>
      <c r="L31" s="16">
        <f t="shared" si="14"/>
        <v>37.73</v>
      </c>
      <c r="M31" s="16">
        <f t="shared" si="14"/>
        <v>62.88</v>
      </c>
      <c r="N31" s="16">
        <f t="shared" si="14"/>
        <v>100.6</v>
      </c>
      <c r="O31" s="16"/>
      <c r="P31" s="16">
        <f t="shared" si="15"/>
        <v>125.76</v>
      </c>
      <c r="Q31" s="16">
        <f t="shared" si="15"/>
        <v>138.33</v>
      </c>
      <c r="R31" s="16"/>
      <c r="S31" s="16"/>
      <c r="T31" s="16">
        <f>ROUND(((($I31+$J31+$P31)*(T$72/12)+($M31)*(T$73/12)+($N31)*(T$73/12))/27),2)</f>
        <v>23.57</v>
      </c>
      <c r="U31" s="16">
        <f>ROUND(((($I31+$J31+$P31+$Q31)*(U$72/12))/27),2)</f>
        <v>18.73</v>
      </c>
      <c r="V31" s="16"/>
      <c r="W31" s="16">
        <f>ROUND(((($I31+$J289+$L31+$P31)/9)*$W$72)+((($I31+$J31+$M31+$P31)/9)*$W$72)+((($I31+$J31+$N31+$P31)/9)*$W$72),2)</f>
        <v>17.23</v>
      </c>
      <c r="X31" s="16"/>
      <c r="Y31" s="16"/>
      <c r="Z31" s="16">
        <f t="shared" si="16"/>
        <v>3.46</v>
      </c>
      <c r="AA31" s="16">
        <f>ROUND(((($I31+$J31+$P31+$L31)*(AA$72/12))/27),2)</f>
        <v>4.92</v>
      </c>
      <c r="AB31" s="16"/>
      <c r="AC31" s="16"/>
      <c r="AD31" s="16"/>
      <c r="AE31" s="16"/>
      <c r="AF31" s="105"/>
      <c r="AG31" s="106"/>
    </row>
    <row r="32" spans="1:33" s="5" customFormat="1" ht="21.75" customHeight="1">
      <c r="A32" s="12">
        <f t="shared" si="3"/>
        <v>20</v>
      </c>
      <c r="B32" s="13">
        <f t="shared" si="12"/>
        <v>1100</v>
      </c>
      <c r="C32" s="14">
        <v>1387.73</v>
      </c>
      <c r="D32" s="15" t="s">
        <v>28</v>
      </c>
      <c r="E32" s="16">
        <f t="shared" si="11"/>
        <v>287.73</v>
      </c>
      <c r="F32" s="17">
        <v>10</v>
      </c>
      <c r="G32" s="18">
        <f>ROUND((477.458+27+($F32/2))/477.458,4)</f>
        <v>1.067</v>
      </c>
      <c r="H32" s="18">
        <f>ROUND((477.458+27+($F32))/477.458,4)</f>
        <v>1.0775</v>
      </c>
      <c r="I32" s="16">
        <f t="shared" si="13"/>
        <v>3070.08</v>
      </c>
      <c r="J32" s="16"/>
      <c r="K32" s="16"/>
      <c r="L32" s="16">
        <f t="shared" si="14"/>
        <v>155.01</v>
      </c>
      <c r="M32" s="16">
        <f t="shared" si="14"/>
        <v>258.36</v>
      </c>
      <c r="N32" s="16">
        <f t="shared" si="14"/>
        <v>413.37</v>
      </c>
      <c r="O32" s="16"/>
      <c r="P32" s="16">
        <f t="shared" si="15"/>
        <v>516.72</v>
      </c>
      <c r="Q32" s="16">
        <f t="shared" si="15"/>
        <v>568.39</v>
      </c>
      <c r="R32" s="16"/>
      <c r="S32" s="16"/>
      <c r="T32" s="16">
        <f>ROUND(((($I32+$J32+$P32)*(T$72/12)+($M32)*(T$73/12)+($N32)*(T$73/12))/27),2)</f>
        <v>96.86</v>
      </c>
      <c r="U32" s="16">
        <f>ROUND(((($I32+$J32+$P32+$Q32)*(U$72/12))/27),2)</f>
        <v>76.95</v>
      </c>
      <c r="V32" s="16"/>
      <c r="W32" s="16">
        <f>ROUND(((($I32+$J290+$L32+$P32)/9)*$W$72)+((($I32+$J32+$M32+$P32)/9)*$W$72)+((($I32+$J32+$N32+$P32)/9)*$W$72),2)</f>
        <v>70.81</v>
      </c>
      <c r="X32" s="16"/>
      <c r="Y32" s="16"/>
      <c r="Z32" s="16">
        <f t="shared" si="16"/>
        <v>14.21</v>
      </c>
      <c r="AA32" s="16">
        <f>ROUND(((($I32+$J32+$P32+$L32)*(AA$72/12))/27),2)</f>
        <v>20.21</v>
      </c>
      <c r="AB32" s="16"/>
      <c r="AC32" s="16"/>
      <c r="AD32" s="16"/>
      <c r="AE32" s="16"/>
      <c r="AF32" s="105"/>
      <c r="AG32" s="106"/>
    </row>
    <row r="33" spans="1:33" s="5" customFormat="1" ht="21.75" customHeight="1">
      <c r="A33" s="12">
        <f t="shared" si="3"/>
        <v>21</v>
      </c>
      <c r="B33" s="13">
        <f t="shared" si="12"/>
        <v>1387.73</v>
      </c>
      <c r="C33" s="14">
        <v>1400</v>
      </c>
      <c r="D33" s="15" t="s">
        <v>28</v>
      </c>
      <c r="E33" s="16">
        <f t="shared" si="11"/>
        <v>12.269999999999982</v>
      </c>
      <c r="F33" s="17">
        <v>10</v>
      </c>
      <c r="G33" s="18">
        <f>ROUND((1+((848.826-27-($F33/2))/848.826))/2,4)</f>
        <v>0.9812</v>
      </c>
      <c r="H33" s="18">
        <f>ROUND((1+((848.826-27-($F33))/848.826))/2,4)</f>
        <v>0.9782</v>
      </c>
      <c r="I33" s="16">
        <f t="shared" si="13"/>
        <v>120.39</v>
      </c>
      <c r="J33" s="16"/>
      <c r="K33" s="16"/>
      <c r="L33" s="16">
        <f t="shared" si="14"/>
        <v>6</v>
      </c>
      <c r="M33" s="16">
        <f t="shared" si="14"/>
        <v>10</v>
      </c>
      <c r="N33" s="16">
        <f t="shared" si="14"/>
        <v>16</v>
      </c>
      <c r="O33" s="16"/>
      <c r="P33" s="16">
        <f t="shared" si="15"/>
        <v>20</v>
      </c>
      <c r="Q33" s="16">
        <f t="shared" si="15"/>
        <v>22</v>
      </c>
      <c r="R33" s="16"/>
      <c r="S33" s="16"/>
      <c r="T33" s="16">
        <f>ROUND(((($I33+$J33+$P33)*(T$72/12)+($M33)*(T$73/12)+($N33)*(T$73/12))/27),2)</f>
        <v>3.79</v>
      </c>
      <c r="U33" s="16">
        <f>ROUND(((($I33+$J33+$P33+$Q33)*(U$72/12))/27),2)</f>
        <v>3.01</v>
      </c>
      <c r="V33" s="16"/>
      <c r="W33" s="16">
        <f>ROUND(((($I33+$J291+$L33+$P33)/9)*$W$72)+((($I33+$J33+$M33+$P33)/9)*$W$72)+((($I33+$J33+$N33+$P33)/9)*$W$72),2)</f>
        <v>2.77</v>
      </c>
      <c r="X33" s="16"/>
      <c r="Y33" s="16"/>
      <c r="Z33" s="16">
        <f t="shared" si="16"/>
        <v>0.56</v>
      </c>
      <c r="AA33" s="16">
        <f>ROUND(((($I33+$J33+$P33+$L33)*(AA$72/12))/27),2)</f>
        <v>0.79</v>
      </c>
      <c r="AB33" s="16"/>
      <c r="AC33" s="16"/>
      <c r="AD33" s="16"/>
      <c r="AE33" s="16"/>
      <c r="AF33" s="105"/>
      <c r="AG33" s="106"/>
    </row>
    <row r="34" spans="1:33" s="5" customFormat="1" ht="21.75" customHeight="1">
      <c r="A34" s="12">
        <f t="shared" si="3"/>
        <v>22</v>
      </c>
      <c r="B34" s="13">
        <f t="shared" si="12"/>
        <v>1400</v>
      </c>
      <c r="C34" s="14">
        <v>1545.66</v>
      </c>
      <c r="D34" s="15" t="s">
        <v>28</v>
      </c>
      <c r="E34" s="16">
        <f t="shared" si="11"/>
        <v>145.66000000000008</v>
      </c>
      <c r="F34" s="17">
        <v>10</v>
      </c>
      <c r="G34" s="18">
        <f>ROUND((1+((848.826-27-($F34/2))/848.826))/2,4)</f>
        <v>0.9812</v>
      </c>
      <c r="H34" s="18">
        <f>ROUND((1+((848.826-27-($F34))/848.826))/2,4)</f>
        <v>0.9782</v>
      </c>
      <c r="I34" s="16">
        <f t="shared" si="13"/>
        <v>1429.22</v>
      </c>
      <c r="J34" s="16"/>
      <c r="K34" s="16">
        <f>IF($H34=0,ROUND($E34*(K$72/12),2),ROUND($E34*(K$72/12)*$H34,2))</f>
        <v>47.49</v>
      </c>
      <c r="L34" s="16"/>
      <c r="M34" s="16">
        <f t="shared" si="14"/>
        <v>118.74</v>
      </c>
      <c r="N34" s="16">
        <f t="shared" si="14"/>
        <v>189.98</v>
      </c>
      <c r="O34" s="16"/>
      <c r="P34" s="16"/>
      <c r="Q34" s="16"/>
      <c r="R34" s="16"/>
      <c r="S34" s="16"/>
      <c r="T34" s="16">
        <f>ROUND(((($I34+$J34)*(T$72/12)+($K34)*(T$73/12)+($M34)*(T$73/12))/27),2)</f>
        <v>37.34</v>
      </c>
      <c r="U34" s="16">
        <f>ROUND(((($I34+$J34+$N34+$O34+$P34+$Q34)*(U$72/12))/27),2)</f>
        <v>29.99</v>
      </c>
      <c r="V34" s="16"/>
      <c r="W34" s="16">
        <f>ROUND(((($I34+$J34)/9)*$W$72)+((($I34+$J34+$K34)/9)*$W$72)+((($I34+$J34+$M34)/9)*$W$72),2)</f>
        <v>27.22</v>
      </c>
      <c r="X34" s="16"/>
      <c r="Y34" s="16"/>
      <c r="Z34" s="16">
        <f t="shared" si="16"/>
        <v>6.62</v>
      </c>
      <c r="AA34" s="16">
        <f>ROUND(((($I34+$J34)*(AA$72/12))/27),2)</f>
        <v>7.72</v>
      </c>
      <c r="AB34" s="16"/>
      <c r="AC34" s="16"/>
      <c r="AD34" s="16"/>
      <c r="AE34" s="16"/>
      <c r="AF34" s="105"/>
      <c r="AG34" s="106"/>
    </row>
    <row r="35" spans="1:33" s="5" customFormat="1" ht="21.75" customHeight="1">
      <c r="A35" s="12">
        <f t="shared" si="3"/>
        <v>23</v>
      </c>
      <c r="B35" s="13"/>
      <c r="C35" s="14"/>
      <c r="D35" s="15"/>
      <c r="E35" s="16"/>
      <c r="F35" s="17"/>
      <c r="G35" s="18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05"/>
      <c r="AG35" s="106"/>
    </row>
    <row r="36" spans="1:33" s="5" customFormat="1" ht="21.75" customHeight="1">
      <c r="A36" s="12">
        <f t="shared" si="3"/>
        <v>24</v>
      </c>
      <c r="B36" s="13">
        <v>2464.81</v>
      </c>
      <c r="C36" s="14">
        <v>3264.81</v>
      </c>
      <c r="D36" s="15" t="s">
        <v>28</v>
      </c>
      <c r="E36" s="16">
        <f>C36-B36</f>
        <v>800</v>
      </c>
      <c r="F36" s="17">
        <v>10</v>
      </c>
      <c r="G36" s="18"/>
      <c r="H36" s="16"/>
      <c r="I36" s="16">
        <f>IF(G36=0,ROUND($E36*$F36,2),ROUND($E36*$F36*$G36,2))</f>
        <v>8000</v>
      </c>
      <c r="J36" s="16"/>
      <c r="K36" s="16">
        <f>IF($H36=0,ROUND($E36*(K$72/12),2),ROUND($E36*(K$72/12)*$H36,2))</f>
        <v>266.67</v>
      </c>
      <c r="L36" s="16"/>
      <c r="M36" s="16">
        <f aca="true" t="shared" si="17" ref="M36:N38">IF($H36=0,ROUND($E36*(M$72/12),2),ROUND($E36*(M$72/12)*$H36,2))</f>
        <v>666.67</v>
      </c>
      <c r="N36" s="16">
        <f t="shared" si="17"/>
        <v>1066.67</v>
      </c>
      <c r="O36" s="16"/>
      <c r="P36" s="16"/>
      <c r="Q36" s="16"/>
      <c r="R36" s="16"/>
      <c r="S36" s="16"/>
      <c r="T36" s="16">
        <f>ROUND(((($I36+$J36)*(T$72/12)+($K36)*(T$73/12)+($M36)*(T$73/12))/27),2)</f>
        <v>209.05</v>
      </c>
      <c r="U36" s="16">
        <f>ROUND(((($I36+$J36+$N36+$O36+$P36+$Q36)*(U$72/12))/27),2)</f>
        <v>167.9</v>
      </c>
      <c r="V36" s="16"/>
      <c r="W36" s="16">
        <f>ROUND(((($I36+$J36)/9)*$W$72)+((($I36+$J36+$K36)/9)*$W$72)+((($I36+$J36+$M36)/9)*$W$72),2)</f>
        <v>152.37</v>
      </c>
      <c r="X36" s="16"/>
      <c r="Y36" s="16"/>
      <c r="Z36" s="16">
        <f aca="true" t="shared" si="18" ref="Z36:AA38">ROUND(((($I36+$J36)*(Z$72/12))/27),2)</f>
        <v>37.04</v>
      </c>
      <c r="AA36" s="16">
        <f t="shared" si="18"/>
        <v>43.21</v>
      </c>
      <c r="AB36" s="16"/>
      <c r="AC36" s="16"/>
      <c r="AD36" s="16"/>
      <c r="AE36" s="16"/>
      <c r="AF36" s="105"/>
      <c r="AG36" s="106"/>
    </row>
    <row r="37" spans="1:33" s="5" customFormat="1" ht="21.75" customHeight="1">
      <c r="A37" s="12">
        <f t="shared" si="3"/>
        <v>25</v>
      </c>
      <c r="B37" s="13">
        <f>C36</f>
        <v>3264.81</v>
      </c>
      <c r="C37" s="14">
        <v>3339.75</v>
      </c>
      <c r="D37" s="15" t="s">
        <v>28</v>
      </c>
      <c r="E37" s="16">
        <f>C37-B37</f>
        <v>74.94000000000005</v>
      </c>
      <c r="F37" s="17">
        <v>10</v>
      </c>
      <c r="G37" s="18"/>
      <c r="H37" s="16"/>
      <c r="I37" s="16">
        <f>IF(G37=0,ROUND($E37*$F37,2),ROUND($E37*$F37*$G37,2))</f>
        <v>749.4</v>
      </c>
      <c r="J37" s="16"/>
      <c r="K37" s="16">
        <f>IF($H37=0,ROUND($E37*(K$72/12),2),ROUND($E37*(K$72/12)*$H37,2))</f>
        <v>24.98</v>
      </c>
      <c r="L37" s="16"/>
      <c r="M37" s="16">
        <f t="shared" si="17"/>
        <v>62.45</v>
      </c>
      <c r="N37" s="16">
        <f t="shared" si="17"/>
        <v>99.92</v>
      </c>
      <c r="O37" s="16"/>
      <c r="P37" s="16"/>
      <c r="Q37" s="16"/>
      <c r="R37" s="16"/>
      <c r="S37" s="16"/>
      <c r="T37" s="16">
        <f>ROUND(((($I37+$J37)*(T$72/12)+($K37)*(T$73/12)+($M37)*(T$73/12))/27),2)</f>
        <v>19.58</v>
      </c>
      <c r="U37" s="16">
        <f>ROUND(((($I37+$J37+$N37+$O37+$P37+$Q37)*(U$72/12))/27),2)</f>
        <v>15.73</v>
      </c>
      <c r="V37" s="16"/>
      <c r="W37" s="16">
        <f>ROUND(((($I37+$J37)/9)*$W$72)+((($I37+$J37+$K37)/9)*$W$72)+((($I37+$J37+$M37)/9)*$W$72),2)</f>
        <v>14.27</v>
      </c>
      <c r="X37" s="16"/>
      <c r="Y37" s="16"/>
      <c r="Z37" s="16">
        <f t="shared" si="18"/>
        <v>3.47</v>
      </c>
      <c r="AA37" s="16">
        <f t="shared" si="18"/>
        <v>4.05</v>
      </c>
      <c r="AB37" s="16"/>
      <c r="AC37" s="16"/>
      <c r="AD37" s="16"/>
      <c r="AE37" s="16"/>
      <c r="AF37" s="105"/>
      <c r="AG37" s="106"/>
    </row>
    <row r="38" spans="1:33" s="5" customFormat="1" ht="21.75" customHeight="1">
      <c r="A38" s="12">
        <f t="shared" si="3"/>
        <v>26</v>
      </c>
      <c r="B38" s="13">
        <f>C37</f>
        <v>3339.75</v>
      </c>
      <c r="C38" s="14">
        <v>3382</v>
      </c>
      <c r="D38" s="15" t="s">
        <v>28</v>
      </c>
      <c r="E38" s="16">
        <f>C38-B38</f>
        <v>42.25</v>
      </c>
      <c r="F38" s="17">
        <f>ROUND(AVERAGE(10.925,10),2)</f>
        <v>10.46</v>
      </c>
      <c r="G38" s="18"/>
      <c r="H38" s="16"/>
      <c r="I38" s="16">
        <f>IF(G38=0,ROUND($E38*$F38,2),ROUND($E38*$F38*$G38,2))</f>
        <v>441.94</v>
      </c>
      <c r="J38" s="16"/>
      <c r="K38" s="16">
        <f>IF($H38=0,ROUND($E38*(K$72/12),2),ROUND($E38*(K$72/12)*$H38,2))</f>
        <v>14.08</v>
      </c>
      <c r="L38" s="16"/>
      <c r="M38" s="16">
        <f t="shared" si="17"/>
        <v>35.21</v>
      </c>
      <c r="N38" s="16">
        <f t="shared" si="17"/>
        <v>56.33</v>
      </c>
      <c r="O38" s="16"/>
      <c r="P38" s="16"/>
      <c r="Q38" s="16"/>
      <c r="R38" s="16"/>
      <c r="S38" s="16"/>
      <c r="T38" s="16">
        <f>ROUND(((($I38+$J38)*(T$72/12)+($K38)*(T$73/12)+($M38)*(T$73/12))/27),2)</f>
        <v>11.52</v>
      </c>
      <c r="U38" s="16">
        <f>ROUND(((($I38+$J38+$N38+$O38+$P38+$Q38)*(U$72/12))/27),2)</f>
        <v>9.23</v>
      </c>
      <c r="V38" s="16"/>
      <c r="W38" s="16">
        <f>ROUND(((($I38+$J38)/9)*$W$72)+((($I38+$J38+$K38)/9)*$W$72)+((($I38+$J38+$M38)/9)*$W$72),2)</f>
        <v>8.4</v>
      </c>
      <c r="X38" s="16"/>
      <c r="Y38" s="16"/>
      <c r="Z38" s="16">
        <f t="shared" si="18"/>
        <v>2.05</v>
      </c>
      <c r="AA38" s="16">
        <f t="shared" si="18"/>
        <v>2.39</v>
      </c>
      <c r="AB38" s="16"/>
      <c r="AC38" s="16"/>
      <c r="AD38" s="16"/>
      <c r="AE38" s="16"/>
      <c r="AF38" s="105"/>
      <c r="AG38" s="106"/>
    </row>
    <row r="39" spans="1:33" s="5" customFormat="1" ht="21.75" customHeight="1">
      <c r="A39" s="12">
        <f t="shared" si="3"/>
        <v>27</v>
      </c>
      <c r="B39" s="13"/>
      <c r="C39" s="14"/>
      <c r="D39" s="15"/>
      <c r="E39" s="16"/>
      <c r="F39" s="54"/>
      <c r="G39" s="18"/>
      <c r="H39" s="16"/>
      <c r="I39" s="52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05"/>
      <c r="AG39" s="106"/>
    </row>
    <row r="40" spans="1:33" s="5" customFormat="1" ht="21.75" customHeight="1">
      <c r="A40" s="12">
        <f t="shared" si="3"/>
        <v>28</v>
      </c>
      <c r="B40" s="13"/>
      <c r="C40" s="14"/>
      <c r="D40" s="15"/>
      <c r="E40" s="16"/>
      <c r="F40" s="17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05"/>
      <c r="AG40" s="106"/>
    </row>
    <row r="41" spans="1:33" s="5" customFormat="1" ht="21.75" customHeight="1">
      <c r="A41" s="12">
        <f t="shared" si="3"/>
        <v>29</v>
      </c>
      <c r="B41" s="13"/>
      <c r="C41" s="14"/>
      <c r="D41" s="15"/>
      <c r="E41" s="16"/>
      <c r="F41" s="17"/>
      <c r="G41" s="18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05"/>
      <c r="AG41" s="106"/>
    </row>
    <row r="42" spans="1:33" s="5" customFormat="1" ht="21.75" customHeight="1">
      <c r="A42" s="12">
        <f t="shared" si="3"/>
        <v>30</v>
      </c>
      <c r="B42" s="14"/>
      <c r="C42" s="14"/>
      <c r="D42" s="15"/>
      <c r="E42" s="16"/>
      <c r="F42" s="17"/>
      <c r="G42" s="1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05"/>
      <c r="AG42" s="106"/>
    </row>
    <row r="43" spans="1:33" s="5" customFormat="1" ht="21.75" customHeight="1">
      <c r="A43" s="12">
        <f t="shared" si="3"/>
        <v>31</v>
      </c>
      <c r="B43" s="13"/>
      <c r="C43" s="14"/>
      <c r="D43" s="15"/>
      <c r="E43" s="16"/>
      <c r="F43" s="17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05"/>
      <c r="AG43" s="106"/>
    </row>
    <row r="44" spans="1:33" s="5" customFormat="1" ht="21.75" customHeight="1">
      <c r="A44" s="12">
        <f t="shared" si="3"/>
        <v>32</v>
      </c>
      <c r="B44" s="77" t="s">
        <v>63</v>
      </c>
      <c r="C44" s="78"/>
      <c r="D44" s="78"/>
      <c r="E44" s="78"/>
      <c r="F44" s="78"/>
      <c r="G44" s="78"/>
      <c r="H44" s="78"/>
      <c r="I44" s="79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05"/>
      <c r="AG44" s="106"/>
    </row>
    <row r="45" spans="1:33" s="5" customFormat="1" ht="21.75" customHeight="1">
      <c r="A45" s="12">
        <f t="shared" si="3"/>
        <v>33</v>
      </c>
      <c r="B45" s="19" t="s">
        <v>27</v>
      </c>
      <c r="C45" s="20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05"/>
      <c r="AG45" s="106"/>
    </row>
    <row r="46" spans="1:33" s="5" customFormat="1" ht="21.75" customHeight="1">
      <c r="A46" s="12">
        <f t="shared" si="3"/>
        <v>34</v>
      </c>
      <c r="B46" s="73">
        <v>57600</v>
      </c>
      <c r="C46" s="21">
        <v>57752.62</v>
      </c>
      <c r="D46" s="15" t="s">
        <v>33</v>
      </c>
      <c r="E46" s="16">
        <f aca="true" t="shared" si="19" ref="E46:E58">C46-B46</f>
        <v>152.62000000000262</v>
      </c>
      <c r="F46" s="17">
        <v>12</v>
      </c>
      <c r="G46" s="18">
        <f>ROUND((12253.421-($F46/2))/12253.421,4)</f>
        <v>0.9995</v>
      </c>
      <c r="H46" s="16"/>
      <c r="I46" s="16">
        <f>IF($G46=0,ROUND($E46*$F46,2),ROUND($E46*$F46*$G46,2))</f>
        <v>1830.52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>
        <f aca="true" t="shared" si="20" ref="T46:T58">ROUND(((($I46+$J46)*(T$72/12))/27),2)</f>
        <v>45.2</v>
      </c>
      <c r="U46" s="16">
        <f aca="true" t="shared" si="21" ref="U46:U58">ROUND(((($I46+$J46+$N46+$O46+$P46+$Q46)*(U$72/12))/27),2)</f>
        <v>33.9</v>
      </c>
      <c r="V46" s="16"/>
      <c r="W46" s="16">
        <f aca="true" t="shared" si="22" ref="W46:W58">ROUND((((($I46+$J46)/9)*W$72)*3),2)</f>
        <v>33.56</v>
      </c>
      <c r="X46" s="16"/>
      <c r="Y46" s="16"/>
      <c r="Z46" s="16">
        <f aca="true" t="shared" si="23" ref="Z46:AA58">ROUND(((($I46+$J46)*(Z$72/12))/27),2)</f>
        <v>8.47</v>
      </c>
      <c r="AA46" s="16">
        <f t="shared" si="23"/>
        <v>9.89</v>
      </c>
      <c r="AB46" s="16">
        <f aca="true" t="shared" si="24" ref="AB46:AB61">$AA46+$Z46</f>
        <v>18.36</v>
      </c>
      <c r="AC46" s="16"/>
      <c r="AD46" s="16"/>
      <c r="AE46" s="16"/>
      <c r="AF46" s="105"/>
      <c r="AG46" s="106"/>
    </row>
    <row r="47" spans="1:33" s="5" customFormat="1" ht="21.75" customHeight="1">
      <c r="A47" s="12">
        <f t="shared" si="3"/>
        <v>35</v>
      </c>
      <c r="B47" s="73">
        <v>57600</v>
      </c>
      <c r="C47" s="21">
        <v>57752.62</v>
      </c>
      <c r="D47" s="15" t="s">
        <v>33</v>
      </c>
      <c r="E47" s="16">
        <f t="shared" si="19"/>
        <v>152.62000000000262</v>
      </c>
      <c r="F47" s="80" t="s">
        <v>31</v>
      </c>
      <c r="G47" s="81"/>
      <c r="H47" s="81"/>
      <c r="I47" s="82"/>
      <c r="J47" s="16">
        <v>101.62</v>
      </c>
      <c r="K47" s="16"/>
      <c r="L47" s="16"/>
      <c r="M47" s="16"/>
      <c r="N47" s="16"/>
      <c r="O47" s="16"/>
      <c r="P47" s="16"/>
      <c r="Q47" s="16"/>
      <c r="R47" s="16"/>
      <c r="S47" s="16"/>
      <c r="T47" s="16">
        <f t="shared" si="20"/>
        <v>2.51</v>
      </c>
      <c r="U47" s="16">
        <f t="shared" si="21"/>
        <v>1.88</v>
      </c>
      <c r="V47" s="16"/>
      <c r="W47" s="16">
        <f t="shared" si="22"/>
        <v>1.86</v>
      </c>
      <c r="X47" s="16"/>
      <c r="Y47" s="16"/>
      <c r="Z47" s="16">
        <f t="shared" si="23"/>
        <v>0.47</v>
      </c>
      <c r="AA47" s="16">
        <f t="shared" si="23"/>
        <v>0.55</v>
      </c>
      <c r="AB47" s="16">
        <f t="shared" si="24"/>
        <v>1.02</v>
      </c>
      <c r="AC47" s="16"/>
      <c r="AD47" s="16"/>
      <c r="AE47" s="16"/>
      <c r="AF47" s="105"/>
      <c r="AG47" s="106"/>
    </row>
    <row r="48" spans="1:33" s="5" customFormat="1" ht="21.75" customHeight="1">
      <c r="A48" s="12">
        <f t="shared" si="3"/>
        <v>36</v>
      </c>
      <c r="B48" s="13">
        <f>C46</f>
        <v>57752.62</v>
      </c>
      <c r="C48" s="14">
        <v>58017.46</v>
      </c>
      <c r="D48" s="15" t="s">
        <v>33</v>
      </c>
      <c r="E48" s="16">
        <f t="shared" si="19"/>
        <v>264.8399999999965</v>
      </c>
      <c r="F48" s="17">
        <f>ROUND(AVERAGE(14.852,12),2)</f>
        <v>13.43</v>
      </c>
      <c r="G48" s="18">
        <f>ROUND((12253.421-($F48/2))/12253.421,4)</f>
        <v>0.9995</v>
      </c>
      <c r="H48" s="16"/>
      <c r="I48" s="16">
        <f>IF($G48=0,ROUND($E48*$F48,2),ROUND($E48*$F48*$G48,2))</f>
        <v>3555.02</v>
      </c>
      <c r="J48" s="16"/>
      <c r="K48" s="39"/>
      <c r="L48" s="16"/>
      <c r="M48" s="16"/>
      <c r="N48" s="16"/>
      <c r="O48" s="16"/>
      <c r="P48" s="16"/>
      <c r="Q48" s="16"/>
      <c r="R48" s="16"/>
      <c r="S48" s="16"/>
      <c r="T48" s="16">
        <f t="shared" si="20"/>
        <v>87.78</v>
      </c>
      <c r="U48" s="16">
        <f t="shared" si="21"/>
        <v>65.83</v>
      </c>
      <c r="V48" s="16"/>
      <c r="W48" s="16">
        <f t="shared" si="22"/>
        <v>65.18</v>
      </c>
      <c r="X48" s="16"/>
      <c r="Y48" s="16"/>
      <c r="Z48" s="16">
        <f t="shared" si="23"/>
        <v>16.46</v>
      </c>
      <c r="AA48" s="16">
        <f t="shared" si="23"/>
        <v>19.2</v>
      </c>
      <c r="AB48" s="16">
        <f t="shared" si="24"/>
        <v>35.66</v>
      </c>
      <c r="AC48" s="16"/>
      <c r="AD48" s="16"/>
      <c r="AE48" s="16"/>
      <c r="AF48" s="105"/>
      <c r="AG48" s="106"/>
    </row>
    <row r="49" spans="1:33" s="5" customFormat="1" ht="21.75" customHeight="1">
      <c r="A49" s="12">
        <f t="shared" si="3"/>
        <v>37</v>
      </c>
      <c r="B49" s="13">
        <f aca="true" t="shared" si="25" ref="B49:B58">C48</f>
        <v>58017.46</v>
      </c>
      <c r="C49" s="14">
        <v>58124.01</v>
      </c>
      <c r="D49" s="15" t="s">
        <v>33</v>
      </c>
      <c r="E49" s="16">
        <f t="shared" si="19"/>
        <v>106.55000000000291</v>
      </c>
      <c r="F49" s="17">
        <f>ROUND(AVERAGE(14.852,16),2)</f>
        <v>15.43</v>
      </c>
      <c r="G49" s="18"/>
      <c r="H49" s="16"/>
      <c r="I49" s="16">
        <f>IF($G49=0,ROUND($E49*$F49,2),ROUND($E49*$F49*$G49,2))</f>
        <v>1644.07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f t="shared" si="20"/>
        <v>40.59</v>
      </c>
      <c r="U49" s="16">
        <f t="shared" si="21"/>
        <v>30.45</v>
      </c>
      <c r="V49" s="16"/>
      <c r="W49" s="16">
        <f t="shared" si="22"/>
        <v>30.14</v>
      </c>
      <c r="X49" s="16"/>
      <c r="Y49" s="16"/>
      <c r="Z49" s="16">
        <f t="shared" si="23"/>
        <v>7.61</v>
      </c>
      <c r="AA49" s="16">
        <f t="shared" si="23"/>
        <v>8.88</v>
      </c>
      <c r="AB49" s="16">
        <f t="shared" si="24"/>
        <v>16.490000000000002</v>
      </c>
      <c r="AC49" s="16"/>
      <c r="AD49" s="16"/>
      <c r="AE49" s="16"/>
      <c r="AF49" s="105"/>
      <c r="AG49" s="106"/>
    </row>
    <row r="50" spans="1:33" s="5" customFormat="1" ht="21.75" customHeight="1" thickBot="1">
      <c r="A50" s="12">
        <f t="shared" si="3"/>
        <v>38</v>
      </c>
      <c r="B50" s="13">
        <f t="shared" si="25"/>
        <v>58124.01</v>
      </c>
      <c r="C50" s="14">
        <v>58316.4</v>
      </c>
      <c r="D50" s="15" t="s">
        <v>33</v>
      </c>
      <c r="E50" s="16">
        <f t="shared" si="19"/>
        <v>192.38999999999942</v>
      </c>
      <c r="F50" s="17">
        <v>16</v>
      </c>
      <c r="G50" s="18"/>
      <c r="H50" s="16"/>
      <c r="I50" s="16">
        <f>IF($G50=0,ROUND($E50*$F50,2),ROUND($E50*$F50*$G50,2))</f>
        <v>3078.24</v>
      </c>
      <c r="J50" s="16"/>
      <c r="K50" s="41"/>
      <c r="L50" s="16"/>
      <c r="M50" s="16"/>
      <c r="N50" s="16"/>
      <c r="O50" s="16"/>
      <c r="P50" s="16"/>
      <c r="Q50" s="41"/>
      <c r="R50" s="16"/>
      <c r="S50" s="16"/>
      <c r="T50" s="16">
        <f t="shared" si="20"/>
        <v>76.01</v>
      </c>
      <c r="U50" s="16">
        <f t="shared" si="21"/>
        <v>57</v>
      </c>
      <c r="V50" s="16"/>
      <c r="W50" s="16">
        <f t="shared" si="22"/>
        <v>56.43</v>
      </c>
      <c r="X50" s="16"/>
      <c r="Y50" s="16"/>
      <c r="Z50" s="16">
        <f t="shared" si="23"/>
        <v>14.25</v>
      </c>
      <c r="AA50" s="16">
        <f t="shared" si="23"/>
        <v>16.63</v>
      </c>
      <c r="AB50" s="16">
        <f t="shared" si="24"/>
        <v>30.88</v>
      </c>
      <c r="AC50" s="16"/>
      <c r="AD50" s="16"/>
      <c r="AE50" s="16"/>
      <c r="AF50" s="105"/>
      <c r="AG50" s="106"/>
    </row>
    <row r="51" spans="1:33" s="5" customFormat="1" ht="21.75" customHeight="1">
      <c r="A51" s="12">
        <f t="shared" si="3"/>
        <v>39</v>
      </c>
      <c r="B51" s="13">
        <f t="shared" si="25"/>
        <v>58316.4</v>
      </c>
      <c r="C51" s="14">
        <v>58516.4</v>
      </c>
      <c r="D51" s="15" t="s">
        <v>33</v>
      </c>
      <c r="E51" s="16">
        <f t="shared" si="19"/>
        <v>200</v>
      </c>
      <c r="F51" s="17">
        <v>16</v>
      </c>
      <c r="G51" s="18">
        <f>ROUND((((1432.394+($F51/2))/1432.394)+1)/2,4)</f>
        <v>1.0028</v>
      </c>
      <c r="H51" s="16"/>
      <c r="I51" s="16">
        <f>IF($G51=0,ROUND($E51*$F51,2),ROUND($E51*$F51*$G51,2))</f>
        <v>3208.96</v>
      </c>
      <c r="J51" s="16"/>
      <c r="K51" s="41"/>
      <c r="L51" s="16"/>
      <c r="M51" s="16"/>
      <c r="N51" s="16"/>
      <c r="O51" s="16"/>
      <c r="P51" s="16"/>
      <c r="Q51" s="16"/>
      <c r="R51" s="16"/>
      <c r="S51" s="16"/>
      <c r="T51" s="16">
        <f t="shared" si="20"/>
        <v>79.23</v>
      </c>
      <c r="U51" s="16">
        <f t="shared" si="21"/>
        <v>59.43</v>
      </c>
      <c r="V51" s="16"/>
      <c r="W51" s="16">
        <f t="shared" si="22"/>
        <v>58.83</v>
      </c>
      <c r="X51" s="16"/>
      <c r="Y51" s="16"/>
      <c r="Z51" s="16">
        <f t="shared" si="23"/>
        <v>14.86</v>
      </c>
      <c r="AA51" s="16">
        <f t="shared" si="23"/>
        <v>17.33</v>
      </c>
      <c r="AB51" s="16">
        <f t="shared" si="24"/>
        <v>32.19</v>
      </c>
      <c r="AC51" s="16"/>
      <c r="AD51" s="16"/>
      <c r="AE51" s="16"/>
      <c r="AF51" s="103" t="s">
        <v>93</v>
      </c>
      <c r="AG51" s="104"/>
    </row>
    <row r="52" spans="1:33" s="5" customFormat="1" ht="21.75" customHeight="1">
      <c r="A52" s="12">
        <f t="shared" si="3"/>
        <v>40</v>
      </c>
      <c r="B52" s="13">
        <f t="shared" si="25"/>
        <v>58516.4</v>
      </c>
      <c r="C52" s="14">
        <v>59303.36</v>
      </c>
      <c r="D52" s="15" t="s">
        <v>33</v>
      </c>
      <c r="E52" s="16">
        <f t="shared" si="19"/>
        <v>786.9599999999991</v>
      </c>
      <c r="F52" s="17">
        <v>16</v>
      </c>
      <c r="G52" s="18">
        <f>ROUND((1432.394+($F52/2))/1432.394,4)</f>
        <v>1.0056</v>
      </c>
      <c r="H52" s="16"/>
      <c r="I52" s="16">
        <f aca="true" t="shared" si="26" ref="I52:I58">IF(G52=0,ROUND($E52*$F52,2),ROUND($E52*$F52*$G52,2))</f>
        <v>12661.87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>
        <f t="shared" si="20"/>
        <v>312.64</v>
      </c>
      <c r="U52" s="16">
        <f t="shared" si="21"/>
        <v>234.48</v>
      </c>
      <c r="V52" s="16"/>
      <c r="W52" s="16">
        <f t="shared" si="22"/>
        <v>232.13</v>
      </c>
      <c r="X52" s="16"/>
      <c r="Y52" s="16"/>
      <c r="Z52" s="16">
        <f t="shared" si="23"/>
        <v>58.62</v>
      </c>
      <c r="AA52" s="16">
        <f t="shared" si="23"/>
        <v>68.39</v>
      </c>
      <c r="AB52" s="16">
        <f t="shared" si="24"/>
        <v>127.00999999999999</v>
      </c>
      <c r="AC52" s="16"/>
      <c r="AD52" s="16"/>
      <c r="AE52" s="16"/>
      <c r="AF52" s="105"/>
      <c r="AG52" s="106"/>
    </row>
    <row r="53" spans="1:33" s="5" customFormat="1" ht="21.75" customHeight="1">
      <c r="A53" s="12">
        <f t="shared" si="3"/>
        <v>41</v>
      </c>
      <c r="B53" s="13">
        <f t="shared" si="25"/>
        <v>59303.36</v>
      </c>
      <c r="C53" s="14">
        <v>59640</v>
      </c>
      <c r="D53" s="15" t="s">
        <v>33</v>
      </c>
      <c r="E53" s="16">
        <f t="shared" si="19"/>
        <v>336.6399999999994</v>
      </c>
      <c r="F53" s="17">
        <v>16</v>
      </c>
      <c r="G53" s="18">
        <f>ROUND((716.197+($F53/2))/716.197,4)</f>
        <v>1.0112</v>
      </c>
      <c r="H53" s="16"/>
      <c r="I53" s="16">
        <f t="shared" si="26"/>
        <v>5446.57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>
        <f t="shared" si="20"/>
        <v>134.48</v>
      </c>
      <c r="U53" s="16">
        <f t="shared" si="21"/>
        <v>100.86</v>
      </c>
      <c r="V53" s="16"/>
      <c r="W53" s="16">
        <f t="shared" si="22"/>
        <v>99.85</v>
      </c>
      <c r="X53" s="16"/>
      <c r="Y53" s="16"/>
      <c r="Z53" s="16">
        <f t="shared" si="23"/>
        <v>25.22</v>
      </c>
      <c r="AA53" s="16">
        <f t="shared" si="23"/>
        <v>29.42</v>
      </c>
      <c r="AB53" s="16">
        <f t="shared" si="24"/>
        <v>54.64</v>
      </c>
      <c r="AC53" s="16"/>
      <c r="AD53" s="16"/>
      <c r="AE53" s="16"/>
      <c r="AF53" s="105"/>
      <c r="AG53" s="106"/>
    </row>
    <row r="54" spans="1:33" s="5" customFormat="1" ht="21.75" customHeight="1">
      <c r="A54" s="12">
        <f t="shared" si="3"/>
        <v>42</v>
      </c>
      <c r="B54" s="13">
        <f t="shared" si="25"/>
        <v>59640</v>
      </c>
      <c r="C54" s="14">
        <v>59938.22</v>
      </c>
      <c r="D54" s="15" t="s">
        <v>33</v>
      </c>
      <c r="E54" s="16">
        <f t="shared" si="19"/>
        <v>298.22000000000116</v>
      </c>
      <c r="F54" s="17">
        <f>ROUND(AVERAGE(28,19.479),2)</f>
        <v>23.74</v>
      </c>
      <c r="G54" s="18">
        <f>ROUND((716.197+($F54/2))/716.197,4)</f>
        <v>1.0166</v>
      </c>
      <c r="H54" s="16"/>
      <c r="I54" s="16">
        <f t="shared" si="26"/>
        <v>7197.27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>
        <f t="shared" si="20"/>
        <v>177.71</v>
      </c>
      <c r="U54" s="16">
        <f t="shared" si="21"/>
        <v>133.28</v>
      </c>
      <c r="V54" s="16"/>
      <c r="W54" s="16">
        <f t="shared" si="22"/>
        <v>131.95</v>
      </c>
      <c r="X54" s="16"/>
      <c r="Y54" s="16"/>
      <c r="Z54" s="16">
        <f t="shared" si="23"/>
        <v>33.32</v>
      </c>
      <c r="AA54" s="16">
        <f t="shared" si="23"/>
        <v>38.87</v>
      </c>
      <c r="AB54" s="16">
        <f t="shared" si="24"/>
        <v>72.19</v>
      </c>
      <c r="AC54" s="16"/>
      <c r="AD54" s="16"/>
      <c r="AE54" s="16"/>
      <c r="AF54" s="105"/>
      <c r="AG54" s="106"/>
    </row>
    <row r="55" spans="1:33" s="5" customFormat="1" ht="21.75" customHeight="1">
      <c r="A55" s="12">
        <f t="shared" si="3"/>
        <v>43</v>
      </c>
      <c r="B55" s="13">
        <f t="shared" si="25"/>
        <v>59938.22</v>
      </c>
      <c r="C55" s="14">
        <v>60060</v>
      </c>
      <c r="D55" s="15" t="s">
        <v>33</v>
      </c>
      <c r="E55" s="16">
        <f t="shared" si="19"/>
        <v>121.77999999999884</v>
      </c>
      <c r="F55" s="17">
        <f>ROUND(AVERAGE(16,19.479),2)</f>
        <v>17.74</v>
      </c>
      <c r="G55" s="18">
        <f>ROUND((1432.394+($F55/2))/1432.394,4)</f>
        <v>1.0062</v>
      </c>
      <c r="H55" s="16"/>
      <c r="I55" s="16">
        <f t="shared" si="26"/>
        <v>2173.77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>
        <f t="shared" si="20"/>
        <v>53.67</v>
      </c>
      <c r="U55" s="16">
        <f t="shared" si="21"/>
        <v>40.26</v>
      </c>
      <c r="V55" s="16"/>
      <c r="W55" s="16">
        <f t="shared" si="22"/>
        <v>39.85</v>
      </c>
      <c r="X55" s="16"/>
      <c r="Y55" s="16"/>
      <c r="Z55" s="16">
        <f t="shared" si="23"/>
        <v>10.06</v>
      </c>
      <c r="AA55" s="16">
        <f t="shared" si="23"/>
        <v>11.74</v>
      </c>
      <c r="AB55" s="16">
        <f t="shared" si="24"/>
        <v>21.8</v>
      </c>
      <c r="AC55" s="16"/>
      <c r="AD55" s="16"/>
      <c r="AE55" s="16"/>
      <c r="AF55" s="105"/>
      <c r="AG55" s="106"/>
    </row>
    <row r="56" spans="1:33" s="5" customFormat="1" ht="21.75" customHeight="1">
      <c r="A56" s="12">
        <f t="shared" si="3"/>
        <v>44</v>
      </c>
      <c r="B56" s="13">
        <f t="shared" si="25"/>
        <v>60060</v>
      </c>
      <c r="C56" s="14">
        <v>60137.81</v>
      </c>
      <c r="D56" s="15" t="s">
        <v>33</v>
      </c>
      <c r="E56" s="16">
        <f t="shared" si="19"/>
        <v>77.80999999999767</v>
      </c>
      <c r="F56" s="17">
        <v>16</v>
      </c>
      <c r="G56" s="18">
        <f>ROUND((1432.394+($F56/2))/1432.394,4)</f>
        <v>1.0056</v>
      </c>
      <c r="H56" s="16"/>
      <c r="I56" s="16">
        <f t="shared" si="26"/>
        <v>1251.93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>
        <f t="shared" si="20"/>
        <v>30.91</v>
      </c>
      <c r="U56" s="16">
        <f t="shared" si="21"/>
        <v>23.18</v>
      </c>
      <c r="V56" s="16"/>
      <c r="W56" s="16">
        <f t="shared" si="22"/>
        <v>22.95</v>
      </c>
      <c r="X56" s="16"/>
      <c r="Y56" s="16"/>
      <c r="Z56" s="16">
        <f t="shared" si="23"/>
        <v>5.8</v>
      </c>
      <c r="AA56" s="16">
        <f t="shared" si="23"/>
        <v>6.76</v>
      </c>
      <c r="AB56" s="16">
        <f t="shared" si="24"/>
        <v>12.559999999999999</v>
      </c>
      <c r="AC56" s="16"/>
      <c r="AD56" s="16"/>
      <c r="AE56" s="16"/>
      <c r="AF56" s="105"/>
      <c r="AG56" s="106"/>
    </row>
    <row r="57" spans="1:33" s="5" customFormat="1" ht="21.75" customHeight="1">
      <c r="A57" s="12">
        <f t="shared" si="3"/>
        <v>45</v>
      </c>
      <c r="B57" s="13">
        <f t="shared" si="25"/>
        <v>60137.81</v>
      </c>
      <c r="C57" s="14">
        <v>60337.81</v>
      </c>
      <c r="D57" s="15" t="s">
        <v>33</v>
      </c>
      <c r="E57" s="16">
        <f t="shared" si="19"/>
        <v>200</v>
      </c>
      <c r="F57" s="17">
        <v>16</v>
      </c>
      <c r="G57" s="18">
        <f>ROUND((((1432.394+($F57/2))/1432.394)+1)/2,4)</f>
        <v>1.0028</v>
      </c>
      <c r="H57" s="16"/>
      <c r="I57" s="16">
        <f t="shared" si="26"/>
        <v>3208.96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>
        <f t="shared" si="20"/>
        <v>79.23</v>
      </c>
      <c r="U57" s="16">
        <f t="shared" si="21"/>
        <v>59.43</v>
      </c>
      <c r="V57" s="16"/>
      <c r="W57" s="16">
        <f t="shared" si="22"/>
        <v>58.83</v>
      </c>
      <c r="X57" s="16"/>
      <c r="Y57" s="16"/>
      <c r="Z57" s="16">
        <f t="shared" si="23"/>
        <v>14.86</v>
      </c>
      <c r="AA57" s="16">
        <f t="shared" si="23"/>
        <v>17.33</v>
      </c>
      <c r="AB57" s="16">
        <f t="shared" si="24"/>
        <v>32.19</v>
      </c>
      <c r="AC57" s="16"/>
      <c r="AD57" s="16"/>
      <c r="AE57" s="16"/>
      <c r="AF57" s="105"/>
      <c r="AG57" s="106"/>
    </row>
    <row r="58" spans="1:33" s="5" customFormat="1" ht="21.75" customHeight="1">
      <c r="A58" s="12">
        <f t="shared" si="3"/>
        <v>46</v>
      </c>
      <c r="B58" s="13">
        <f t="shared" si="25"/>
        <v>60337.81</v>
      </c>
      <c r="C58" s="14">
        <v>60667.88</v>
      </c>
      <c r="D58" s="15" t="s">
        <v>33</v>
      </c>
      <c r="E58" s="16">
        <f t="shared" si="19"/>
        <v>330.0699999999997</v>
      </c>
      <c r="F58" s="17">
        <v>16</v>
      </c>
      <c r="G58" s="18"/>
      <c r="H58" s="16"/>
      <c r="I58" s="16">
        <f t="shared" si="26"/>
        <v>5281.12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>
        <f t="shared" si="20"/>
        <v>130.4</v>
      </c>
      <c r="U58" s="16">
        <f t="shared" si="21"/>
        <v>97.8</v>
      </c>
      <c r="V58" s="16"/>
      <c r="W58" s="16">
        <f t="shared" si="22"/>
        <v>96.82</v>
      </c>
      <c r="X58" s="16"/>
      <c r="Y58" s="16"/>
      <c r="Z58" s="16">
        <f t="shared" si="23"/>
        <v>24.45</v>
      </c>
      <c r="AA58" s="16">
        <f t="shared" si="23"/>
        <v>28.52</v>
      </c>
      <c r="AB58" s="16">
        <f t="shared" si="24"/>
        <v>52.97</v>
      </c>
      <c r="AC58" s="16"/>
      <c r="AD58" s="16"/>
      <c r="AE58" s="16"/>
      <c r="AF58" s="105"/>
      <c r="AG58" s="106"/>
    </row>
    <row r="59" spans="1:33" s="5" customFormat="1" ht="21.75" customHeight="1">
      <c r="A59" s="12">
        <f t="shared" si="3"/>
        <v>47</v>
      </c>
      <c r="B59" s="13"/>
      <c r="C59" s="14"/>
      <c r="D59" s="15"/>
      <c r="E59" s="16"/>
      <c r="F59" s="17"/>
      <c r="G59" s="18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05"/>
      <c r="AG59" s="106"/>
    </row>
    <row r="60" spans="1:33" s="5" customFormat="1" ht="21.75" customHeight="1">
      <c r="A60" s="12">
        <f t="shared" si="3"/>
        <v>48</v>
      </c>
      <c r="B60" s="13" t="s">
        <v>64</v>
      </c>
      <c r="C60" s="14" t="s">
        <v>65</v>
      </c>
      <c r="D60" s="15" t="s">
        <v>28</v>
      </c>
      <c r="E60" s="16">
        <v>22.76</v>
      </c>
      <c r="F60" s="17">
        <f>ROUND(AVERAGE(16,15.545),2)</f>
        <v>15.77</v>
      </c>
      <c r="G60" s="18"/>
      <c r="H60" s="16"/>
      <c r="I60" s="16">
        <f>IF(G60=0,ROUND($E60*$F60,2),ROUND($E60*$F60*$G60,2))</f>
        <v>358.93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>
        <f>ROUND(((($I60+$J60)*(T$72/12))/27),2)</f>
        <v>8.86</v>
      </c>
      <c r="U60" s="16">
        <f>ROUND(((($I60+$J60+$N60+$O60+$P60+$Q60)*(U$72/12))/27),2)</f>
        <v>6.65</v>
      </c>
      <c r="V60" s="16"/>
      <c r="W60" s="16">
        <f>ROUND((((($I60+$J60)/9)*W$72)*3),2)</f>
        <v>6.58</v>
      </c>
      <c r="X60" s="16"/>
      <c r="Y60" s="16"/>
      <c r="Z60" s="16">
        <f>ROUND(((($I60+$J60)*(Z$72/12))/27),2)</f>
        <v>1.66</v>
      </c>
      <c r="AA60" s="16">
        <f>ROUND(((($I60+$J60)*(AA$72/12))/27),2)</f>
        <v>1.94</v>
      </c>
      <c r="AB60" s="16">
        <f t="shared" si="24"/>
        <v>3.5999999999999996</v>
      </c>
      <c r="AC60" s="16"/>
      <c r="AD60" s="16"/>
      <c r="AE60" s="16"/>
      <c r="AF60" s="105"/>
      <c r="AG60" s="106"/>
    </row>
    <row r="61" spans="1:33" s="24" customFormat="1" ht="21.75" customHeight="1">
      <c r="A61" s="12">
        <f t="shared" si="3"/>
        <v>49</v>
      </c>
      <c r="B61" s="13" t="str">
        <f>C60</f>
        <v>277+72.76 (I.R. 277)</v>
      </c>
      <c r="C61" s="14" t="s">
        <v>66</v>
      </c>
      <c r="D61" s="15" t="s">
        <v>28</v>
      </c>
      <c r="E61" s="16">
        <v>177.24</v>
      </c>
      <c r="F61" s="17">
        <f>ROUND(AVERAGE(12,15.545),2)</f>
        <v>13.77</v>
      </c>
      <c r="G61" s="18">
        <f>ROUND((5729.58-32-($F61/2))/5729.58,4)</f>
        <v>0.9932</v>
      </c>
      <c r="H61" s="16"/>
      <c r="I61" s="16">
        <f>IF(G61=0,ROUND($E61*$F61,2),ROUND($E61*$F61*$G61,2))</f>
        <v>2424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>
        <f>ROUND(((($I61+$J61)*(T$72/12))/27),2)</f>
        <v>59.85</v>
      </c>
      <c r="U61" s="16">
        <f>ROUND(((($I61+$J61+$N61+$O61+$P61+$Q61)*(U$72/12))/27),2)</f>
        <v>44.89</v>
      </c>
      <c r="V61" s="16"/>
      <c r="W61" s="16">
        <f>ROUND((((($I61+$J61)/9)*W$72)*3),2)</f>
        <v>44.44</v>
      </c>
      <c r="X61" s="16"/>
      <c r="Y61" s="16"/>
      <c r="Z61" s="16">
        <f>ROUND(((($I61+$J61)*(Z$72/12))/27),2)</f>
        <v>11.22</v>
      </c>
      <c r="AA61" s="16">
        <f>ROUND(((($I61+$J61)*(AA$72/12))/27),2)</f>
        <v>13.09</v>
      </c>
      <c r="AB61" s="16">
        <f t="shared" si="24"/>
        <v>24.310000000000002</v>
      </c>
      <c r="AC61" s="16"/>
      <c r="AD61" s="16"/>
      <c r="AE61" s="16"/>
      <c r="AF61" s="105"/>
      <c r="AG61" s="106"/>
    </row>
    <row r="62" spans="1:33" s="24" customFormat="1" ht="21.75" customHeight="1">
      <c r="A62" s="12">
        <f t="shared" si="3"/>
        <v>50</v>
      </c>
      <c r="B62" s="13"/>
      <c r="C62" s="14"/>
      <c r="D62" s="15"/>
      <c r="E62" s="16"/>
      <c r="F62" s="17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05"/>
      <c r="AG62" s="106"/>
    </row>
    <row r="63" spans="1:33" s="24" customFormat="1" ht="21.75" customHeight="1">
      <c r="A63" s="12">
        <f t="shared" si="3"/>
        <v>51</v>
      </c>
      <c r="B63" s="13"/>
      <c r="C63" s="14"/>
      <c r="D63" s="15"/>
      <c r="E63" s="16"/>
      <c r="F63" s="17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05"/>
      <c r="AG63" s="106"/>
    </row>
    <row r="64" spans="1:33" s="24" customFormat="1" ht="21.75" customHeight="1">
      <c r="A64" s="12">
        <f t="shared" si="3"/>
        <v>52</v>
      </c>
      <c r="B64" s="13"/>
      <c r="C64" s="14"/>
      <c r="D64" s="15"/>
      <c r="E64" s="16"/>
      <c r="F64" s="17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12"/>
      <c r="AG64" s="106"/>
    </row>
    <row r="65" spans="1:33" s="24" customFormat="1" ht="21.75" customHeight="1">
      <c r="A65" s="12">
        <f t="shared" si="3"/>
        <v>53</v>
      </c>
      <c r="B65" s="13"/>
      <c r="C65" s="14"/>
      <c r="D65" s="15"/>
      <c r="E65" s="16"/>
      <c r="F65" s="17"/>
      <c r="G65" s="18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12"/>
      <c r="AG65" s="106"/>
    </row>
    <row r="66" spans="1:33" s="24" customFormat="1" ht="21.75" customHeight="1" thickBot="1">
      <c r="A66" s="12">
        <f t="shared" si="3"/>
        <v>54</v>
      </c>
      <c r="B66" s="13"/>
      <c r="C66" s="14"/>
      <c r="D66" s="15"/>
      <c r="E66" s="16"/>
      <c r="F66" s="17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13"/>
      <c r="AG66" s="108"/>
    </row>
    <row r="67" spans="2:33" s="25" customFormat="1" ht="46.5" customHeight="1">
      <c r="B67" s="93" t="s">
        <v>8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5"/>
      <c r="S67" s="110" t="str">
        <f aca="true" t="shared" si="27" ref="S67:AE67">IF(SUM(S13:S66)=0," ",ROUNDUP(SUM(S13:S66),0))</f>
        <v> </v>
      </c>
      <c r="T67" s="110">
        <f t="shared" si="27"/>
        <v>2083</v>
      </c>
      <c r="U67" s="110">
        <f t="shared" si="27"/>
        <v>1603</v>
      </c>
      <c r="V67" s="110" t="str">
        <f t="shared" si="27"/>
        <v> </v>
      </c>
      <c r="W67" s="110">
        <f t="shared" si="27"/>
        <v>1535</v>
      </c>
      <c r="X67" s="110" t="str">
        <f t="shared" si="27"/>
        <v> </v>
      </c>
      <c r="Y67" s="110" t="str">
        <f t="shared" si="27"/>
        <v> </v>
      </c>
      <c r="Z67" s="110">
        <f t="shared" si="27"/>
        <v>376</v>
      </c>
      <c r="AA67" s="110">
        <f t="shared" si="27"/>
        <v>447</v>
      </c>
      <c r="AB67" s="110">
        <f t="shared" si="27"/>
        <v>536</v>
      </c>
      <c r="AC67" s="110" t="str">
        <f t="shared" si="27"/>
        <v> </v>
      </c>
      <c r="AD67" s="110">
        <f t="shared" si="27"/>
        <v>19</v>
      </c>
      <c r="AE67" s="110" t="str">
        <f t="shared" si="27"/>
        <v> </v>
      </c>
      <c r="AF67" s="120">
        <v>10</v>
      </c>
      <c r="AG67" s="121"/>
    </row>
    <row r="68" spans="2:33" s="25" customFormat="1" ht="46.5" customHeight="1" thickBot="1"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8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4">
        <v>15</v>
      </c>
      <c r="AG68" s="115"/>
    </row>
    <row r="69" spans="1:34" ht="36" customHeight="1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U69" s="27"/>
      <c r="V69" s="27"/>
      <c r="W69" s="1"/>
      <c r="X69" s="27"/>
      <c r="Y69" s="27"/>
      <c r="Z69" s="27"/>
      <c r="AA69" s="27"/>
      <c r="AB69" s="27"/>
      <c r="AF69" s="27"/>
      <c r="AG69" s="27"/>
      <c r="AH69" s="28"/>
    </row>
    <row r="70" spans="2:33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U70" s="27"/>
      <c r="V70" s="27"/>
      <c r="W70" s="1"/>
      <c r="X70" s="27"/>
      <c r="Y70" s="27"/>
      <c r="Z70" s="27"/>
      <c r="AA70" s="27"/>
      <c r="AB70" s="27"/>
      <c r="AF70" s="27"/>
      <c r="AG70" s="27"/>
    </row>
    <row r="71" spans="2:33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U71" s="27"/>
      <c r="V71" s="27"/>
      <c r="W71" s="1"/>
      <c r="X71" s="27"/>
      <c r="Y71" s="27"/>
      <c r="Z71" s="27"/>
      <c r="AA71" s="27"/>
      <c r="AB71" s="27"/>
      <c r="AF71" s="27"/>
      <c r="AG71" s="27"/>
    </row>
    <row r="72" spans="2:33" ht="15.75">
      <c r="B72" s="60" t="s">
        <v>34</v>
      </c>
      <c r="C72" s="61"/>
      <c r="D72" s="61"/>
      <c r="E72" s="61"/>
      <c r="F72" s="61"/>
      <c r="G72" s="62"/>
      <c r="H72" s="44"/>
      <c r="I72" s="42"/>
      <c r="J72" s="42"/>
      <c r="K72" s="42">
        <v>4</v>
      </c>
      <c r="L72" s="42">
        <v>6</v>
      </c>
      <c r="M72" s="42">
        <v>10</v>
      </c>
      <c r="N72" s="42">
        <v>16</v>
      </c>
      <c r="O72" s="42">
        <v>18</v>
      </c>
      <c r="P72" s="42">
        <v>20</v>
      </c>
      <c r="Q72" s="42">
        <v>22</v>
      </c>
      <c r="R72" s="42">
        <v>22.875</v>
      </c>
      <c r="S72" s="42"/>
      <c r="T72" s="42">
        <v>8</v>
      </c>
      <c r="U72" s="43">
        <v>6</v>
      </c>
      <c r="V72" s="44"/>
      <c r="W72" s="44">
        <v>0.055</v>
      </c>
      <c r="X72" s="44"/>
      <c r="Y72" s="43"/>
      <c r="Z72" s="43">
        <v>1.5</v>
      </c>
      <c r="AA72" s="43">
        <v>1.75</v>
      </c>
      <c r="AB72" s="43"/>
      <c r="AC72" s="43"/>
      <c r="AD72" s="43"/>
      <c r="AF72" s="27"/>
      <c r="AG72" s="27"/>
    </row>
    <row r="73" spans="2:33" ht="1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3"/>
      <c r="S73" s="23"/>
      <c r="T73" s="23">
        <f>T72/2</f>
        <v>4</v>
      </c>
      <c r="V73" s="42"/>
      <c r="W73" s="1"/>
      <c r="X73" s="45"/>
      <c r="Y73" s="27"/>
      <c r="Z73" s="27"/>
      <c r="AA73" s="27"/>
      <c r="AB73" s="27"/>
      <c r="AF73" s="27"/>
      <c r="AG73" s="27"/>
    </row>
    <row r="74" spans="2:33" ht="15">
      <c r="B74" s="27"/>
      <c r="C74" s="29"/>
      <c r="D74" s="27"/>
      <c r="E74" s="27"/>
      <c r="F74" s="27"/>
      <c r="G74" s="27"/>
      <c r="H74" s="30"/>
      <c r="I74" s="27"/>
      <c r="J74" s="27"/>
      <c r="K74" s="63"/>
      <c r="L74" s="64"/>
      <c r="M74" s="64"/>
      <c r="N74" s="64"/>
      <c r="O74" s="64"/>
      <c r="P74" s="64"/>
      <c r="Q74" s="64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27"/>
      <c r="AG74" s="27"/>
    </row>
  </sheetData>
  <sheetProtection/>
  <mergeCells count="55">
    <mergeCell ref="B44:I44"/>
    <mergeCell ref="B14:I14"/>
    <mergeCell ref="J3:J11"/>
    <mergeCell ref="I3:I11"/>
    <mergeCell ref="B3:C11"/>
    <mergeCell ref="D3:D11"/>
    <mergeCell ref="E3:E11"/>
    <mergeCell ref="F3:F11"/>
    <mergeCell ref="AB4:AB11"/>
    <mergeCell ref="Z4:Z11"/>
    <mergeCell ref="AA4:AA11"/>
    <mergeCell ref="K3:K11"/>
    <mergeCell ref="L3:L11"/>
    <mergeCell ref="M3:M11"/>
    <mergeCell ref="X4:X11"/>
    <mergeCell ref="U67:U68"/>
    <mergeCell ref="V67:V68"/>
    <mergeCell ref="B67:R68"/>
    <mergeCell ref="S67:S68"/>
    <mergeCell ref="G3:G11"/>
    <mergeCell ref="F16:I16"/>
    <mergeCell ref="V4:V11"/>
    <mergeCell ref="R3:R11"/>
    <mergeCell ref="F26:I26"/>
    <mergeCell ref="F28:I28"/>
    <mergeCell ref="AD67:AD68"/>
    <mergeCell ref="AE67:AE68"/>
    <mergeCell ref="Y4:Y11"/>
    <mergeCell ref="S4:S11"/>
    <mergeCell ref="T4:T11"/>
    <mergeCell ref="U4:U11"/>
    <mergeCell ref="AC4:AC11"/>
    <mergeCell ref="AD4:AD11"/>
    <mergeCell ref="T67:T68"/>
    <mergeCell ref="W4:W11"/>
    <mergeCell ref="AE4:AE11"/>
    <mergeCell ref="AF51:AG66"/>
    <mergeCell ref="AF6:AG50"/>
    <mergeCell ref="AF3:AF5"/>
    <mergeCell ref="AG3:AG5"/>
    <mergeCell ref="AA67:AA68"/>
    <mergeCell ref="AF67:AG67"/>
    <mergeCell ref="AF68:AG68"/>
    <mergeCell ref="AB67:AB68"/>
    <mergeCell ref="AC67:AC68"/>
    <mergeCell ref="Z67:Z68"/>
    <mergeCell ref="X67:X68"/>
    <mergeCell ref="H3:H11"/>
    <mergeCell ref="P3:P11"/>
    <mergeCell ref="Q3:Q11"/>
    <mergeCell ref="F47:I47"/>
    <mergeCell ref="W67:W68"/>
    <mergeCell ref="Y67:Y68"/>
    <mergeCell ref="N3:N11"/>
    <mergeCell ref="O3:O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(PAVEMENT) CALCS.</dc:title>
  <dc:subject/>
  <dc:creator>ATR</dc:creator>
  <cp:keywords/>
  <dc:description/>
  <cp:lastModifiedBy>Kirkland, Laura</cp:lastModifiedBy>
  <cp:lastPrinted>2019-07-01T15:41:06Z</cp:lastPrinted>
  <dcterms:created xsi:type="dcterms:W3CDTF">2000-02-18T16:47:28Z</dcterms:created>
  <dcterms:modified xsi:type="dcterms:W3CDTF">2020-12-29T20:35:35Z</dcterms:modified>
  <cp:category/>
  <cp:version/>
  <cp:contentType/>
  <cp:contentStatus/>
</cp:coreProperties>
</file>