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2760" windowWidth="13980" windowHeight="12975" tabRatio="790" firstSheet="2" activeTab="5"/>
  </bookViews>
  <sheets>
    <sheet name="PVMT Pg 2" sheetId="1" r:id="rId1"/>
    <sheet name="PVMT Pg 3" sheetId="2" r:id="rId2"/>
    <sheet name="PVMT Pg 4" sheetId="3" r:id="rId3"/>
    <sheet name="PVMT Pg 5" sheetId="4" r:id="rId4"/>
    <sheet name="PVMT Pg 6" sheetId="5" r:id="rId5"/>
    <sheet name="PVMT Pg 7" sheetId="6" r:id="rId6"/>
    <sheet name="PVMT Pg 8" sheetId="7" r:id="rId7"/>
    <sheet name="PVMT Pg 9" sheetId="8" r:id="rId8"/>
    <sheet name="PVMT Pg 10" sheetId="9" r:id="rId9"/>
    <sheet name="PVMT Pg 11" sheetId="10" r:id="rId10"/>
    <sheet name="PVMT Pg 12" sheetId="11" r:id="rId11"/>
    <sheet name="PVMT Pg 13" sheetId="12" r:id="rId12"/>
    <sheet name="PVMT Pg 14" sheetId="13" r:id="rId13"/>
    <sheet name="PVMT Pg 15" sheetId="14" r:id="rId14"/>
  </sheets>
  <definedNames>
    <definedName name="_xlfn._FV" hidden="1">#NAME?</definedName>
    <definedName name="_xlnm.Print_Area" localSheetId="8">'PVMT Pg 10'!$B$3:$AG$68</definedName>
    <definedName name="_xlnm.Print_Area" localSheetId="9">'PVMT Pg 11'!$B$3:$AG$68</definedName>
    <definedName name="_xlnm.Print_Area" localSheetId="10">'PVMT Pg 12'!$B$3:$AG$68</definedName>
    <definedName name="_xlnm.Print_Area" localSheetId="11">'PVMT Pg 13'!$B$3:$AG$68</definedName>
    <definedName name="_xlnm.Print_Area" localSheetId="12">'PVMT Pg 14'!$B$3:$AG$68</definedName>
    <definedName name="_xlnm.Print_Area" localSheetId="13">'PVMT Pg 15'!$B$3:$AG$68</definedName>
    <definedName name="_xlnm.Print_Area" localSheetId="0">'PVMT Pg 2'!$B$3:$AG$68</definedName>
    <definedName name="_xlnm.Print_Area" localSheetId="1">'PVMT Pg 3'!$B$3:$AG$68</definedName>
    <definedName name="_xlnm.Print_Area" localSheetId="2">'PVMT Pg 4'!$B$3:$AG$68</definedName>
    <definedName name="_xlnm.Print_Area" localSheetId="3">'PVMT Pg 5'!$B$3:$AG$68</definedName>
    <definedName name="_xlnm.Print_Area" localSheetId="4">'PVMT Pg 6'!$B$3:$AG$68</definedName>
    <definedName name="_xlnm.Print_Area" localSheetId="5">'PVMT Pg 7'!$B$3:$AG$68</definedName>
    <definedName name="_xlnm.Print_Area" localSheetId="6">'PVMT Pg 8'!$B$3:$AG$68</definedName>
    <definedName name="_xlnm.Print_Area" localSheetId="7">'PVMT Pg 9'!$B$3:$AG$68</definedName>
  </definedNames>
  <calcPr fullCalcOnLoad="1"/>
</workbook>
</file>

<file path=xl/sharedStrings.xml><?xml version="1.0" encoding="utf-8"?>
<sst xmlns="http://schemas.openxmlformats.org/spreadsheetml/2006/main" count="996" uniqueCount="113">
  <si>
    <t>STATION</t>
  </si>
  <si>
    <t>FROM</t>
  </si>
  <si>
    <t>TO</t>
  </si>
  <si>
    <t>SIDE</t>
  </si>
  <si>
    <t>LENGTH (L)</t>
  </si>
  <si>
    <t>AVERAGE WIDTH (W)</t>
  </si>
  <si>
    <t>SURFACE AREA (A=LxW)</t>
  </si>
  <si>
    <t>PAVEMENT CALCULATIONS</t>
  </si>
  <si>
    <t>FT</t>
  </si>
  <si>
    <t>TOTALS CARRIED TO PAVEMENT SUBSUMMARY</t>
  </si>
  <si>
    <t>SF</t>
  </si>
  <si>
    <t>CADD AREA</t>
  </si>
  <si>
    <t>CALCULATED                            
LRK</t>
  </si>
  <si>
    <t>CURVE CORRECTION RATIO</t>
  </si>
  <si>
    <t xml:space="preserve">CONCRETE BARRIER, SINGLE SLOPE, TYPE C1 </t>
  </si>
  <si>
    <t>EACH</t>
  </si>
  <si>
    <t>BARRIER TRANSITION</t>
  </si>
  <si>
    <t>DEDUCTIONS</t>
  </si>
  <si>
    <t>OVERHEAD SIGN FOUNDATIONS</t>
  </si>
  <si>
    <t>MEDIAN INLETS</t>
  </si>
  <si>
    <t>CONCRETE BARRIER, SINGLE SLOPE, TYPE B1</t>
  </si>
  <si>
    <t>VAR.</t>
  </si>
  <si>
    <t>CALCULATED                            
KRM</t>
  </si>
  <si>
    <t>CHECKED                       
PJF</t>
  </si>
  <si>
    <t>TABLE 1</t>
  </si>
  <si>
    <t>AREA FOR 4" EXTENSION</t>
  </si>
  <si>
    <t>AREA FOR 6" EXTENSION</t>
  </si>
  <si>
    <t>AREA FOR 10" EXTENSION</t>
  </si>
  <si>
    <t>AREA FOR 16" EXTENSION</t>
  </si>
  <si>
    <t>AREA FOR 18" EXTENSION</t>
  </si>
  <si>
    <t>AREA FOR 20" EXTENSION</t>
  </si>
  <si>
    <t>AREA FOR 22" EXTENSION</t>
  </si>
  <si>
    <t>8" ASPHALT CONCRETE BASE, PG64-22</t>
  </si>
  <si>
    <t>ANTI-SEGREGATION EQUIPMENT</t>
  </si>
  <si>
    <t>CY</t>
  </si>
  <si>
    <t>GAL</t>
  </si>
  <si>
    <t>NORTHBOUND I.R. 77 CL</t>
  </si>
  <si>
    <t>RT</t>
  </si>
  <si>
    <t>RT/IN</t>
  </si>
  <si>
    <t>RT/OUT</t>
  </si>
  <si>
    <t>CADD</t>
  </si>
  <si>
    <t>LT</t>
  </si>
  <si>
    <t>REFERENCE CELLS FOR FORMULA CONSTANTS (DO NOT PRINT THIS ROW)</t>
  </si>
  <si>
    <t>SOUTHBOUND I.R. 77 BL</t>
  </si>
  <si>
    <t>SOUTHBOUND I.R. 77 CL</t>
  </si>
  <si>
    <t>LT/OUT</t>
  </si>
  <si>
    <t>LT/IN</t>
  </si>
  <si>
    <t>GORE AREAS</t>
  </si>
  <si>
    <t>SOUTHBOUND I.R. 77/RAMP C-2</t>
  </si>
  <si>
    <t>SOUTHBOUND I.R. 77/RAMP B-1</t>
  </si>
  <si>
    <t>RAMP B-1</t>
  </si>
  <si>
    <t>RAMP C-2</t>
  </si>
  <si>
    <t>EASTBOUND/WESTBOUND I.R. 277 CL</t>
  </si>
  <si>
    <t>WARNER RD.</t>
  </si>
  <si>
    <t>LT/RT</t>
  </si>
  <si>
    <t>APPROACH SLABS</t>
  </si>
  <si>
    <t>SUM-77-0802L/R</t>
  </si>
  <si>
    <t>SUM-77-0810L/R</t>
  </si>
  <si>
    <t>SUM-77-0927R</t>
  </si>
  <si>
    <t>FULL DEPTH ASPHALT LANES</t>
  </si>
  <si>
    <t>FULL DEPTH ASPHALT SHOULDER</t>
  </si>
  <si>
    <t>RESURFACING ASPHALT SHOULDER</t>
  </si>
  <si>
    <t>1 1/2" ASPHALT CONCRETE 
SURFACE COURSE, 12.5 MM, 
TYPE A (447), AS PER PLAN</t>
  </si>
  <si>
    <t>1 1/4" ASPHALT CONCRETE SURFACE COURSE, TYPE 1, (448), PG64-22</t>
  </si>
  <si>
    <t>PAVEMENT PLANING, ASPHALT CONCRETE</t>
  </si>
  <si>
    <t>SY</t>
  </si>
  <si>
    <t>SPECIAL</t>
  </si>
  <si>
    <t>NON-TRACKING TACK COAT
(0.055 GAL/SY - 1 APPLICATION)</t>
  </si>
  <si>
    <t>1 3/4" ASPHALT CONCRETE INTERMEDIATE COURSE, TYPE 2, (448)</t>
  </si>
  <si>
    <t>4" ASPHALT CONCRETE BASE, PG64-22</t>
  </si>
  <si>
    <t>NON-TRACKING TACK COAT
(0.055 GAL/SY - 3 APPLICATIONS)</t>
  </si>
  <si>
    <t>NON-TRACKING TACK COAT
(0.055 GAL/SY - 2 APPLICATIONS)</t>
  </si>
  <si>
    <t>LINEAR GRADING, AS PER PLAN</t>
  </si>
  <si>
    <t>2" ASPHALT CONCRETE INTERMEDIATE COURSE, TYPE 1, (448), (UNDER GUARDRAIL), AS PER PLAN</t>
  </si>
  <si>
    <t>STA</t>
  </si>
  <si>
    <t>PAVING UNDER GUARDRAIL</t>
  </si>
  <si>
    <t>RAMP A</t>
  </si>
  <si>
    <t>RAMP B</t>
  </si>
  <si>
    <t>RAMP C</t>
  </si>
  <si>
    <t>RAMP D</t>
  </si>
  <si>
    <t>WATER 
((A*0.300)/1000)</t>
  </si>
  <si>
    <t>COMPACTED AGGREGATE, AS PER PLAN (T=2")</t>
  </si>
  <si>
    <t>SHOULDER PREPARATION</t>
  </si>
  <si>
    <t>MGAL</t>
  </si>
  <si>
    <t>NORTHBOUND I.R. 77 BL</t>
  </si>
  <si>
    <t>NORTHBOUND/SOUTHBOUND I.R. 77 CL</t>
  </si>
  <si>
    <t>PAVING UNDER GUARDRAIL CONTD.</t>
  </si>
  <si>
    <t>RAMP B-2</t>
  </si>
  <si>
    <t>RAMP C-1</t>
  </si>
  <si>
    <t>SHOULDER PREPARATION/COMPACTED AGGREGATE</t>
  </si>
  <si>
    <t>SHOULDER PREPARATION/COMPACTED AGGREGATE CONTD.</t>
  </si>
  <si>
    <t>ARLINGTON RD. RAMP D</t>
  </si>
  <si>
    <t>RUMBLE STRIPS, SHOULDER (ASPHALT CONCRETE)</t>
  </si>
  <si>
    <t>MILE</t>
  </si>
  <si>
    <t>RUMBLE STRIPS</t>
  </si>
  <si>
    <t>BARRIER</t>
  </si>
  <si>
    <t>BARRIER DEDUCTIONS</t>
  </si>
  <si>
    <t>VARIABLE DEPTH AGGREGATE BASE UNDER MEDIAN</t>
  </si>
  <si>
    <t>CONCRETE BARRIER, END ANCHORAGE, REINFORCED, TYPE B1</t>
  </si>
  <si>
    <t>CONCRETE BARRIER, END ANCHORAGE, REINFORCED, TYPE C1</t>
  </si>
  <si>
    <t>CONCRETE BARRIER, END ANCHORAGE, REINFORCED, TYPE C1, AS PER PLAN</t>
  </si>
  <si>
    <t>PRESSURE RELIEF JOINT, TYPE A</t>
  </si>
  <si>
    <t>SUM-77/277/224 VARIOUS</t>
  </si>
  <si>
    <t>ARLINGTON RAMP D</t>
  </si>
  <si>
    <t>EDGE EXT. CURVE CORRECTION RATIO</t>
  </si>
  <si>
    <t>END ANCHORAGES, TYPE B1</t>
  </si>
  <si>
    <t>END ANCHORAGES, TYPE C1</t>
  </si>
  <si>
    <t>END ANCHORAGES, TYPE C1, AS PER PLAN</t>
  </si>
  <si>
    <t>CURB, TYPE 4-C, AS PER PLAN</t>
  </si>
  <si>
    <t>CONCRETE SLOPE PROTECTION</t>
  </si>
  <si>
    <t>PRIME COAT, AS PER PLAN (0.4 GAL/SY)</t>
  </si>
  <si>
    <t>6" AGGREGATE BASE</t>
  </si>
  <si>
    <t>1 3/4" ASPHALT CONCRETE 
INTERMEDIATE COURSE, 
19 MM, TYPE A (446),
AS PER PLAN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</si>
</sst>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+##.##"/>
    <numFmt numFmtId="165" formatCode="00######"/>
    <numFmt numFmtId="166" formatCode="0######"/>
    <numFmt numFmtId="167" formatCode="mmmm\ d\,\ yyyy"/>
    <numFmt numFmtId="168" formatCode="&quot;$&quot;#,##0.00"/>
    <numFmt numFmtId="169" formatCode="&quot;$&quot;#,##0.000"/>
    <numFmt numFmtId="170" formatCode="&quot;$&quot;#,##0.0"/>
    <numFmt numFmtId="171" formatCode="&quot;$&quot;#,##0"/>
    <numFmt numFmtId="172" formatCode="&quot;$&quot;#,##0.0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##\+##"/>
    <numFmt numFmtId="180" formatCode="0\+00.00"/>
    <numFmt numFmtId="181" formatCode="0.0000000000000"/>
    <numFmt numFmtId="182" formatCode="00\+00.00"/>
    <numFmt numFmtId="183" formatCode="##\+##.####"/>
    <numFmt numFmtId="184" formatCode="0\+00"/>
    <numFmt numFmtId="185" formatCode="000\+00"/>
    <numFmt numFmtId="186" formatCode="000\+00.00"/>
    <numFmt numFmtId="187" formatCode="0.000000000000"/>
    <numFmt numFmtId="188" formatCode="0.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"/>
    <numFmt numFmtId="194" formatCode="0.000000000000000"/>
    <numFmt numFmtId="195" formatCode="0.0000000000"/>
    <numFmt numFmtId="196" formatCode="0.000000000"/>
    <numFmt numFmtId="197" formatCode="0.00000000"/>
    <numFmt numFmtId="198" formatCode="0000\+00.00"/>
    <numFmt numFmtId="199" formatCode="###\+##.00\ \(\I.\R.\ \7\7\)"/>
    <numFmt numFmtId="200" formatCode="###\+##.00\ &quot;(I.R. 224/277)&quot;"/>
    <numFmt numFmtId="201" formatCode="###\+##.00\ &quot;(I.R. 277/224)&quot;"/>
    <numFmt numFmtId="202" formatCode="###\+##.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3" fillId="0" borderId="13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left" vertical="center"/>
    </xf>
    <xf numFmtId="18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left" vertical="center"/>
    </xf>
    <xf numFmtId="202" fontId="3" fillId="0" borderId="15" xfId="0" applyNumberFormat="1" applyFont="1" applyFill="1" applyBorder="1" applyAlignment="1">
      <alignment horizontal="center" vertical="center"/>
    </xf>
    <xf numFmtId="0" fontId="0" fillId="0" borderId="0" xfId="61">
      <alignment/>
      <protection/>
    </xf>
    <xf numFmtId="0" fontId="4" fillId="0" borderId="16" xfId="61" applyFont="1" applyBorder="1">
      <alignment/>
      <protection/>
    </xf>
    <xf numFmtId="0" fontId="4" fillId="0" borderId="17" xfId="61" applyFont="1" applyBorder="1">
      <alignment/>
      <protection/>
    </xf>
    <xf numFmtId="0" fontId="4" fillId="0" borderId="0" xfId="61" applyFont="1">
      <alignment/>
      <protection/>
    </xf>
    <xf numFmtId="0" fontId="3" fillId="0" borderId="0" xfId="61" applyFont="1">
      <alignment/>
      <protection/>
    </xf>
    <xf numFmtId="0" fontId="0" fillId="0" borderId="0" xfId="61" applyBorder="1">
      <alignment/>
      <protection/>
    </xf>
    <xf numFmtId="0" fontId="3" fillId="0" borderId="18" xfId="61" applyFont="1" applyBorder="1">
      <alignment/>
      <protection/>
    </xf>
    <xf numFmtId="0" fontId="1" fillId="0" borderId="0" xfId="61" applyFont="1" applyAlignment="1">
      <alignment wrapText="1"/>
      <protection/>
    </xf>
    <xf numFmtId="0" fontId="3" fillId="0" borderId="0" xfId="61" applyFont="1" applyBorder="1">
      <alignment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49" fillId="0" borderId="0" xfId="61" applyFont="1" applyAlignment="1">
      <alignment horizontal="center" vertical="center"/>
      <protection/>
    </xf>
    <xf numFmtId="180" fontId="3" fillId="0" borderId="13" xfId="61" applyNumberFormat="1" applyFont="1" applyFill="1" applyBorder="1" applyAlignment="1">
      <alignment horizontal="center"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2" fontId="3" fillId="0" borderId="10" xfId="61" applyNumberFormat="1" applyFont="1" applyFill="1" applyBorder="1" applyAlignment="1">
      <alignment horizontal="center" vertical="center"/>
      <protection/>
    </xf>
    <xf numFmtId="2" fontId="3" fillId="0" borderId="20" xfId="61" applyNumberFormat="1" applyFont="1" applyFill="1" applyBorder="1" applyAlignment="1">
      <alignment horizontal="center" vertical="center"/>
      <protection/>
    </xf>
    <xf numFmtId="173" fontId="3" fillId="0" borderId="10" xfId="61" applyNumberFormat="1" applyFont="1" applyFill="1" applyBorder="1" applyAlignment="1">
      <alignment horizontal="center" vertical="center"/>
      <protection/>
    </xf>
    <xf numFmtId="180" fontId="2" fillId="0" borderId="13" xfId="61" applyNumberFormat="1" applyFont="1" applyFill="1" applyBorder="1" applyAlignment="1">
      <alignment horizontal="left" vertical="center"/>
      <protection/>
    </xf>
    <xf numFmtId="180" fontId="2" fillId="0" borderId="20" xfId="61" applyNumberFormat="1" applyFont="1" applyFill="1" applyBorder="1" applyAlignment="1">
      <alignment horizontal="left" vertical="center"/>
      <protection/>
    </xf>
    <xf numFmtId="180" fontId="3" fillId="0" borderId="21" xfId="61" applyNumberFormat="1" applyFont="1" applyFill="1" applyBorder="1" applyAlignment="1">
      <alignment horizontal="center" vertical="center"/>
      <protection/>
    </xf>
    <xf numFmtId="180" fontId="3" fillId="0" borderId="22" xfId="61" applyNumberFormat="1" applyFont="1" applyFill="1" applyBorder="1" applyAlignment="1">
      <alignment horizontal="center" vertical="center"/>
      <protection/>
    </xf>
    <xf numFmtId="2" fontId="3" fillId="0" borderId="23" xfId="61" applyNumberFormat="1" applyFont="1" applyFill="1" applyBorder="1" applyAlignment="1">
      <alignment horizontal="center" vertical="center"/>
      <protection/>
    </xf>
    <xf numFmtId="0" fontId="49" fillId="0" borderId="0" xfId="61" applyFont="1" applyFill="1">
      <alignment/>
      <protection/>
    </xf>
    <xf numFmtId="175" fontId="3" fillId="0" borderId="0" xfId="61" applyNumberFormat="1" applyFont="1">
      <alignment/>
      <protection/>
    </xf>
    <xf numFmtId="0" fontId="2" fillId="0" borderId="0" xfId="61" applyFont="1">
      <alignment/>
      <protection/>
    </xf>
    <xf numFmtId="0" fontId="0" fillId="0" borderId="24" xfId="61" applyBorder="1">
      <alignment/>
      <protection/>
    </xf>
    <xf numFmtId="0" fontId="0" fillId="0" borderId="0" xfId="61" applyFill="1">
      <alignment/>
      <protection/>
    </xf>
    <xf numFmtId="0" fontId="0" fillId="0" borderId="25" xfId="61" applyBorder="1">
      <alignment/>
      <protection/>
    </xf>
    <xf numFmtId="0" fontId="4" fillId="0" borderId="0" xfId="61" applyFont="1" applyFill="1" applyBorder="1">
      <alignment/>
      <protection/>
    </xf>
    <xf numFmtId="0" fontId="49" fillId="0" borderId="0" xfId="61" applyFont="1" applyFill="1" applyBorder="1">
      <alignment/>
      <protection/>
    </xf>
    <xf numFmtId="0" fontId="10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0" fillId="0" borderId="0" xfId="61" applyFont="1" applyAlignment="1">
      <alignment horizontal="center" vertical="center"/>
      <protection/>
    </xf>
    <xf numFmtId="0" fontId="50" fillId="0" borderId="0" xfId="61" applyFont="1" applyFill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180" fontId="3" fillId="0" borderId="20" xfId="61" applyNumberFormat="1" applyFont="1" applyFill="1" applyBorder="1" applyAlignment="1">
      <alignment horizontal="center" vertical="center"/>
      <protection/>
    </xf>
    <xf numFmtId="2" fontId="3" fillId="0" borderId="10" xfId="61" applyNumberFormat="1" applyFont="1" applyFill="1" applyBorder="1" applyAlignment="1">
      <alignment horizontal="left" vertical="center"/>
      <protection/>
    </xf>
    <xf numFmtId="180" fontId="3" fillId="0" borderId="27" xfId="61" applyNumberFormat="1" applyFont="1" applyFill="1" applyBorder="1" applyAlignment="1">
      <alignment horizontal="center" vertical="center"/>
      <protection/>
    </xf>
    <xf numFmtId="2" fontId="3" fillId="0" borderId="27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2" fontId="12" fillId="0" borderId="0" xfId="61" applyNumberFormat="1" applyFont="1" applyFill="1" applyAlignment="1">
      <alignment vertical="center"/>
      <protection/>
    </xf>
    <xf numFmtId="174" fontId="12" fillId="0" borderId="0" xfId="61" applyNumberFormat="1" applyFont="1" applyFill="1" applyAlignment="1">
      <alignment vertical="center"/>
      <protection/>
    </xf>
    <xf numFmtId="2" fontId="0" fillId="0" borderId="0" xfId="61" applyNumberFormat="1" applyFill="1">
      <alignment/>
      <protection/>
    </xf>
    <xf numFmtId="2" fontId="0" fillId="0" borderId="0" xfId="61" applyNumberForma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NumberFormat="1" applyFont="1" applyAlignment="1">
      <alignment horizontal="center" vertical="center"/>
      <protection/>
    </xf>
    <xf numFmtId="2" fontId="4" fillId="0" borderId="0" xfId="61" applyNumberFormat="1" applyFont="1" applyAlignment="1">
      <alignment horizontal="center" vertical="center"/>
      <protection/>
    </xf>
    <xf numFmtId="0" fontId="50" fillId="0" borderId="28" xfId="61" applyFont="1" applyFill="1" applyBorder="1" applyAlignment="1">
      <alignment vertical="center"/>
      <protection/>
    </xf>
    <xf numFmtId="0" fontId="4" fillId="0" borderId="28" xfId="61" applyFont="1" applyBorder="1" applyAlignment="1">
      <alignment horizontal="center"/>
      <protection/>
    </xf>
    <xf numFmtId="2" fontId="3" fillId="0" borderId="20" xfId="61" applyNumberFormat="1" applyFont="1" applyFill="1" applyBorder="1" applyAlignment="1">
      <alignment vertical="center"/>
      <protection/>
    </xf>
    <xf numFmtId="2" fontId="3" fillId="0" borderId="23" xfId="61" applyNumberFormat="1" applyFont="1" applyFill="1" applyBorder="1" applyAlignment="1">
      <alignment vertical="center"/>
      <protection/>
    </xf>
    <xf numFmtId="2" fontId="3" fillId="0" borderId="13" xfId="61" applyNumberFormat="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23" xfId="61" applyFont="1" applyFill="1" applyBorder="1" applyAlignment="1">
      <alignment vertical="center"/>
      <protection/>
    </xf>
    <xf numFmtId="0" fontId="13" fillId="0" borderId="20" xfId="61" applyFont="1" applyFill="1" applyBorder="1" applyAlignment="1">
      <alignment vertical="center"/>
      <protection/>
    </xf>
    <xf numFmtId="180" fontId="2" fillId="0" borderId="20" xfId="61" applyNumberFormat="1" applyFont="1" applyFill="1" applyBorder="1" applyAlignment="1">
      <alignment vertical="center"/>
      <protection/>
    </xf>
    <xf numFmtId="2" fontId="3" fillId="0" borderId="20" xfId="0" applyNumberFormat="1" applyFont="1" applyFill="1" applyBorder="1" applyAlignment="1">
      <alignment horizontal="center" vertical="center"/>
    </xf>
    <xf numFmtId="202" fontId="3" fillId="0" borderId="1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right" vertical="center"/>
    </xf>
    <xf numFmtId="2" fontId="49" fillId="0" borderId="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4" fontId="3" fillId="0" borderId="10" xfId="61" applyNumberFormat="1" applyFont="1" applyFill="1" applyBorder="1" applyAlignment="1">
      <alignment horizontal="center" vertical="center"/>
      <protection/>
    </xf>
    <xf numFmtId="1" fontId="3" fillId="0" borderId="10" xfId="61" applyNumberFormat="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/>
      <protection/>
    </xf>
    <xf numFmtId="0" fontId="3" fillId="0" borderId="0" xfId="61" applyFont="1" applyFill="1" applyAlignment="1">
      <alignment horizontal="center"/>
      <protection/>
    </xf>
    <xf numFmtId="0" fontId="0" fillId="0" borderId="0" xfId="61" applyFill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1" fontId="12" fillId="0" borderId="0" xfId="61" applyNumberFormat="1" applyFont="1" applyFill="1" applyAlignment="1">
      <alignment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3" xfId="61" applyNumberFormat="1" applyFont="1" applyFill="1" applyBorder="1" applyAlignment="1">
      <alignment horizontal="center" vertical="center"/>
      <protection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61" applyFont="1" applyFill="1">
      <alignment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2" fontId="3" fillId="0" borderId="29" xfId="0" applyNumberFormat="1" applyFont="1" applyFill="1" applyBorder="1" applyAlignment="1">
      <alignment horizontal="center" vertical="center"/>
    </xf>
    <xf numFmtId="0" fontId="5" fillId="0" borderId="30" xfId="61" applyFont="1" applyFill="1" applyBorder="1" applyAlignment="1">
      <alignment horizontal="center" vertical="center" textRotation="90" wrapText="1"/>
      <protection/>
    </xf>
    <xf numFmtId="0" fontId="0" fillId="0" borderId="31" xfId="61" applyFill="1" applyBorder="1" applyAlignment="1">
      <alignment horizontal="center" vertical="center" textRotation="90"/>
      <protection/>
    </xf>
    <xf numFmtId="0" fontId="2" fillId="0" borderId="29" xfId="61" applyFont="1" applyFill="1" applyBorder="1" applyAlignment="1">
      <alignment horizontal="center" vertical="center" textRotation="90" wrapText="1"/>
      <protection/>
    </xf>
    <xf numFmtId="0" fontId="2" fillId="0" borderId="18" xfId="61" applyFont="1" applyFill="1" applyBorder="1" applyAlignment="1">
      <alignment horizontal="center" vertical="center" textRotation="90" wrapText="1"/>
      <protection/>
    </xf>
    <xf numFmtId="0" fontId="2" fillId="0" borderId="22" xfId="61" applyFont="1" applyFill="1" applyBorder="1" applyAlignment="1">
      <alignment horizontal="center" vertical="center" textRotation="90" wrapText="1"/>
      <protection/>
    </xf>
    <xf numFmtId="0" fontId="2" fillId="0" borderId="27" xfId="61" applyFont="1" applyFill="1" applyBorder="1" applyAlignment="1">
      <alignment horizontal="center" vertical="center" textRotation="90" wrapText="1"/>
      <protection/>
    </xf>
    <xf numFmtId="0" fontId="2" fillId="0" borderId="31" xfId="61" applyFont="1" applyFill="1" applyBorder="1" applyAlignment="1">
      <alignment horizontal="center" vertical="center" textRotation="90" wrapText="1"/>
      <protection/>
    </xf>
    <xf numFmtId="0" fontId="2" fillId="0" borderId="21" xfId="61" applyFont="1" applyFill="1" applyBorder="1" applyAlignment="1">
      <alignment horizontal="center" vertical="center" textRotation="90" wrapText="1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23" xfId="61" applyFont="1" applyFill="1" applyBorder="1" applyAlignment="1">
      <alignment horizontal="center" vertical="center"/>
      <protection/>
    </xf>
    <xf numFmtId="0" fontId="13" fillId="0" borderId="20" xfId="61" applyFont="1" applyFill="1" applyBorder="1" applyAlignment="1">
      <alignment horizontal="center" vertical="center"/>
      <protection/>
    </xf>
    <xf numFmtId="43" fontId="11" fillId="0" borderId="32" xfId="44" applyFont="1" applyFill="1" applyBorder="1" applyAlignment="1">
      <alignment horizontal="center" vertical="center" textRotation="90"/>
    </xf>
    <xf numFmtId="43" fontId="11" fillId="0" borderId="33" xfId="44" applyFont="1" applyFill="1" applyBorder="1" applyAlignment="1">
      <alignment horizontal="center" vertical="center" textRotation="90"/>
    </xf>
    <xf numFmtId="43" fontId="11" fillId="0" borderId="18" xfId="44" applyFont="1" applyFill="1" applyBorder="1" applyAlignment="1">
      <alignment horizontal="center" vertical="center" textRotation="90"/>
    </xf>
    <xf numFmtId="43" fontId="11" fillId="0" borderId="34" xfId="44" applyFont="1" applyFill="1" applyBorder="1" applyAlignment="1">
      <alignment horizontal="center" vertical="center" textRotation="90"/>
    </xf>
    <xf numFmtId="43" fontId="11" fillId="0" borderId="35" xfId="44" applyFont="1" applyFill="1" applyBorder="1" applyAlignment="1">
      <alignment horizontal="center" vertical="center" textRotation="90"/>
    </xf>
    <xf numFmtId="43" fontId="11" fillId="0" borderId="36" xfId="44" applyFont="1" applyFill="1" applyBorder="1" applyAlignment="1">
      <alignment horizontal="center" vertical="center" textRotation="90"/>
    </xf>
    <xf numFmtId="0" fontId="9" fillId="0" borderId="32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textRotation="90" wrapText="1"/>
      <protection/>
    </xf>
    <xf numFmtId="0" fontId="9" fillId="0" borderId="31" xfId="61" applyFont="1" applyFill="1" applyBorder="1" applyAlignment="1">
      <alignment horizontal="center" vertical="center" textRotation="90" wrapText="1"/>
      <protection/>
    </xf>
    <xf numFmtId="0" fontId="9" fillId="0" borderId="21" xfId="61" applyFont="1" applyFill="1" applyBorder="1" applyAlignment="1">
      <alignment horizontal="center" vertical="center" textRotation="90" wrapText="1"/>
      <protection/>
    </xf>
    <xf numFmtId="0" fontId="5" fillId="0" borderId="31" xfId="61" applyFont="1" applyFill="1" applyBorder="1" applyAlignment="1">
      <alignment horizontal="center" vertical="center" textRotation="90" wrapText="1"/>
      <protection/>
    </xf>
    <xf numFmtId="0" fontId="5" fillId="0" borderId="19" xfId="61" applyFont="1" applyFill="1" applyBorder="1" applyAlignment="1">
      <alignment horizontal="center" vertical="center" textRotation="90" wrapText="1"/>
      <protection/>
    </xf>
    <xf numFmtId="1" fontId="2" fillId="0" borderId="30" xfId="61" applyNumberFormat="1" applyFont="1" applyFill="1" applyBorder="1" applyAlignment="1">
      <alignment horizontal="center" vertical="center"/>
      <protection/>
    </xf>
    <xf numFmtId="1" fontId="0" fillId="0" borderId="19" xfId="61" applyNumberForma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 textRotation="90" wrapText="1"/>
      <protection/>
    </xf>
    <xf numFmtId="1" fontId="2" fillId="0" borderId="32" xfId="61" applyNumberFormat="1" applyFont="1" applyFill="1" applyBorder="1" applyAlignment="1">
      <alignment horizontal="center" vertical="center"/>
      <protection/>
    </xf>
    <xf numFmtId="1" fontId="2" fillId="0" borderId="33" xfId="61" applyNumberFormat="1" applyFont="1" applyFill="1" applyBorder="1" applyAlignment="1">
      <alignment horizontal="center" vertical="center"/>
      <protection/>
    </xf>
    <xf numFmtId="1" fontId="2" fillId="0" borderId="35" xfId="61" applyNumberFormat="1" applyFont="1" applyFill="1" applyBorder="1" applyAlignment="1">
      <alignment horizontal="center" vertical="center"/>
      <protection/>
    </xf>
    <xf numFmtId="1" fontId="2" fillId="0" borderId="36" xfId="61" applyNumberFormat="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 wrapText="1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36" xfId="61" applyFont="1" applyFill="1" applyBorder="1" applyAlignment="1">
      <alignment horizontal="center" vertical="center" wrapText="1"/>
      <protection/>
    </xf>
    <xf numFmtId="0" fontId="0" fillId="0" borderId="31" xfId="61" applyFill="1" applyBorder="1" applyAlignment="1">
      <alignment horizontal="center" vertical="center"/>
      <protection/>
    </xf>
    <xf numFmtId="0" fontId="0" fillId="0" borderId="21" xfId="61" applyFill="1" applyBorder="1" applyAlignment="1">
      <alignment horizontal="center" vertical="center"/>
      <protection/>
    </xf>
    <xf numFmtId="2" fontId="3" fillId="0" borderId="13" xfId="61" applyNumberFormat="1" applyFont="1" applyFill="1" applyBorder="1" applyAlignment="1">
      <alignment horizontal="center" vertical="center"/>
      <protection/>
    </xf>
    <xf numFmtId="2" fontId="3" fillId="0" borderId="23" xfId="61" applyNumberFormat="1" applyFont="1" applyFill="1" applyBorder="1" applyAlignment="1">
      <alignment horizontal="center" vertical="center"/>
      <protection/>
    </xf>
    <xf numFmtId="2" fontId="3" fillId="0" borderId="2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 vertical="top"/>
      <protection/>
    </xf>
    <xf numFmtId="0" fontId="6" fillId="0" borderId="39" xfId="61" applyFont="1" applyFill="1" applyBorder="1" applyAlignment="1">
      <alignment horizontal="center" vertical="top"/>
      <protection/>
    </xf>
    <xf numFmtId="0" fontId="6" fillId="0" borderId="22" xfId="61" applyFont="1" applyFill="1" applyBorder="1" applyAlignment="1">
      <alignment horizontal="center"/>
      <protection/>
    </xf>
    <xf numFmtId="0" fontId="6" fillId="0" borderId="37" xfId="61" applyFont="1" applyFill="1" applyBorder="1" applyAlignment="1">
      <alignment horizontal="center"/>
      <protection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1" fontId="2" fillId="0" borderId="19" xfId="61" applyNumberFormat="1" applyFont="1" applyFill="1" applyBorder="1" applyAlignment="1">
      <alignment horizontal="center" vertical="center"/>
      <protection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23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200025</xdr:rowOff>
    </xdr:from>
    <xdr:ext cx="762000" cy="790575"/>
    <xdr:sp>
      <xdr:nvSpPr>
        <xdr:cNvPr id="1" name="Oval 1"/>
        <xdr:cNvSpPr>
          <a:spLocks noChangeAspect="1"/>
        </xdr:cNvSpPr>
      </xdr:nvSpPr>
      <xdr:spPr>
        <a:xfrm>
          <a:off x="34356675" y="19107150"/>
          <a:ext cx="762000" cy="7905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200025</xdr:rowOff>
    </xdr:from>
    <xdr:ext cx="762000" cy="790575"/>
    <xdr:sp>
      <xdr:nvSpPr>
        <xdr:cNvPr id="1" name="Oval 1"/>
        <xdr:cNvSpPr>
          <a:spLocks noChangeAspect="1"/>
        </xdr:cNvSpPr>
      </xdr:nvSpPr>
      <xdr:spPr>
        <a:xfrm>
          <a:off x="34347150" y="19107150"/>
          <a:ext cx="762000" cy="7905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190500</xdr:rowOff>
    </xdr:from>
    <xdr:ext cx="762000" cy="800100"/>
    <xdr:sp>
      <xdr:nvSpPr>
        <xdr:cNvPr id="1" name="Oval 1"/>
        <xdr:cNvSpPr>
          <a:spLocks noChangeAspect="1"/>
        </xdr:cNvSpPr>
      </xdr:nvSpPr>
      <xdr:spPr>
        <a:xfrm>
          <a:off x="34347150" y="19097625"/>
          <a:ext cx="762000" cy="8001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190500</xdr:rowOff>
    </xdr:from>
    <xdr:ext cx="762000" cy="819150"/>
    <xdr:sp>
      <xdr:nvSpPr>
        <xdr:cNvPr id="1" name="Oval 1"/>
        <xdr:cNvSpPr>
          <a:spLocks noChangeAspect="1"/>
        </xdr:cNvSpPr>
      </xdr:nvSpPr>
      <xdr:spPr>
        <a:xfrm>
          <a:off x="34356675" y="19097625"/>
          <a:ext cx="762000" cy="81915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180975</xdr:rowOff>
    </xdr:from>
    <xdr:ext cx="762000" cy="809625"/>
    <xdr:sp>
      <xdr:nvSpPr>
        <xdr:cNvPr id="1" name="Oval 1"/>
        <xdr:cNvSpPr>
          <a:spLocks noChangeAspect="1"/>
        </xdr:cNvSpPr>
      </xdr:nvSpPr>
      <xdr:spPr>
        <a:xfrm>
          <a:off x="34356675" y="19088100"/>
          <a:ext cx="762000" cy="8096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171450</xdr:rowOff>
    </xdr:from>
    <xdr:ext cx="762000" cy="838200"/>
    <xdr:sp>
      <xdr:nvSpPr>
        <xdr:cNvPr id="1" name="Oval 1"/>
        <xdr:cNvSpPr>
          <a:spLocks noChangeAspect="1"/>
        </xdr:cNvSpPr>
      </xdr:nvSpPr>
      <xdr:spPr>
        <a:xfrm>
          <a:off x="34347150" y="19078575"/>
          <a:ext cx="762000" cy="8382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200025</xdr:rowOff>
    </xdr:from>
    <xdr:ext cx="762000" cy="809625"/>
    <xdr:sp>
      <xdr:nvSpPr>
        <xdr:cNvPr id="1" name="Oval 1"/>
        <xdr:cNvSpPr>
          <a:spLocks noChangeAspect="1"/>
        </xdr:cNvSpPr>
      </xdr:nvSpPr>
      <xdr:spPr>
        <a:xfrm>
          <a:off x="34356675" y="19107150"/>
          <a:ext cx="762000" cy="8096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209550</xdr:rowOff>
    </xdr:from>
    <xdr:ext cx="762000" cy="762000"/>
    <xdr:sp>
      <xdr:nvSpPr>
        <xdr:cNvPr id="1" name="Oval 1"/>
        <xdr:cNvSpPr>
          <a:spLocks noChangeAspect="1"/>
        </xdr:cNvSpPr>
      </xdr:nvSpPr>
      <xdr:spPr>
        <a:xfrm>
          <a:off x="34356675" y="19116675"/>
          <a:ext cx="762000" cy="762000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219075</xdr:rowOff>
    </xdr:from>
    <xdr:ext cx="762000" cy="771525"/>
    <xdr:sp>
      <xdr:nvSpPr>
        <xdr:cNvPr id="1" name="Oval 1"/>
        <xdr:cNvSpPr>
          <a:spLocks noChangeAspect="1"/>
        </xdr:cNvSpPr>
      </xdr:nvSpPr>
      <xdr:spPr>
        <a:xfrm>
          <a:off x="34347150" y="19126200"/>
          <a:ext cx="762000" cy="77152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209550</xdr:rowOff>
    </xdr:from>
    <xdr:ext cx="762000" cy="752475"/>
    <xdr:sp>
      <xdr:nvSpPr>
        <xdr:cNvPr id="1" name="Oval 1"/>
        <xdr:cNvSpPr>
          <a:spLocks noChangeAspect="1"/>
        </xdr:cNvSpPr>
      </xdr:nvSpPr>
      <xdr:spPr>
        <a:xfrm>
          <a:off x="34356675" y="19116675"/>
          <a:ext cx="762000" cy="7524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76200</xdr:colOff>
      <xdr:row>66</xdr:row>
      <xdr:rowOff>219075</xdr:rowOff>
    </xdr:from>
    <xdr:ext cx="762000" cy="752475"/>
    <xdr:sp>
      <xdr:nvSpPr>
        <xdr:cNvPr id="1" name="Oval 1"/>
        <xdr:cNvSpPr>
          <a:spLocks noChangeAspect="1"/>
        </xdr:cNvSpPr>
      </xdr:nvSpPr>
      <xdr:spPr>
        <a:xfrm>
          <a:off x="34356675" y="19126200"/>
          <a:ext cx="762000" cy="7524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200025</xdr:rowOff>
    </xdr:from>
    <xdr:ext cx="762000" cy="790575"/>
    <xdr:sp>
      <xdr:nvSpPr>
        <xdr:cNvPr id="1" name="Oval 1"/>
        <xdr:cNvSpPr>
          <a:spLocks noChangeAspect="1"/>
        </xdr:cNvSpPr>
      </xdr:nvSpPr>
      <xdr:spPr>
        <a:xfrm>
          <a:off x="34347150" y="19107150"/>
          <a:ext cx="762000" cy="7905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200025</xdr:rowOff>
    </xdr:from>
    <xdr:ext cx="762000" cy="790575"/>
    <xdr:sp>
      <xdr:nvSpPr>
        <xdr:cNvPr id="1" name="Oval 1"/>
        <xdr:cNvSpPr>
          <a:spLocks noChangeAspect="1"/>
        </xdr:cNvSpPr>
      </xdr:nvSpPr>
      <xdr:spPr>
        <a:xfrm>
          <a:off x="34347150" y="19107150"/>
          <a:ext cx="762000" cy="7905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66675</xdr:colOff>
      <xdr:row>66</xdr:row>
      <xdr:rowOff>190500</xdr:rowOff>
    </xdr:from>
    <xdr:ext cx="762000" cy="790575"/>
    <xdr:sp>
      <xdr:nvSpPr>
        <xdr:cNvPr id="1" name="Oval 1"/>
        <xdr:cNvSpPr>
          <a:spLocks noChangeAspect="1"/>
        </xdr:cNvSpPr>
      </xdr:nvSpPr>
      <xdr:spPr>
        <a:xfrm>
          <a:off x="34347150" y="19097625"/>
          <a:ext cx="762000" cy="790575"/>
        </a:xfrm>
        <a:prstGeom prst="ellipse">
          <a:avLst/>
        </a:pr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L27" sqref="L27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20:27" ht="12.75">
      <c r="T1" s="63"/>
      <c r="U1" s="63"/>
      <c r="V1" s="63"/>
      <c r="W1" s="64"/>
      <c r="X1" s="63"/>
      <c r="Y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 t="s">
        <v>25</v>
      </c>
      <c r="L3" s="127" t="s">
        <v>26</v>
      </c>
      <c r="M3" s="127" t="s">
        <v>27</v>
      </c>
      <c r="N3" s="127" t="s">
        <v>28</v>
      </c>
      <c r="O3" s="127" t="s">
        <v>29</v>
      </c>
      <c r="P3" s="127" t="s">
        <v>30</v>
      </c>
      <c r="Q3" s="127" t="s">
        <v>31</v>
      </c>
      <c r="R3" s="50">
        <v>254</v>
      </c>
      <c r="S3" s="50"/>
      <c r="T3" s="50">
        <v>302</v>
      </c>
      <c r="U3" s="50">
        <v>304</v>
      </c>
      <c r="V3" s="50">
        <v>407</v>
      </c>
      <c r="W3" s="50">
        <v>407</v>
      </c>
      <c r="X3" s="50"/>
      <c r="Y3" s="51">
        <v>441</v>
      </c>
      <c r="Z3" s="50">
        <v>442</v>
      </c>
      <c r="AA3" s="50">
        <v>442</v>
      </c>
      <c r="AB3" s="50">
        <v>442</v>
      </c>
      <c r="AC3" s="50"/>
      <c r="AD3" s="51">
        <v>609</v>
      </c>
      <c r="AE3" s="51"/>
      <c r="AF3" s="97" t="s">
        <v>12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36"/>
      <c r="K4" s="136"/>
      <c r="L4" s="103"/>
      <c r="M4" s="103"/>
      <c r="N4" s="103"/>
      <c r="O4" s="103"/>
      <c r="P4" s="103"/>
      <c r="Q4" s="103"/>
      <c r="R4" s="99" t="s">
        <v>64</v>
      </c>
      <c r="S4" s="102"/>
      <c r="T4" s="99" t="s">
        <v>32</v>
      </c>
      <c r="U4" s="99" t="s">
        <v>111</v>
      </c>
      <c r="V4" s="99" t="s">
        <v>67</v>
      </c>
      <c r="W4" s="99" t="s">
        <v>70</v>
      </c>
      <c r="X4" s="99"/>
      <c r="Y4" s="102" t="s">
        <v>63</v>
      </c>
      <c r="Z4" s="99" t="s">
        <v>62</v>
      </c>
      <c r="AA4" s="102" t="s">
        <v>112</v>
      </c>
      <c r="AB4" s="102" t="s">
        <v>33</v>
      </c>
      <c r="AC4" s="99"/>
      <c r="AD4" s="102" t="s">
        <v>108</v>
      </c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36"/>
      <c r="K5" s="136"/>
      <c r="L5" s="103"/>
      <c r="M5" s="103"/>
      <c r="N5" s="103"/>
      <c r="O5" s="103"/>
      <c r="P5" s="103"/>
      <c r="Q5" s="103"/>
      <c r="R5" s="100"/>
      <c r="S5" s="103"/>
      <c r="T5" s="100"/>
      <c r="U5" s="100"/>
      <c r="V5" s="100"/>
      <c r="W5" s="100"/>
      <c r="X5" s="100"/>
      <c r="Y5" s="103"/>
      <c r="Z5" s="100"/>
      <c r="AA5" s="103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36"/>
      <c r="K6" s="136"/>
      <c r="L6" s="103"/>
      <c r="M6" s="103"/>
      <c r="N6" s="103"/>
      <c r="O6" s="103"/>
      <c r="P6" s="103"/>
      <c r="Q6" s="103"/>
      <c r="R6" s="100"/>
      <c r="S6" s="103"/>
      <c r="T6" s="100"/>
      <c r="U6" s="100"/>
      <c r="V6" s="100"/>
      <c r="W6" s="100"/>
      <c r="X6" s="100"/>
      <c r="Y6" s="103"/>
      <c r="Z6" s="100"/>
      <c r="AA6" s="103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36"/>
      <c r="K7" s="136"/>
      <c r="L7" s="103"/>
      <c r="M7" s="103"/>
      <c r="N7" s="103"/>
      <c r="O7" s="103"/>
      <c r="P7" s="103"/>
      <c r="Q7" s="103"/>
      <c r="R7" s="100"/>
      <c r="S7" s="103"/>
      <c r="T7" s="100"/>
      <c r="U7" s="100"/>
      <c r="V7" s="100"/>
      <c r="W7" s="100"/>
      <c r="X7" s="100"/>
      <c r="Y7" s="103"/>
      <c r="Z7" s="100"/>
      <c r="AA7" s="103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36"/>
      <c r="K8" s="136"/>
      <c r="L8" s="103"/>
      <c r="M8" s="103"/>
      <c r="N8" s="103"/>
      <c r="O8" s="103"/>
      <c r="P8" s="103"/>
      <c r="Q8" s="103"/>
      <c r="R8" s="100"/>
      <c r="S8" s="103"/>
      <c r="T8" s="100"/>
      <c r="U8" s="100"/>
      <c r="V8" s="100"/>
      <c r="W8" s="100"/>
      <c r="X8" s="100"/>
      <c r="Y8" s="103"/>
      <c r="Z8" s="100"/>
      <c r="AA8" s="103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36"/>
      <c r="K9" s="136"/>
      <c r="L9" s="103"/>
      <c r="M9" s="103"/>
      <c r="N9" s="103"/>
      <c r="O9" s="103"/>
      <c r="P9" s="103"/>
      <c r="Q9" s="103"/>
      <c r="R9" s="100"/>
      <c r="S9" s="103"/>
      <c r="T9" s="100"/>
      <c r="U9" s="100"/>
      <c r="V9" s="100"/>
      <c r="W9" s="100"/>
      <c r="X9" s="100"/>
      <c r="Y9" s="103"/>
      <c r="Z9" s="100"/>
      <c r="AA9" s="103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36"/>
      <c r="K10" s="136"/>
      <c r="L10" s="103"/>
      <c r="M10" s="103"/>
      <c r="N10" s="103"/>
      <c r="O10" s="103"/>
      <c r="P10" s="103"/>
      <c r="Q10" s="103"/>
      <c r="R10" s="100"/>
      <c r="S10" s="103"/>
      <c r="T10" s="100"/>
      <c r="U10" s="100"/>
      <c r="V10" s="100"/>
      <c r="W10" s="100"/>
      <c r="X10" s="100"/>
      <c r="Y10" s="103"/>
      <c r="Z10" s="100"/>
      <c r="AA10" s="103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37"/>
      <c r="K11" s="137"/>
      <c r="L11" s="104"/>
      <c r="M11" s="104"/>
      <c r="N11" s="104"/>
      <c r="O11" s="104"/>
      <c r="P11" s="104"/>
      <c r="Q11" s="104"/>
      <c r="R11" s="101"/>
      <c r="S11" s="104"/>
      <c r="T11" s="101"/>
      <c r="U11" s="101"/>
      <c r="V11" s="101"/>
      <c r="W11" s="101"/>
      <c r="X11" s="101"/>
      <c r="Y11" s="104"/>
      <c r="Z11" s="101"/>
      <c r="AA11" s="104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52" t="s">
        <v>65</v>
      </c>
      <c r="S12" s="52"/>
      <c r="T12" s="52" t="s">
        <v>34</v>
      </c>
      <c r="U12" s="52" t="s">
        <v>34</v>
      </c>
      <c r="V12" s="52" t="s">
        <v>35</v>
      </c>
      <c r="W12" s="52" t="s">
        <v>35</v>
      </c>
      <c r="X12" s="52"/>
      <c r="Y12" s="25" t="s">
        <v>34</v>
      </c>
      <c r="Z12" s="52" t="s">
        <v>34</v>
      </c>
      <c r="AA12" s="52" t="s">
        <v>34</v>
      </c>
      <c r="AB12" s="52" t="s">
        <v>34</v>
      </c>
      <c r="AC12" s="52"/>
      <c r="AD12" s="25" t="s">
        <v>8</v>
      </c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36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59</v>
      </c>
      <c r="C15" s="34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27">
        <v>42494.2</v>
      </c>
      <c r="C16" s="28">
        <v>42519.2</v>
      </c>
      <c r="D16" s="29" t="s">
        <v>37</v>
      </c>
      <c r="E16" s="30">
        <f>C16-B16</f>
        <v>25</v>
      </c>
      <c r="F16" s="31">
        <v>48</v>
      </c>
      <c r="G16" s="32"/>
      <c r="H16" s="30"/>
      <c r="I16" s="30">
        <f>IF(G16=0,ROUND($E16*$F16,2),ROUND($E16*$F16*$G16,2))</f>
        <v>1200</v>
      </c>
      <c r="J16" s="30"/>
      <c r="K16" s="30"/>
      <c r="L16" s="29"/>
      <c r="M16" s="30"/>
      <c r="N16" s="30"/>
      <c r="O16" s="30"/>
      <c r="P16" s="30"/>
      <c r="Q16" s="30"/>
      <c r="R16" s="1"/>
      <c r="S16" s="1"/>
      <c r="T16" s="30">
        <f>ROUND(((($I16+$J16)*(T$72/12))/27),2)</f>
        <v>29.63</v>
      </c>
      <c r="U16" s="30">
        <f>ROUND(((($I16+$J16+$N16+$O16+$P16+$Q16)*(U$72/12))/27),2)</f>
        <v>22.22</v>
      </c>
      <c r="V16" s="30"/>
      <c r="W16" s="30">
        <f>ROUND((((($I16+$J16)/9)*W$72)*3),2)</f>
        <v>22</v>
      </c>
      <c r="X16" s="30"/>
      <c r="Y16" s="30"/>
      <c r="Z16" s="30">
        <f>ROUND(((($I16+$J16)*(Z$72/12))/27),2)</f>
        <v>5.56</v>
      </c>
      <c r="AA16" s="30">
        <f>ROUND(((($I16+$J16)*(AA$72/12))/27),2)</f>
        <v>6.48</v>
      </c>
      <c r="AB16" s="30">
        <f>$AA16+$Z16</f>
        <v>12.04</v>
      </c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27"/>
      <c r="C17" s="28"/>
      <c r="D17" s="29"/>
      <c r="E17" s="30"/>
      <c r="F17" s="31"/>
      <c r="G17" s="3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"/>
      <c r="S17" s="1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27">
        <v>42674.77</v>
      </c>
      <c r="C18" s="28">
        <v>42699.77</v>
      </c>
      <c r="D18" s="29" t="s">
        <v>37</v>
      </c>
      <c r="E18" s="30">
        <f>C18-B18</f>
        <v>25</v>
      </c>
      <c r="F18" s="31">
        <v>48</v>
      </c>
      <c r="G18" s="32"/>
      <c r="H18" s="30"/>
      <c r="I18" s="30">
        <f>IF(G18=0,ROUND($E18*$F18,2),ROUND($E18*$F18*$G18,2))</f>
        <v>1200</v>
      </c>
      <c r="J18" s="30"/>
      <c r="K18" s="30"/>
      <c r="L18" s="30"/>
      <c r="M18" s="30"/>
      <c r="N18" s="30"/>
      <c r="O18" s="30"/>
      <c r="P18" s="30"/>
      <c r="Q18" s="30"/>
      <c r="R18" s="1"/>
      <c r="S18" s="1"/>
      <c r="T18" s="30">
        <f>ROUND(((($I18+$J18)*(T$72/12))/27),2)</f>
        <v>29.63</v>
      </c>
      <c r="U18" s="30">
        <f>ROUND(((($I18+$J18+$N18+$O18+$P18+$Q18)*(U$72/12))/27),2)</f>
        <v>22.22</v>
      </c>
      <c r="V18" s="30"/>
      <c r="W18" s="30">
        <f>ROUND((((($I18+$J18)/9)*W$72)*3),2)</f>
        <v>22</v>
      </c>
      <c r="X18" s="30"/>
      <c r="Y18" s="30"/>
      <c r="Z18" s="30">
        <f>ROUND(((($I18+$J18)*(Z$72/12))/27),2)</f>
        <v>5.56</v>
      </c>
      <c r="AA18" s="30">
        <f>ROUND(((($I18+$J18)*(AA$72/12))/27),2)</f>
        <v>6.48</v>
      </c>
      <c r="AB18" s="30">
        <f>$AA18+$Z18</f>
        <v>12.04</v>
      </c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27"/>
      <c r="C19" s="28"/>
      <c r="D19" s="29"/>
      <c r="E19" s="30"/>
      <c r="F19" s="31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"/>
      <c r="S19" s="1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33" t="s">
        <v>60</v>
      </c>
      <c r="C20" s="28"/>
      <c r="D20" s="29"/>
      <c r="E20" s="30"/>
      <c r="F20" s="31"/>
      <c r="G20" s="3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"/>
      <c r="S20" s="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28">
        <v>42481.61</v>
      </c>
      <c r="C21" s="55">
        <v>42488.47</v>
      </c>
      <c r="D21" s="29" t="s">
        <v>39</v>
      </c>
      <c r="E21" s="30">
        <f>C21-B21</f>
        <v>6.860000000000582</v>
      </c>
      <c r="F21" s="138" t="s">
        <v>40</v>
      </c>
      <c r="G21" s="139"/>
      <c r="H21" s="139"/>
      <c r="I21" s="140"/>
      <c r="J21" s="30">
        <f>ROUND(73.0576,2)</f>
        <v>73.06</v>
      </c>
      <c r="K21" s="30">
        <f>IF($H21=0,ROUND($E21*(K$72/12),2),ROUND($E21*(K$72/12)*$H21,2))</f>
        <v>2.29</v>
      </c>
      <c r="L21" s="30"/>
      <c r="M21" s="30">
        <f>IF($H21=0,ROUND($E21*(M$72/12),2),ROUND($E21*(M$72/12)*$H21,2))</f>
        <v>5.72</v>
      </c>
      <c r="N21" s="30">
        <f>IF($H21=0,ROUND($E21*(N$72/12),2),ROUND($E21*(N$72/12)*$H21,2))</f>
        <v>9.15</v>
      </c>
      <c r="O21" s="30"/>
      <c r="P21" s="30"/>
      <c r="Q21" s="30"/>
      <c r="R21" s="1"/>
      <c r="S21" s="1"/>
      <c r="T21" s="30">
        <f>ROUND(((($I21+$J21)*(T$72/12)+($K21)*(T$73/12)+($M21)*(T$73/12))/27),2)</f>
        <v>1.9</v>
      </c>
      <c r="U21" s="30">
        <f>ROUND(((($I21+$J21+$N21+$O21+$P21+$Q21)*(U$72/12))/27),2)</f>
        <v>1.52</v>
      </c>
      <c r="V21" s="30"/>
      <c r="W21" s="30">
        <f>ROUND(((($I21+$J21)/9)*$W$72)+((($I21+$J21+$K21)/9)*$W$72)+((($I21+$J21+$M21)/9)*$W$72),2)</f>
        <v>1.39</v>
      </c>
      <c r="X21" s="30"/>
      <c r="Y21" s="30"/>
      <c r="Z21" s="30">
        <f>ROUND(((($I21+$J21)*(Z$72/12))/27),2)</f>
        <v>0.34</v>
      </c>
      <c r="AA21" s="30">
        <f>ROUND(((($I21+$J21)*(AA$72/12))/27),2)</f>
        <v>0.39</v>
      </c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28">
        <v>42488.47</v>
      </c>
      <c r="C22" s="53">
        <v>42506.61</v>
      </c>
      <c r="D22" s="29" t="s">
        <v>39</v>
      </c>
      <c r="E22" s="30">
        <f>C22-B22</f>
        <v>18.139999999999418</v>
      </c>
      <c r="F22" s="138" t="s">
        <v>40</v>
      </c>
      <c r="G22" s="139"/>
      <c r="H22" s="139"/>
      <c r="I22" s="140"/>
      <c r="J22" s="30">
        <f>ROUND(360.1818,2)</f>
        <v>360.18</v>
      </c>
      <c r="K22" s="30"/>
      <c r="L22" s="30"/>
      <c r="M22" s="30"/>
      <c r="N22" s="30"/>
      <c r="O22" s="30">
        <f>IF($H22=0,ROUND($E22*(O$72/12),2),ROUND($E22*(O$72/12)*$H22,2))</f>
        <v>27.21</v>
      </c>
      <c r="P22" s="30"/>
      <c r="Q22" s="30"/>
      <c r="R22" s="1"/>
      <c r="S22" s="1"/>
      <c r="T22" s="30">
        <f>ROUND(((($I22+$J22)*(T$72/12)+($K22)*(T$73/12)+($M22)*(T$73/12))/27),2)</f>
        <v>8.89</v>
      </c>
      <c r="U22" s="30">
        <f>ROUND(((($I22+$J22+$N22+$O22+$P22+$Q22)*(U$72/12))/27),2)</f>
        <v>7.17</v>
      </c>
      <c r="V22" s="30"/>
      <c r="W22" s="30">
        <f>ROUND(((($I22+$J22)/9)*$W$72)+((($I22+$J22+$K22)/9)*$W$72)+((($I22+$J22+$M22)/9)*$W$72),2)</f>
        <v>6.6</v>
      </c>
      <c r="X22" s="30"/>
      <c r="Y22" s="30"/>
      <c r="Z22" s="30">
        <f>ROUND(((($I22+$J22)*(Z$72/12))/27),2)</f>
        <v>1.67</v>
      </c>
      <c r="AA22" s="30">
        <f>ROUND(((($I22+$J22)*(AA$72/12))/27),2)</f>
        <v>1.95</v>
      </c>
      <c r="AB22" s="30"/>
      <c r="AC22" s="30"/>
      <c r="AD22" s="30">
        <v>18.15</v>
      </c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27"/>
      <c r="C23" s="28"/>
      <c r="D23" s="29"/>
      <c r="E23" s="30"/>
      <c r="F23" s="31"/>
      <c r="G23" s="3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"/>
      <c r="S23" s="1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27">
        <v>42662.18</v>
      </c>
      <c r="C24" s="28">
        <v>42684.43</v>
      </c>
      <c r="D24" s="29" t="s">
        <v>39</v>
      </c>
      <c r="E24" s="30">
        <f>C24-B24</f>
        <v>22.25</v>
      </c>
      <c r="F24" s="138" t="s">
        <v>40</v>
      </c>
      <c r="G24" s="139"/>
      <c r="H24" s="139"/>
      <c r="I24" s="140"/>
      <c r="J24" s="30">
        <f>ROUND(342.7924,2)</f>
        <v>342.79</v>
      </c>
      <c r="K24" s="30"/>
      <c r="L24" s="30"/>
      <c r="M24" s="30"/>
      <c r="N24" s="30"/>
      <c r="O24" s="30">
        <f>IF($H24=0,ROUND($E24*(O$72/12),2),ROUND($E24*(O$72/12)*$H24,2))</f>
        <v>33.38</v>
      </c>
      <c r="P24" s="30"/>
      <c r="Q24" s="30"/>
      <c r="R24" s="1"/>
      <c r="S24" s="1"/>
      <c r="T24" s="30">
        <f>ROUND(((($I24+$J24)*(T$72/12)+($K24)*(T$73/12)+($M24)*(T$73/12))/27),2)</f>
        <v>8.46</v>
      </c>
      <c r="U24" s="30">
        <f>ROUND(((($I24+$J24+$N24+$O24+$P24+$Q24)*(U$72/12))/27),2)</f>
        <v>6.97</v>
      </c>
      <c r="V24" s="30"/>
      <c r="W24" s="30">
        <f>ROUND(((($I24+$J24)/9)*$W$72)+((($I24+$J24+$K24)/9)*$W$72)+((($I24+$J24+$M24)/9)*$W$72),2)</f>
        <v>6.28</v>
      </c>
      <c r="X24" s="30"/>
      <c r="Y24" s="30"/>
      <c r="Z24" s="30">
        <f>ROUND(((($I24+$J24)*(Z$72/12))/27),2)</f>
        <v>1.59</v>
      </c>
      <c r="AA24" s="30">
        <f>ROUND(((($I24+$J24)*(AA$72/12))/27),2)</f>
        <v>1.85</v>
      </c>
      <c r="AB24" s="30"/>
      <c r="AC24" s="30"/>
      <c r="AD24" s="30">
        <v>22.25</v>
      </c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28">
        <v>42684.43</v>
      </c>
      <c r="C25" s="28">
        <v>42687.13</v>
      </c>
      <c r="D25" s="29" t="s">
        <v>39</v>
      </c>
      <c r="E25" s="30">
        <f>C25-B25</f>
        <v>2.6999999999970896</v>
      </c>
      <c r="F25" s="138" t="s">
        <v>40</v>
      </c>
      <c r="G25" s="139"/>
      <c r="H25" s="139"/>
      <c r="I25" s="140"/>
      <c r="J25" s="30">
        <f>ROUND(93.8606,2)</f>
        <v>93.86</v>
      </c>
      <c r="K25" s="30">
        <f>IF($H25=0,ROUND($E25*(K$72/12),2),ROUND($E25*(K$72/12)*$H25,2))</f>
        <v>0.9</v>
      </c>
      <c r="L25" s="30"/>
      <c r="M25" s="30">
        <f>IF($H25=0,ROUND($E25*(M$72/12),2),ROUND($E25*(M$72/12)*$H25,2))</f>
        <v>2.25</v>
      </c>
      <c r="N25" s="30">
        <f>IF($H25=0,ROUND($E25*(N$72/12),2),ROUND($E25*(N$72/12)*$H25,2))</f>
        <v>3.6</v>
      </c>
      <c r="O25" s="30"/>
      <c r="P25" s="30"/>
      <c r="Q25" s="30"/>
      <c r="R25" s="1"/>
      <c r="S25" s="1"/>
      <c r="T25" s="30">
        <f>ROUND(((($I25+$J25)*(T$72/12)+($K25)*(T$73/12)+($M25)*(T$73/12))/27),2)</f>
        <v>2.36</v>
      </c>
      <c r="U25" s="30">
        <f>ROUND(((($I25+$J25+$N25+$O25+$P25+$Q25)*(U$72/12))/27),2)</f>
        <v>1.8</v>
      </c>
      <c r="V25" s="30"/>
      <c r="W25" s="30">
        <f>ROUND(((($I25+$J25)/9)*$W$72)+((($I25+$J25+$K25)/9)*$W$72)+((($I25+$J25+$M25)/9)*$W$72),2)</f>
        <v>1.74</v>
      </c>
      <c r="X25" s="30"/>
      <c r="Y25" s="30"/>
      <c r="Z25" s="30">
        <f>ROUND(((($I25+$J25)*(Z$72/12))/27),2)</f>
        <v>0.43</v>
      </c>
      <c r="AA25" s="30">
        <f>ROUND(((($I25+$J25)*(AA$72/12))/27),2)</f>
        <v>0.51</v>
      </c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36"/>
      <c r="C26" s="28"/>
      <c r="D26" s="29"/>
      <c r="E26" s="30"/>
      <c r="F26" s="31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"/>
      <c r="S26" s="1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28">
        <v>42503.33</v>
      </c>
      <c r="C27" s="35">
        <v>42528.33</v>
      </c>
      <c r="D27" s="29" t="s">
        <v>38</v>
      </c>
      <c r="E27" s="30">
        <f>C27-B27</f>
        <v>25</v>
      </c>
      <c r="F27" s="31">
        <v>12</v>
      </c>
      <c r="G27" s="32"/>
      <c r="H27" s="30"/>
      <c r="I27" s="30">
        <f>IF(G27=0,ROUND($E27*$F27,2),ROUND($E27*$F27*$G27,2))</f>
        <v>300</v>
      </c>
      <c r="J27" s="30"/>
      <c r="K27" s="30"/>
      <c r="L27" s="30"/>
      <c r="M27" s="30"/>
      <c r="N27" s="30"/>
      <c r="O27" s="30"/>
      <c r="P27" s="30"/>
      <c r="Q27" s="30"/>
      <c r="R27" s="1"/>
      <c r="S27" s="1"/>
      <c r="T27" s="30">
        <f>ROUND(((($I27+$J27)*(T$72/12)+($K27)*(T$73/12)+($M27)*(T$73/12))/27),2)</f>
        <v>7.41</v>
      </c>
      <c r="U27" s="30">
        <f>ROUND(((($I27+$J27+$N27+$O27+$P27+$Q27)*(U$72/12))/27),2)</f>
        <v>5.56</v>
      </c>
      <c r="V27" s="30"/>
      <c r="W27" s="30">
        <f>ROUND(((($I27+$J27)/9)*$W$72)+((($I27+$J27+$K27)/9)*$W$72)+((($I27+$J27+$M27)/9)*$W$72),2)</f>
        <v>5.5</v>
      </c>
      <c r="X27" s="30"/>
      <c r="Y27" s="30"/>
      <c r="Z27" s="30">
        <f>ROUND(((($I27+$J27)*(Z$72/12))/27),2)</f>
        <v>1.39</v>
      </c>
      <c r="AA27" s="30">
        <f>ROUND(((($I27+$J27)*(AA$72/12))/27),2)</f>
        <v>1.62</v>
      </c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28"/>
      <c r="C28" s="28"/>
      <c r="D28" s="29"/>
      <c r="E28" s="30"/>
      <c r="F28" s="31"/>
      <c r="G28" s="3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"/>
      <c r="S28" s="1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28">
        <v>42683.9</v>
      </c>
      <c r="C29" s="28">
        <v>42708.9</v>
      </c>
      <c r="D29" s="29" t="s">
        <v>38</v>
      </c>
      <c r="E29" s="30">
        <f>C29-B29</f>
        <v>25</v>
      </c>
      <c r="F29" s="31">
        <v>12</v>
      </c>
      <c r="G29" s="32"/>
      <c r="H29" s="30"/>
      <c r="I29" s="30">
        <f>IF(G29=0,ROUND($E29*$F29,2),ROUND($E29*$F29*$G29,2))</f>
        <v>300</v>
      </c>
      <c r="J29" s="30"/>
      <c r="K29" s="30"/>
      <c r="L29" s="30"/>
      <c r="M29" s="30"/>
      <c r="N29" s="30"/>
      <c r="O29" s="30"/>
      <c r="P29" s="30"/>
      <c r="Q29" s="30"/>
      <c r="R29" s="1"/>
      <c r="S29" s="1"/>
      <c r="T29" s="30">
        <f>ROUND(((($I29+$J29)*(T$72/12)+($K29)*(T$73/12)+($M29)*(T$73/12))/27),2)</f>
        <v>7.41</v>
      </c>
      <c r="U29" s="30">
        <f>ROUND(((($I29+$J29+$N29+$O29+$P29+$Q29)*(U$72/12))/27),2)</f>
        <v>5.56</v>
      </c>
      <c r="V29" s="30"/>
      <c r="W29" s="30">
        <f>ROUND(((($I29+$J29)/9)*$W$72)+((($I29+$J29+$K29)/9)*$W$72)+((($I29+$J29+$M29)/9)*$W$72),2)</f>
        <v>5.5</v>
      </c>
      <c r="X29" s="30"/>
      <c r="Y29" s="30"/>
      <c r="Z29" s="30">
        <f>ROUND(((($I29+$J29)*(Z$72/12))/27),2)</f>
        <v>1.39</v>
      </c>
      <c r="AA29" s="30">
        <f>ROUND(((($I29+$J29)*(AA$72/12))/27),2)</f>
        <v>1.62</v>
      </c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28"/>
      <c r="C30" s="53"/>
      <c r="D30" s="29"/>
      <c r="E30" s="30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"/>
      <c r="S30" s="1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27"/>
      <c r="C31" s="28"/>
      <c r="D31" s="83"/>
      <c r="E31" s="30"/>
      <c r="F31" s="31"/>
      <c r="G31" s="32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"/>
      <c r="S31" s="1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27"/>
      <c r="C32" s="28"/>
      <c r="D32" s="29"/>
      <c r="E32" s="30"/>
      <c r="F32" s="31"/>
      <c r="G32" s="32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1"/>
      <c r="S32" s="1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27"/>
      <c r="C33" s="28"/>
      <c r="D33" s="29"/>
      <c r="E33" s="30"/>
      <c r="F33" s="31"/>
      <c r="G33" s="32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"/>
      <c r="S33" s="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27"/>
      <c r="C34" s="28"/>
      <c r="D34" s="29"/>
      <c r="E34" s="30"/>
      <c r="F34" s="37"/>
      <c r="G34" s="32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"/>
      <c r="S34" s="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27"/>
      <c r="C35" s="28"/>
      <c r="D35" s="29"/>
      <c r="E35" s="30"/>
      <c r="F35" s="37"/>
      <c r="G35" s="32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"/>
      <c r="S35" s="1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27"/>
      <c r="C36" s="28"/>
      <c r="D36" s="29"/>
      <c r="E36" s="30"/>
      <c r="F36" s="37"/>
      <c r="G36" s="3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"/>
      <c r="S36" s="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05" t="s">
        <v>44</v>
      </c>
      <c r="C37" s="106"/>
      <c r="D37" s="106"/>
      <c r="E37" s="106"/>
      <c r="F37" s="106"/>
      <c r="G37" s="106"/>
      <c r="H37" s="106"/>
      <c r="I37" s="107"/>
      <c r="J37" s="30"/>
      <c r="K37" s="30"/>
      <c r="L37" s="30"/>
      <c r="M37" s="30"/>
      <c r="N37" s="30"/>
      <c r="O37" s="30"/>
      <c r="P37" s="30"/>
      <c r="Q37" s="30"/>
      <c r="R37" s="1"/>
      <c r="S37" s="1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33" t="s">
        <v>59</v>
      </c>
      <c r="C38" s="34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1"/>
      <c r="S38" s="1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27">
        <v>42516.12</v>
      </c>
      <c r="C39" s="28">
        <v>42541.12</v>
      </c>
      <c r="D39" s="29" t="s">
        <v>41</v>
      </c>
      <c r="E39" s="30">
        <f>C39-B39</f>
        <v>25</v>
      </c>
      <c r="F39" s="31">
        <v>48</v>
      </c>
      <c r="G39" s="29"/>
      <c r="H39" s="30"/>
      <c r="I39" s="30">
        <f>IF($G39=0,ROUND($E39*$F39,2),ROUND($E39*$F39*$G39,2))</f>
        <v>1200</v>
      </c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>
        <f>ROUND(((($I39+$J39)*(T$72/12))/27),2)</f>
        <v>29.63</v>
      </c>
      <c r="U39" s="30">
        <f>ROUND(((($I39+$J39+$N39+$O39+$P39+$Q39)*(U$72/12))/27),2)</f>
        <v>22.22</v>
      </c>
      <c r="V39" s="30"/>
      <c r="W39" s="30">
        <f>ROUND((((($I39+$J39)/9)*W$72)*3),2)</f>
        <v>22</v>
      </c>
      <c r="X39" s="30"/>
      <c r="Y39" s="30"/>
      <c r="Z39" s="30">
        <f>ROUND(((($I39+$J39)*(Z$72/12))/27),2)</f>
        <v>5.56</v>
      </c>
      <c r="AA39" s="30">
        <f>ROUND(((($I39+$J39)*(AA$72/12))/27),2)</f>
        <v>6.48</v>
      </c>
      <c r="AB39" s="30">
        <f>$AA39+$Z39</f>
        <v>12.04</v>
      </c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27"/>
      <c r="C40" s="28"/>
      <c r="D40" s="29"/>
      <c r="E40" s="30"/>
      <c r="F40" s="31"/>
      <c r="G40" s="3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"/>
      <c r="S40" s="1"/>
      <c r="T40" s="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27">
        <v>42696.69</v>
      </c>
      <c r="C41" s="28">
        <v>42721.69</v>
      </c>
      <c r="D41" s="29" t="s">
        <v>41</v>
      </c>
      <c r="E41" s="30">
        <f>C41-B41</f>
        <v>25</v>
      </c>
      <c r="F41" s="31">
        <v>48</v>
      </c>
      <c r="G41" s="32"/>
      <c r="H41" s="30"/>
      <c r="I41" s="30">
        <f>IF(G41=0,ROUND($E41*$F41,2),ROUND($E41*$F41*$G41,2))</f>
        <v>1200</v>
      </c>
      <c r="J41" s="30"/>
      <c r="K41" s="30"/>
      <c r="L41" s="30"/>
      <c r="M41" s="30"/>
      <c r="N41" s="30"/>
      <c r="O41" s="30"/>
      <c r="P41" s="30"/>
      <c r="Q41" s="30"/>
      <c r="R41" s="1"/>
      <c r="S41" s="1"/>
      <c r="T41" s="30">
        <f>ROUND(((($I41+$J41)*(T$72/12))/27),2)</f>
        <v>29.63</v>
      </c>
      <c r="U41" s="30">
        <f>ROUND(((($I41+$J41+$N41+$O41+$P41+$Q41)*(U$72/12))/27),2)</f>
        <v>22.22</v>
      </c>
      <c r="V41" s="30"/>
      <c r="W41" s="30">
        <f>ROUND((((($I41+$J41)/9)*W$72)*3),2)</f>
        <v>22</v>
      </c>
      <c r="X41" s="30"/>
      <c r="Y41" s="30"/>
      <c r="Z41" s="30">
        <f>ROUND(((($I41+$J41)*(Z$72/12))/27),2)</f>
        <v>5.56</v>
      </c>
      <c r="AA41" s="30">
        <f>ROUND(((($I41+$J41)*(AA$72/12))/27),2)</f>
        <v>6.48</v>
      </c>
      <c r="AB41" s="30">
        <f>$AA41+$Z41</f>
        <v>12.04</v>
      </c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28"/>
      <c r="C42" s="55"/>
      <c r="D42" s="29"/>
      <c r="E42" s="30"/>
      <c r="F42" s="69"/>
      <c r="G42" s="32"/>
      <c r="H42" s="30"/>
      <c r="I42" s="67"/>
      <c r="J42" s="30"/>
      <c r="K42" s="30"/>
      <c r="L42" s="30"/>
      <c r="M42" s="30"/>
      <c r="N42" s="30"/>
      <c r="O42" s="30"/>
      <c r="P42" s="30"/>
      <c r="Q42" s="56"/>
      <c r="R42" s="1"/>
      <c r="S42" s="1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33" t="s">
        <v>60</v>
      </c>
      <c r="C43" s="28"/>
      <c r="D43" s="29"/>
      <c r="E43" s="30"/>
      <c r="F43" s="31"/>
      <c r="G43" s="32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"/>
      <c r="S43" s="1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27">
        <v>42528.59</v>
      </c>
      <c r="C44" s="28">
        <v>42553.84</v>
      </c>
      <c r="D44" s="29" t="s">
        <v>45</v>
      </c>
      <c r="E44" s="30">
        <f>C44-B44</f>
        <v>25.25</v>
      </c>
      <c r="F44" s="138" t="s">
        <v>40</v>
      </c>
      <c r="G44" s="139"/>
      <c r="H44" s="139"/>
      <c r="I44" s="140"/>
      <c r="J44" s="30">
        <f>ROUND(435.8595,2)</f>
        <v>435.86</v>
      </c>
      <c r="K44" s="30">
        <f>IF($H44=0,ROUND($E44*(K$72/12),2),ROUND($E44*(K$72/12)*$H44,2))</f>
        <v>8.42</v>
      </c>
      <c r="L44" s="30"/>
      <c r="M44" s="30">
        <f>IF($H44=0,ROUND($E44*(M$72/12),2),ROUND($E44*(M$72/12)*$H44,2))</f>
        <v>21.04</v>
      </c>
      <c r="N44" s="30">
        <f>IF($H44=0,ROUND($E44*(N$72/12),2),ROUND($E44*(N$72/12)*$H44,2))</f>
        <v>33.67</v>
      </c>
      <c r="O44" s="30"/>
      <c r="P44" s="30"/>
      <c r="Q44" s="30"/>
      <c r="R44" s="1"/>
      <c r="S44" s="1"/>
      <c r="T44" s="30">
        <f>ROUND(((($I44+$J44)*(T$72/12)+($K44)*(T$73/12)+($M44)*(T$73/12))/27),2)</f>
        <v>11.13</v>
      </c>
      <c r="U44" s="30">
        <f>ROUND(((($I44+$J44+$N44+$O44+$P44+$Q44)*(U$72/12))/27),2)</f>
        <v>8.7</v>
      </c>
      <c r="V44" s="30"/>
      <c r="W44" s="30">
        <f>ROUND(((($I44+$J44)/9)*$W$72)+((($I44+$J44+$K44)/9)*$W$72)+((($I44+$J44+$M44)/9)*$W$72),2)</f>
        <v>8.17</v>
      </c>
      <c r="X44" s="30"/>
      <c r="Y44" s="30"/>
      <c r="Z44" s="30">
        <f>ROUND(((($I44+$J44)*(Z$72/12))/27),2)</f>
        <v>2.02</v>
      </c>
      <c r="AA44" s="30">
        <f>ROUND(((($I44+$J44)*(AA$72/12))/27),2)</f>
        <v>2.35</v>
      </c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28"/>
      <c r="C45" s="28"/>
      <c r="D45" s="29"/>
      <c r="E45" s="30"/>
      <c r="F45" s="31"/>
      <c r="G45" s="32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1"/>
      <c r="S45" s="1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27">
        <v>42709.41</v>
      </c>
      <c r="C46" s="28">
        <v>42734.41</v>
      </c>
      <c r="D46" s="29" t="s">
        <v>45</v>
      </c>
      <c r="E46" s="30">
        <f>C46-B46</f>
        <v>25</v>
      </c>
      <c r="F46" s="138" t="s">
        <v>40</v>
      </c>
      <c r="G46" s="139"/>
      <c r="H46" s="139"/>
      <c r="I46" s="140"/>
      <c r="J46" s="30">
        <f>ROUND(444.4926,2)</f>
        <v>444.49</v>
      </c>
      <c r="K46" s="30"/>
      <c r="L46" s="30"/>
      <c r="M46" s="30"/>
      <c r="N46" s="30"/>
      <c r="O46" s="30">
        <f>IF($H46=0,ROUND($E46*(O$72/12),2),ROUND($E46*(O$72/12)*$H46,2))</f>
        <v>37.5</v>
      </c>
      <c r="P46" s="30"/>
      <c r="Q46" s="30"/>
      <c r="R46" s="1"/>
      <c r="S46" s="1"/>
      <c r="T46" s="30">
        <f>ROUND(((($I46+$J46)*(T$72/12)+($K46)*(T$73/12)+($M46)*(T$73/12))/27),2)</f>
        <v>10.98</v>
      </c>
      <c r="U46" s="30">
        <f>ROUND(((($I46+$J46+$N46+$O46+$P46+$Q46)*(U$72/12))/27),2)</f>
        <v>8.93</v>
      </c>
      <c r="V46" s="30"/>
      <c r="W46" s="30">
        <f>ROUND(((($I46+$J46)/9)*$W$72)+((($I46+$J46+$K46)/9)*$W$72)+((($I46+$J46+$M46)/9)*$W$72),2)</f>
        <v>8.15</v>
      </c>
      <c r="X46" s="30"/>
      <c r="Y46" s="30"/>
      <c r="Z46" s="30">
        <f>ROUND(((($I46+$J46)*(Z$72/12))/27),2)</f>
        <v>2.06</v>
      </c>
      <c r="AA46" s="30">
        <f>ROUND(((($I46+$J46)*(AA$72/12))/27),2)</f>
        <v>2.4</v>
      </c>
      <c r="AB46" s="30"/>
      <c r="AC46" s="30"/>
      <c r="AD46" s="30">
        <v>25</v>
      </c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27"/>
      <c r="C47" s="28"/>
      <c r="D47" s="29"/>
      <c r="E47" s="30"/>
      <c r="F47" s="69"/>
      <c r="G47" s="32"/>
      <c r="H47" s="30"/>
      <c r="I47" s="67"/>
      <c r="J47" s="30"/>
      <c r="K47" s="30"/>
      <c r="L47" s="30"/>
      <c r="M47" s="30"/>
      <c r="N47" s="30"/>
      <c r="O47" s="30"/>
      <c r="P47" s="30"/>
      <c r="Q47" s="30"/>
      <c r="R47" s="1"/>
      <c r="S47" s="1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27">
        <v>37592.24</v>
      </c>
      <c r="C48" s="28">
        <v>37620.24</v>
      </c>
      <c r="D48" s="29" t="s">
        <v>46</v>
      </c>
      <c r="E48" s="30">
        <f>C48-B48</f>
        <v>28</v>
      </c>
      <c r="F48" s="31">
        <v>13.72</v>
      </c>
      <c r="G48" s="32"/>
      <c r="H48" s="30"/>
      <c r="I48" s="30">
        <f>IF(G48=0,ROUND($E48*$F48,2),ROUND($E48*$F48*$G48,2))</f>
        <v>384.16</v>
      </c>
      <c r="J48" s="30"/>
      <c r="K48" s="30"/>
      <c r="L48" s="30"/>
      <c r="M48" s="30"/>
      <c r="N48" s="30"/>
      <c r="O48" s="30"/>
      <c r="P48" s="30"/>
      <c r="Q48" s="30"/>
      <c r="R48" s="1"/>
      <c r="S48" s="1"/>
      <c r="T48" s="30">
        <f>ROUND(((($I48+$J48)*(T$72/12)+($K48)*(T$73/12)+($M48)*(T$73/12))/27),2)</f>
        <v>9.49</v>
      </c>
      <c r="U48" s="30">
        <f>ROUND(((($I48+$J48+$N48+$O48+$P48+$Q48)*(U$72/12))/27),2)</f>
        <v>7.11</v>
      </c>
      <c r="V48" s="30"/>
      <c r="W48" s="30">
        <f>ROUND(((($I48+$J48)/9)*$W$72)+((($I48+$J48+$K48)/9)*$W$72)+((($I48+$J48+$M48)/9)*$W$72),2)</f>
        <v>7.04</v>
      </c>
      <c r="X48" s="30"/>
      <c r="Y48" s="30"/>
      <c r="Z48" s="30">
        <f>ROUND(((($I48+$J48)*(Z$72/12))/27),2)</f>
        <v>1.78</v>
      </c>
      <c r="AA48" s="30">
        <f>ROUND(((($I48+$J48)*(AA$72/12))/27),2)</f>
        <v>2.07</v>
      </c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36"/>
      <c r="C49" s="35"/>
      <c r="D49" s="29"/>
      <c r="E49" s="30"/>
      <c r="F49" s="31"/>
      <c r="G49" s="32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"/>
      <c r="S49" s="1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27">
        <v>42506.99</v>
      </c>
      <c r="C50" s="28">
        <v>42531.99</v>
      </c>
      <c r="D50" s="29" t="s">
        <v>46</v>
      </c>
      <c r="E50" s="30">
        <f>C50-B50</f>
        <v>25</v>
      </c>
      <c r="F50" s="37">
        <v>12</v>
      </c>
      <c r="G50" s="32"/>
      <c r="H50" s="30"/>
      <c r="I50" s="30">
        <f>IF($G50=0,ROUND($E50*$F50,2),ROUND($E50*$F50*$G50,2))</f>
        <v>300</v>
      </c>
      <c r="J50" s="30"/>
      <c r="K50" s="30"/>
      <c r="L50" s="30"/>
      <c r="M50" s="30"/>
      <c r="N50" s="30"/>
      <c r="O50" s="30"/>
      <c r="P50" s="30"/>
      <c r="Q50" s="30"/>
      <c r="R50" s="1"/>
      <c r="S50" s="1"/>
      <c r="T50" s="30">
        <f>ROUND(((($I50+$J50)*(T$72/12)+($K50)*(T$73/12)+($M50)*(T$73/12))/27),2)</f>
        <v>7.41</v>
      </c>
      <c r="U50" s="30">
        <f>ROUND(((($I50+$J50+$N50+$O50+$P50+$Q50)*(U$72/12))/27),2)</f>
        <v>5.56</v>
      </c>
      <c r="V50" s="30"/>
      <c r="W50" s="30">
        <f>ROUND(((($I50+$J50)/9)*$W$72)+((($I50+$J50+$K50)/9)*$W$72)+((($I50+$J50+$M50)/9)*$W$72),2)</f>
        <v>5.5</v>
      </c>
      <c r="X50" s="30"/>
      <c r="Y50" s="30"/>
      <c r="Z50" s="30">
        <f>ROUND(((($I50+$J50)*(Z$72/12))/27),2)</f>
        <v>1.39</v>
      </c>
      <c r="AA50" s="30">
        <f>ROUND(((($I50+$J50)*(AA$72/12))/27),2)</f>
        <v>1.62</v>
      </c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27"/>
      <c r="C51" s="28"/>
      <c r="D51" s="29"/>
      <c r="E51" s="30"/>
      <c r="F51" s="37"/>
      <c r="G51" s="32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1"/>
      <c r="S51" s="1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27">
        <v>42687.55</v>
      </c>
      <c r="C52" s="28">
        <v>42712.55</v>
      </c>
      <c r="D52" s="29" t="s">
        <v>46</v>
      </c>
      <c r="E52" s="30">
        <f>C52-B52</f>
        <v>25</v>
      </c>
      <c r="F52" s="37">
        <v>12</v>
      </c>
      <c r="G52" s="32"/>
      <c r="H52" s="30"/>
      <c r="I52" s="30">
        <f>IF(G52=0,ROUND($E52*$F52,2),ROUND($E52*$F52*$G52,2))</f>
        <v>300</v>
      </c>
      <c r="J52" s="30"/>
      <c r="K52" s="30"/>
      <c r="L52" s="30"/>
      <c r="M52" s="30"/>
      <c r="N52" s="30"/>
      <c r="O52" s="30"/>
      <c r="P52" s="30"/>
      <c r="Q52" s="30"/>
      <c r="R52" s="1"/>
      <c r="S52" s="1"/>
      <c r="T52" s="30">
        <f>ROUND(((($I52+$J52)*(T$72/12)+($K52)*(T$73/12)+($M52)*(T$73/12))/27),2)</f>
        <v>7.41</v>
      </c>
      <c r="U52" s="30">
        <f>ROUND(((($I52+$J52+$N52+$O52+$P52+$Q52)*(U$72/12))/27),2)</f>
        <v>5.56</v>
      </c>
      <c r="V52" s="30"/>
      <c r="W52" s="30">
        <f>ROUND(((($I52+$J52)/9)*$W$72)+((($I52+$J52+$K52)/9)*$W$72)+((($I52+$J52+$M52)/9)*$W$72),2)</f>
        <v>5.5</v>
      </c>
      <c r="X52" s="30"/>
      <c r="Y52" s="30"/>
      <c r="Z52" s="30">
        <f>ROUND(((($I52+$J52)*(Z$72/12))/27),2)</f>
        <v>1.39</v>
      </c>
      <c r="AA52" s="30">
        <f>ROUND(((($I52+$J52)*(AA$72/12))/27),2)</f>
        <v>1.62</v>
      </c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27"/>
      <c r="C53" s="28"/>
      <c r="D53" s="29"/>
      <c r="E53" s="30"/>
      <c r="F53" s="31"/>
      <c r="G53" s="3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1"/>
      <c r="S53" s="1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33" t="s">
        <v>61</v>
      </c>
      <c r="C54" s="28"/>
      <c r="D54" s="29"/>
      <c r="E54" s="30"/>
      <c r="F54" s="37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"/>
      <c r="S54" s="1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27">
        <v>37150</v>
      </c>
      <c r="C55" s="28">
        <v>37477.72</v>
      </c>
      <c r="D55" s="29" t="s">
        <v>46</v>
      </c>
      <c r="E55" s="30">
        <f>C55-B55</f>
        <v>327.72000000000116</v>
      </c>
      <c r="F55" s="31">
        <f>ROUND(4-(2.81/2),2)</f>
        <v>2.6</v>
      </c>
      <c r="G55" s="32">
        <f>ROUND((3900.5+(6.22+3.36)/2+($F55/2))/3900.5,4)</f>
        <v>1.0016</v>
      </c>
      <c r="H55" s="32">
        <f>ROUND((3900.5+(6.22+3.36)/2+($F55))/3900.5,4)</f>
        <v>1.0019</v>
      </c>
      <c r="I55" s="30">
        <f>IF(G55=0,ROUND($E55*$F55,2),ROUND($E55*$F55*$G55,2))</f>
        <v>853.44</v>
      </c>
      <c r="J55" s="30"/>
      <c r="K55" s="30"/>
      <c r="L55" s="30"/>
      <c r="M55" s="30"/>
      <c r="N55" s="30"/>
      <c r="O55" s="30"/>
      <c r="P55" s="30"/>
      <c r="Q55" s="30"/>
      <c r="R55" s="1">
        <f>ROUND((($I55+$J55)/9),2)</f>
        <v>94.83</v>
      </c>
      <c r="S55" s="1"/>
      <c r="T55" s="30"/>
      <c r="U55" s="30"/>
      <c r="V55" s="30">
        <f>ROUND((((($I55+$J55)/9)*V$72)*1),2)</f>
        <v>5.22</v>
      </c>
      <c r="W55" s="30"/>
      <c r="X55" s="30"/>
      <c r="Y55" s="30">
        <f>ROUND(((($I55+$J55)*(Y$72/12))/27),2)</f>
        <v>3.29</v>
      </c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27">
        <v>37477.72</v>
      </c>
      <c r="C56" s="28">
        <v>37592.24</v>
      </c>
      <c r="D56" s="29" t="s">
        <v>46</v>
      </c>
      <c r="E56" s="30">
        <f>C56-B56</f>
        <v>114.5199999999968</v>
      </c>
      <c r="F56" s="31">
        <f>ROUND(4-(2.81/2),2)</f>
        <v>2.6</v>
      </c>
      <c r="G56" s="32"/>
      <c r="H56" s="30"/>
      <c r="I56" s="30">
        <f>IF(G56=0,ROUND($E56*$F56,2),ROUND($E56*$F56*$G56,2))</f>
        <v>297.75</v>
      </c>
      <c r="J56" s="30"/>
      <c r="K56" s="30"/>
      <c r="L56" s="30"/>
      <c r="M56" s="30"/>
      <c r="N56" s="30"/>
      <c r="O56" s="30"/>
      <c r="P56" s="30"/>
      <c r="Q56" s="30"/>
      <c r="R56" s="1">
        <f>ROUND((($I56+$J56)/9),2)</f>
        <v>33.08</v>
      </c>
      <c r="S56" s="1"/>
      <c r="T56" s="30"/>
      <c r="U56" s="30"/>
      <c r="V56" s="30">
        <f>ROUND((((($I56+$J56)/9)*V$72)*1),2)</f>
        <v>1.82</v>
      </c>
      <c r="W56" s="30"/>
      <c r="X56" s="30"/>
      <c r="Y56" s="30">
        <f>ROUND(((($I56+$J56)*(Y$72/12))/27),2)</f>
        <v>1.15</v>
      </c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27"/>
      <c r="C57" s="28"/>
      <c r="D57" s="29"/>
      <c r="E57" s="30"/>
      <c r="F57" s="31"/>
      <c r="G57" s="32"/>
      <c r="H57" s="30"/>
      <c r="I57" s="67"/>
      <c r="J57" s="30"/>
      <c r="K57" s="30"/>
      <c r="L57" s="30"/>
      <c r="M57" s="30"/>
      <c r="N57" s="30"/>
      <c r="O57" s="30"/>
      <c r="P57" s="30"/>
      <c r="Q57" s="30"/>
      <c r="R57" s="1"/>
      <c r="S57" s="1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27">
        <v>37620.24</v>
      </c>
      <c r="C58" s="28">
        <v>37702.12</v>
      </c>
      <c r="D58" s="29" t="s">
        <v>46</v>
      </c>
      <c r="E58" s="30">
        <f>C58-B58</f>
        <v>81.88000000000466</v>
      </c>
      <c r="F58" s="31">
        <f>ROUND(4-(2.81/2),2)</f>
        <v>2.6</v>
      </c>
      <c r="G58" s="32"/>
      <c r="H58" s="30"/>
      <c r="I58" s="30">
        <f>IF(G58=0,ROUND($E58*$F58,2),ROUND($E58*$F58*$G58,2))</f>
        <v>212.89</v>
      </c>
      <c r="J58" s="30"/>
      <c r="K58" s="30"/>
      <c r="L58" s="30"/>
      <c r="M58" s="30"/>
      <c r="N58" s="30"/>
      <c r="O58" s="30"/>
      <c r="P58" s="30"/>
      <c r="Q58" s="30"/>
      <c r="R58" s="1">
        <f>ROUND((($I58+$J58)/9),2)</f>
        <v>23.65</v>
      </c>
      <c r="S58" s="1"/>
      <c r="T58" s="30"/>
      <c r="U58" s="30"/>
      <c r="V58" s="30">
        <f>ROUND((((($I58+$J58)/9)*V$72)*1),2)</f>
        <v>1.3</v>
      </c>
      <c r="W58" s="30"/>
      <c r="X58" s="30"/>
      <c r="Y58" s="30">
        <f>ROUND(((($I58+$J58)*(Y$72/12))/27),2)</f>
        <v>0.82</v>
      </c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27">
        <f>C58</f>
        <v>37702.12</v>
      </c>
      <c r="C59" s="28">
        <v>39137.36</v>
      </c>
      <c r="D59" s="29" t="s">
        <v>46</v>
      </c>
      <c r="E59" s="30">
        <f>C59-B59</f>
        <v>1435.239999999998</v>
      </c>
      <c r="F59" s="31">
        <f>ROUND(4-(2.81/2),2)</f>
        <v>2.6</v>
      </c>
      <c r="G59" s="32"/>
      <c r="H59" s="30"/>
      <c r="I59" s="30">
        <f>IF(G59=0,ROUND($E59*$F59,2),ROUND($E59*$F59*$G59,2))</f>
        <v>3731.62</v>
      </c>
      <c r="J59" s="30"/>
      <c r="K59" s="30"/>
      <c r="L59" s="30"/>
      <c r="M59" s="30"/>
      <c r="N59" s="30"/>
      <c r="O59" s="30"/>
      <c r="P59" s="30"/>
      <c r="Q59" s="30"/>
      <c r="R59" s="1">
        <f>ROUND((($I59+$J59)/9),2)</f>
        <v>414.62</v>
      </c>
      <c r="S59" s="1"/>
      <c r="T59" s="30"/>
      <c r="U59" s="30"/>
      <c r="V59" s="30">
        <f>ROUND((((($I59+$J59)/9)*V$72)*1),2)</f>
        <v>22.8</v>
      </c>
      <c r="W59" s="30"/>
      <c r="X59" s="30"/>
      <c r="Y59" s="30">
        <f>ROUND(((($I59+$J59)*(Y$72/12))/27),2)</f>
        <v>14.4</v>
      </c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27"/>
      <c r="C60" s="28"/>
      <c r="D60" s="29"/>
      <c r="E60" s="30"/>
      <c r="F60" s="31"/>
      <c r="G60" s="32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27"/>
      <c r="C61" s="28"/>
      <c r="D61" s="29"/>
      <c r="E61" s="30"/>
      <c r="F61" s="31"/>
      <c r="G61" s="32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27"/>
      <c r="C62" s="28"/>
      <c r="D62" s="29"/>
      <c r="E62" s="30"/>
      <c r="F62" s="31"/>
      <c r="G62" s="32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27"/>
      <c r="C63" s="28"/>
      <c r="D63" s="29"/>
      <c r="E63" s="30"/>
      <c r="F63" s="31"/>
      <c r="G63" s="32"/>
      <c r="H63" s="30"/>
      <c r="I63" s="31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27"/>
      <c r="C64" s="28"/>
      <c r="D64" s="29"/>
      <c r="E64" s="30"/>
      <c r="F64" s="31"/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27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>
        <f>IF(SUM(R13:R66)=0," ",ROUNDUP(SUM(R13:R66),0))</f>
        <v>567</v>
      </c>
      <c r="S67" s="125" t="str">
        <f>IF(SUM(S13:S66)=0," ",ROUNDUP(SUM(S13:S66),0))</f>
        <v> </v>
      </c>
      <c r="T67" s="125">
        <f>IF(SUM(T13:T66)=0," ",ROUNDUP(SUM(T13:T66),0))</f>
        <v>202</v>
      </c>
      <c r="U67" s="125">
        <f>IF(SUM(U13:U66)=0," ",ROUNDUP(SUM(U13:U66),0))</f>
        <v>154</v>
      </c>
      <c r="V67" s="128">
        <f>IF(SUM(V13:W66)=0," ",ROUNDUP(SUM(V13:W66),0))</f>
        <v>181</v>
      </c>
      <c r="W67" s="129"/>
      <c r="X67" s="125" t="str">
        <f aca="true" t="shared" si="1" ref="X67:AE67">IF(SUM(X13:X66)=0," ",ROUNDUP(SUM(X13:X66),0))</f>
        <v> </v>
      </c>
      <c r="Y67" s="125">
        <f t="shared" si="1"/>
        <v>20</v>
      </c>
      <c r="Z67" s="125">
        <f t="shared" si="1"/>
        <v>38</v>
      </c>
      <c r="AA67" s="125">
        <f t="shared" si="1"/>
        <v>44</v>
      </c>
      <c r="AB67" s="125">
        <f t="shared" si="1"/>
        <v>49</v>
      </c>
      <c r="AC67" s="125" t="str">
        <f t="shared" si="1"/>
        <v> </v>
      </c>
      <c r="AD67" s="125">
        <f t="shared" si="1"/>
        <v>66</v>
      </c>
      <c r="AE67" s="125" t="str">
        <f t="shared" si="1"/>
        <v> </v>
      </c>
      <c r="AF67" s="145">
        <v>2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30"/>
      <c r="W68" s="131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8">
        <v>1.75</v>
      </c>
      <c r="I72" s="57"/>
      <c r="J72" s="57"/>
      <c r="K72" s="57">
        <v>4</v>
      </c>
      <c r="L72" s="57">
        <v>6</v>
      </c>
      <c r="M72" s="57">
        <v>10</v>
      </c>
      <c r="N72" s="57">
        <v>16</v>
      </c>
      <c r="O72" s="57">
        <v>18</v>
      </c>
      <c r="P72" s="57">
        <v>20</v>
      </c>
      <c r="Q72" s="57">
        <v>22</v>
      </c>
      <c r="R72" s="57"/>
      <c r="S72" s="57"/>
      <c r="T72" s="57">
        <v>8</v>
      </c>
      <c r="U72" s="58">
        <v>6</v>
      </c>
      <c r="V72" s="59">
        <v>0.055</v>
      </c>
      <c r="W72" s="59">
        <v>0.055</v>
      </c>
      <c r="X72" s="59"/>
      <c r="Y72" s="59">
        <v>1.25</v>
      </c>
      <c r="Z72" s="58">
        <v>1.5</v>
      </c>
      <c r="AA72" s="58">
        <v>1.75</v>
      </c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>
        <f>T72/2</f>
        <v>4</v>
      </c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141"/>
      <c r="L74" s="142"/>
      <c r="M74" s="142"/>
      <c r="N74" s="142"/>
      <c r="O74" s="142"/>
      <c r="P74" s="142"/>
      <c r="Q74" s="142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8">
    <mergeCell ref="F21:I21"/>
    <mergeCell ref="F46:I46"/>
    <mergeCell ref="F44:I44"/>
    <mergeCell ref="B37:I37"/>
    <mergeCell ref="AF68:AG68"/>
    <mergeCell ref="AB67:AB68"/>
    <mergeCell ref="AC67:AC68"/>
    <mergeCell ref="AD67:AD68"/>
    <mergeCell ref="X67:X68"/>
    <mergeCell ref="AF67:AG67"/>
    <mergeCell ref="F24:I24"/>
    <mergeCell ref="F22:I22"/>
    <mergeCell ref="K74:Q74"/>
    <mergeCell ref="Y67:Y68"/>
    <mergeCell ref="Z67:Z68"/>
    <mergeCell ref="AA67:AA68"/>
    <mergeCell ref="R67:R68"/>
    <mergeCell ref="F25:I25"/>
    <mergeCell ref="AF51:AG66"/>
    <mergeCell ref="J3:J11"/>
    <mergeCell ref="K3:K11"/>
    <mergeCell ref="L3:L11"/>
    <mergeCell ref="O3:O11"/>
    <mergeCell ref="P3:P11"/>
    <mergeCell ref="AB4:AB11"/>
    <mergeCell ref="Z4:Z11"/>
    <mergeCell ref="AA4:AA11"/>
    <mergeCell ref="S4:S11"/>
    <mergeCell ref="Y4:Y11"/>
    <mergeCell ref="V4:V11"/>
    <mergeCell ref="AD4:AD11"/>
    <mergeCell ref="Q3:Q11"/>
    <mergeCell ref="V67:W68"/>
    <mergeCell ref="X4:X11"/>
    <mergeCell ref="B67:Q68"/>
    <mergeCell ref="E3:E11"/>
    <mergeCell ref="F3:F11"/>
    <mergeCell ref="G3:G11"/>
    <mergeCell ref="AF3:AF5"/>
    <mergeCell ref="T67:T68"/>
    <mergeCell ref="U67:U68"/>
    <mergeCell ref="S67:S68"/>
    <mergeCell ref="AE67:AE68"/>
    <mergeCell ref="H3:H11"/>
    <mergeCell ref="I3:I11"/>
    <mergeCell ref="N3:N11"/>
    <mergeCell ref="AC4:AC11"/>
    <mergeCell ref="M3:M11"/>
    <mergeCell ref="AG3:AG5"/>
    <mergeCell ref="R4:R11"/>
    <mergeCell ref="T4:T11"/>
    <mergeCell ref="U4:U11"/>
    <mergeCell ref="AE4:AE11"/>
    <mergeCell ref="B14:I14"/>
    <mergeCell ref="AF6:AG50"/>
    <mergeCell ref="W4:W11"/>
    <mergeCell ref="B3:C11"/>
    <mergeCell ref="D3:D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25">
      <selection activeCell="J22" sqref="J22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>
        <v>209</v>
      </c>
      <c r="U3" s="50">
        <v>408</v>
      </c>
      <c r="V3" s="76">
        <v>441</v>
      </c>
      <c r="W3" s="50"/>
      <c r="X3" s="51"/>
      <c r="Y3" s="80">
        <v>617</v>
      </c>
      <c r="Z3" s="80">
        <v>617</v>
      </c>
      <c r="AA3" s="80">
        <v>617</v>
      </c>
      <c r="AB3" s="51"/>
      <c r="AC3" s="51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 t="s">
        <v>72</v>
      </c>
      <c r="U4" s="99" t="s">
        <v>110</v>
      </c>
      <c r="V4" s="147" t="s">
        <v>73</v>
      </c>
      <c r="W4" s="99"/>
      <c r="X4" s="102"/>
      <c r="Y4" s="147" t="s">
        <v>80</v>
      </c>
      <c r="Z4" s="147" t="s">
        <v>81</v>
      </c>
      <c r="AA4" s="147" t="s">
        <v>82</v>
      </c>
      <c r="AB4" s="102"/>
      <c r="AC4" s="102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3"/>
      <c r="Y5" s="148"/>
      <c r="Z5" s="148"/>
      <c r="AA5" s="148"/>
      <c r="AB5" s="103"/>
      <c r="AC5" s="103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3"/>
      <c r="Y6" s="148"/>
      <c r="Z6" s="148"/>
      <c r="AA6" s="148"/>
      <c r="AB6" s="103"/>
      <c r="AC6" s="103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3"/>
      <c r="Y7" s="148"/>
      <c r="Z7" s="148"/>
      <c r="AA7" s="148"/>
      <c r="AB7" s="103"/>
      <c r="AC7" s="103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3"/>
      <c r="Y8" s="148"/>
      <c r="Z8" s="148"/>
      <c r="AA8" s="148"/>
      <c r="AB8" s="103"/>
      <c r="AC8" s="103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3"/>
      <c r="Y9" s="148"/>
      <c r="Z9" s="148"/>
      <c r="AA9" s="148"/>
      <c r="AB9" s="103"/>
      <c r="AC9" s="103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3"/>
      <c r="Y10" s="148"/>
      <c r="Z10" s="148"/>
      <c r="AA10" s="148"/>
      <c r="AB10" s="103"/>
      <c r="AC10" s="103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4"/>
      <c r="Y11" s="149"/>
      <c r="Z11" s="149"/>
      <c r="AA11" s="149"/>
      <c r="AB11" s="104"/>
      <c r="AC11" s="104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 t="s">
        <v>74</v>
      </c>
      <c r="U12" s="52" t="s">
        <v>35</v>
      </c>
      <c r="V12" s="77" t="s">
        <v>34</v>
      </c>
      <c r="W12" s="52"/>
      <c r="X12" s="25"/>
      <c r="Y12" s="12" t="s">
        <v>83</v>
      </c>
      <c r="Z12" s="12" t="s">
        <v>34</v>
      </c>
      <c r="AA12" s="12" t="s">
        <v>65</v>
      </c>
      <c r="AB12" s="25"/>
      <c r="AC12" s="25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86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53</v>
      </c>
      <c r="C15" s="14"/>
      <c r="D15" s="3"/>
      <c r="E15" s="1"/>
      <c r="F15" s="1"/>
      <c r="G15" s="1"/>
      <c r="H15" s="30"/>
      <c r="I15" s="30"/>
      <c r="J15" s="1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75">
        <v>2458.25</v>
      </c>
      <c r="C16" s="75">
        <v>2501.85</v>
      </c>
      <c r="D16" s="3" t="s">
        <v>41</v>
      </c>
      <c r="E16" s="1">
        <f>C16-B16</f>
        <v>43.59999999999991</v>
      </c>
      <c r="F16" s="1">
        <v>5</v>
      </c>
      <c r="G16" s="1"/>
      <c r="H16" s="30"/>
      <c r="I16" s="30">
        <f>IF(G16=0,ROUND($E16*$F16,2),ROUND($E16*$F16*$G16,2))</f>
        <v>218</v>
      </c>
      <c r="J16" s="1"/>
      <c r="K16" s="30"/>
      <c r="L16" s="30"/>
      <c r="M16" s="30"/>
      <c r="N16" s="30"/>
      <c r="O16" s="30"/>
      <c r="P16" s="30"/>
      <c r="Q16" s="30"/>
      <c r="R16" s="30"/>
      <c r="S16" s="30"/>
      <c r="T16" s="6">
        <f>IF($G16=0,ROUND($E16/T$72,2),ROUND(($E16*$G16)/T$72,2))</f>
        <v>0.44</v>
      </c>
      <c r="U16" s="30"/>
      <c r="V16" s="30">
        <f>($I16/27)*(V$72/12)</f>
        <v>1.345679012345679</v>
      </c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75">
        <f>C16</f>
        <v>2501.85</v>
      </c>
      <c r="C17" s="75">
        <v>2520</v>
      </c>
      <c r="D17" s="3" t="s">
        <v>41</v>
      </c>
      <c r="E17" s="1">
        <f>C17-B17</f>
        <v>18.15000000000009</v>
      </c>
      <c r="F17" s="1">
        <v>4.5</v>
      </c>
      <c r="G17" s="1"/>
      <c r="H17" s="30"/>
      <c r="I17" s="30">
        <f>IF(G17=0,ROUND($E17*$F17,2),ROUND($E17*$F17*$G17,2))</f>
        <v>81.68</v>
      </c>
      <c r="J17" s="1"/>
      <c r="K17" s="30"/>
      <c r="L17" s="30"/>
      <c r="M17" s="30"/>
      <c r="N17" s="30"/>
      <c r="O17" s="30"/>
      <c r="P17" s="30"/>
      <c r="Q17" s="30"/>
      <c r="R17" s="30"/>
      <c r="S17" s="30"/>
      <c r="T17" s="6">
        <f>IF($G17=0,ROUND($E17/T$72,2),ROUND(($E17*$G17)/T$72,2))</f>
        <v>0.18</v>
      </c>
      <c r="U17" s="30"/>
      <c r="V17" s="30">
        <f>($I17/27)*(V$72/12)</f>
        <v>0.5041975308641975</v>
      </c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14"/>
      <c r="C18" s="14"/>
      <c r="D18" s="3"/>
      <c r="E18" s="1"/>
      <c r="F18" s="1"/>
      <c r="G18" s="1"/>
      <c r="H18" s="30"/>
      <c r="I18" s="30"/>
      <c r="J18" s="1"/>
      <c r="K18" s="30"/>
      <c r="L18" s="30"/>
      <c r="M18" s="30"/>
      <c r="N18" s="30"/>
      <c r="O18" s="30"/>
      <c r="P18" s="30"/>
      <c r="Q18" s="30"/>
      <c r="R18" s="1"/>
      <c r="S18" s="30"/>
      <c r="T18" s="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>
        <v>2688.48</v>
      </c>
      <c r="C19" s="14">
        <v>2706.73</v>
      </c>
      <c r="D19" s="3" t="s">
        <v>41</v>
      </c>
      <c r="E19" s="1">
        <f>C19-B19</f>
        <v>18.25</v>
      </c>
      <c r="F19" s="1">
        <v>4.5</v>
      </c>
      <c r="G19" s="32">
        <f>ROUND((2362.116-13.572-($F19/2))/2362.116,4)</f>
        <v>0.9933</v>
      </c>
      <c r="H19" s="30"/>
      <c r="I19" s="30">
        <f>IF(G19=0,ROUND($E19*$F19,2),ROUND($E19*$F19*$G19,2))</f>
        <v>81.57</v>
      </c>
      <c r="J19" s="1"/>
      <c r="K19" s="30"/>
      <c r="L19" s="30"/>
      <c r="M19" s="30"/>
      <c r="N19" s="30"/>
      <c r="O19" s="30"/>
      <c r="P19" s="30"/>
      <c r="Q19" s="30"/>
      <c r="R19" s="30"/>
      <c r="S19" s="30"/>
      <c r="T19" s="6">
        <f>IF($G19=0,ROUND($E19/T$72,2),ROUND(($E19*$G19)/T$72,2))</f>
        <v>0.18</v>
      </c>
      <c r="U19" s="30"/>
      <c r="V19" s="30">
        <f>($I19/27)*(V$72/12)</f>
        <v>0.5035185185185185</v>
      </c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f>C19</f>
        <v>2706.73</v>
      </c>
      <c r="C20" s="14">
        <v>2738.16</v>
      </c>
      <c r="D20" s="3" t="s">
        <v>41</v>
      </c>
      <c r="E20" s="1">
        <f>C20-B20</f>
        <v>31.429999999999836</v>
      </c>
      <c r="F20" s="1">
        <v>5</v>
      </c>
      <c r="G20" s="32">
        <f>ROUND((2362.116-13.572-($F20/2))/2362.116,4)</f>
        <v>0.9932</v>
      </c>
      <c r="H20" s="30"/>
      <c r="I20" s="30">
        <f>IF(G20=0,ROUND($E20*$F20,2),ROUND($E20*$F20*$G20,2))</f>
        <v>156.08</v>
      </c>
      <c r="J20" s="1"/>
      <c r="K20" s="30"/>
      <c r="L20" s="30"/>
      <c r="M20" s="30"/>
      <c r="N20" s="30"/>
      <c r="O20" s="30"/>
      <c r="P20" s="30"/>
      <c r="Q20" s="30"/>
      <c r="R20" s="30"/>
      <c r="S20" s="30"/>
      <c r="T20" s="6">
        <f>IF($G20=0,ROUND($E20/T$72,2),ROUND(($E20*$G20)/T$72,2))</f>
        <v>0.31</v>
      </c>
      <c r="U20" s="30"/>
      <c r="V20" s="30">
        <f>($I20/27)*(V$72/12)</f>
        <v>0.9634567901234569</v>
      </c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>
        <f>C20</f>
        <v>2738.16</v>
      </c>
      <c r="C21" s="14">
        <v>2748.86</v>
      </c>
      <c r="D21" s="3" t="s">
        <v>41</v>
      </c>
      <c r="E21" s="1">
        <f>C21-B21</f>
        <v>10.700000000000273</v>
      </c>
      <c r="F21" s="1">
        <v>5</v>
      </c>
      <c r="G21" s="32">
        <f>ROUND((2362.116-((13.572+14)/2)-($F21/2))/2362.116,4)</f>
        <v>0.9931</v>
      </c>
      <c r="H21" s="30"/>
      <c r="I21" s="30">
        <f>IF(G21=0,ROUND($E21*$F21,2),ROUND($E21*$F21*$G21,2))</f>
        <v>53.13</v>
      </c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>
        <f>IF($G21=0,ROUND($E21/T$72,2),ROUND(($E21*$G21)/T$72,2))</f>
        <v>0.11</v>
      </c>
      <c r="U21" s="30"/>
      <c r="V21" s="30">
        <f>($I21/27)*(V$72/12)</f>
        <v>0.32796296296296296</v>
      </c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14">
        <f>C21</f>
        <v>2748.86</v>
      </c>
      <c r="C22" s="14">
        <v>2753.5</v>
      </c>
      <c r="D22" s="3" t="s">
        <v>41</v>
      </c>
      <c r="E22" s="1">
        <f>C22-B22</f>
        <v>4.639999999999873</v>
      </c>
      <c r="F22" s="1">
        <v>5</v>
      </c>
      <c r="G22" s="32">
        <f>ROUND((2362.116-14-($F22/2))/2362.116,4)</f>
        <v>0.993</v>
      </c>
      <c r="H22" s="30"/>
      <c r="I22" s="30">
        <f>IF(G22=0,ROUND($E22*$F22,2),ROUND($E22*$F22*$G22,2))</f>
        <v>23.04</v>
      </c>
      <c r="J22" s="1"/>
      <c r="K22" s="30"/>
      <c r="L22" s="30"/>
      <c r="M22" s="30"/>
      <c r="N22" s="30"/>
      <c r="O22" s="30"/>
      <c r="P22" s="30"/>
      <c r="Q22" s="30"/>
      <c r="R22" s="30"/>
      <c r="S22" s="30"/>
      <c r="T22" s="6">
        <f>IF($G22=0,ROUND($E22/T$72,2),ROUND(($E22*$G22)/T$72,2))</f>
        <v>0.05</v>
      </c>
      <c r="U22" s="30"/>
      <c r="V22" s="30">
        <f>($I22/27)*(V$72/12)</f>
        <v>0.1422222222222222</v>
      </c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14">
        <f>C22</f>
        <v>2753.5</v>
      </c>
      <c r="C23" s="14">
        <v>2845.93</v>
      </c>
      <c r="D23" s="3" t="s">
        <v>41</v>
      </c>
      <c r="E23" s="1">
        <f>C23-B23</f>
        <v>92.42999999999984</v>
      </c>
      <c r="F23" s="151" t="s">
        <v>40</v>
      </c>
      <c r="G23" s="152"/>
      <c r="H23" s="152"/>
      <c r="I23" s="153"/>
      <c r="J23" s="1">
        <v>456.08</v>
      </c>
      <c r="K23" s="30"/>
      <c r="L23" s="30"/>
      <c r="M23" s="30"/>
      <c r="N23" s="30"/>
      <c r="O23" s="30"/>
      <c r="P23" s="30"/>
      <c r="Q23" s="30"/>
      <c r="R23" s="30"/>
      <c r="S23" s="30"/>
      <c r="T23" s="6">
        <f>IF($G23=0,ROUND($E23/T$72,2),ROUND(($E23*$G23)/T$72,2))</f>
        <v>0.92</v>
      </c>
      <c r="U23" s="30"/>
      <c r="V23" s="30">
        <f>($J23/27)*(V$72/12)</f>
        <v>2.8153086419753084</v>
      </c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/>
      <c r="C24" s="14"/>
      <c r="D24" s="3"/>
      <c r="E24" s="1"/>
      <c r="F24" s="1"/>
      <c r="G24" s="1"/>
      <c r="H24" s="30"/>
      <c r="I24" s="30"/>
      <c r="J24" s="1"/>
      <c r="K24" s="30"/>
      <c r="L24" s="30"/>
      <c r="M24" s="30"/>
      <c r="N24" s="30"/>
      <c r="O24" s="30"/>
      <c r="P24" s="30"/>
      <c r="Q24" s="30"/>
      <c r="R24" s="30"/>
      <c r="S24" s="30"/>
      <c r="T24" s="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27">
        <v>2440.09</v>
      </c>
      <c r="C25" s="35">
        <v>2488.94</v>
      </c>
      <c r="D25" s="3" t="s">
        <v>37</v>
      </c>
      <c r="E25" s="1">
        <f aca="true" t="shared" si="1" ref="E25:E30">C25-B25</f>
        <v>48.84999999999991</v>
      </c>
      <c r="F25" s="151" t="s">
        <v>40</v>
      </c>
      <c r="G25" s="152"/>
      <c r="H25" s="152"/>
      <c r="I25" s="153"/>
      <c r="J25" s="30">
        <v>328.26</v>
      </c>
      <c r="K25" s="30"/>
      <c r="L25" s="29"/>
      <c r="M25" s="29"/>
      <c r="N25" s="29"/>
      <c r="O25" s="29"/>
      <c r="P25" s="30"/>
      <c r="Q25" s="30"/>
      <c r="R25" s="30"/>
      <c r="S25" s="30"/>
      <c r="T25" s="6">
        <f>IF($G25=0,ROUND($E25/T$72,2),ROUND(($E25*$G25)/T$72,2))</f>
        <v>0.49</v>
      </c>
      <c r="U25" s="30"/>
      <c r="V25" s="30">
        <f>($J25/27)*(V$72/12)</f>
        <v>2.0262962962962963</v>
      </c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75">
        <f>C25</f>
        <v>2488.94</v>
      </c>
      <c r="C26" s="75">
        <v>2513.44</v>
      </c>
      <c r="D26" s="3" t="s">
        <v>37</v>
      </c>
      <c r="E26" s="1">
        <f t="shared" si="1"/>
        <v>24.5</v>
      </c>
      <c r="F26" s="1">
        <v>5</v>
      </c>
      <c r="G26" s="1"/>
      <c r="H26" s="30"/>
      <c r="I26" s="30">
        <f>IF(G26=0,ROUND($E26*$F26,2),ROUND($E26*$F26*$G26,2))</f>
        <v>122.5</v>
      </c>
      <c r="J26" s="1"/>
      <c r="K26" s="30"/>
      <c r="L26" s="30"/>
      <c r="M26" s="30"/>
      <c r="N26" s="30"/>
      <c r="O26" s="30"/>
      <c r="P26" s="30"/>
      <c r="Q26" s="30"/>
      <c r="R26" s="30"/>
      <c r="S26" s="30"/>
      <c r="T26" s="6">
        <f>IF($G26=0,ROUND($E26/T$72,2),ROUND(($E26*$G26)/T$72,2))</f>
        <v>0.25</v>
      </c>
      <c r="U26" s="30"/>
      <c r="V26" s="30">
        <f>($I26/27)*(V$72/12)</f>
        <v>0.7561728395061729</v>
      </c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75">
        <f>C26</f>
        <v>2513.44</v>
      </c>
      <c r="C27" s="75">
        <v>2531.58</v>
      </c>
      <c r="D27" s="3" t="s">
        <v>37</v>
      </c>
      <c r="E27" s="1">
        <f t="shared" si="1"/>
        <v>18.139999999999873</v>
      </c>
      <c r="F27" s="1">
        <v>4.5</v>
      </c>
      <c r="G27" s="1"/>
      <c r="H27" s="30"/>
      <c r="I27" s="30">
        <f>IF(G27=0,ROUND($E27*$F27,2),ROUND($E27*$F27*$G27,2))</f>
        <v>81.63</v>
      </c>
      <c r="J27" s="1"/>
      <c r="K27" s="30"/>
      <c r="L27" s="30"/>
      <c r="M27" s="30"/>
      <c r="N27" s="30"/>
      <c r="O27" s="30"/>
      <c r="P27" s="30"/>
      <c r="Q27" s="30"/>
      <c r="R27" s="30"/>
      <c r="S27" s="30"/>
      <c r="T27" s="6">
        <f>IF($G27=0,ROUND($E27/T$72,2),ROUND(($E27*$G27)/T$72,2))</f>
        <v>0.18</v>
      </c>
      <c r="U27" s="30"/>
      <c r="V27" s="30">
        <f>($I27/27)*(V$72/12)</f>
        <v>0.5038888888888888</v>
      </c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14"/>
      <c r="C28" s="14"/>
      <c r="D28" s="3"/>
      <c r="E28" s="1"/>
      <c r="F28" s="1"/>
      <c r="G28" s="1"/>
      <c r="H28" s="30"/>
      <c r="I28" s="30"/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>
        <v>2698.84</v>
      </c>
      <c r="C29" s="14">
        <v>2720.91</v>
      </c>
      <c r="D29" s="3" t="s">
        <v>37</v>
      </c>
      <c r="E29" s="1">
        <f t="shared" si="1"/>
        <v>22.06999999999971</v>
      </c>
      <c r="F29" s="1">
        <v>5</v>
      </c>
      <c r="G29" s="32">
        <f>ROUND((2362.116+((19.76+18.73)/2)+($F29/2))/2362.116,4)</f>
        <v>1.0092</v>
      </c>
      <c r="H29" s="30"/>
      <c r="I29" s="30">
        <f>IF(G29=0,ROUND($E29*$F29,2),ROUND($E29*$F29*$G29,2))</f>
        <v>111.37</v>
      </c>
      <c r="J29" s="1"/>
      <c r="K29" s="30"/>
      <c r="L29" s="30"/>
      <c r="M29" s="30"/>
      <c r="N29" s="30"/>
      <c r="O29" s="30"/>
      <c r="P29" s="30"/>
      <c r="Q29" s="30"/>
      <c r="R29" s="30"/>
      <c r="S29" s="30"/>
      <c r="T29" s="6">
        <f>IF($G29=0,ROUND($E29/T$72,2),ROUND(($E29*$G29)/T$72,2))</f>
        <v>0.22</v>
      </c>
      <c r="U29" s="30"/>
      <c r="V29" s="30">
        <f>($I29/27)*(V$72/12)</f>
        <v>0.6874691358024692</v>
      </c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f>C29</f>
        <v>2720.91</v>
      </c>
      <c r="C30" s="14">
        <v>2820.43</v>
      </c>
      <c r="D30" s="3" t="s">
        <v>37</v>
      </c>
      <c r="E30" s="1">
        <f t="shared" si="1"/>
        <v>99.51999999999998</v>
      </c>
      <c r="F30" s="151" t="s">
        <v>40</v>
      </c>
      <c r="G30" s="152"/>
      <c r="H30" s="152"/>
      <c r="I30" s="153"/>
      <c r="J30" s="1">
        <v>620.49</v>
      </c>
      <c r="K30" s="30"/>
      <c r="L30" s="30"/>
      <c r="M30" s="30"/>
      <c r="N30" s="30"/>
      <c r="O30" s="30"/>
      <c r="P30" s="30"/>
      <c r="Q30" s="30"/>
      <c r="R30" s="30"/>
      <c r="S30" s="30"/>
      <c r="T30" s="6">
        <f>IF($G30=0,ROUND($E30/T$72,2),ROUND(($E30*$G30)/T$72,2))</f>
        <v>1</v>
      </c>
      <c r="U30" s="30"/>
      <c r="V30" s="30">
        <f>($J30/27)*(V$72/12)</f>
        <v>3.830185185185185</v>
      </c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14"/>
      <c r="C31" s="14"/>
      <c r="D31" s="3"/>
      <c r="E31" s="1"/>
      <c r="F31" s="1"/>
      <c r="G31" s="1"/>
      <c r="H31" s="30"/>
      <c r="I31" s="30"/>
      <c r="J31" s="1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105" t="s">
        <v>89</v>
      </c>
      <c r="C32" s="106"/>
      <c r="D32" s="106"/>
      <c r="E32" s="106"/>
      <c r="F32" s="106"/>
      <c r="G32" s="106"/>
      <c r="H32" s="106"/>
      <c r="I32" s="107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33" t="s">
        <v>85</v>
      </c>
      <c r="C33" s="14"/>
      <c r="D33" s="3"/>
      <c r="E33" s="1"/>
      <c r="F33" s="1"/>
      <c r="G33" s="1"/>
      <c r="H33" s="30"/>
      <c r="I33" s="30"/>
      <c r="J33" s="30"/>
      <c r="K33" s="54"/>
      <c r="L33" s="30"/>
      <c r="M33" s="30"/>
      <c r="N33" s="30"/>
      <c r="O33" s="30"/>
      <c r="P33" s="30"/>
      <c r="Q33" s="30"/>
      <c r="R33" s="30"/>
      <c r="S33" s="30"/>
      <c r="T33" s="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>
        <v>46000</v>
      </c>
      <c r="C34" s="14">
        <v>46100</v>
      </c>
      <c r="D34" s="3" t="s">
        <v>41</v>
      </c>
      <c r="E34" s="1">
        <f>C34-B34</f>
        <v>100</v>
      </c>
      <c r="F34" s="1">
        <f>AVERAGE(5,0)</f>
        <v>2.5</v>
      </c>
      <c r="G34" s="1"/>
      <c r="H34" s="30"/>
      <c r="I34" s="30">
        <f>IF(G34=0,ROUND($E34*$F34,2),ROUND($E34*$F34*$G34,2))</f>
        <v>250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/>
      <c r="U34" s="30">
        <f>ROUND((($I34)/9)*U$72,2)</f>
        <v>11.11</v>
      </c>
      <c r="V34" s="30"/>
      <c r="W34" s="30"/>
      <c r="X34" s="30"/>
      <c r="Y34" s="30">
        <f>ROUND($I34*(Y$72)/Y$74,2)</f>
        <v>0.08</v>
      </c>
      <c r="Z34" s="30">
        <f>ROUND(($I34*(Z$72/12))/27,2)</f>
        <v>1.54</v>
      </c>
      <c r="AA34" s="30">
        <f>ROUND($I34/9,2)</f>
        <v>27.78</v>
      </c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4">
        <f>C34</f>
        <v>46100</v>
      </c>
      <c r="C35" s="14">
        <v>46730.42</v>
      </c>
      <c r="D35" s="3" t="s">
        <v>41</v>
      </c>
      <c r="E35" s="1">
        <f>C35-B35</f>
        <v>630.4199999999983</v>
      </c>
      <c r="F35" s="1">
        <v>5</v>
      </c>
      <c r="G35" s="1"/>
      <c r="H35" s="30"/>
      <c r="I35" s="30">
        <f>IF(G35=0,ROUND($E35*$F35,2),ROUND($E35*$F35*$G35,2))</f>
        <v>3152.1</v>
      </c>
      <c r="J35" s="1"/>
      <c r="K35" s="30"/>
      <c r="L35" s="30"/>
      <c r="M35" s="30"/>
      <c r="N35" s="30"/>
      <c r="O35" s="30"/>
      <c r="P35" s="30"/>
      <c r="Q35" s="30"/>
      <c r="R35" s="30"/>
      <c r="S35" s="30"/>
      <c r="T35" s="6"/>
      <c r="U35" s="30">
        <f>ROUND((($I35)/9)*U$72,2)</f>
        <v>140.09</v>
      </c>
      <c r="V35" s="30"/>
      <c r="W35" s="30"/>
      <c r="X35" s="30"/>
      <c r="Y35" s="30">
        <f>ROUND($I35*(Y$72)/Y$74,2)</f>
        <v>0.95</v>
      </c>
      <c r="Z35" s="30">
        <f>ROUND(($I35*(Z$72/12))/27,2)</f>
        <v>19.46</v>
      </c>
      <c r="AA35" s="30">
        <f>ROUND($I35/9,2)</f>
        <v>350.23</v>
      </c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/>
      <c r="C36" s="14"/>
      <c r="D36" s="3"/>
      <c r="E36" s="1"/>
      <c r="F36" s="1"/>
      <c r="G36" s="1"/>
      <c r="H36" s="30"/>
      <c r="I36" s="30"/>
      <c r="J36" s="1"/>
      <c r="K36" s="30"/>
      <c r="L36" s="30"/>
      <c r="M36" s="30"/>
      <c r="N36" s="30"/>
      <c r="O36" s="30"/>
      <c r="P36" s="30"/>
      <c r="Q36" s="30"/>
      <c r="R36" s="30"/>
      <c r="S36" s="30"/>
      <c r="T36" s="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>
        <v>39440</v>
      </c>
      <c r="C37" s="14">
        <v>39462.5</v>
      </c>
      <c r="D37" s="3" t="s">
        <v>37</v>
      </c>
      <c r="E37" s="1">
        <f>C37-B37</f>
        <v>22.5</v>
      </c>
      <c r="F37" s="1">
        <f>AVERAGE(4.5,0)</f>
        <v>2.25</v>
      </c>
      <c r="G37" s="32">
        <f>ROUND((21630.91+((77.5+82)/2)+($F37/2))/21630.91,4)</f>
        <v>1.0037</v>
      </c>
      <c r="H37" s="30"/>
      <c r="I37" s="30">
        <f>IF(G37=0,ROUND($E37*$F37,2),ROUND($E37*$F37*$G37,2))</f>
        <v>50.81</v>
      </c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/>
      <c r="U37" s="30">
        <f>ROUND((($I37)/9)*U$72,2)</f>
        <v>2.26</v>
      </c>
      <c r="V37" s="30"/>
      <c r="W37" s="30"/>
      <c r="X37" s="30"/>
      <c r="Y37" s="30">
        <f>ROUND($I37*(Y$72)/Y$74,2)</f>
        <v>0.02</v>
      </c>
      <c r="Z37" s="30">
        <f>ROUND(($I37*(Z$72/12))/27,2)</f>
        <v>0.31</v>
      </c>
      <c r="AA37" s="30">
        <f>ROUND($I37/9,2)</f>
        <v>5.65</v>
      </c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33"/>
      <c r="C38" s="14"/>
      <c r="D38" s="3"/>
      <c r="E38" s="1"/>
      <c r="F38" s="8"/>
      <c r="G38" s="1"/>
      <c r="H38" s="30"/>
      <c r="I38" s="30"/>
      <c r="J38" s="1"/>
      <c r="K38" s="30"/>
      <c r="L38" s="30"/>
      <c r="M38" s="30"/>
      <c r="N38" s="30"/>
      <c r="O38" s="30"/>
      <c r="P38" s="30"/>
      <c r="Q38" s="30"/>
      <c r="R38" s="30"/>
      <c r="S38" s="30"/>
      <c r="T38" s="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14">
        <v>40459.11</v>
      </c>
      <c r="C39" s="14">
        <v>40500</v>
      </c>
      <c r="D39" s="3" t="s">
        <v>37</v>
      </c>
      <c r="E39" s="1">
        <f>C39-B39</f>
        <v>40.88999999999942</v>
      </c>
      <c r="F39" s="1">
        <f>AVERAGE(5,0)</f>
        <v>2.5</v>
      </c>
      <c r="G39" s="1"/>
      <c r="H39" s="30"/>
      <c r="I39" s="30">
        <f>IF(G39=0,ROUND($E39*$F39,2),ROUND($E39*$F39*$G39,2))</f>
        <v>102.22</v>
      </c>
      <c r="J39" s="1"/>
      <c r="K39" s="56"/>
      <c r="L39" s="30"/>
      <c r="M39" s="30"/>
      <c r="N39" s="30"/>
      <c r="O39" s="30"/>
      <c r="P39" s="30"/>
      <c r="Q39" s="56"/>
      <c r="R39" s="30"/>
      <c r="S39" s="30"/>
      <c r="T39" s="6"/>
      <c r="U39" s="30">
        <f>ROUND((($I39)/9)*U$72,2)</f>
        <v>4.54</v>
      </c>
      <c r="V39" s="30"/>
      <c r="W39" s="30"/>
      <c r="X39" s="30"/>
      <c r="Y39" s="30">
        <f>ROUND($I39*(Y$72)/Y$74,2)</f>
        <v>0.03</v>
      </c>
      <c r="Z39" s="30">
        <f>ROUND(($I39*(Z$72/12))/27,2)</f>
        <v>0.63</v>
      </c>
      <c r="AA39" s="30">
        <f aca="true" t="shared" si="2" ref="AA39:AA48">ROUND($I39/9,2)</f>
        <v>11.36</v>
      </c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14">
        <f>C39</f>
        <v>40500</v>
      </c>
      <c r="C40" s="14">
        <v>40750.59</v>
      </c>
      <c r="D40" s="3" t="s">
        <v>37</v>
      </c>
      <c r="E40" s="1">
        <f>C40-B40</f>
        <v>250.5899999999965</v>
      </c>
      <c r="F40" s="1">
        <v>5</v>
      </c>
      <c r="G40" s="1"/>
      <c r="H40" s="30"/>
      <c r="I40" s="30">
        <f>IF(G40=0,ROUND($E40*$F40,2),ROUND($E40*$F40*$G40,2))</f>
        <v>1252.95</v>
      </c>
      <c r="J40" s="1"/>
      <c r="K40" s="30"/>
      <c r="L40" s="30"/>
      <c r="M40" s="30"/>
      <c r="N40" s="30"/>
      <c r="O40" s="30"/>
      <c r="P40" s="30"/>
      <c r="Q40" s="30"/>
      <c r="R40" s="30"/>
      <c r="S40" s="30"/>
      <c r="T40" s="6"/>
      <c r="U40" s="30">
        <f>ROUND((($I40)/9)*U$72,2)</f>
        <v>55.69</v>
      </c>
      <c r="V40" s="30"/>
      <c r="W40" s="30"/>
      <c r="X40" s="30"/>
      <c r="Y40" s="30">
        <f>ROUND($I40*(Y$72)/Y$74,2)</f>
        <v>0.38</v>
      </c>
      <c r="Z40" s="30">
        <f>ROUND(($I40*(Z$72/12))/27,2)</f>
        <v>7.73</v>
      </c>
      <c r="AA40" s="30">
        <f t="shared" si="2"/>
        <v>139.22</v>
      </c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14"/>
      <c r="C41" s="14"/>
      <c r="D41" s="3"/>
      <c r="E41" s="1"/>
      <c r="F41" s="1"/>
      <c r="G41" s="1"/>
      <c r="H41" s="30"/>
      <c r="I41" s="30"/>
      <c r="J41" s="1"/>
      <c r="K41" s="30"/>
      <c r="L41" s="30"/>
      <c r="M41" s="30"/>
      <c r="N41" s="30"/>
      <c r="O41" s="30"/>
      <c r="P41" s="30"/>
      <c r="Q41" s="30"/>
      <c r="R41" s="30"/>
      <c r="S41" s="30"/>
      <c r="T41" s="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14">
        <v>44623.71</v>
      </c>
      <c r="C42" s="14">
        <v>44823.91</v>
      </c>
      <c r="D42" s="3" t="s">
        <v>37</v>
      </c>
      <c r="E42" s="1">
        <f>C42-B42</f>
        <v>200.20000000000437</v>
      </c>
      <c r="F42" s="1">
        <v>5</v>
      </c>
      <c r="G42" s="32">
        <f>ROUND((14228.562+70+($F42/2))/14228.562,4)</f>
        <v>1.0051</v>
      </c>
      <c r="H42" s="30"/>
      <c r="I42" s="30">
        <f>IF(G42=0,ROUND($E42*$F42,2),ROUND($E42*$F42*$G42,2))</f>
        <v>1006.11</v>
      </c>
      <c r="J42" s="1"/>
      <c r="K42" s="30"/>
      <c r="L42" s="30"/>
      <c r="M42" s="30"/>
      <c r="N42" s="30"/>
      <c r="O42" s="30"/>
      <c r="P42" s="30"/>
      <c r="Q42" s="30"/>
      <c r="R42" s="30"/>
      <c r="S42" s="30"/>
      <c r="T42" s="6"/>
      <c r="U42" s="30">
        <f>ROUND((($I42)/9)*U$72,2)</f>
        <v>44.72</v>
      </c>
      <c r="V42" s="30"/>
      <c r="W42" s="30"/>
      <c r="X42" s="30"/>
      <c r="Y42" s="30">
        <f>ROUND($I42*(Y$72)/Y$74,2)</f>
        <v>0.3</v>
      </c>
      <c r="Z42" s="30">
        <f>ROUND(($I42*(Z$72/12))/27,2)</f>
        <v>6.21</v>
      </c>
      <c r="AA42" s="30">
        <f t="shared" si="2"/>
        <v>111.79</v>
      </c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14">
        <f>C42</f>
        <v>44823.91</v>
      </c>
      <c r="C43" s="14">
        <v>44900</v>
      </c>
      <c r="D43" s="3" t="s">
        <v>37</v>
      </c>
      <c r="E43" s="1">
        <f>C43-B43</f>
        <v>76.08999999999651</v>
      </c>
      <c r="F43" s="1">
        <v>5</v>
      </c>
      <c r="G43" s="1"/>
      <c r="H43" s="30"/>
      <c r="I43" s="30">
        <f>IF(G43=0,ROUND($E43*$F43,2),ROUND($E43*$F43*$G43,2))</f>
        <v>380.45</v>
      </c>
      <c r="J43" s="1"/>
      <c r="K43" s="30"/>
      <c r="L43" s="30"/>
      <c r="M43" s="30"/>
      <c r="N43" s="30"/>
      <c r="O43" s="30"/>
      <c r="P43" s="30"/>
      <c r="Q43" s="30"/>
      <c r="R43" s="30"/>
      <c r="S43" s="30"/>
      <c r="T43" s="6"/>
      <c r="U43" s="30">
        <f>ROUND((($I43)/9)*U$72,2)</f>
        <v>16.91</v>
      </c>
      <c r="V43" s="30"/>
      <c r="W43" s="30"/>
      <c r="X43" s="30"/>
      <c r="Y43" s="30">
        <f>ROUND($I43*(Y$72)/Y$74,2)</f>
        <v>0.11</v>
      </c>
      <c r="Z43" s="30">
        <f>ROUND(($I43*(Z$72/12))/27,2)</f>
        <v>2.35</v>
      </c>
      <c r="AA43" s="30">
        <f t="shared" si="2"/>
        <v>42.27</v>
      </c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14">
        <f>C43</f>
        <v>44900</v>
      </c>
      <c r="C44" s="14">
        <v>45000</v>
      </c>
      <c r="D44" s="3" t="s">
        <v>37</v>
      </c>
      <c r="E44" s="1">
        <f>C44-B44</f>
        <v>100</v>
      </c>
      <c r="F44" s="1">
        <f>AVERAGE(5,0)</f>
        <v>2.5</v>
      </c>
      <c r="G44" s="1"/>
      <c r="H44" s="30"/>
      <c r="I44" s="30">
        <f>IF(G44=0,ROUND($E44*$F44,2),ROUND($E44*$F44*$G44,2))</f>
        <v>250</v>
      </c>
      <c r="J44" s="1"/>
      <c r="K44" s="30"/>
      <c r="L44" s="30"/>
      <c r="M44" s="30"/>
      <c r="N44" s="30"/>
      <c r="O44" s="30"/>
      <c r="P44" s="30"/>
      <c r="Q44" s="30"/>
      <c r="R44" s="30"/>
      <c r="S44" s="30"/>
      <c r="T44" s="6"/>
      <c r="U44" s="30">
        <f>ROUND((($I44)/9)*U$72,2)</f>
        <v>11.11</v>
      </c>
      <c r="V44" s="30"/>
      <c r="W44" s="30"/>
      <c r="X44" s="30"/>
      <c r="Y44" s="30">
        <f>ROUND($I44*(Y$72)/Y$74,2)</f>
        <v>0.08</v>
      </c>
      <c r="Z44" s="30">
        <f>ROUND(($I44*(Z$72/12))/27,2)</f>
        <v>1.54</v>
      </c>
      <c r="AA44" s="30">
        <f t="shared" si="2"/>
        <v>27.78</v>
      </c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/>
      <c r="C45" s="14"/>
      <c r="D45" s="3"/>
      <c r="E45" s="1"/>
      <c r="F45" s="1"/>
      <c r="G45" s="1"/>
      <c r="H45" s="30"/>
      <c r="I45" s="30"/>
      <c r="J45" s="1"/>
      <c r="K45" s="30"/>
      <c r="L45" s="30"/>
      <c r="M45" s="30"/>
      <c r="N45" s="30"/>
      <c r="O45" s="30"/>
      <c r="P45" s="30"/>
      <c r="Q45" s="30"/>
      <c r="R45" s="30"/>
      <c r="S45" s="30"/>
      <c r="T45" s="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14">
        <v>45700</v>
      </c>
      <c r="C46" s="14">
        <v>45800</v>
      </c>
      <c r="D46" s="3" t="s">
        <v>37</v>
      </c>
      <c r="E46" s="1">
        <f>C46-B46</f>
        <v>100</v>
      </c>
      <c r="F46" s="1">
        <f>AVERAGE(5,0)</f>
        <v>2.5</v>
      </c>
      <c r="G46" s="1"/>
      <c r="H46" s="30"/>
      <c r="I46" s="30">
        <f>IF(G46=0,ROUND($E46*$F46,2),ROUND($E46*$F46*$G46,2))</f>
        <v>250</v>
      </c>
      <c r="J46" s="1"/>
      <c r="K46" s="30"/>
      <c r="L46" s="30"/>
      <c r="M46" s="30"/>
      <c r="N46" s="30"/>
      <c r="O46" s="30"/>
      <c r="P46" s="30"/>
      <c r="Q46" s="30"/>
      <c r="R46" s="30"/>
      <c r="S46" s="30"/>
      <c r="T46" s="6"/>
      <c r="U46" s="30">
        <f>ROUND((($I46)/9)*U$72,2)</f>
        <v>11.11</v>
      </c>
      <c r="V46" s="30"/>
      <c r="W46" s="30"/>
      <c r="X46" s="30"/>
      <c r="Y46" s="30">
        <f>ROUND($I46*(Y$72)/Y$74,2)</f>
        <v>0.08</v>
      </c>
      <c r="Z46" s="30">
        <f>ROUND(($I46*(Z$72/12))/27,2)</f>
        <v>1.54</v>
      </c>
      <c r="AA46" s="30">
        <f t="shared" si="2"/>
        <v>27.78</v>
      </c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14">
        <f>C46</f>
        <v>45800</v>
      </c>
      <c r="C47" s="14">
        <v>46121.17</v>
      </c>
      <c r="D47" s="3" t="s">
        <v>37</v>
      </c>
      <c r="E47" s="1">
        <f>C47-B47</f>
        <v>321.16999999999825</v>
      </c>
      <c r="F47" s="1">
        <v>5</v>
      </c>
      <c r="G47" s="1"/>
      <c r="H47" s="30"/>
      <c r="I47" s="30">
        <f>IF(G47=0,ROUND($E47*$F47,2),ROUND($E47*$F47*$G47,2))</f>
        <v>1605.85</v>
      </c>
      <c r="J47" s="1"/>
      <c r="K47" s="56"/>
      <c r="L47" s="30"/>
      <c r="M47" s="30"/>
      <c r="N47" s="30"/>
      <c r="O47" s="30"/>
      <c r="P47" s="30"/>
      <c r="Q47" s="30"/>
      <c r="R47" s="30"/>
      <c r="S47" s="30"/>
      <c r="T47" s="6"/>
      <c r="U47" s="30">
        <f>ROUND((($I47)/9)*U$72,2)</f>
        <v>71.37</v>
      </c>
      <c r="V47" s="30"/>
      <c r="W47" s="30"/>
      <c r="X47" s="30"/>
      <c r="Y47" s="30">
        <f>ROUND($I47*(Y$72)/Y$74,2)</f>
        <v>0.48</v>
      </c>
      <c r="Z47" s="30">
        <f>ROUND(($I47*(Z$72/12))/27,2)</f>
        <v>9.91</v>
      </c>
      <c r="AA47" s="30">
        <f t="shared" si="2"/>
        <v>178.43</v>
      </c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14">
        <v>46923.83</v>
      </c>
      <c r="C48" s="14">
        <v>46946.33</v>
      </c>
      <c r="D48" s="3" t="s">
        <v>37</v>
      </c>
      <c r="E48" s="1">
        <f>C48-B48</f>
        <v>22.5</v>
      </c>
      <c r="F48" s="1">
        <f>AVERAGE(4.5,0)</f>
        <v>2.25</v>
      </c>
      <c r="G48" s="1"/>
      <c r="H48" s="30"/>
      <c r="I48" s="30">
        <f>IF(G48=0,ROUND($E48*$F48,2),ROUND($E48*$F48*$G48,2))</f>
        <v>50.63</v>
      </c>
      <c r="J48" s="1"/>
      <c r="K48" s="30"/>
      <c r="L48" s="30"/>
      <c r="M48" s="30"/>
      <c r="N48" s="30"/>
      <c r="O48" s="30"/>
      <c r="P48" s="30"/>
      <c r="Q48" s="30"/>
      <c r="R48" s="30"/>
      <c r="S48" s="30"/>
      <c r="T48" s="6"/>
      <c r="U48" s="30">
        <f>ROUND((($I48)/9)*U$72,2)</f>
        <v>2.25</v>
      </c>
      <c r="V48" s="30"/>
      <c r="W48" s="30"/>
      <c r="X48" s="30"/>
      <c r="Y48" s="30">
        <f>ROUND($I48*(Y$72)/Y$74,2)</f>
        <v>0.02</v>
      </c>
      <c r="Z48" s="30">
        <f>ROUND(($I48*(Z$72/12))/27,2)</f>
        <v>0.31</v>
      </c>
      <c r="AA48" s="30">
        <f t="shared" si="2"/>
        <v>5.63</v>
      </c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14"/>
      <c r="C49" s="14"/>
      <c r="D49" s="3"/>
      <c r="E49" s="1"/>
      <c r="F49" s="1"/>
      <c r="G49" s="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33" t="s">
        <v>84</v>
      </c>
      <c r="C50" s="14"/>
      <c r="D50" s="3"/>
      <c r="E50" s="1"/>
      <c r="F50" s="1"/>
      <c r="G50" s="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14">
        <v>50211.45</v>
      </c>
      <c r="C51" s="14">
        <v>50400</v>
      </c>
      <c r="D51" s="3" t="s">
        <v>37</v>
      </c>
      <c r="E51" s="1">
        <f>C51-B51</f>
        <v>188.5500000000029</v>
      </c>
      <c r="F51" s="1">
        <v>5</v>
      </c>
      <c r="G51" s="1"/>
      <c r="H51" s="30"/>
      <c r="I51" s="30">
        <f>IF(G51=0,ROUND($E51*$F51,2),ROUND($E51*$F51*$G51,2))</f>
        <v>942.75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/>
      <c r="U51" s="30">
        <f>ROUND((($I51)/9)*U$72,2)</f>
        <v>41.9</v>
      </c>
      <c r="V51" s="30"/>
      <c r="W51" s="30"/>
      <c r="X51" s="30"/>
      <c r="Y51" s="30">
        <f>ROUND($I51*(Y$72)/Y$74,2)</f>
        <v>0.28</v>
      </c>
      <c r="Z51" s="30">
        <f>ROUND(($I51*(Z$72/12))/27,2)</f>
        <v>5.82</v>
      </c>
      <c r="AA51" s="30">
        <f>ROUND($I51/9,2)</f>
        <v>104.75</v>
      </c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>
        <f>C51</f>
        <v>50400</v>
      </c>
      <c r="C52" s="14">
        <v>50500</v>
      </c>
      <c r="D52" s="3" t="s">
        <v>37</v>
      </c>
      <c r="E52" s="1">
        <f>C52-B52</f>
        <v>100</v>
      </c>
      <c r="F52" s="1">
        <f>AVERAGE(5,0)</f>
        <v>2.5</v>
      </c>
      <c r="G52" s="1"/>
      <c r="H52" s="30"/>
      <c r="I52" s="30">
        <f>IF(G52=0,ROUND($E52*$F52,2),ROUND($E52*$F52*$G52,2))</f>
        <v>250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/>
      <c r="U52" s="30">
        <f>ROUND((($I52)/9)*U$72,2)</f>
        <v>11.11</v>
      </c>
      <c r="V52" s="30"/>
      <c r="W52" s="30"/>
      <c r="X52" s="30"/>
      <c r="Y52" s="30">
        <f>ROUND($I52*(Y$72)/Y$74,2)</f>
        <v>0.08</v>
      </c>
      <c r="Z52" s="30">
        <f>ROUND(($I52*(Z$72/12))/27,2)</f>
        <v>1.54</v>
      </c>
      <c r="AA52" s="30">
        <f>ROUND($I52/9,2)</f>
        <v>27.78</v>
      </c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27"/>
      <c r="C53" s="28"/>
      <c r="D53" s="29"/>
      <c r="E53" s="30"/>
      <c r="F53" s="31"/>
      <c r="G53" s="3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33" t="s">
        <v>52</v>
      </c>
      <c r="C54" s="28"/>
      <c r="D54" s="29"/>
      <c r="E54" s="30"/>
      <c r="F54" s="31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>
        <v>26940</v>
      </c>
      <c r="C55" s="14">
        <v>27000</v>
      </c>
      <c r="D55" s="3" t="s">
        <v>41</v>
      </c>
      <c r="E55" s="1">
        <f>C55-B55</f>
        <v>60</v>
      </c>
      <c r="F55" s="1">
        <f>AVERAGE(5,0)</f>
        <v>2.5</v>
      </c>
      <c r="G55" s="1"/>
      <c r="H55" s="30"/>
      <c r="I55" s="30">
        <f>IF(G55=0,ROUND($E55*$F55,2),ROUND($E55*$F55*$G55,2))</f>
        <v>150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/>
      <c r="U55" s="30">
        <f>ROUND((($I55)/9)*U$72,2)</f>
        <v>6.67</v>
      </c>
      <c r="V55" s="30"/>
      <c r="W55" s="30"/>
      <c r="X55" s="30"/>
      <c r="Y55" s="30">
        <f>ROUND($I55*(Y$72)/Y$74,2)</f>
        <v>0.05</v>
      </c>
      <c r="Z55" s="30">
        <f>ROUND(($I55*(Z$72/12))/27,2)</f>
        <v>0.93</v>
      </c>
      <c r="AA55" s="30">
        <f>ROUND($I55/9,2)</f>
        <v>16.67</v>
      </c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14">
        <f>C55</f>
        <v>27000</v>
      </c>
      <c r="C56" s="14">
        <v>27100</v>
      </c>
      <c r="D56" s="3" t="s">
        <v>41</v>
      </c>
      <c r="E56" s="1">
        <f>C56-B56</f>
        <v>100</v>
      </c>
      <c r="F56" s="1">
        <v>5</v>
      </c>
      <c r="G56" s="1"/>
      <c r="H56" s="30"/>
      <c r="I56" s="30">
        <f>IF(G56=0,ROUND($E56*$F56,2),ROUND($E56*$F56*$G56,2))</f>
        <v>500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/>
      <c r="U56" s="30">
        <f>ROUND((($I56)/9)*$U$72,2)</f>
        <v>22.22</v>
      </c>
      <c r="V56" s="30"/>
      <c r="W56" s="30"/>
      <c r="X56" s="30"/>
      <c r="Y56" s="30">
        <f>ROUND($I56*($Y$72)/1000,2)</f>
        <v>0.15</v>
      </c>
      <c r="Z56" s="30">
        <f>ROUND(($I56*($Z$72/12))/27,2)</f>
        <v>3.09</v>
      </c>
      <c r="AA56" s="30">
        <f>ROUND($I56/9,2)</f>
        <v>55.56</v>
      </c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27"/>
      <c r="C57" s="28"/>
      <c r="D57" s="29"/>
      <c r="E57" s="30"/>
      <c r="F57" s="31"/>
      <c r="G57" s="3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>
        <v>24700</v>
      </c>
      <c r="C58" s="14">
        <v>24800</v>
      </c>
      <c r="D58" s="3" t="s">
        <v>37</v>
      </c>
      <c r="E58" s="1">
        <f>C58-B58</f>
        <v>100</v>
      </c>
      <c r="F58" s="1">
        <f>AVERAGE(5,0)</f>
        <v>2.5</v>
      </c>
      <c r="G58" s="1"/>
      <c r="H58" s="30"/>
      <c r="I58" s="30">
        <f>IF(G58=0,ROUND($E58*$F58,2),ROUND($E58*$F58*$G58,2))</f>
        <v>250</v>
      </c>
      <c r="J58" s="1"/>
      <c r="K58" s="30"/>
      <c r="L58" s="30"/>
      <c r="M58" s="30"/>
      <c r="N58" s="30"/>
      <c r="O58" s="30"/>
      <c r="P58" s="30"/>
      <c r="Q58" s="30"/>
      <c r="R58" s="30"/>
      <c r="S58" s="30"/>
      <c r="T58" s="6"/>
      <c r="U58" s="30">
        <f>ROUND((($I58)/9)*U$72,2)</f>
        <v>11.11</v>
      </c>
      <c r="V58" s="30"/>
      <c r="W58" s="30"/>
      <c r="X58" s="30"/>
      <c r="Y58" s="30">
        <f>ROUND($I58*(Y$72)/Y$74,2)</f>
        <v>0.08</v>
      </c>
      <c r="Z58" s="30">
        <f>ROUND(($I58*(Z$72/12))/27,2)</f>
        <v>1.54</v>
      </c>
      <c r="AA58" s="30">
        <f>ROUND($I58/9,2)</f>
        <v>27.78</v>
      </c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27">
        <f>C58</f>
        <v>24800</v>
      </c>
      <c r="C59" s="14">
        <v>24878.78</v>
      </c>
      <c r="D59" s="3" t="s">
        <v>37</v>
      </c>
      <c r="E59" s="1">
        <f>C59-B59</f>
        <v>78.77999999999884</v>
      </c>
      <c r="F59" s="1">
        <v>5</v>
      </c>
      <c r="G59" s="1"/>
      <c r="H59" s="30"/>
      <c r="I59" s="30">
        <f>IF(G59=0,ROUND($E59*$F59,2),ROUND($E59*$F59*$G59,2))</f>
        <v>393.9</v>
      </c>
      <c r="J59" s="1"/>
      <c r="K59" s="30"/>
      <c r="L59" s="30"/>
      <c r="M59" s="30"/>
      <c r="N59" s="30"/>
      <c r="O59" s="30"/>
      <c r="P59" s="30"/>
      <c r="Q59" s="30"/>
      <c r="R59" s="30"/>
      <c r="S59" s="30"/>
      <c r="T59" s="6"/>
      <c r="U59" s="30">
        <f>ROUND((($I59)/9)*U$72,2)</f>
        <v>17.51</v>
      </c>
      <c r="V59" s="30"/>
      <c r="W59" s="30"/>
      <c r="X59" s="30"/>
      <c r="Y59" s="30">
        <f>ROUND($I59*(Y$72)/Y$74,2)</f>
        <v>0.12</v>
      </c>
      <c r="Z59" s="30">
        <f>ROUND(($I59*(Z$72/12))/27,2)</f>
        <v>2.43</v>
      </c>
      <c r="AA59" s="30">
        <f>ROUND($I59/9,2)</f>
        <v>43.77</v>
      </c>
      <c r="AB59" s="30"/>
      <c r="AC59" s="30"/>
      <c r="AD59" s="30"/>
      <c r="AE59" s="30"/>
      <c r="AF59" s="110"/>
      <c r="AG59" s="111"/>
    </row>
    <row r="60" spans="1:33" s="39" customFormat="1" ht="21.75" customHeight="1">
      <c r="A60" s="26">
        <f t="shared" si="0"/>
        <v>48</v>
      </c>
      <c r="B60" s="75"/>
      <c r="C60" s="75"/>
      <c r="D60" s="3"/>
      <c r="E60" s="1"/>
      <c r="F60" s="74"/>
      <c r="G60" s="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39" customFormat="1" ht="21.75" customHeight="1">
      <c r="A61" s="26">
        <f t="shared" si="0"/>
        <v>49</v>
      </c>
      <c r="B61" s="33" t="s">
        <v>76</v>
      </c>
      <c r="C61" s="35"/>
      <c r="D61" s="29"/>
      <c r="E61" s="30"/>
      <c r="F61" s="30"/>
      <c r="G61" s="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>
        <v>9431.3</v>
      </c>
      <c r="C62" s="14">
        <v>10455.37</v>
      </c>
      <c r="D62" s="3" t="s">
        <v>37</v>
      </c>
      <c r="E62" s="1">
        <f>C62-B62</f>
        <v>1024.0700000000015</v>
      </c>
      <c r="F62" s="1">
        <v>2</v>
      </c>
      <c r="G62" s="32">
        <f>ROUND((1527.888+28+($F62/2))/1527.888,4)</f>
        <v>1.019</v>
      </c>
      <c r="H62" s="30"/>
      <c r="I62" s="30">
        <f>IF(G62=0,ROUND($E62*$F62,2),ROUND($E62*$F62*$G62,2))</f>
        <v>2087.05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/>
      <c r="U62" s="30">
        <f>ROUND((($I62)/9)*U$72,2)</f>
        <v>92.76</v>
      </c>
      <c r="V62" s="30"/>
      <c r="W62" s="30"/>
      <c r="X62" s="30"/>
      <c r="Y62" s="30">
        <f>ROUND($I62*(Y$72)/Y$74,2)</f>
        <v>0.63</v>
      </c>
      <c r="Z62" s="30">
        <f>ROUND(($I62*(Z$72/12))/27,2)</f>
        <v>12.88</v>
      </c>
      <c r="AA62" s="30">
        <f>ROUND($I62/9,2)</f>
        <v>231.89</v>
      </c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14">
        <f>C62</f>
        <v>10455.37</v>
      </c>
      <c r="C63" s="14">
        <v>10573.63</v>
      </c>
      <c r="D63" s="3" t="s">
        <v>37</v>
      </c>
      <c r="E63" s="1">
        <f>C63-B63</f>
        <v>118.2599999999984</v>
      </c>
      <c r="F63" s="1">
        <v>2</v>
      </c>
      <c r="G63" s="32">
        <f>ROUND((((1527.888+28+($F63/2))/1527.888)+((9822.134+28+($F63/2))/9822.134))/2,4)</f>
        <v>1.011</v>
      </c>
      <c r="H63" s="30"/>
      <c r="I63" s="30">
        <f>IF(G63=0,ROUND($E63*$F63,2),ROUND($E63*$F63*$G63,2))</f>
        <v>239.12</v>
      </c>
      <c r="J63" s="1"/>
      <c r="K63" s="30"/>
      <c r="L63" s="30"/>
      <c r="M63" s="30"/>
      <c r="N63" s="30"/>
      <c r="O63" s="30"/>
      <c r="P63" s="30"/>
      <c r="Q63" s="30"/>
      <c r="R63" s="30"/>
      <c r="S63" s="30"/>
      <c r="T63" s="6"/>
      <c r="U63" s="30">
        <f>ROUND((($I63)/9)*U$72,2)</f>
        <v>10.63</v>
      </c>
      <c r="V63" s="30"/>
      <c r="W63" s="30"/>
      <c r="X63" s="30"/>
      <c r="Y63" s="30">
        <f>ROUND($I63*(Y$72)/Y$74,2)</f>
        <v>0.07</v>
      </c>
      <c r="Z63" s="30">
        <f>ROUND(($I63*(Z$72/12))/27,2)</f>
        <v>1.48</v>
      </c>
      <c r="AA63" s="30">
        <f>ROUND($I63/9,2)</f>
        <v>26.57</v>
      </c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33"/>
      <c r="C64" s="14"/>
      <c r="D64" s="3"/>
      <c r="E64" s="1"/>
      <c r="F64" s="1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14"/>
      <c r="C65" s="14"/>
      <c r="D65" s="3"/>
      <c r="E65" s="1"/>
      <c r="F65" s="1"/>
      <c r="G65" s="1"/>
      <c r="H65" s="30"/>
      <c r="I65" s="30"/>
      <c r="J65" s="1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14"/>
      <c r="C66" s="14"/>
      <c r="D66" s="3"/>
      <c r="E66" s="1"/>
      <c r="F66" s="1"/>
      <c r="G66" s="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>IF(SUM(R13:R66)=0," ",ROUNDUP(SUM(R13:R66),0))</f>
        <v> </v>
      </c>
      <c r="S67" s="125" t="str">
        <f aca="true" t="shared" si="3" ref="S67:AE67">IF(SUM(S13:S66)=0," ",ROUNDUP(SUM(S13:S66),0))</f>
        <v> </v>
      </c>
      <c r="T67" s="125">
        <f t="shared" si="3"/>
        <v>5</v>
      </c>
      <c r="U67" s="125">
        <f t="shared" si="3"/>
        <v>586</v>
      </c>
      <c r="V67" s="125">
        <f t="shared" si="3"/>
        <v>15</v>
      </c>
      <c r="W67" s="125" t="str">
        <f t="shared" si="3"/>
        <v> </v>
      </c>
      <c r="X67" s="125" t="str">
        <f t="shared" si="3"/>
        <v> </v>
      </c>
      <c r="Y67" s="125">
        <f t="shared" si="3"/>
        <v>4</v>
      </c>
      <c r="Z67" s="125">
        <f t="shared" si="3"/>
        <v>82</v>
      </c>
      <c r="AA67" s="125">
        <f t="shared" si="3"/>
        <v>1463</v>
      </c>
      <c r="AB67" s="125" t="str">
        <f t="shared" si="3"/>
        <v> </v>
      </c>
      <c r="AC67" s="125" t="str">
        <f t="shared" si="3"/>
        <v> </v>
      </c>
      <c r="AD67" s="125" t="str">
        <f t="shared" si="3"/>
        <v> </v>
      </c>
      <c r="AE67" s="125" t="str">
        <f t="shared" si="3"/>
        <v> </v>
      </c>
      <c r="AF67" s="145">
        <v>11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>
        <v>100</v>
      </c>
      <c r="U72" s="79">
        <v>0.4</v>
      </c>
      <c r="V72" s="79">
        <v>2</v>
      </c>
      <c r="W72" s="78"/>
      <c r="X72" s="59"/>
      <c r="Y72" s="58">
        <v>0.3</v>
      </c>
      <c r="Z72" s="58">
        <v>2</v>
      </c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60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42"/>
      <c r="Y73" s="58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89">
        <v>1000</v>
      </c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5">
    <mergeCell ref="M3:M11"/>
    <mergeCell ref="L3:L11"/>
    <mergeCell ref="K3:K11"/>
    <mergeCell ref="AF51:AG66"/>
    <mergeCell ref="AF6:AG50"/>
    <mergeCell ref="B32:I32"/>
    <mergeCell ref="F23:I23"/>
    <mergeCell ref="F25:I25"/>
    <mergeCell ref="F30:I30"/>
    <mergeCell ref="B14:I14"/>
    <mergeCell ref="O3:O11"/>
    <mergeCell ref="N3:N11"/>
    <mergeCell ref="AD67:AD68"/>
    <mergeCell ref="AE67:AE68"/>
    <mergeCell ref="AF67:AG67"/>
    <mergeCell ref="AF68:AG68"/>
    <mergeCell ref="AC67:AC68"/>
    <mergeCell ref="U67:U68"/>
    <mergeCell ref="V67:V68"/>
    <mergeCell ref="W67:W68"/>
    <mergeCell ref="X67:X68"/>
    <mergeCell ref="Y67:Y68"/>
    <mergeCell ref="Z67:Z68"/>
    <mergeCell ref="AA67:AA68"/>
    <mergeCell ref="AB67:AB68"/>
    <mergeCell ref="B67:Q68"/>
    <mergeCell ref="R67:R68"/>
    <mergeCell ref="S67:S68"/>
    <mergeCell ref="T67:T68"/>
    <mergeCell ref="AD4:AD11"/>
    <mergeCell ref="AE4:AE11"/>
    <mergeCell ref="X4:X11"/>
    <mergeCell ref="AA4:AA11"/>
    <mergeCell ref="AB4:AB11"/>
    <mergeCell ref="P3:P11"/>
    <mergeCell ref="AC4:AC11"/>
    <mergeCell ref="Q3:Q11"/>
    <mergeCell ref="AF3:AF5"/>
    <mergeCell ref="AG3:AG5"/>
    <mergeCell ref="R4:R11"/>
    <mergeCell ref="S4:S11"/>
    <mergeCell ref="T4:T11"/>
    <mergeCell ref="U4:U11"/>
    <mergeCell ref="V4:V11"/>
    <mergeCell ref="W4:W11"/>
    <mergeCell ref="Y4:Y11"/>
    <mergeCell ref="Z4:Z11"/>
    <mergeCell ref="J3:J11"/>
    <mergeCell ref="B3:C11"/>
    <mergeCell ref="D3:D11"/>
    <mergeCell ref="E3:E11"/>
    <mergeCell ref="F3:F11"/>
    <mergeCell ref="G3:G11"/>
    <mergeCell ref="I3:I11"/>
    <mergeCell ref="H3:H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Y67" sqref="Y67:Y68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/>
      <c r="U3" s="50">
        <v>408</v>
      </c>
      <c r="V3" s="76"/>
      <c r="W3" s="50"/>
      <c r="X3" s="51"/>
      <c r="Y3" s="80">
        <v>617</v>
      </c>
      <c r="Z3" s="80">
        <v>617</v>
      </c>
      <c r="AA3" s="80">
        <v>617</v>
      </c>
      <c r="AB3" s="51"/>
      <c r="AC3" s="51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/>
      <c r="U4" s="99" t="s">
        <v>110</v>
      </c>
      <c r="V4" s="147"/>
      <c r="W4" s="99"/>
      <c r="X4" s="102"/>
      <c r="Y4" s="147" t="s">
        <v>80</v>
      </c>
      <c r="Z4" s="147" t="s">
        <v>81</v>
      </c>
      <c r="AA4" s="147" t="s">
        <v>82</v>
      </c>
      <c r="AB4" s="102"/>
      <c r="AC4" s="102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3"/>
      <c r="Y5" s="148"/>
      <c r="Z5" s="148"/>
      <c r="AA5" s="148"/>
      <c r="AB5" s="103"/>
      <c r="AC5" s="103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3"/>
      <c r="Y6" s="148"/>
      <c r="Z6" s="148"/>
      <c r="AA6" s="148"/>
      <c r="AB6" s="103"/>
      <c r="AC6" s="103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3"/>
      <c r="Y7" s="148"/>
      <c r="Z7" s="148"/>
      <c r="AA7" s="148"/>
      <c r="AB7" s="103"/>
      <c r="AC7" s="103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3"/>
      <c r="Y8" s="148"/>
      <c r="Z8" s="148"/>
      <c r="AA8" s="148"/>
      <c r="AB8" s="103"/>
      <c r="AC8" s="103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3"/>
      <c r="Y9" s="148"/>
      <c r="Z9" s="148"/>
      <c r="AA9" s="148"/>
      <c r="AB9" s="103"/>
      <c r="AC9" s="103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3"/>
      <c r="Y10" s="148"/>
      <c r="Z10" s="148"/>
      <c r="AA10" s="148"/>
      <c r="AB10" s="103"/>
      <c r="AC10" s="103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4"/>
      <c r="Y11" s="149"/>
      <c r="Z11" s="149"/>
      <c r="AA11" s="149"/>
      <c r="AB11" s="104"/>
      <c r="AC11" s="104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/>
      <c r="U12" s="52" t="s">
        <v>35</v>
      </c>
      <c r="V12" s="77"/>
      <c r="W12" s="52"/>
      <c r="X12" s="25"/>
      <c r="Y12" s="12" t="s">
        <v>83</v>
      </c>
      <c r="Z12" s="12" t="s">
        <v>34</v>
      </c>
      <c r="AA12" s="12" t="s">
        <v>65</v>
      </c>
      <c r="AB12" s="25"/>
      <c r="AC12" s="25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90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77</v>
      </c>
      <c r="C15" s="14"/>
      <c r="D15" s="3"/>
      <c r="E15" s="1"/>
      <c r="F15" s="1"/>
      <c r="G15" s="1"/>
      <c r="H15" s="30"/>
      <c r="I15" s="30"/>
      <c r="J15" s="1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14">
        <v>20585.38</v>
      </c>
      <c r="C16" s="14">
        <v>20599.5</v>
      </c>
      <c r="D16" s="3" t="s">
        <v>37</v>
      </c>
      <c r="E16" s="1">
        <f>C16-B16</f>
        <v>14.119999999998981</v>
      </c>
      <c r="F16" s="1">
        <v>2</v>
      </c>
      <c r="G16" s="32">
        <f>ROUND(((848.826+20+($F16/2))/848.826+1)/2,4)</f>
        <v>1.0124</v>
      </c>
      <c r="H16" s="30"/>
      <c r="I16" s="30">
        <f aca="true" t="shared" si="1" ref="I16:I60">IF(G16=0,ROUND($E16*$F16,2),ROUND($E16*$F16*$G16,2))</f>
        <v>28.59</v>
      </c>
      <c r="J16" s="1"/>
      <c r="K16" s="30"/>
      <c r="L16" s="30"/>
      <c r="M16" s="30"/>
      <c r="N16" s="30"/>
      <c r="O16" s="30"/>
      <c r="P16" s="30"/>
      <c r="Q16" s="30"/>
      <c r="R16" s="30"/>
      <c r="S16" s="30"/>
      <c r="T16" s="6"/>
      <c r="U16" s="30">
        <f>ROUND((($I16)/9)*U$72,2)</f>
        <v>1.27</v>
      </c>
      <c r="V16" s="30"/>
      <c r="W16" s="30"/>
      <c r="X16" s="30"/>
      <c r="Y16" s="30">
        <f>ROUND($I16*(Y$72)/Y$74,2)</f>
        <v>0.01</v>
      </c>
      <c r="Z16" s="30">
        <f>ROUND(($I16*(Z$72/12))/27,2)</f>
        <v>0.18</v>
      </c>
      <c r="AA16" s="30">
        <f aca="true" t="shared" si="2" ref="AA16:AA39">ROUND($I16/9,2)</f>
        <v>3.18</v>
      </c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14">
        <f>C16</f>
        <v>20599.5</v>
      </c>
      <c r="C17" s="14">
        <v>20700</v>
      </c>
      <c r="D17" s="3" t="s">
        <v>37</v>
      </c>
      <c r="E17" s="1">
        <f>C17-B17</f>
        <v>100.5</v>
      </c>
      <c r="F17" s="1">
        <v>2</v>
      </c>
      <c r="G17" s="1"/>
      <c r="H17" s="30"/>
      <c r="I17" s="30">
        <f t="shared" si="1"/>
        <v>201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/>
      <c r="U17" s="30">
        <f>ROUND((($I17)/9)*U$72,2)</f>
        <v>8.93</v>
      </c>
      <c r="V17" s="30"/>
      <c r="W17" s="30"/>
      <c r="X17" s="30"/>
      <c r="Y17" s="30">
        <f>ROUND($I17*(Y$72)/Y$74,2)</f>
        <v>0.06</v>
      </c>
      <c r="Z17" s="30">
        <f>ROUND(($I17*(Z$72/12))/27,2)</f>
        <v>1.24</v>
      </c>
      <c r="AA17" s="30">
        <f t="shared" si="2"/>
        <v>22.33</v>
      </c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27">
        <f>C17</f>
        <v>20700</v>
      </c>
      <c r="C18" s="14">
        <v>20726.23</v>
      </c>
      <c r="D18" s="3" t="s">
        <v>37</v>
      </c>
      <c r="E18" s="1">
        <f>C18-B18</f>
        <v>26.229999999999563</v>
      </c>
      <c r="F18" s="1">
        <f>AVERAGE(5,2)</f>
        <v>3.5</v>
      </c>
      <c r="G18" s="32"/>
      <c r="H18" s="30"/>
      <c r="I18" s="30">
        <f t="shared" si="1"/>
        <v>91.8</v>
      </c>
      <c r="J18" s="1"/>
      <c r="K18" s="30"/>
      <c r="L18" s="30"/>
      <c r="M18" s="30"/>
      <c r="N18" s="30"/>
      <c r="O18" s="30"/>
      <c r="P18" s="30"/>
      <c r="Q18" s="30"/>
      <c r="R18" s="30"/>
      <c r="S18" s="30"/>
      <c r="T18" s="6"/>
      <c r="U18" s="30">
        <f>ROUND((($I18)/9)*U$72,2)</f>
        <v>4.08</v>
      </c>
      <c r="V18" s="30"/>
      <c r="W18" s="30"/>
      <c r="X18" s="30"/>
      <c r="Y18" s="30">
        <f>ROUND($I18*(Y$72)/Y$74,2)</f>
        <v>0.03</v>
      </c>
      <c r="Z18" s="30">
        <f>ROUND(($I18*(Z$72/12))/27,2)</f>
        <v>0.57</v>
      </c>
      <c r="AA18" s="30">
        <f t="shared" si="2"/>
        <v>10.2</v>
      </c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/>
      <c r="C19" s="14"/>
      <c r="D19" s="3"/>
      <c r="E19" s="1"/>
      <c r="F19" s="1"/>
      <c r="G19" s="1"/>
      <c r="H19" s="30"/>
      <c r="I19" s="30"/>
      <c r="J19" s="1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v>21307.52</v>
      </c>
      <c r="C20" s="14">
        <v>21358.8</v>
      </c>
      <c r="D20" s="3" t="s">
        <v>37</v>
      </c>
      <c r="E20" s="1">
        <f>C20-B20</f>
        <v>51.279999999998836</v>
      </c>
      <c r="F20" s="1">
        <v>5</v>
      </c>
      <c r="G20" s="32">
        <f>ROUND((741.197+20+($F20/2))/741.197,4)</f>
        <v>1.0304</v>
      </c>
      <c r="H20" s="30"/>
      <c r="I20" s="30">
        <f t="shared" si="1"/>
        <v>264.19</v>
      </c>
      <c r="J20" s="1"/>
      <c r="K20" s="30"/>
      <c r="L20" s="30"/>
      <c r="M20" s="30"/>
      <c r="N20" s="30"/>
      <c r="O20" s="30"/>
      <c r="P20" s="30"/>
      <c r="Q20" s="30"/>
      <c r="R20" s="30"/>
      <c r="S20" s="30"/>
      <c r="T20" s="6"/>
      <c r="U20" s="30">
        <f>ROUND((($I20)/9)*U$72,2)</f>
        <v>11.74</v>
      </c>
      <c r="V20" s="30"/>
      <c r="W20" s="30"/>
      <c r="X20" s="30"/>
      <c r="Y20" s="30">
        <f>ROUND($I20*(Y$72)/Y$74,2)</f>
        <v>0.08</v>
      </c>
      <c r="Z20" s="30">
        <f>ROUND(($I20*(Z$72/12))/27,2)</f>
        <v>1.63</v>
      </c>
      <c r="AA20" s="30">
        <f t="shared" si="2"/>
        <v>29.35</v>
      </c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>
        <f>C20</f>
        <v>21358.8</v>
      </c>
      <c r="C21" s="14">
        <v>21400</v>
      </c>
      <c r="D21" s="3" t="s">
        <v>37</v>
      </c>
      <c r="E21" s="1">
        <f>C21-B21</f>
        <v>41.20000000000073</v>
      </c>
      <c r="F21" s="1">
        <v>5</v>
      </c>
      <c r="G21" s="32">
        <f>ROUND(((741.197+20+($F21/2))/741.197+1)/2,4)</f>
        <v>1.0152</v>
      </c>
      <c r="H21" s="30"/>
      <c r="I21" s="30">
        <f t="shared" si="1"/>
        <v>209.13</v>
      </c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/>
      <c r="U21" s="30">
        <f>ROUND((($I21)/9)*U$72,2)</f>
        <v>9.29</v>
      </c>
      <c r="V21" s="30"/>
      <c r="W21" s="30"/>
      <c r="X21" s="30"/>
      <c r="Y21" s="30">
        <f>ROUND($I21*(Y$72)/Y$74,2)</f>
        <v>0.06</v>
      </c>
      <c r="Z21" s="30">
        <f>ROUND(($I21*(Z$72/12))/27,2)</f>
        <v>1.29</v>
      </c>
      <c r="AA21" s="30">
        <f t="shared" si="2"/>
        <v>23.24</v>
      </c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14">
        <f>C21</f>
        <v>21400</v>
      </c>
      <c r="C22" s="14">
        <v>21450</v>
      </c>
      <c r="D22" s="3" t="s">
        <v>37</v>
      </c>
      <c r="E22" s="1">
        <f>C22-B22</f>
        <v>50</v>
      </c>
      <c r="F22" s="1">
        <v>5</v>
      </c>
      <c r="G22" s="32">
        <f>ROUND(((741.197+20+($F22/2))/741.197+1)/2,4)</f>
        <v>1.0152</v>
      </c>
      <c r="H22" s="30"/>
      <c r="I22" s="30">
        <f t="shared" si="1"/>
        <v>253.8</v>
      </c>
      <c r="J22" s="1"/>
      <c r="K22" s="30"/>
      <c r="L22" s="30"/>
      <c r="M22" s="30"/>
      <c r="N22" s="30"/>
      <c r="O22" s="30"/>
      <c r="P22" s="30"/>
      <c r="Q22" s="30"/>
      <c r="R22" s="30"/>
      <c r="S22" s="30"/>
      <c r="T22" s="6"/>
      <c r="U22" s="30">
        <f>ROUND((($I22)/9)*U$72,2)</f>
        <v>11.28</v>
      </c>
      <c r="V22" s="30"/>
      <c r="W22" s="30"/>
      <c r="X22" s="30"/>
      <c r="Y22" s="30">
        <f>ROUND($I22*(Y$72)/Y$74,2)</f>
        <v>0.08</v>
      </c>
      <c r="Z22" s="30">
        <f>ROUND(($I22*(Z$72/12))/27,2)</f>
        <v>1.57</v>
      </c>
      <c r="AA22" s="30">
        <f t="shared" si="2"/>
        <v>28.2</v>
      </c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14">
        <f>C22</f>
        <v>21450</v>
      </c>
      <c r="C23" s="14">
        <v>21490</v>
      </c>
      <c r="D23" s="3" t="s">
        <v>37</v>
      </c>
      <c r="E23" s="1">
        <f>C23-B23</f>
        <v>40</v>
      </c>
      <c r="F23" s="1">
        <v>2</v>
      </c>
      <c r="G23" s="32">
        <f>ROUND(((741.197+20+($F23/2))/741.197+1)/2,4)</f>
        <v>1.0142</v>
      </c>
      <c r="H23" s="30"/>
      <c r="I23" s="30">
        <f t="shared" si="1"/>
        <v>81.14</v>
      </c>
      <c r="J23" s="1"/>
      <c r="K23" s="30"/>
      <c r="L23" s="30"/>
      <c r="M23" s="30"/>
      <c r="N23" s="30"/>
      <c r="O23" s="30"/>
      <c r="P23" s="30"/>
      <c r="Q23" s="30"/>
      <c r="R23" s="30"/>
      <c r="S23" s="30"/>
      <c r="T23" s="6"/>
      <c r="U23" s="30">
        <f>ROUND((($I23)/9)*U$72,2)</f>
        <v>3.61</v>
      </c>
      <c r="V23" s="30"/>
      <c r="W23" s="30"/>
      <c r="X23" s="30"/>
      <c r="Y23" s="30">
        <f>ROUND($I23*(Y$72)/Y$74,2)</f>
        <v>0.02</v>
      </c>
      <c r="Z23" s="30">
        <f>ROUND(($I23*(Z$72/12))/27,2)</f>
        <v>0.5</v>
      </c>
      <c r="AA23" s="30">
        <f t="shared" si="2"/>
        <v>9.02</v>
      </c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/>
      <c r="C24" s="14"/>
      <c r="D24" s="3"/>
      <c r="E24" s="1"/>
      <c r="F24" s="1"/>
      <c r="G24" s="1"/>
      <c r="H24" s="30"/>
      <c r="I24" s="30"/>
      <c r="J24" s="1"/>
      <c r="K24" s="30"/>
      <c r="L24" s="30"/>
      <c r="M24" s="30"/>
      <c r="N24" s="30"/>
      <c r="O24" s="30"/>
      <c r="P24" s="30"/>
      <c r="Q24" s="30"/>
      <c r="R24" s="30"/>
      <c r="S24" s="30"/>
      <c r="T24" s="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33" t="s">
        <v>50</v>
      </c>
      <c r="C25" s="14"/>
      <c r="D25" s="3"/>
      <c r="E25" s="1"/>
      <c r="F25" s="1"/>
      <c r="G25" s="1"/>
      <c r="H25" s="30"/>
      <c r="I25" s="30"/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14">
        <v>40501.68</v>
      </c>
      <c r="C26" s="14">
        <v>40551.67</v>
      </c>
      <c r="D26" s="3" t="s">
        <v>41</v>
      </c>
      <c r="E26" s="1">
        <f>C26-B26</f>
        <v>49.98999999999796</v>
      </c>
      <c r="F26" s="1">
        <v>2</v>
      </c>
      <c r="G26" s="32">
        <f>ROUND(((487.624-((8+6)/2)-($F26/2))/487.624+1)/2,4)</f>
        <v>0.9918</v>
      </c>
      <c r="H26" s="30"/>
      <c r="I26" s="30">
        <f>IF(G26=0,ROUND($E26*$F26,2),ROUND($E26*$F26*$G26,2))</f>
        <v>99.16</v>
      </c>
      <c r="J26" s="1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30">
        <f>ROUND((($I26)/9)*U$72,2)</f>
        <v>4.41</v>
      </c>
      <c r="V26" s="30"/>
      <c r="W26" s="30"/>
      <c r="X26" s="30"/>
      <c r="Y26" s="30">
        <f>ROUND($I26*(Y$72)/Y$74,2)</f>
        <v>0.03</v>
      </c>
      <c r="Z26" s="30">
        <f>ROUND(($I26*(Z$72/12))/27,2)</f>
        <v>0.61</v>
      </c>
      <c r="AA26" s="30">
        <f t="shared" si="2"/>
        <v>11.02</v>
      </c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14">
        <f>C26</f>
        <v>40551.67</v>
      </c>
      <c r="C27" s="14">
        <v>40701.68</v>
      </c>
      <c r="D27" s="3" t="s">
        <v>41</v>
      </c>
      <c r="E27" s="1">
        <f>C27-B27</f>
        <v>150.01000000000204</v>
      </c>
      <c r="F27" s="1">
        <v>2</v>
      </c>
      <c r="G27" s="32">
        <f>ROUND(((487.624-6-($F27/2))/487.624+1)/2,4)</f>
        <v>0.9928</v>
      </c>
      <c r="H27" s="30"/>
      <c r="I27" s="30">
        <f>IF(G27=0,ROUND($E27*$F27,2),ROUND($E27*$F27*$G27,2))</f>
        <v>297.86</v>
      </c>
      <c r="J27" s="1"/>
      <c r="K27" s="30"/>
      <c r="L27" s="30"/>
      <c r="M27" s="30"/>
      <c r="N27" s="30"/>
      <c r="O27" s="30"/>
      <c r="P27" s="30"/>
      <c r="Q27" s="30"/>
      <c r="R27" s="30"/>
      <c r="S27" s="30"/>
      <c r="T27" s="6"/>
      <c r="U27" s="30">
        <f>ROUND((($I27)/9)*U$72,2)</f>
        <v>13.24</v>
      </c>
      <c r="V27" s="30"/>
      <c r="W27" s="30"/>
      <c r="X27" s="30"/>
      <c r="Y27" s="30">
        <f>ROUND($I27*(Y$72)/Y$74,2)</f>
        <v>0.09</v>
      </c>
      <c r="Z27" s="30">
        <f>ROUND(($I27*(Z$72/12))/27,2)</f>
        <v>1.84</v>
      </c>
      <c r="AA27" s="30">
        <f t="shared" si="2"/>
        <v>33.1</v>
      </c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14">
        <f>C27</f>
        <v>40701.68</v>
      </c>
      <c r="C28" s="14">
        <v>40850.17</v>
      </c>
      <c r="D28" s="3" t="s">
        <v>41</v>
      </c>
      <c r="E28" s="1">
        <f>C28-B28</f>
        <v>148.48999999999796</v>
      </c>
      <c r="F28" s="1">
        <v>2</v>
      </c>
      <c r="G28" s="32">
        <f>ROUND((487.624-6-($F28/2))/487.624,4)</f>
        <v>0.9856</v>
      </c>
      <c r="H28" s="30"/>
      <c r="I28" s="30">
        <f t="shared" si="1"/>
        <v>292.7</v>
      </c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/>
      <c r="U28" s="30">
        <f>ROUND((($I28)/9)*U$72,2)</f>
        <v>13.01</v>
      </c>
      <c r="V28" s="30"/>
      <c r="W28" s="30"/>
      <c r="X28" s="30"/>
      <c r="Y28" s="30">
        <f>ROUND($I28*(Y$72)/Y$74,2)</f>
        <v>0.09</v>
      </c>
      <c r="Z28" s="30">
        <f>ROUND(($I28*(Z$72/12))/27,2)</f>
        <v>1.81</v>
      </c>
      <c r="AA28" s="30">
        <f t="shared" si="2"/>
        <v>32.52</v>
      </c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>
        <f>C28</f>
        <v>40850.17</v>
      </c>
      <c r="C29" s="14">
        <v>40900</v>
      </c>
      <c r="D29" s="3" t="s">
        <v>41</v>
      </c>
      <c r="E29" s="1">
        <f>C29-B29</f>
        <v>49.830000000001746</v>
      </c>
      <c r="F29" s="1">
        <v>2</v>
      </c>
      <c r="G29" s="32">
        <f>ROUND((238.732-6-($F29/2))/238.732,4)</f>
        <v>0.9707</v>
      </c>
      <c r="H29" s="30"/>
      <c r="I29" s="30">
        <f t="shared" si="1"/>
        <v>96.74</v>
      </c>
      <c r="J29" s="1"/>
      <c r="K29" s="30"/>
      <c r="L29" s="30"/>
      <c r="M29" s="30"/>
      <c r="N29" s="30"/>
      <c r="O29" s="30"/>
      <c r="P29" s="30"/>
      <c r="Q29" s="30"/>
      <c r="R29" s="30"/>
      <c r="S29" s="30"/>
      <c r="T29" s="6"/>
      <c r="U29" s="30">
        <f>ROUND((($I29)/9)*U$72,2)</f>
        <v>4.3</v>
      </c>
      <c r="V29" s="30"/>
      <c r="W29" s="30"/>
      <c r="X29" s="30"/>
      <c r="Y29" s="30">
        <f>ROUND($I29*(Y$72)/Y$74,2)</f>
        <v>0.03</v>
      </c>
      <c r="Z29" s="30">
        <f>ROUND(($I29*(Z$72/12))/27,2)</f>
        <v>0.6</v>
      </c>
      <c r="AA29" s="30">
        <f t="shared" si="2"/>
        <v>10.75</v>
      </c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f>C29</f>
        <v>40900</v>
      </c>
      <c r="C30" s="14">
        <v>40932.36</v>
      </c>
      <c r="D30" s="3" t="s">
        <v>41</v>
      </c>
      <c r="E30" s="1">
        <f>C30-B30</f>
        <v>32.36000000000058</v>
      </c>
      <c r="F30" s="1">
        <f>AVERAGE(5,2)</f>
        <v>3.5</v>
      </c>
      <c r="G30" s="32">
        <f>ROUND((238.732-6-($F30/2))/238.732,4)</f>
        <v>0.9675</v>
      </c>
      <c r="H30" s="30"/>
      <c r="I30" s="30">
        <f t="shared" si="1"/>
        <v>109.58</v>
      </c>
      <c r="J30" s="1"/>
      <c r="K30" s="30"/>
      <c r="L30" s="30"/>
      <c r="M30" s="30"/>
      <c r="N30" s="30"/>
      <c r="O30" s="30"/>
      <c r="P30" s="30"/>
      <c r="Q30" s="30"/>
      <c r="R30" s="30"/>
      <c r="S30" s="30"/>
      <c r="T30" s="6"/>
      <c r="U30" s="30">
        <f>ROUND((($I30)/9)*U$72,2)</f>
        <v>4.87</v>
      </c>
      <c r="V30" s="30"/>
      <c r="W30" s="30"/>
      <c r="X30" s="30"/>
      <c r="Y30" s="30">
        <f>ROUND($I30*(Y$72)/Y$74,2)</f>
        <v>0.03</v>
      </c>
      <c r="Z30" s="30">
        <f>ROUND(($I30*(Z$72/12))/27,2)</f>
        <v>0.68</v>
      </c>
      <c r="AA30" s="30">
        <f t="shared" si="2"/>
        <v>12.18</v>
      </c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14"/>
      <c r="C31" s="14"/>
      <c r="D31" s="3"/>
      <c r="E31" s="1"/>
      <c r="F31" s="8"/>
      <c r="G31" s="1"/>
      <c r="H31" s="30"/>
      <c r="I31" s="30"/>
      <c r="J31" s="1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14">
        <v>40630.94</v>
      </c>
      <c r="C32" s="14">
        <v>40701.68</v>
      </c>
      <c r="D32" s="3" t="s">
        <v>37</v>
      </c>
      <c r="E32" s="1">
        <f aca="true" t="shared" si="3" ref="E32:E39">C32-B32</f>
        <v>70.73999999999796</v>
      </c>
      <c r="F32" s="1">
        <v>3</v>
      </c>
      <c r="G32" s="32">
        <f>ROUND(((487.624+19+($F32/2))/487.624+1)/2,4)</f>
        <v>1.021</v>
      </c>
      <c r="H32" s="30"/>
      <c r="I32" s="30">
        <f aca="true" t="shared" si="4" ref="I32:I39">IF(G32=0,ROUND($E32*$F32,2),ROUND($E32*$F32*$G32,2))</f>
        <v>216.68</v>
      </c>
      <c r="J32" s="1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30">
        <f aca="true" t="shared" si="5" ref="U32:U39">ROUND((($I32)/9)*U$72,2)</f>
        <v>9.63</v>
      </c>
      <c r="V32" s="30"/>
      <c r="W32" s="30"/>
      <c r="X32" s="30"/>
      <c r="Y32" s="30">
        <f aca="true" t="shared" si="6" ref="Y32:Y39">ROUND($I32*(Y$72)/Y$74,2)</f>
        <v>0.07</v>
      </c>
      <c r="Z32" s="30">
        <f aca="true" t="shared" si="7" ref="Z32:Z39">ROUND(($I32*(Z$72/12))/27,2)</f>
        <v>1.34</v>
      </c>
      <c r="AA32" s="30">
        <f t="shared" si="2"/>
        <v>24.08</v>
      </c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14">
        <f aca="true" t="shared" si="8" ref="B33:B39">C32</f>
        <v>40701.68</v>
      </c>
      <c r="C33" s="14">
        <v>40850.17</v>
      </c>
      <c r="D33" s="3" t="s">
        <v>37</v>
      </c>
      <c r="E33" s="1">
        <f t="shared" si="3"/>
        <v>148.48999999999796</v>
      </c>
      <c r="F33" s="1">
        <v>3</v>
      </c>
      <c r="G33" s="32">
        <f>ROUND((487.624+19+($F33/2))/487.624,4)</f>
        <v>1.042</v>
      </c>
      <c r="H33" s="30"/>
      <c r="I33" s="30">
        <f t="shared" si="4"/>
        <v>464.18</v>
      </c>
      <c r="J33" s="1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30">
        <f t="shared" si="5"/>
        <v>20.63</v>
      </c>
      <c r="V33" s="30"/>
      <c r="W33" s="30"/>
      <c r="X33" s="30"/>
      <c r="Y33" s="30">
        <f t="shared" si="6"/>
        <v>0.14</v>
      </c>
      <c r="Z33" s="30">
        <f t="shared" si="7"/>
        <v>2.87</v>
      </c>
      <c r="AA33" s="30">
        <f t="shared" si="2"/>
        <v>51.58</v>
      </c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>
        <f t="shared" si="8"/>
        <v>40850.17</v>
      </c>
      <c r="C34" s="14">
        <v>41100</v>
      </c>
      <c r="D34" s="3" t="s">
        <v>37</v>
      </c>
      <c r="E34" s="1">
        <f t="shared" si="3"/>
        <v>249.83000000000175</v>
      </c>
      <c r="F34" s="1">
        <v>3</v>
      </c>
      <c r="G34" s="32">
        <f>ROUND((238.732+19+($F34/2))/238.732,4)</f>
        <v>1.0859</v>
      </c>
      <c r="H34" s="30"/>
      <c r="I34" s="30">
        <f t="shared" si="4"/>
        <v>813.87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/>
      <c r="U34" s="30">
        <f t="shared" si="5"/>
        <v>36.17</v>
      </c>
      <c r="V34" s="30"/>
      <c r="W34" s="30"/>
      <c r="X34" s="30"/>
      <c r="Y34" s="30">
        <f t="shared" si="6"/>
        <v>0.24</v>
      </c>
      <c r="Z34" s="30">
        <f t="shared" si="7"/>
        <v>5.02</v>
      </c>
      <c r="AA34" s="30">
        <f t="shared" si="2"/>
        <v>90.43</v>
      </c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27">
        <f t="shared" si="8"/>
        <v>41100</v>
      </c>
      <c r="C35" s="14">
        <v>41150</v>
      </c>
      <c r="D35" s="3" t="s">
        <v>37</v>
      </c>
      <c r="E35" s="1">
        <f t="shared" si="3"/>
        <v>50</v>
      </c>
      <c r="F35" s="1">
        <f>AVERAGE(5,3)</f>
        <v>4</v>
      </c>
      <c r="G35" s="32">
        <f>ROUND((238.732+19+($F35/2))/238.732,4)</f>
        <v>1.088</v>
      </c>
      <c r="H35" s="30"/>
      <c r="I35" s="30">
        <f t="shared" si="4"/>
        <v>217.6</v>
      </c>
      <c r="J35" s="1"/>
      <c r="K35" s="30"/>
      <c r="L35" s="30"/>
      <c r="M35" s="30"/>
      <c r="N35" s="30"/>
      <c r="O35" s="30"/>
      <c r="P35" s="30"/>
      <c r="Q35" s="30"/>
      <c r="R35" s="30"/>
      <c r="S35" s="30"/>
      <c r="T35" s="6"/>
      <c r="U35" s="30">
        <f t="shared" si="5"/>
        <v>9.67</v>
      </c>
      <c r="V35" s="30"/>
      <c r="W35" s="30"/>
      <c r="X35" s="30"/>
      <c r="Y35" s="30">
        <f t="shared" si="6"/>
        <v>0.07</v>
      </c>
      <c r="Z35" s="30">
        <f t="shared" si="7"/>
        <v>1.34</v>
      </c>
      <c r="AA35" s="30">
        <f t="shared" si="2"/>
        <v>24.18</v>
      </c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>
        <f t="shared" si="8"/>
        <v>41150</v>
      </c>
      <c r="C36" s="14">
        <v>41562.45</v>
      </c>
      <c r="D36" s="3" t="s">
        <v>37</v>
      </c>
      <c r="E36" s="1">
        <f t="shared" si="3"/>
        <v>412.4499999999971</v>
      </c>
      <c r="F36" s="1">
        <v>5</v>
      </c>
      <c r="G36" s="32">
        <f>ROUND((238.732+19+($F36/2))/238.732,4)</f>
        <v>1.0901</v>
      </c>
      <c r="H36" s="30"/>
      <c r="I36" s="30">
        <f t="shared" si="4"/>
        <v>2248.06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/>
      <c r="U36" s="30">
        <f t="shared" si="5"/>
        <v>99.91</v>
      </c>
      <c r="V36" s="30"/>
      <c r="W36" s="30"/>
      <c r="X36" s="30"/>
      <c r="Y36" s="30">
        <f t="shared" si="6"/>
        <v>0.67</v>
      </c>
      <c r="Z36" s="30">
        <f t="shared" si="7"/>
        <v>13.88</v>
      </c>
      <c r="AA36" s="30">
        <f t="shared" si="2"/>
        <v>249.78</v>
      </c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>
        <f t="shared" si="8"/>
        <v>41562.45</v>
      </c>
      <c r="C37" s="14">
        <v>41600</v>
      </c>
      <c r="D37" s="3" t="s">
        <v>37</v>
      </c>
      <c r="E37" s="1">
        <f t="shared" si="3"/>
        <v>37.55000000000291</v>
      </c>
      <c r="F37" s="1">
        <f>AVERAGE(5,3)</f>
        <v>4</v>
      </c>
      <c r="G37" s="32">
        <f>ROUND((((238.732+19+($F37/2))/238.732)+((4583.662+19+($F37/2))/4583.662))/2,4)</f>
        <v>1.0463</v>
      </c>
      <c r="H37" s="30"/>
      <c r="I37" s="30">
        <f t="shared" si="4"/>
        <v>157.15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6"/>
      <c r="U37" s="30">
        <f t="shared" si="5"/>
        <v>6.98</v>
      </c>
      <c r="V37" s="30"/>
      <c r="W37" s="30"/>
      <c r="X37" s="30"/>
      <c r="Y37" s="30">
        <f t="shared" si="6"/>
        <v>0.05</v>
      </c>
      <c r="Z37" s="30">
        <f t="shared" si="7"/>
        <v>0.97</v>
      </c>
      <c r="AA37" s="30">
        <f t="shared" si="2"/>
        <v>17.46</v>
      </c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14">
        <f t="shared" si="8"/>
        <v>41600</v>
      </c>
      <c r="C38" s="14">
        <v>41762.45</v>
      </c>
      <c r="D38" s="3" t="s">
        <v>37</v>
      </c>
      <c r="E38" s="1">
        <f t="shared" si="3"/>
        <v>162.4499999999971</v>
      </c>
      <c r="F38" s="1">
        <v>3</v>
      </c>
      <c r="G38" s="32">
        <f>ROUND((((238.732+19+($F38/2))/238.732)+((4583.662+19+($F38/2))/4583.662))/2,4)</f>
        <v>1.0452</v>
      </c>
      <c r="H38" s="30"/>
      <c r="I38" s="30">
        <f t="shared" si="4"/>
        <v>509.38</v>
      </c>
      <c r="J38" s="1"/>
      <c r="K38" s="56"/>
      <c r="L38" s="30"/>
      <c r="M38" s="30"/>
      <c r="N38" s="30"/>
      <c r="O38" s="30"/>
      <c r="P38" s="30"/>
      <c r="Q38" s="56"/>
      <c r="R38" s="30"/>
      <c r="S38" s="30"/>
      <c r="T38" s="6"/>
      <c r="U38" s="30">
        <f t="shared" si="5"/>
        <v>22.64</v>
      </c>
      <c r="V38" s="30"/>
      <c r="W38" s="30"/>
      <c r="X38" s="30"/>
      <c r="Y38" s="30">
        <f t="shared" si="6"/>
        <v>0.15</v>
      </c>
      <c r="Z38" s="30">
        <f t="shared" si="7"/>
        <v>3.14</v>
      </c>
      <c r="AA38" s="30">
        <f t="shared" si="2"/>
        <v>56.6</v>
      </c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27">
        <f t="shared" si="8"/>
        <v>41762.45</v>
      </c>
      <c r="C39" s="14">
        <v>41856.14</v>
      </c>
      <c r="D39" s="3" t="s">
        <v>37</v>
      </c>
      <c r="E39" s="1">
        <f t="shared" si="3"/>
        <v>93.69000000000233</v>
      </c>
      <c r="F39" s="1">
        <v>3</v>
      </c>
      <c r="G39" s="32">
        <f>ROUND((4583.662+19+($F39/2))/4583.662,4)</f>
        <v>1.0045</v>
      </c>
      <c r="H39" s="30"/>
      <c r="I39" s="30">
        <f t="shared" si="4"/>
        <v>282.33</v>
      </c>
      <c r="J39" s="1"/>
      <c r="K39" s="56"/>
      <c r="L39" s="30"/>
      <c r="M39" s="30"/>
      <c r="N39" s="30"/>
      <c r="O39" s="30"/>
      <c r="P39" s="30"/>
      <c r="Q39" s="56"/>
      <c r="R39" s="30"/>
      <c r="S39" s="30"/>
      <c r="T39" s="6"/>
      <c r="U39" s="30">
        <f t="shared" si="5"/>
        <v>12.55</v>
      </c>
      <c r="V39" s="30"/>
      <c r="W39" s="30"/>
      <c r="X39" s="30"/>
      <c r="Y39" s="30">
        <f t="shared" si="6"/>
        <v>0.08</v>
      </c>
      <c r="Z39" s="30">
        <f t="shared" si="7"/>
        <v>1.74</v>
      </c>
      <c r="AA39" s="30">
        <f t="shared" si="2"/>
        <v>31.37</v>
      </c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14"/>
      <c r="C40" s="14"/>
      <c r="D40" s="3"/>
      <c r="E40" s="1"/>
      <c r="F40" s="1"/>
      <c r="G40" s="1"/>
      <c r="H40" s="30"/>
      <c r="I40" s="30"/>
      <c r="J40" s="1"/>
      <c r="K40" s="30"/>
      <c r="L40" s="30"/>
      <c r="M40" s="30"/>
      <c r="N40" s="30"/>
      <c r="O40" s="30"/>
      <c r="P40" s="30"/>
      <c r="Q40" s="30"/>
      <c r="R40" s="30"/>
      <c r="S40" s="30"/>
      <c r="T40" s="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33" t="s">
        <v>87</v>
      </c>
      <c r="C41" s="14"/>
      <c r="D41" s="3"/>
      <c r="E41" s="1"/>
      <c r="F41" s="8"/>
      <c r="G41" s="1"/>
      <c r="H41" s="30"/>
      <c r="I41" s="30"/>
      <c r="J41" s="1"/>
      <c r="K41" s="30"/>
      <c r="L41" s="30"/>
      <c r="M41" s="30"/>
      <c r="N41" s="30"/>
      <c r="O41" s="30"/>
      <c r="P41" s="30"/>
      <c r="Q41" s="30"/>
      <c r="R41" s="30"/>
      <c r="S41" s="30"/>
      <c r="T41" s="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14">
        <v>30140.65</v>
      </c>
      <c r="C42" s="14">
        <v>30530.56</v>
      </c>
      <c r="D42" s="3" t="s">
        <v>41</v>
      </c>
      <c r="E42" s="1">
        <f>C42-B42</f>
        <v>389.90999999999985</v>
      </c>
      <c r="F42" s="1">
        <v>5</v>
      </c>
      <c r="G42" s="1"/>
      <c r="H42" s="30"/>
      <c r="I42" s="30">
        <f t="shared" si="1"/>
        <v>1949.55</v>
      </c>
      <c r="J42" s="1"/>
      <c r="K42" s="30"/>
      <c r="L42" s="30"/>
      <c r="M42" s="30"/>
      <c r="N42" s="30"/>
      <c r="O42" s="30"/>
      <c r="P42" s="30"/>
      <c r="Q42" s="30"/>
      <c r="R42" s="30"/>
      <c r="S42" s="30"/>
      <c r="T42" s="6"/>
      <c r="U42" s="30">
        <f>ROUND((($I42)/9)*U$72,2)</f>
        <v>86.65</v>
      </c>
      <c r="V42" s="30"/>
      <c r="W42" s="30"/>
      <c r="X42" s="30"/>
      <c r="Y42" s="30">
        <f>ROUND($I42*(Y$72)/Y$74,2)</f>
        <v>0.58</v>
      </c>
      <c r="Z42" s="30">
        <f>ROUND(($I42*(Z$72/12))/27,2)</f>
        <v>12.03</v>
      </c>
      <c r="AA42" s="30">
        <f aca="true" t="shared" si="9" ref="AA42:AA60">ROUND($I42/9,2)</f>
        <v>216.62</v>
      </c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14">
        <f>C42</f>
        <v>30530.56</v>
      </c>
      <c r="C43" s="14">
        <v>30545.16</v>
      </c>
      <c r="D43" s="3" t="s">
        <v>41</v>
      </c>
      <c r="E43" s="1">
        <f>C43-B43</f>
        <v>14.599999999998545</v>
      </c>
      <c r="F43" s="1">
        <v>5</v>
      </c>
      <c r="G43" s="32">
        <f>ROUND(((477.458-((4+3.963)/2)-($F43/2))/477.458+1)/2,4)</f>
        <v>0.9932</v>
      </c>
      <c r="H43" s="30"/>
      <c r="I43" s="30">
        <f t="shared" si="1"/>
        <v>72.5</v>
      </c>
      <c r="J43" s="1"/>
      <c r="K43" s="56"/>
      <c r="L43" s="30"/>
      <c r="M43" s="30"/>
      <c r="N43" s="30"/>
      <c r="O43" s="30"/>
      <c r="P43" s="30"/>
      <c r="Q43" s="56"/>
      <c r="R43" s="30"/>
      <c r="S43" s="30"/>
      <c r="T43" s="6"/>
      <c r="U43" s="30">
        <f>ROUND((($I43)/9)*U$72,2)</f>
        <v>3.22</v>
      </c>
      <c r="V43" s="30"/>
      <c r="W43" s="30"/>
      <c r="X43" s="30"/>
      <c r="Y43" s="30">
        <f>ROUND($I43*(Y$72)/Y$74,2)</f>
        <v>0.02</v>
      </c>
      <c r="Z43" s="30">
        <f>ROUND(($I43*(Z$72/12))/27,2)</f>
        <v>0.45</v>
      </c>
      <c r="AA43" s="30">
        <f t="shared" si="9"/>
        <v>8.06</v>
      </c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14"/>
      <c r="C44" s="14"/>
      <c r="D44" s="3"/>
      <c r="E44" s="1"/>
      <c r="F44" s="1"/>
      <c r="G44" s="1"/>
      <c r="H44" s="30"/>
      <c r="I44" s="30"/>
      <c r="J44" s="1"/>
      <c r="K44" s="56"/>
      <c r="L44" s="30"/>
      <c r="M44" s="30"/>
      <c r="N44" s="30"/>
      <c r="O44" s="30"/>
      <c r="P44" s="30"/>
      <c r="Q44" s="30"/>
      <c r="R44" s="30"/>
      <c r="S44" s="30"/>
      <c r="T44" s="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>
        <v>1516.41</v>
      </c>
      <c r="C45" s="14">
        <v>1700</v>
      </c>
      <c r="D45" s="3" t="s">
        <v>41</v>
      </c>
      <c r="E45" s="1">
        <f>C45-B45</f>
        <v>183.58999999999992</v>
      </c>
      <c r="F45" s="1">
        <v>5</v>
      </c>
      <c r="G45" s="32">
        <f>ROUND(((848.826+4+($F45/2))/848.826+1)/2,4)</f>
        <v>1.0038</v>
      </c>
      <c r="H45" s="30"/>
      <c r="I45" s="30">
        <f t="shared" si="1"/>
        <v>921.44</v>
      </c>
      <c r="J45" s="1"/>
      <c r="K45" s="30"/>
      <c r="L45" s="30"/>
      <c r="M45" s="30"/>
      <c r="N45" s="30"/>
      <c r="O45" s="30"/>
      <c r="P45" s="30"/>
      <c r="Q45" s="30"/>
      <c r="R45" s="30"/>
      <c r="S45" s="30"/>
      <c r="T45" s="6"/>
      <c r="U45" s="30">
        <f>ROUND((($I45)/9)*U$72,2)</f>
        <v>40.95</v>
      </c>
      <c r="V45" s="30"/>
      <c r="W45" s="30"/>
      <c r="X45" s="30"/>
      <c r="Y45" s="30">
        <f>ROUND($I45*(Y$72)/Y$74,2)</f>
        <v>0.28</v>
      </c>
      <c r="Z45" s="30">
        <f>ROUND(($I45*(Z$72/12))/27,2)</f>
        <v>5.69</v>
      </c>
      <c r="AA45" s="30">
        <f t="shared" si="9"/>
        <v>102.38</v>
      </c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14">
        <f>C45</f>
        <v>1700</v>
      </c>
      <c r="C46" s="14">
        <v>1750</v>
      </c>
      <c r="D46" s="3" t="s">
        <v>41</v>
      </c>
      <c r="E46" s="1">
        <f>C46-B46</f>
        <v>50</v>
      </c>
      <c r="F46" s="1">
        <f>AVERAGE(5,2)</f>
        <v>3.5</v>
      </c>
      <c r="G46" s="32">
        <f>ROUND(((848.826+4+($F46/2))/848.826+1)/2,4)</f>
        <v>1.0034</v>
      </c>
      <c r="H46" s="30"/>
      <c r="I46" s="30">
        <f t="shared" si="1"/>
        <v>175.6</v>
      </c>
      <c r="J46" s="1"/>
      <c r="K46" s="30"/>
      <c r="L46" s="30"/>
      <c r="M46" s="30"/>
      <c r="N46" s="30"/>
      <c r="O46" s="30"/>
      <c r="P46" s="30"/>
      <c r="Q46" s="30"/>
      <c r="R46" s="30"/>
      <c r="S46" s="30"/>
      <c r="T46" s="6"/>
      <c r="U46" s="30">
        <f>ROUND((($I46)/9)*U$72,2)</f>
        <v>7.8</v>
      </c>
      <c r="V46" s="30"/>
      <c r="W46" s="30"/>
      <c r="X46" s="30"/>
      <c r="Y46" s="30">
        <f>ROUND($I46*(Y$72)/Y$74,2)</f>
        <v>0.05</v>
      </c>
      <c r="Z46" s="30">
        <f>ROUND(($I46*(Z$72/12))/27,2)</f>
        <v>1.08</v>
      </c>
      <c r="AA46" s="30">
        <f t="shared" si="9"/>
        <v>19.51</v>
      </c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14">
        <f>C46</f>
        <v>1750</v>
      </c>
      <c r="C47" s="14">
        <v>1962.73</v>
      </c>
      <c r="D47" s="3" t="s">
        <v>41</v>
      </c>
      <c r="E47" s="1">
        <f>C47-B47</f>
        <v>212.73000000000002</v>
      </c>
      <c r="F47" s="1">
        <v>2</v>
      </c>
      <c r="G47" s="32">
        <f>ROUND(((848.826+4+($F47/2))/848.826+1)/2,4)</f>
        <v>1.0029</v>
      </c>
      <c r="H47" s="30"/>
      <c r="I47" s="30">
        <f t="shared" si="1"/>
        <v>426.69</v>
      </c>
      <c r="J47" s="1"/>
      <c r="K47" s="30"/>
      <c r="L47" s="30"/>
      <c r="M47" s="30"/>
      <c r="N47" s="30"/>
      <c r="O47" s="30"/>
      <c r="P47" s="30"/>
      <c r="Q47" s="30"/>
      <c r="R47" s="30"/>
      <c r="S47" s="30"/>
      <c r="T47" s="6"/>
      <c r="U47" s="30">
        <f>ROUND((($I47)/9)*U$72,2)</f>
        <v>18.96</v>
      </c>
      <c r="V47" s="30"/>
      <c r="W47" s="30"/>
      <c r="X47" s="30"/>
      <c r="Y47" s="30">
        <f>ROUND($I47*(Y$72)/Y$74,2)</f>
        <v>0.13</v>
      </c>
      <c r="Z47" s="30">
        <f>ROUND(($I47*(Z$72/12))/27,2)</f>
        <v>2.63</v>
      </c>
      <c r="AA47" s="30">
        <f t="shared" si="9"/>
        <v>47.41</v>
      </c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14">
        <f>C47</f>
        <v>1962.73</v>
      </c>
      <c r="C48" s="14">
        <v>2239.81</v>
      </c>
      <c r="D48" s="3" t="s">
        <v>41</v>
      </c>
      <c r="E48" s="1">
        <f>C48-B48</f>
        <v>277.0799999999999</v>
      </c>
      <c r="F48" s="1">
        <v>2</v>
      </c>
      <c r="G48" s="32">
        <f>ROUND((848.826+4+($F48/2))/848.826,4)</f>
        <v>1.0059</v>
      </c>
      <c r="H48" s="30"/>
      <c r="I48" s="30">
        <f t="shared" si="1"/>
        <v>557.43</v>
      </c>
      <c r="J48" s="1"/>
      <c r="K48" s="30"/>
      <c r="L48" s="30"/>
      <c r="M48" s="30"/>
      <c r="N48" s="30"/>
      <c r="O48" s="30"/>
      <c r="P48" s="30"/>
      <c r="Q48" s="30"/>
      <c r="R48" s="30"/>
      <c r="S48" s="30"/>
      <c r="T48" s="6"/>
      <c r="U48" s="30">
        <f>ROUND((($I48)/9)*U$72,2)</f>
        <v>24.77</v>
      </c>
      <c r="V48" s="30"/>
      <c r="W48" s="30"/>
      <c r="X48" s="30"/>
      <c r="Y48" s="30">
        <f>ROUND($I48*(Y$72)/Y$74,2)</f>
        <v>0.17</v>
      </c>
      <c r="Z48" s="30">
        <f>ROUND(($I48*(Z$72/12))/27,2)</f>
        <v>3.44</v>
      </c>
      <c r="AA48" s="30">
        <f t="shared" si="9"/>
        <v>61.94</v>
      </c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27">
        <f>C48</f>
        <v>2239.81</v>
      </c>
      <c r="C49" s="14">
        <v>2318.83</v>
      </c>
      <c r="D49" s="3" t="s">
        <v>41</v>
      </c>
      <c r="E49" s="1">
        <f>C49-B49</f>
        <v>79.01999999999998</v>
      </c>
      <c r="F49" s="1">
        <v>2</v>
      </c>
      <c r="G49" s="32">
        <f>ROUND(((848.826+4+($F49/2))/848.826+1)/2,4)</f>
        <v>1.0029</v>
      </c>
      <c r="H49" s="30"/>
      <c r="I49" s="30">
        <f t="shared" si="1"/>
        <v>158.5</v>
      </c>
      <c r="J49" s="1"/>
      <c r="K49" s="30"/>
      <c r="L49" s="30"/>
      <c r="M49" s="30"/>
      <c r="N49" s="30"/>
      <c r="O49" s="30"/>
      <c r="P49" s="30"/>
      <c r="Q49" s="30"/>
      <c r="R49" s="30"/>
      <c r="S49" s="30"/>
      <c r="T49" s="6"/>
      <c r="U49" s="30">
        <f>ROUND((($I49)/9)*U$72,2)</f>
        <v>7.04</v>
      </c>
      <c r="V49" s="30"/>
      <c r="W49" s="30"/>
      <c r="X49" s="30"/>
      <c r="Y49" s="30">
        <f>ROUND($I49*(Y$72)/Y$74,2)</f>
        <v>0.05</v>
      </c>
      <c r="Z49" s="30">
        <f>ROUND(($I49*(Z$72/12))/27,2)</f>
        <v>0.98</v>
      </c>
      <c r="AA49" s="30">
        <f t="shared" si="9"/>
        <v>17.61</v>
      </c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14"/>
      <c r="C50" s="14"/>
      <c r="D50" s="3"/>
      <c r="E50" s="1"/>
      <c r="F50" s="1"/>
      <c r="G50" s="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14">
        <v>30099.84</v>
      </c>
      <c r="C51" s="14">
        <v>30431.85</v>
      </c>
      <c r="D51" s="3" t="s">
        <v>41</v>
      </c>
      <c r="E51" s="1">
        <f>C51-B51</f>
        <v>332.0099999999984</v>
      </c>
      <c r="F51" s="1">
        <v>5</v>
      </c>
      <c r="G51" s="1"/>
      <c r="H51" s="30"/>
      <c r="I51" s="30">
        <f t="shared" si="1"/>
        <v>1660.05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/>
      <c r="U51" s="30">
        <f>ROUND((($I51)/9)*U$72,2)</f>
        <v>73.78</v>
      </c>
      <c r="V51" s="30"/>
      <c r="W51" s="30"/>
      <c r="X51" s="30"/>
      <c r="Y51" s="30">
        <f>ROUND($I51*(Y$72)/Y$74,2)</f>
        <v>0.5</v>
      </c>
      <c r="Z51" s="30">
        <f>ROUND(($I51*(Z$72/12))/27,2)</f>
        <v>10.25</v>
      </c>
      <c r="AA51" s="30">
        <f t="shared" si="9"/>
        <v>184.45</v>
      </c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75"/>
      <c r="C52" s="75"/>
      <c r="D52" s="3"/>
      <c r="E52" s="1"/>
      <c r="F52" s="8"/>
      <c r="G52" s="1"/>
      <c r="H52" s="30"/>
      <c r="I52" s="30"/>
      <c r="J52" s="1"/>
      <c r="K52" s="30"/>
      <c r="L52" s="30"/>
      <c r="M52" s="30"/>
      <c r="N52" s="30"/>
      <c r="O52" s="30"/>
      <c r="P52" s="30"/>
      <c r="Q52" s="30"/>
      <c r="R52" s="30"/>
      <c r="S52" s="30"/>
      <c r="T52" s="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33" t="s">
        <v>78</v>
      </c>
      <c r="C53" s="75"/>
      <c r="D53" s="3"/>
      <c r="E53" s="1"/>
      <c r="F53" s="1"/>
      <c r="G53" s="1"/>
      <c r="H53" s="30"/>
      <c r="I53" s="30"/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14">
        <v>58123.51</v>
      </c>
      <c r="C54" s="14">
        <v>58250</v>
      </c>
      <c r="D54" s="3" t="s">
        <v>41</v>
      </c>
      <c r="E54" s="1">
        <f>C54-B54</f>
        <v>126.48999999999796</v>
      </c>
      <c r="F54" s="1">
        <v>2</v>
      </c>
      <c r="G54" s="1"/>
      <c r="H54" s="30"/>
      <c r="I54" s="30">
        <f t="shared" si="1"/>
        <v>252.98</v>
      </c>
      <c r="J54" s="1"/>
      <c r="K54" s="30"/>
      <c r="L54" s="30"/>
      <c r="M54" s="30"/>
      <c r="N54" s="30"/>
      <c r="O54" s="30"/>
      <c r="P54" s="30"/>
      <c r="Q54" s="30"/>
      <c r="R54" s="30"/>
      <c r="S54" s="30"/>
      <c r="T54" s="6"/>
      <c r="U54" s="30">
        <f>ROUND((($I54)/9)*U$72,2)</f>
        <v>11.24</v>
      </c>
      <c r="V54" s="30"/>
      <c r="W54" s="30"/>
      <c r="X54" s="30"/>
      <c r="Y54" s="30">
        <f>ROUND($I54*(Y$72)/Y$74,2)</f>
        <v>0.08</v>
      </c>
      <c r="Z54" s="30">
        <f>ROUND(($I54*(Z$72/12))/27,2)</f>
        <v>1.56</v>
      </c>
      <c r="AA54" s="30">
        <f t="shared" si="9"/>
        <v>28.11</v>
      </c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>
        <f>C54</f>
        <v>58250</v>
      </c>
      <c r="C55" s="14">
        <v>58300</v>
      </c>
      <c r="D55" s="3" t="s">
        <v>41</v>
      </c>
      <c r="E55" s="1">
        <f>C55-B55</f>
        <v>50</v>
      </c>
      <c r="F55" s="1">
        <f>AVERAGE(5,2)</f>
        <v>3.5</v>
      </c>
      <c r="G55" s="1"/>
      <c r="H55" s="30"/>
      <c r="I55" s="30">
        <f t="shared" si="1"/>
        <v>175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/>
      <c r="U55" s="30">
        <f>ROUND((($I55)/9)*U$72,2)</f>
        <v>7.78</v>
      </c>
      <c r="V55" s="30"/>
      <c r="W55" s="30"/>
      <c r="X55" s="30"/>
      <c r="Y55" s="30">
        <f>ROUND($I55*(Y$72)/Y$74,2)</f>
        <v>0.05</v>
      </c>
      <c r="Z55" s="30">
        <f>ROUND(($I55*(Z$72/12))/27,2)</f>
        <v>1.08</v>
      </c>
      <c r="AA55" s="30">
        <f t="shared" si="9"/>
        <v>19.44</v>
      </c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14">
        <f>C55</f>
        <v>58300</v>
      </c>
      <c r="C56" s="14">
        <v>58316.4</v>
      </c>
      <c r="D56" s="3" t="s">
        <v>41</v>
      </c>
      <c r="E56" s="1">
        <f>C56-B56</f>
        <v>16.400000000001455</v>
      </c>
      <c r="F56" s="1">
        <v>5</v>
      </c>
      <c r="G56" s="1"/>
      <c r="H56" s="30"/>
      <c r="I56" s="30">
        <f t="shared" si="1"/>
        <v>82</v>
      </c>
      <c r="J56" s="1"/>
      <c r="K56" s="30"/>
      <c r="L56" s="30"/>
      <c r="M56" s="30"/>
      <c r="N56" s="30"/>
      <c r="O56" s="30"/>
      <c r="P56" s="30"/>
      <c r="Q56" s="30"/>
      <c r="R56" s="30"/>
      <c r="S56" s="30"/>
      <c r="T56" s="6"/>
      <c r="U56" s="30">
        <f>ROUND((($I56)/9)*U$72,2)</f>
        <v>3.64</v>
      </c>
      <c r="V56" s="30"/>
      <c r="W56" s="30"/>
      <c r="X56" s="30"/>
      <c r="Y56" s="30">
        <f>ROUND($I56*(Y$72)/Y$74,2)</f>
        <v>0.02</v>
      </c>
      <c r="Z56" s="30">
        <f>ROUND(($I56*(Z$72/12))/27,2)</f>
        <v>0.51</v>
      </c>
      <c r="AA56" s="30">
        <f t="shared" si="9"/>
        <v>9.11</v>
      </c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14">
        <f>C56</f>
        <v>58316.4</v>
      </c>
      <c r="C57" s="14">
        <v>58364.85</v>
      </c>
      <c r="D57" s="3" t="s">
        <v>41</v>
      </c>
      <c r="E57" s="1">
        <f>C57-B57</f>
        <v>48.44999999999709</v>
      </c>
      <c r="F57" s="1">
        <v>5</v>
      </c>
      <c r="G57" s="32">
        <f>ROUND(((1432.394+20+($F57/2))/1432.394+1)/2,4)</f>
        <v>1.0079</v>
      </c>
      <c r="H57" s="30"/>
      <c r="I57" s="30">
        <f t="shared" si="1"/>
        <v>244.16</v>
      </c>
      <c r="J57" s="30"/>
      <c r="K57" s="54"/>
      <c r="L57" s="30"/>
      <c r="M57" s="30"/>
      <c r="N57" s="30"/>
      <c r="O57" s="30"/>
      <c r="P57" s="30"/>
      <c r="Q57" s="30"/>
      <c r="R57" s="30"/>
      <c r="S57" s="30"/>
      <c r="T57" s="6"/>
      <c r="U57" s="30">
        <f>ROUND((($I57)/9)*U$72,2)</f>
        <v>10.85</v>
      </c>
      <c r="V57" s="30"/>
      <c r="W57" s="30"/>
      <c r="X57" s="30"/>
      <c r="Y57" s="30">
        <f>ROUND($I57*(Y$72)/Y$74,2)</f>
        <v>0.07</v>
      </c>
      <c r="Z57" s="30">
        <f>ROUND(($I57*(Z$72/12))/27,2)</f>
        <v>1.51</v>
      </c>
      <c r="AA57" s="30">
        <f t="shared" si="9"/>
        <v>27.13</v>
      </c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/>
      <c r="C58" s="14"/>
      <c r="D58" s="3"/>
      <c r="E58" s="1"/>
      <c r="F58" s="1"/>
      <c r="G58" s="1"/>
      <c r="H58" s="30"/>
      <c r="I58" s="30"/>
      <c r="J58" s="1"/>
      <c r="K58" s="30"/>
      <c r="L58" s="30"/>
      <c r="M58" s="30"/>
      <c r="N58" s="30"/>
      <c r="O58" s="30"/>
      <c r="P58" s="30"/>
      <c r="Q58" s="30"/>
      <c r="R58" s="30"/>
      <c r="S58" s="30"/>
      <c r="T58" s="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14">
        <v>59172.95</v>
      </c>
      <c r="C59" s="14">
        <v>59200</v>
      </c>
      <c r="D59" s="3" t="s">
        <v>41</v>
      </c>
      <c r="E59" s="1">
        <f>C59-B59</f>
        <v>27.05000000000291</v>
      </c>
      <c r="F59" s="1">
        <f>AVERAGE(5,2)</f>
        <v>3.5</v>
      </c>
      <c r="G59" s="32">
        <f>ROUND((1432.394+20+($F59/2))/1432.394,4)</f>
        <v>1.0152</v>
      </c>
      <c r="H59" s="30"/>
      <c r="I59" s="30">
        <f t="shared" si="1"/>
        <v>96.11</v>
      </c>
      <c r="J59" s="1"/>
      <c r="K59" s="30"/>
      <c r="L59" s="30"/>
      <c r="M59" s="30"/>
      <c r="N59" s="30"/>
      <c r="O59" s="30"/>
      <c r="P59" s="30"/>
      <c r="Q59" s="30"/>
      <c r="R59" s="30"/>
      <c r="S59" s="30"/>
      <c r="T59" s="6"/>
      <c r="U59" s="30">
        <f>ROUND((($I59)/9)*U$72,2)</f>
        <v>4.27</v>
      </c>
      <c r="V59" s="30"/>
      <c r="W59" s="30"/>
      <c r="X59" s="30"/>
      <c r="Y59" s="30">
        <f>ROUND($I59*(Y$72)/Y$74,2)</f>
        <v>0.03</v>
      </c>
      <c r="Z59" s="30">
        <f>ROUND(($I59*(Z$72/12))/27,2)</f>
        <v>0.59</v>
      </c>
      <c r="AA59" s="30">
        <f t="shared" si="9"/>
        <v>10.68</v>
      </c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14">
        <f>C59</f>
        <v>59200</v>
      </c>
      <c r="C60" s="14">
        <v>59297.65</v>
      </c>
      <c r="D60" s="3" t="s">
        <v>41</v>
      </c>
      <c r="E60" s="1">
        <f>C60-B60</f>
        <v>97.65000000000146</v>
      </c>
      <c r="F60" s="1">
        <v>2</v>
      </c>
      <c r="G60" s="32">
        <f>ROUND((1432.394+20+($F60/2))/1432.394,4)</f>
        <v>1.0147</v>
      </c>
      <c r="H60" s="30"/>
      <c r="I60" s="30">
        <f t="shared" si="1"/>
        <v>198.17</v>
      </c>
      <c r="J60" s="1"/>
      <c r="K60" s="56"/>
      <c r="L60" s="30"/>
      <c r="M60" s="30"/>
      <c r="N60" s="30"/>
      <c r="O60" s="30"/>
      <c r="P60" s="30"/>
      <c r="Q60" s="56"/>
      <c r="R60" s="30"/>
      <c r="S60" s="30"/>
      <c r="T60" s="6"/>
      <c r="U60" s="30">
        <f>ROUND((($I60)/9)*U$72,2)</f>
        <v>8.81</v>
      </c>
      <c r="V60" s="30"/>
      <c r="W60" s="30"/>
      <c r="X60" s="30"/>
      <c r="Y60" s="30">
        <f>ROUND($I60*(Y$72)/Y$74,2)</f>
        <v>0.06</v>
      </c>
      <c r="Z60" s="30">
        <f>ROUND(($I60*(Z$72/12))/27,2)</f>
        <v>1.22</v>
      </c>
      <c r="AA60" s="30">
        <f t="shared" si="9"/>
        <v>22.02</v>
      </c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27"/>
      <c r="C61" s="28"/>
      <c r="D61" s="3"/>
      <c r="E61" s="1"/>
      <c r="F61" s="1"/>
      <c r="G61" s="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/>
      <c r="C62" s="14"/>
      <c r="D62" s="3"/>
      <c r="E62" s="1"/>
      <c r="F62" s="1"/>
      <c r="G62" s="32"/>
      <c r="H62" s="30"/>
      <c r="I62" s="30"/>
      <c r="J62" s="1"/>
      <c r="K62" s="30"/>
      <c r="L62" s="30"/>
      <c r="M62" s="30"/>
      <c r="N62" s="30"/>
      <c r="O62" s="30"/>
      <c r="P62" s="30"/>
      <c r="Q62" s="30"/>
      <c r="R62" s="30"/>
      <c r="S62" s="30"/>
      <c r="T62" s="6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27"/>
      <c r="C63" s="14"/>
      <c r="D63" s="3"/>
      <c r="E63" s="1"/>
      <c r="F63" s="1"/>
      <c r="G63" s="32"/>
      <c r="H63" s="30"/>
      <c r="I63" s="30"/>
      <c r="J63" s="1"/>
      <c r="K63" s="30"/>
      <c r="L63" s="30"/>
      <c r="M63" s="30"/>
      <c r="N63" s="30"/>
      <c r="O63" s="30"/>
      <c r="P63" s="30"/>
      <c r="Q63" s="30"/>
      <c r="R63" s="30"/>
      <c r="S63" s="30"/>
      <c r="T63" s="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14"/>
      <c r="C64" s="14"/>
      <c r="D64" s="3"/>
      <c r="E64" s="1"/>
      <c r="F64" s="1"/>
      <c r="G64" s="32"/>
      <c r="H64" s="30"/>
      <c r="I64" s="30"/>
      <c r="J64" s="1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14"/>
      <c r="C65" s="14"/>
      <c r="D65" s="3"/>
      <c r="E65" s="1"/>
      <c r="F65" s="1"/>
      <c r="G65" s="32"/>
      <c r="H65" s="30"/>
      <c r="I65" s="30"/>
      <c r="J65" s="1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>IF(SUM(R13:R66)=0," ",ROUNDUP(SUM(R13:R66),0))</f>
        <v> </v>
      </c>
      <c r="S67" s="125" t="str">
        <f aca="true" t="shared" si="10" ref="S67:AD67">IF(SUM(S13:S66)=0," ",ROUNDUP(SUM(S13:S66),0))</f>
        <v> </v>
      </c>
      <c r="T67" s="125" t="str">
        <f t="shared" si="10"/>
        <v> </v>
      </c>
      <c r="U67" s="125">
        <f t="shared" si="10"/>
        <v>618</v>
      </c>
      <c r="V67" s="125" t="str">
        <f t="shared" si="10"/>
        <v> </v>
      </c>
      <c r="W67" s="125" t="str">
        <f t="shared" si="10"/>
        <v> </v>
      </c>
      <c r="X67" s="125" t="str">
        <f t="shared" si="10"/>
        <v> </v>
      </c>
      <c r="Y67" s="125">
        <f t="shared" si="10"/>
        <v>5</v>
      </c>
      <c r="Z67" s="125">
        <f t="shared" si="10"/>
        <v>86</v>
      </c>
      <c r="AA67" s="125">
        <f t="shared" si="10"/>
        <v>1546</v>
      </c>
      <c r="AB67" s="125" t="str">
        <f t="shared" si="10"/>
        <v> </v>
      </c>
      <c r="AC67" s="125" t="str">
        <f t="shared" si="10"/>
        <v> </v>
      </c>
      <c r="AD67" s="125" t="str">
        <f t="shared" si="10"/>
        <v> </v>
      </c>
      <c r="AE67" s="125" t="str">
        <f>IF(SUM(AE13:AE66)=0," ",ROUNDUP(SUM(AE13:AE66),0))</f>
        <v> </v>
      </c>
      <c r="AF67" s="145">
        <v>12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79">
        <v>0.4</v>
      </c>
      <c r="V72" s="79">
        <f>2/12</f>
        <v>0.16666666666666666</v>
      </c>
      <c r="W72" s="78"/>
      <c r="X72" s="59"/>
      <c r="Y72" s="58">
        <v>0.3</v>
      </c>
      <c r="Z72" s="58">
        <v>2</v>
      </c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60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42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>
        <v>1000</v>
      </c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1">
    <mergeCell ref="Q3:Q11"/>
    <mergeCell ref="P3:P11"/>
    <mergeCell ref="O3:O11"/>
    <mergeCell ref="N3:N11"/>
    <mergeCell ref="M3:M11"/>
    <mergeCell ref="L3:L11"/>
    <mergeCell ref="AB67:AB68"/>
    <mergeCell ref="AC67:AC68"/>
    <mergeCell ref="AD67:AD68"/>
    <mergeCell ref="AE67:AE68"/>
    <mergeCell ref="AF67:AG67"/>
    <mergeCell ref="AF68:AG68"/>
    <mergeCell ref="X67:X68"/>
    <mergeCell ref="Y67:Y68"/>
    <mergeCell ref="Z67:Z68"/>
    <mergeCell ref="AA67:AA68"/>
    <mergeCell ref="B67:Q68"/>
    <mergeCell ref="R67:R68"/>
    <mergeCell ref="S67:S68"/>
    <mergeCell ref="T67:T68"/>
    <mergeCell ref="U67:U68"/>
    <mergeCell ref="V67:V68"/>
    <mergeCell ref="X4:X11"/>
    <mergeCell ref="Y4:Y11"/>
    <mergeCell ref="Z4:Z11"/>
    <mergeCell ref="B3:C11"/>
    <mergeCell ref="D3:D11"/>
    <mergeCell ref="V4:V11"/>
    <mergeCell ref="W4:W11"/>
    <mergeCell ref="E3:E11"/>
    <mergeCell ref="F3:F11"/>
    <mergeCell ref="K3:K11"/>
    <mergeCell ref="AF51:AG66"/>
    <mergeCell ref="AC4:AC11"/>
    <mergeCell ref="AD4:AD11"/>
    <mergeCell ref="AE4:AE11"/>
    <mergeCell ref="AF6:AG50"/>
    <mergeCell ref="AA4:AA11"/>
    <mergeCell ref="AB4:AB11"/>
    <mergeCell ref="AF3:AF5"/>
    <mergeCell ref="AG3:AG5"/>
    <mergeCell ref="G3:G11"/>
    <mergeCell ref="I3:I11"/>
    <mergeCell ref="H3:H11"/>
    <mergeCell ref="W67:W68"/>
    <mergeCell ref="R4:R11"/>
    <mergeCell ref="S4:S11"/>
    <mergeCell ref="T4:T11"/>
    <mergeCell ref="U4:U11"/>
    <mergeCell ref="B14:I14"/>
    <mergeCell ref="J3:J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V15" sqref="V15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/>
      <c r="U3" s="50">
        <v>408</v>
      </c>
      <c r="V3" s="76"/>
      <c r="W3" s="50"/>
      <c r="X3" s="51"/>
      <c r="Y3" s="80">
        <v>617</v>
      </c>
      <c r="Z3" s="80">
        <v>617</v>
      </c>
      <c r="AA3" s="80">
        <v>617</v>
      </c>
      <c r="AB3" s="51"/>
      <c r="AC3" s="51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/>
      <c r="U4" s="99" t="s">
        <v>110</v>
      </c>
      <c r="V4" s="147"/>
      <c r="W4" s="99"/>
      <c r="X4" s="102"/>
      <c r="Y4" s="147" t="s">
        <v>80</v>
      </c>
      <c r="Z4" s="147" t="s">
        <v>81</v>
      </c>
      <c r="AA4" s="147" t="s">
        <v>82</v>
      </c>
      <c r="AB4" s="102"/>
      <c r="AC4" s="102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3"/>
      <c r="Y5" s="148"/>
      <c r="Z5" s="148"/>
      <c r="AA5" s="148"/>
      <c r="AB5" s="103"/>
      <c r="AC5" s="103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3"/>
      <c r="Y6" s="148"/>
      <c r="Z6" s="148"/>
      <c r="AA6" s="148"/>
      <c r="AB6" s="103"/>
      <c r="AC6" s="103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3"/>
      <c r="Y7" s="148"/>
      <c r="Z7" s="148"/>
      <c r="AA7" s="148"/>
      <c r="AB7" s="103"/>
      <c r="AC7" s="103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3"/>
      <c r="Y8" s="148"/>
      <c r="Z8" s="148"/>
      <c r="AA8" s="148"/>
      <c r="AB8" s="103"/>
      <c r="AC8" s="103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3"/>
      <c r="Y9" s="148"/>
      <c r="Z9" s="148"/>
      <c r="AA9" s="148"/>
      <c r="AB9" s="103"/>
      <c r="AC9" s="103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3"/>
      <c r="Y10" s="148"/>
      <c r="Z10" s="148"/>
      <c r="AA10" s="148"/>
      <c r="AB10" s="103"/>
      <c r="AC10" s="103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4"/>
      <c r="Y11" s="149"/>
      <c r="Z11" s="149"/>
      <c r="AA11" s="149"/>
      <c r="AB11" s="104"/>
      <c r="AC11" s="104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/>
      <c r="U12" s="52" t="s">
        <v>35</v>
      </c>
      <c r="V12" s="77"/>
      <c r="W12" s="52"/>
      <c r="X12" s="25"/>
      <c r="Y12" s="12" t="s">
        <v>83</v>
      </c>
      <c r="Z12" s="12" t="s">
        <v>34</v>
      </c>
      <c r="AA12" s="12" t="s">
        <v>65</v>
      </c>
      <c r="AB12" s="25"/>
      <c r="AC12" s="25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90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78</v>
      </c>
      <c r="C15" s="14"/>
      <c r="D15" s="3"/>
      <c r="E15" s="1"/>
      <c r="F15" s="1"/>
      <c r="G15" s="1"/>
      <c r="H15" s="30"/>
      <c r="I15" s="30"/>
      <c r="J15" s="1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14">
        <v>59640.62</v>
      </c>
      <c r="C16" s="14">
        <v>59650</v>
      </c>
      <c r="D16" s="3" t="s">
        <v>41</v>
      </c>
      <c r="E16" s="1">
        <f>C16-B16</f>
        <v>9.37999999999738</v>
      </c>
      <c r="F16" s="1">
        <f>AVERAGE(5,2)</f>
        <v>3.5</v>
      </c>
      <c r="G16" s="32">
        <f>ROUND((716.197+((31.987+31.716)/2)+($F16/2))/716.197,4)</f>
        <v>1.0469</v>
      </c>
      <c r="H16" s="30"/>
      <c r="I16" s="30">
        <f>IF(G16=0,ROUND($E16*$F16,2),ROUND($E16*$F16*$G16,2))</f>
        <v>34.37</v>
      </c>
      <c r="J16" s="1"/>
      <c r="K16" s="30"/>
      <c r="L16" s="30"/>
      <c r="M16" s="30"/>
      <c r="N16" s="30"/>
      <c r="O16" s="30"/>
      <c r="P16" s="30"/>
      <c r="Q16" s="30"/>
      <c r="R16" s="30"/>
      <c r="S16" s="30"/>
      <c r="T16" s="6"/>
      <c r="U16" s="30">
        <f>ROUND((($I16)/9)*U$72,2)</f>
        <v>1.53</v>
      </c>
      <c r="V16" s="30"/>
      <c r="W16" s="30"/>
      <c r="X16" s="30"/>
      <c r="Y16" s="30">
        <f>ROUND($I16*(Y$72)/Y$74,2)</f>
        <v>0.01</v>
      </c>
      <c r="Z16" s="30">
        <f>ROUND(($I16*(Z$72/12))/27,2)</f>
        <v>0.21</v>
      </c>
      <c r="AA16" s="30">
        <f>ROUND($I16/9,2)</f>
        <v>3.82</v>
      </c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27">
        <f>C16</f>
        <v>59650</v>
      </c>
      <c r="C17" s="14">
        <v>59938.22</v>
      </c>
      <c r="D17" s="3" t="s">
        <v>41</v>
      </c>
      <c r="E17" s="1">
        <f>C17-B17</f>
        <v>288.22000000000116</v>
      </c>
      <c r="F17" s="1">
        <v>2</v>
      </c>
      <c r="G17" s="32">
        <f>ROUND((716.197+((31.716+23.481)/2)+($F17/2))/716.197,4)</f>
        <v>1.0399</v>
      </c>
      <c r="H17" s="30"/>
      <c r="I17" s="30">
        <f>IF(G17=0,ROUND($E17*$F17,2),ROUND($E17*$F17*$G17,2))</f>
        <v>599.44</v>
      </c>
      <c r="J17" s="1"/>
      <c r="K17" s="30"/>
      <c r="L17" s="30"/>
      <c r="M17" s="30"/>
      <c r="N17" s="30"/>
      <c r="O17" s="30"/>
      <c r="P17" s="30"/>
      <c r="Q17" s="30"/>
      <c r="R17" s="30"/>
      <c r="S17" s="30"/>
      <c r="T17" s="6"/>
      <c r="U17" s="30">
        <f>ROUND((($I17)/9)*U$72,2)</f>
        <v>26.64</v>
      </c>
      <c r="V17" s="30"/>
      <c r="W17" s="30"/>
      <c r="X17" s="30"/>
      <c r="Y17" s="30">
        <f>ROUND($I17*(Y$72)/Y$74,2)</f>
        <v>0.18</v>
      </c>
      <c r="Z17" s="30">
        <f>ROUND(($I17*(Z$72/12))/27,2)</f>
        <v>3.7</v>
      </c>
      <c r="AA17" s="30">
        <f>ROUND($I17/9,2)</f>
        <v>66.6</v>
      </c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14">
        <f>C17</f>
        <v>59938.22</v>
      </c>
      <c r="C18" s="14">
        <v>60060</v>
      </c>
      <c r="D18" s="3" t="s">
        <v>41</v>
      </c>
      <c r="E18" s="1">
        <f>C18-B18</f>
        <v>121.77999999999884</v>
      </c>
      <c r="F18" s="1">
        <v>2</v>
      </c>
      <c r="G18" s="32">
        <f>ROUND((1432.394+((23.481+20)/2)+($F18/2))/1432.394,4)</f>
        <v>1.0159</v>
      </c>
      <c r="H18" s="30"/>
      <c r="I18" s="30">
        <f>IF(G18=0,ROUND($E18*$F18,2),ROUND($E18*$F18*$G18,2))</f>
        <v>247.43</v>
      </c>
      <c r="J18" s="1"/>
      <c r="K18" s="30"/>
      <c r="L18" s="30"/>
      <c r="M18" s="30"/>
      <c r="N18" s="30"/>
      <c r="O18" s="30"/>
      <c r="P18" s="30"/>
      <c r="Q18" s="30"/>
      <c r="R18" s="30"/>
      <c r="S18" s="30"/>
      <c r="T18" s="6"/>
      <c r="U18" s="30">
        <f>ROUND((($I18)/9)*U$72,2)</f>
        <v>11</v>
      </c>
      <c r="V18" s="30"/>
      <c r="W18" s="30"/>
      <c r="X18" s="30"/>
      <c r="Y18" s="30">
        <f>ROUND($I18*(Y$72)/Y$74,2)</f>
        <v>0.07</v>
      </c>
      <c r="Z18" s="30">
        <f>ROUND(($I18*(Z$72/12))/27,2)</f>
        <v>1.53</v>
      </c>
      <c r="AA18" s="30">
        <f>ROUND($I18/9,2)</f>
        <v>27.49</v>
      </c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>
        <f>C18</f>
        <v>60060</v>
      </c>
      <c r="C19" s="14">
        <v>60064.14</v>
      </c>
      <c r="D19" s="3" t="s">
        <v>41</v>
      </c>
      <c r="E19" s="1">
        <f>C19-B19</f>
        <v>4.139999999999418</v>
      </c>
      <c r="F19" s="1">
        <v>2</v>
      </c>
      <c r="G19" s="32">
        <f>ROUND((1432.394+20+($F19/2))/1432.394,4)</f>
        <v>1.0147</v>
      </c>
      <c r="H19" s="30"/>
      <c r="I19" s="30">
        <f>IF(G19=0,ROUND($E19*$F19,2),ROUND($E19*$F19*$G19,2))</f>
        <v>8.4</v>
      </c>
      <c r="J19" s="1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30">
        <f>ROUND((($I19)/9)*U$72,2)</f>
        <v>0.37</v>
      </c>
      <c r="V19" s="30"/>
      <c r="W19" s="30"/>
      <c r="X19" s="30"/>
      <c r="Y19" s="30">
        <f>ROUND($I19*(Y$72)/Y$74,2)</f>
        <v>0</v>
      </c>
      <c r="Z19" s="30">
        <f>ROUND(($I19*(Z$72/12))/27,2)</f>
        <v>0.05</v>
      </c>
      <c r="AA19" s="30">
        <f>ROUND($I19/9,2)</f>
        <v>0.93</v>
      </c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/>
      <c r="C20" s="14"/>
      <c r="D20" s="3"/>
      <c r="E20" s="1"/>
      <c r="F20" s="1"/>
      <c r="G20" s="1"/>
      <c r="H20" s="30"/>
      <c r="I20" s="30"/>
      <c r="J20" s="1"/>
      <c r="K20" s="30"/>
      <c r="L20" s="30"/>
      <c r="M20" s="30"/>
      <c r="N20" s="30"/>
      <c r="O20" s="30"/>
      <c r="P20" s="30"/>
      <c r="Q20" s="30"/>
      <c r="R20" s="30"/>
      <c r="S20" s="30"/>
      <c r="T20" s="6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>
        <v>58174.01</v>
      </c>
      <c r="C21" s="14">
        <v>58200</v>
      </c>
      <c r="D21" s="3" t="s">
        <v>37</v>
      </c>
      <c r="E21" s="1">
        <f>C21-B21</f>
        <v>25.989999999997963</v>
      </c>
      <c r="F21" s="1">
        <f>AVERAGE(0,2)</f>
        <v>1</v>
      </c>
      <c r="G21" s="1"/>
      <c r="H21" s="30"/>
      <c r="I21" s="30">
        <f>IF(G21=0,ROUND($E21*$F21,2),ROUND($E21*$F21*$G21,2))</f>
        <v>25.99</v>
      </c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/>
      <c r="U21" s="30">
        <f>ROUND((($I21)/9)*U$72,2)</f>
        <v>1.16</v>
      </c>
      <c r="V21" s="30"/>
      <c r="W21" s="30"/>
      <c r="X21" s="30"/>
      <c r="Y21" s="30">
        <f>ROUND($I21*(Y$72)/Y$74,2)</f>
        <v>0.01</v>
      </c>
      <c r="Z21" s="30">
        <f>ROUND(($I21*(Z$72/12))/27,2)</f>
        <v>0.16</v>
      </c>
      <c r="AA21" s="30">
        <f>ROUND($I21/9,2)</f>
        <v>2.89</v>
      </c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14">
        <v>58200</v>
      </c>
      <c r="C22" s="14">
        <v>58207.62</v>
      </c>
      <c r="D22" s="3" t="s">
        <v>37</v>
      </c>
      <c r="E22" s="1">
        <f>C22-B22</f>
        <v>7.620000000002619</v>
      </c>
      <c r="F22" s="1">
        <f>AVERAGE(5,2)</f>
        <v>3.5</v>
      </c>
      <c r="G22" s="1"/>
      <c r="H22" s="30"/>
      <c r="I22" s="30">
        <f>IF(G22=0,ROUND($E22*$F22,2),ROUND($E22*$F22*$G22,2))</f>
        <v>26.67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/>
      <c r="U22" s="30">
        <f>ROUND((($I22)/9)*U$72,2)</f>
        <v>1.19</v>
      </c>
      <c r="V22" s="30"/>
      <c r="W22" s="30"/>
      <c r="X22" s="30"/>
      <c r="Y22" s="30">
        <f>ROUND($I22*(Y$72)/Y$74,2)</f>
        <v>0.01</v>
      </c>
      <c r="Z22" s="30">
        <f>ROUND(($I22*(Z$72/12))/27,2)</f>
        <v>0.16</v>
      </c>
      <c r="AA22" s="30">
        <f>ROUND($I22/9,2)</f>
        <v>2.96</v>
      </c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14"/>
      <c r="C23" s="14"/>
      <c r="D23" s="3"/>
      <c r="E23" s="1"/>
      <c r="F23" s="1"/>
      <c r="G23" s="1"/>
      <c r="H23" s="30"/>
      <c r="I23" s="30"/>
      <c r="J23" s="1"/>
      <c r="K23" s="30"/>
      <c r="L23" s="30"/>
      <c r="M23" s="30"/>
      <c r="N23" s="30"/>
      <c r="O23" s="30"/>
      <c r="P23" s="30"/>
      <c r="Q23" s="30"/>
      <c r="R23" s="30"/>
      <c r="S23" s="30"/>
      <c r="T23" s="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33" t="s">
        <v>88</v>
      </c>
      <c r="C24" s="14"/>
      <c r="D24" s="3"/>
      <c r="E24" s="1"/>
      <c r="F24" s="1"/>
      <c r="G24" s="1"/>
      <c r="H24" s="30"/>
      <c r="I24" s="30"/>
      <c r="J24" s="1"/>
      <c r="K24" s="30"/>
      <c r="L24" s="30"/>
      <c r="M24" s="30"/>
      <c r="N24" s="30"/>
      <c r="O24" s="30"/>
      <c r="P24" s="30"/>
      <c r="Q24" s="30"/>
      <c r="R24" s="30"/>
      <c r="S24" s="30"/>
      <c r="T24" s="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14">
        <v>68294.89</v>
      </c>
      <c r="C25" s="14">
        <v>68318.39</v>
      </c>
      <c r="D25" s="3" t="s">
        <v>41</v>
      </c>
      <c r="E25" s="1">
        <f aca="true" t="shared" si="1" ref="E25:E32">C25-B25</f>
        <v>23.5</v>
      </c>
      <c r="F25" s="1">
        <v>3</v>
      </c>
      <c r="G25" s="32">
        <f>ROUND((2989.345+19+($F25/2))/2989.345,4)</f>
        <v>1.0069</v>
      </c>
      <c r="H25" s="30"/>
      <c r="I25" s="30">
        <f aca="true" t="shared" si="2" ref="I25:I39">IF(G25=0,ROUND($E25*$F25,2),ROUND($E25*$F25*$G25,2))</f>
        <v>70.99</v>
      </c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/>
      <c r="U25" s="30">
        <f aca="true" t="shared" si="3" ref="U25:U32">ROUND((($I25)/9)*U$72,2)</f>
        <v>3.16</v>
      </c>
      <c r="V25" s="30"/>
      <c r="W25" s="30"/>
      <c r="X25" s="30"/>
      <c r="Y25" s="30">
        <f aca="true" t="shared" si="4" ref="Y25:Y32">ROUND($I25*(Y$72)/Y$74,2)</f>
        <v>0.02</v>
      </c>
      <c r="Z25" s="30">
        <f aca="true" t="shared" si="5" ref="Z25:Z32">ROUND(($I25*(Z$72/12))/27,2)</f>
        <v>0.44</v>
      </c>
      <c r="AA25" s="30">
        <f aca="true" t="shared" si="6" ref="AA25:AA64">ROUND($I25/9,2)</f>
        <v>7.89</v>
      </c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14">
        <f aca="true" t="shared" si="7" ref="B26:B32">C25</f>
        <v>68318.39</v>
      </c>
      <c r="C26" s="14">
        <v>68450</v>
      </c>
      <c r="D26" s="3" t="s">
        <v>41</v>
      </c>
      <c r="E26" s="1">
        <f t="shared" si="1"/>
        <v>131.61000000000058</v>
      </c>
      <c r="F26" s="1">
        <v>3</v>
      </c>
      <c r="G26" s="32">
        <f>ROUND((((2989.345+19+($F26/2))/2989.345)+((238.732+19+($F26/2))/238.732))/2,4)</f>
        <v>1.0464</v>
      </c>
      <c r="H26" s="30"/>
      <c r="I26" s="30">
        <f t="shared" si="2"/>
        <v>413.15</v>
      </c>
      <c r="J26" s="1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30">
        <f t="shared" si="3"/>
        <v>18.36</v>
      </c>
      <c r="V26" s="30"/>
      <c r="W26" s="30"/>
      <c r="X26" s="30"/>
      <c r="Y26" s="30">
        <f t="shared" si="4"/>
        <v>0.12</v>
      </c>
      <c r="Z26" s="30">
        <f t="shared" si="5"/>
        <v>2.55</v>
      </c>
      <c r="AA26" s="30">
        <f t="shared" si="6"/>
        <v>45.91</v>
      </c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14">
        <f t="shared" si="7"/>
        <v>68450</v>
      </c>
      <c r="C27" s="14">
        <v>68500</v>
      </c>
      <c r="D27" s="3" t="s">
        <v>41</v>
      </c>
      <c r="E27" s="1">
        <f t="shared" si="1"/>
        <v>50</v>
      </c>
      <c r="F27" s="1">
        <f>AVERAGE(5,3)</f>
        <v>4</v>
      </c>
      <c r="G27" s="32">
        <f>ROUND((((2989.345+19+($F27/2))/2989.345)+((238.732+19+($F27/2))/238.732))/2,4)</f>
        <v>1.0475</v>
      </c>
      <c r="H27" s="30"/>
      <c r="I27" s="30">
        <f t="shared" si="2"/>
        <v>209.5</v>
      </c>
      <c r="J27" s="1"/>
      <c r="K27" s="30"/>
      <c r="L27" s="30"/>
      <c r="M27" s="30"/>
      <c r="N27" s="30"/>
      <c r="O27" s="30"/>
      <c r="P27" s="30"/>
      <c r="Q27" s="30"/>
      <c r="R27" s="30"/>
      <c r="S27" s="30"/>
      <c r="T27" s="6"/>
      <c r="U27" s="30">
        <f t="shared" si="3"/>
        <v>9.31</v>
      </c>
      <c r="V27" s="30"/>
      <c r="W27" s="30"/>
      <c r="X27" s="30"/>
      <c r="Y27" s="30">
        <f t="shared" si="4"/>
        <v>0.06</v>
      </c>
      <c r="Z27" s="30">
        <f t="shared" si="5"/>
        <v>1.29</v>
      </c>
      <c r="AA27" s="30">
        <f t="shared" si="6"/>
        <v>23.28</v>
      </c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27">
        <f t="shared" si="7"/>
        <v>68500</v>
      </c>
      <c r="C28" s="14">
        <v>68518.39</v>
      </c>
      <c r="D28" s="3" t="s">
        <v>41</v>
      </c>
      <c r="E28" s="1">
        <f t="shared" si="1"/>
        <v>18.389999999999418</v>
      </c>
      <c r="F28" s="1">
        <v>5</v>
      </c>
      <c r="G28" s="32">
        <f>ROUND((((2989.345+19+($F28/2))/2989.345)+((238.732+19+($F28/2))/238.732))/2,4)</f>
        <v>1.0486</v>
      </c>
      <c r="H28" s="30"/>
      <c r="I28" s="30">
        <f t="shared" si="2"/>
        <v>96.42</v>
      </c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/>
      <c r="U28" s="30">
        <f t="shared" si="3"/>
        <v>4.29</v>
      </c>
      <c r="V28" s="30"/>
      <c r="W28" s="30"/>
      <c r="X28" s="30"/>
      <c r="Y28" s="30">
        <f t="shared" si="4"/>
        <v>0.03</v>
      </c>
      <c r="Z28" s="30">
        <f t="shared" si="5"/>
        <v>0.6</v>
      </c>
      <c r="AA28" s="30">
        <f t="shared" si="6"/>
        <v>10.71</v>
      </c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>
        <f t="shared" si="7"/>
        <v>68518.39</v>
      </c>
      <c r="C29" s="14">
        <v>68600</v>
      </c>
      <c r="D29" s="3" t="s">
        <v>41</v>
      </c>
      <c r="E29" s="1">
        <f t="shared" si="1"/>
        <v>81.61000000000058</v>
      </c>
      <c r="F29" s="1">
        <v>5</v>
      </c>
      <c r="G29" s="32">
        <f>ROUND((238.732+19+($F29/2))/238.732,4)</f>
        <v>1.0901</v>
      </c>
      <c r="H29" s="30"/>
      <c r="I29" s="30">
        <f t="shared" si="2"/>
        <v>444.82</v>
      </c>
      <c r="J29" s="1"/>
      <c r="K29" s="30"/>
      <c r="L29" s="30"/>
      <c r="M29" s="30"/>
      <c r="N29" s="30"/>
      <c r="O29" s="30"/>
      <c r="P29" s="30"/>
      <c r="Q29" s="30"/>
      <c r="R29" s="30"/>
      <c r="S29" s="30"/>
      <c r="T29" s="6"/>
      <c r="U29" s="30">
        <f t="shared" si="3"/>
        <v>19.77</v>
      </c>
      <c r="V29" s="30"/>
      <c r="W29" s="30"/>
      <c r="X29" s="30"/>
      <c r="Y29" s="30">
        <f t="shared" si="4"/>
        <v>0.13</v>
      </c>
      <c r="Z29" s="30">
        <f t="shared" si="5"/>
        <v>2.75</v>
      </c>
      <c r="AA29" s="30">
        <f t="shared" si="6"/>
        <v>49.42</v>
      </c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f t="shared" si="7"/>
        <v>68600</v>
      </c>
      <c r="C30" s="14">
        <v>68650</v>
      </c>
      <c r="D30" s="3" t="s">
        <v>41</v>
      </c>
      <c r="E30" s="1">
        <f t="shared" si="1"/>
        <v>50</v>
      </c>
      <c r="F30" s="1">
        <f>AVERAGE(5,3)</f>
        <v>4</v>
      </c>
      <c r="G30" s="32">
        <f>ROUND((238.732+19+($F30/2))/238.732,4)</f>
        <v>1.088</v>
      </c>
      <c r="H30" s="30"/>
      <c r="I30" s="30">
        <f t="shared" si="2"/>
        <v>217.6</v>
      </c>
      <c r="J30" s="1"/>
      <c r="K30" s="30"/>
      <c r="L30" s="30"/>
      <c r="M30" s="30"/>
      <c r="N30" s="30"/>
      <c r="O30" s="30"/>
      <c r="P30" s="30"/>
      <c r="Q30" s="30"/>
      <c r="R30" s="30"/>
      <c r="S30" s="30"/>
      <c r="T30" s="6"/>
      <c r="U30" s="30">
        <f t="shared" si="3"/>
        <v>9.67</v>
      </c>
      <c r="V30" s="30"/>
      <c r="W30" s="30"/>
      <c r="X30" s="30"/>
      <c r="Y30" s="30">
        <f t="shared" si="4"/>
        <v>0.07</v>
      </c>
      <c r="Z30" s="30">
        <f t="shared" si="5"/>
        <v>1.34</v>
      </c>
      <c r="AA30" s="30">
        <f t="shared" si="6"/>
        <v>24.18</v>
      </c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14">
        <f t="shared" si="7"/>
        <v>68650</v>
      </c>
      <c r="C31" s="14">
        <v>69194.95</v>
      </c>
      <c r="D31" s="3" t="s">
        <v>41</v>
      </c>
      <c r="E31" s="1">
        <f t="shared" si="1"/>
        <v>544.9499999999971</v>
      </c>
      <c r="F31" s="1">
        <v>3</v>
      </c>
      <c r="G31" s="32">
        <f>ROUND((238.732+19+($F31/2))/238.732,4)</f>
        <v>1.0859</v>
      </c>
      <c r="H31" s="30"/>
      <c r="I31" s="30">
        <f t="shared" si="2"/>
        <v>1775.28</v>
      </c>
      <c r="J31" s="1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30">
        <f t="shared" si="3"/>
        <v>78.9</v>
      </c>
      <c r="V31" s="30"/>
      <c r="W31" s="30"/>
      <c r="X31" s="30"/>
      <c r="Y31" s="30">
        <f t="shared" si="4"/>
        <v>0.53</v>
      </c>
      <c r="Z31" s="30">
        <f t="shared" si="5"/>
        <v>10.96</v>
      </c>
      <c r="AA31" s="30">
        <f t="shared" si="6"/>
        <v>197.25</v>
      </c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75">
        <f t="shared" si="7"/>
        <v>69194.95</v>
      </c>
      <c r="C32" s="75">
        <v>69370.33</v>
      </c>
      <c r="D32" s="3" t="s">
        <v>41</v>
      </c>
      <c r="E32" s="1">
        <f t="shared" si="1"/>
        <v>175.38000000000466</v>
      </c>
      <c r="F32" s="1">
        <v>3</v>
      </c>
      <c r="G32" s="32">
        <f>ROUND(((238.732+19+($F32/2))/238.732+1)/2,4)</f>
        <v>1.0429</v>
      </c>
      <c r="H32" s="30"/>
      <c r="I32" s="30">
        <f t="shared" si="2"/>
        <v>548.71</v>
      </c>
      <c r="J32" s="1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30">
        <f t="shared" si="3"/>
        <v>24.39</v>
      </c>
      <c r="V32" s="30"/>
      <c r="W32" s="30"/>
      <c r="X32" s="30"/>
      <c r="Y32" s="30">
        <f t="shared" si="4"/>
        <v>0.16</v>
      </c>
      <c r="Z32" s="30">
        <f t="shared" si="5"/>
        <v>3.39</v>
      </c>
      <c r="AA32" s="30">
        <f t="shared" si="6"/>
        <v>60.97</v>
      </c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33"/>
      <c r="C33" s="75"/>
      <c r="D33" s="3"/>
      <c r="E33" s="1"/>
      <c r="F33" s="1"/>
      <c r="G33" s="1"/>
      <c r="H33" s="30"/>
      <c r="I33" s="30"/>
      <c r="J33" s="1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>
        <v>68421.24</v>
      </c>
      <c r="C34" s="14">
        <v>68518.39</v>
      </c>
      <c r="D34" s="3" t="s">
        <v>37</v>
      </c>
      <c r="E34" s="1">
        <f aca="true" t="shared" si="8" ref="E34:E39">C34-B34</f>
        <v>97.14999999999418</v>
      </c>
      <c r="F34" s="1">
        <v>5</v>
      </c>
      <c r="G34" s="32">
        <f>ROUND((((2989.345-6-($F34/2))/2989.345)+((238.732-6-($F34/2))/238.732))/2,4)</f>
        <v>0.9808</v>
      </c>
      <c r="H34" s="30"/>
      <c r="I34" s="30">
        <f t="shared" si="2"/>
        <v>476.42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/>
      <c r="U34" s="30">
        <f aca="true" t="shared" si="9" ref="U34:U39">ROUND((($I34)/9)*U$72,2)</f>
        <v>21.17</v>
      </c>
      <c r="V34" s="30"/>
      <c r="W34" s="30"/>
      <c r="X34" s="30"/>
      <c r="Y34" s="30">
        <f aca="true" t="shared" si="10" ref="Y34:Y39">ROUND($I34*(Y$72)/Y$74,2)</f>
        <v>0.14</v>
      </c>
      <c r="Z34" s="30">
        <f aca="true" t="shared" si="11" ref="Z34:Z39">ROUND(($I34*(Z$72/12))/27,2)</f>
        <v>2.94</v>
      </c>
      <c r="AA34" s="30">
        <f t="shared" si="6"/>
        <v>52.94</v>
      </c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4">
        <f>C34</f>
        <v>68518.39</v>
      </c>
      <c r="C35" s="14">
        <v>68950</v>
      </c>
      <c r="D35" s="3" t="s">
        <v>37</v>
      </c>
      <c r="E35" s="1">
        <f t="shared" si="8"/>
        <v>431.6100000000006</v>
      </c>
      <c r="F35" s="1">
        <v>5</v>
      </c>
      <c r="G35" s="32">
        <f>ROUND((238.732-6-($F35/2))/238.732,4)</f>
        <v>0.9644</v>
      </c>
      <c r="H35" s="30"/>
      <c r="I35" s="30">
        <f t="shared" si="2"/>
        <v>2081.22</v>
      </c>
      <c r="J35" s="1"/>
      <c r="K35" s="30"/>
      <c r="L35" s="30"/>
      <c r="M35" s="30"/>
      <c r="N35" s="30"/>
      <c r="O35" s="30"/>
      <c r="P35" s="30"/>
      <c r="Q35" s="30"/>
      <c r="R35" s="30"/>
      <c r="S35" s="30"/>
      <c r="T35" s="6"/>
      <c r="U35" s="30">
        <f t="shared" si="9"/>
        <v>92.5</v>
      </c>
      <c r="V35" s="30"/>
      <c r="W35" s="30"/>
      <c r="X35" s="30"/>
      <c r="Y35" s="30">
        <f t="shared" si="10"/>
        <v>0.62</v>
      </c>
      <c r="Z35" s="30">
        <f t="shared" si="11"/>
        <v>12.85</v>
      </c>
      <c r="AA35" s="30">
        <f t="shared" si="6"/>
        <v>231.25</v>
      </c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>
        <f>C35</f>
        <v>68950</v>
      </c>
      <c r="C36" s="14">
        <v>69000</v>
      </c>
      <c r="D36" s="3" t="s">
        <v>37</v>
      </c>
      <c r="E36" s="1">
        <f t="shared" si="8"/>
        <v>50</v>
      </c>
      <c r="F36" s="1">
        <f>AVERAGE(5,2)</f>
        <v>3.5</v>
      </c>
      <c r="G36" s="32">
        <f>ROUND((238.732-6-($F36/2))/238.732,4)</f>
        <v>0.9675</v>
      </c>
      <c r="H36" s="30"/>
      <c r="I36" s="30">
        <f t="shared" si="2"/>
        <v>169.31</v>
      </c>
      <c r="J36" s="1"/>
      <c r="K36" s="30"/>
      <c r="L36" s="30"/>
      <c r="M36" s="30"/>
      <c r="N36" s="30"/>
      <c r="O36" s="30"/>
      <c r="P36" s="30"/>
      <c r="Q36" s="30"/>
      <c r="R36" s="30"/>
      <c r="S36" s="30"/>
      <c r="T36" s="6"/>
      <c r="U36" s="30">
        <f t="shared" si="9"/>
        <v>7.52</v>
      </c>
      <c r="V36" s="30"/>
      <c r="W36" s="30"/>
      <c r="X36" s="30"/>
      <c r="Y36" s="30">
        <f t="shared" si="10"/>
        <v>0.05</v>
      </c>
      <c r="Z36" s="30">
        <f t="shared" si="11"/>
        <v>1.05</v>
      </c>
      <c r="AA36" s="30">
        <f t="shared" si="6"/>
        <v>18.81</v>
      </c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>
        <f>C36</f>
        <v>69000</v>
      </c>
      <c r="C37" s="14">
        <v>69194.95</v>
      </c>
      <c r="D37" s="3" t="s">
        <v>37</v>
      </c>
      <c r="E37" s="1">
        <f t="shared" si="8"/>
        <v>194.9499999999971</v>
      </c>
      <c r="F37" s="1">
        <v>2</v>
      </c>
      <c r="G37" s="32">
        <f>ROUND((238.732-6-($F37/2))/238.732,4)</f>
        <v>0.9707</v>
      </c>
      <c r="H37" s="30"/>
      <c r="I37" s="30">
        <f t="shared" si="2"/>
        <v>378.48</v>
      </c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/>
      <c r="U37" s="30">
        <f t="shared" si="9"/>
        <v>16.82</v>
      </c>
      <c r="V37" s="30"/>
      <c r="W37" s="30"/>
      <c r="X37" s="30"/>
      <c r="Y37" s="30">
        <f t="shared" si="10"/>
        <v>0.11</v>
      </c>
      <c r="Z37" s="30">
        <f t="shared" si="11"/>
        <v>2.34</v>
      </c>
      <c r="AA37" s="30">
        <f t="shared" si="6"/>
        <v>42.05</v>
      </c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14">
        <f>C37</f>
        <v>69194.95</v>
      </c>
      <c r="C38" s="14">
        <v>69444.95</v>
      </c>
      <c r="D38" s="3" t="s">
        <v>37</v>
      </c>
      <c r="E38" s="1">
        <f t="shared" si="8"/>
        <v>250</v>
      </c>
      <c r="F38" s="1">
        <v>2</v>
      </c>
      <c r="G38" s="32">
        <f>ROUND(((238.732-6-($F38/2))/238.732+1)/2,4)</f>
        <v>0.9853</v>
      </c>
      <c r="H38" s="30"/>
      <c r="I38" s="30">
        <f t="shared" si="2"/>
        <v>492.65</v>
      </c>
      <c r="J38" s="1"/>
      <c r="K38" s="30"/>
      <c r="L38" s="30"/>
      <c r="M38" s="30"/>
      <c r="N38" s="30"/>
      <c r="O38" s="30"/>
      <c r="P38" s="30"/>
      <c r="Q38" s="30"/>
      <c r="R38" s="30"/>
      <c r="S38" s="30"/>
      <c r="T38" s="6"/>
      <c r="U38" s="30">
        <f t="shared" si="9"/>
        <v>21.9</v>
      </c>
      <c r="V38" s="30"/>
      <c r="W38" s="30"/>
      <c r="X38" s="30"/>
      <c r="Y38" s="30">
        <f t="shared" si="10"/>
        <v>0.15</v>
      </c>
      <c r="Z38" s="30">
        <f t="shared" si="11"/>
        <v>3.04</v>
      </c>
      <c r="AA38" s="30">
        <f t="shared" si="6"/>
        <v>54.74</v>
      </c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14">
        <f>C38</f>
        <v>69444.95</v>
      </c>
      <c r="C39" s="14">
        <v>69494.95</v>
      </c>
      <c r="D39" s="3" t="s">
        <v>37</v>
      </c>
      <c r="E39" s="1">
        <f t="shared" si="8"/>
        <v>50</v>
      </c>
      <c r="F39" s="1">
        <f>AVERAGE(0,2)</f>
        <v>1</v>
      </c>
      <c r="G39" s="32">
        <f>ROUND(((238.732-6-($F39/2))/238.732+1)/2,4)</f>
        <v>0.9864</v>
      </c>
      <c r="H39" s="30"/>
      <c r="I39" s="30">
        <f t="shared" si="2"/>
        <v>49.32</v>
      </c>
      <c r="J39" s="1"/>
      <c r="K39" s="30"/>
      <c r="L39" s="30"/>
      <c r="M39" s="30"/>
      <c r="N39" s="30"/>
      <c r="O39" s="30"/>
      <c r="P39" s="30"/>
      <c r="Q39" s="30"/>
      <c r="R39" s="30"/>
      <c r="S39" s="30"/>
      <c r="T39" s="6"/>
      <c r="U39" s="30">
        <f t="shared" si="9"/>
        <v>2.19</v>
      </c>
      <c r="V39" s="30"/>
      <c r="W39" s="30"/>
      <c r="X39" s="30"/>
      <c r="Y39" s="30">
        <f t="shared" si="10"/>
        <v>0.01</v>
      </c>
      <c r="Z39" s="30">
        <f t="shared" si="11"/>
        <v>0.3</v>
      </c>
      <c r="AA39" s="30">
        <f t="shared" si="6"/>
        <v>5.48</v>
      </c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33"/>
      <c r="C40" s="14"/>
      <c r="D40" s="3"/>
      <c r="E40" s="1"/>
      <c r="F40" s="8"/>
      <c r="G40" s="1"/>
      <c r="H40" s="30"/>
      <c r="I40" s="30"/>
      <c r="J40" s="1"/>
      <c r="K40" s="30"/>
      <c r="L40" s="30"/>
      <c r="M40" s="30"/>
      <c r="N40" s="30"/>
      <c r="O40" s="30"/>
      <c r="P40" s="30"/>
      <c r="Q40" s="30"/>
      <c r="R40" s="30"/>
      <c r="S40" s="30"/>
      <c r="T40" s="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14">
        <v>70029.18</v>
      </c>
      <c r="C41" s="14">
        <v>70211.45</v>
      </c>
      <c r="D41" s="3" t="s">
        <v>37</v>
      </c>
      <c r="E41" s="1">
        <f>C41-B41</f>
        <v>182.27000000000407</v>
      </c>
      <c r="F41" s="1">
        <v>5</v>
      </c>
      <c r="G41" s="1"/>
      <c r="H41" s="30"/>
      <c r="I41" s="30">
        <f aca="true" t="shared" si="12" ref="I41:I61">IF(G41=0,ROUND($E41*$F41,2),ROUND($E41*$F41*$G41,2))</f>
        <v>911.35</v>
      </c>
      <c r="J41" s="1"/>
      <c r="K41" s="56"/>
      <c r="L41" s="30"/>
      <c r="M41" s="30"/>
      <c r="N41" s="30"/>
      <c r="O41" s="30"/>
      <c r="P41" s="30"/>
      <c r="Q41" s="56"/>
      <c r="R41" s="30"/>
      <c r="S41" s="30"/>
      <c r="T41" s="6"/>
      <c r="U41" s="30">
        <f>ROUND((($I41)/9)*U$72,2)</f>
        <v>40.5</v>
      </c>
      <c r="V41" s="30"/>
      <c r="W41" s="30"/>
      <c r="X41" s="30"/>
      <c r="Y41" s="30">
        <f>ROUND($I41*(Y$72)/Y$74,2)</f>
        <v>0.27</v>
      </c>
      <c r="Z41" s="30">
        <f>ROUND(($I41*(Z$72/12))/27,2)</f>
        <v>5.63</v>
      </c>
      <c r="AA41" s="30">
        <f t="shared" si="6"/>
        <v>101.26</v>
      </c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14"/>
      <c r="C42" s="14"/>
      <c r="D42" s="3"/>
      <c r="E42" s="1"/>
      <c r="F42" s="1"/>
      <c r="G42" s="1"/>
      <c r="H42" s="30"/>
      <c r="I42" s="30"/>
      <c r="J42" s="1"/>
      <c r="K42" s="56"/>
      <c r="L42" s="30"/>
      <c r="M42" s="30"/>
      <c r="N42" s="30"/>
      <c r="O42" s="30"/>
      <c r="P42" s="30"/>
      <c r="Q42" s="56"/>
      <c r="R42" s="30"/>
      <c r="S42" s="30"/>
      <c r="T42" s="6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33" t="s">
        <v>51</v>
      </c>
      <c r="C43" s="14"/>
      <c r="D43" s="3"/>
      <c r="E43" s="1"/>
      <c r="F43" s="1"/>
      <c r="G43" s="1"/>
      <c r="H43" s="30"/>
      <c r="I43" s="30"/>
      <c r="J43" s="1"/>
      <c r="K43" s="56"/>
      <c r="L43" s="30"/>
      <c r="M43" s="30"/>
      <c r="N43" s="30"/>
      <c r="O43" s="30"/>
      <c r="P43" s="30"/>
      <c r="Q43" s="56"/>
      <c r="R43" s="30"/>
      <c r="S43" s="30"/>
      <c r="T43" s="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14">
        <v>78500.63</v>
      </c>
      <c r="C44" s="14">
        <v>78600</v>
      </c>
      <c r="D44" s="3" t="s">
        <v>41</v>
      </c>
      <c r="E44" s="1">
        <f>C44-B44</f>
        <v>99.36999999999534</v>
      </c>
      <c r="F44" s="1">
        <v>2</v>
      </c>
      <c r="G44" s="32">
        <f>ROUND(((381.972-22-($F44/2))/381.972+1)/2,4)</f>
        <v>0.9699</v>
      </c>
      <c r="H44" s="30"/>
      <c r="I44" s="30">
        <f t="shared" si="12"/>
        <v>192.76</v>
      </c>
      <c r="J44" s="1"/>
      <c r="K44" s="56"/>
      <c r="L44" s="30"/>
      <c r="M44" s="30"/>
      <c r="N44" s="30"/>
      <c r="O44" s="30"/>
      <c r="P44" s="30"/>
      <c r="Q44" s="56"/>
      <c r="R44" s="30"/>
      <c r="S44" s="30"/>
      <c r="T44" s="6"/>
      <c r="U44" s="30">
        <f>ROUND((($I44)/9)*U$72,2)</f>
        <v>8.57</v>
      </c>
      <c r="V44" s="30"/>
      <c r="W44" s="30"/>
      <c r="X44" s="30"/>
      <c r="Y44" s="30">
        <f>ROUND($I44*(Y$72)/Y$74,2)</f>
        <v>0.06</v>
      </c>
      <c r="Z44" s="30">
        <f>ROUND(($I44*(Z$72/12))/27,2)</f>
        <v>1.19</v>
      </c>
      <c r="AA44" s="30">
        <f t="shared" si="6"/>
        <v>21.42</v>
      </c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>
        <f>C44</f>
        <v>78600</v>
      </c>
      <c r="C45" s="14">
        <v>78626.05</v>
      </c>
      <c r="D45" s="3" t="s">
        <v>41</v>
      </c>
      <c r="E45" s="1">
        <f>C45-B45</f>
        <v>26.05000000000291</v>
      </c>
      <c r="F45" s="1">
        <f>AVERAGE(5,2)</f>
        <v>3.5</v>
      </c>
      <c r="G45" s="32">
        <f>ROUND(((381.972-22-($F45/2))/381.972+1)/2,4)</f>
        <v>0.9689</v>
      </c>
      <c r="H45" s="30"/>
      <c r="I45" s="30">
        <f t="shared" si="12"/>
        <v>88.34</v>
      </c>
      <c r="J45" s="1"/>
      <c r="K45" s="56"/>
      <c r="L45" s="30"/>
      <c r="M45" s="30"/>
      <c r="N45" s="30"/>
      <c r="O45" s="30"/>
      <c r="P45" s="30"/>
      <c r="Q45" s="30"/>
      <c r="R45" s="30"/>
      <c r="S45" s="30"/>
      <c r="T45" s="6"/>
      <c r="U45" s="30">
        <f>ROUND((($I45)/9)*U$72,2)</f>
        <v>3.93</v>
      </c>
      <c r="V45" s="30"/>
      <c r="W45" s="30"/>
      <c r="X45" s="30"/>
      <c r="Y45" s="30">
        <f>ROUND($I45*(Y$72)/Y$74,2)</f>
        <v>0.03</v>
      </c>
      <c r="Z45" s="30">
        <f>ROUND(($I45*(Z$72/12))/27,2)</f>
        <v>0.55</v>
      </c>
      <c r="AA45" s="30">
        <f t="shared" si="6"/>
        <v>9.82</v>
      </c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14"/>
      <c r="C46" s="14"/>
      <c r="D46" s="3"/>
      <c r="E46" s="1"/>
      <c r="F46" s="1"/>
      <c r="G46" s="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33" t="s">
        <v>79</v>
      </c>
      <c r="C47" s="14"/>
      <c r="D47" s="3"/>
      <c r="E47" s="1"/>
      <c r="F47" s="1"/>
      <c r="G47" s="1"/>
      <c r="H47" s="30"/>
      <c r="I47" s="30"/>
      <c r="J47" s="1"/>
      <c r="K47" s="30"/>
      <c r="L47" s="30"/>
      <c r="M47" s="30"/>
      <c r="N47" s="30"/>
      <c r="O47" s="30"/>
      <c r="P47" s="30"/>
      <c r="Q47" s="30"/>
      <c r="R47" s="30"/>
      <c r="S47" s="30"/>
      <c r="T47" s="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14">
        <v>90464.95</v>
      </c>
      <c r="C48" s="14">
        <v>90600</v>
      </c>
      <c r="D48" s="3" t="s">
        <v>41</v>
      </c>
      <c r="E48" s="1">
        <f>C48-B48</f>
        <v>135.0500000000029</v>
      </c>
      <c r="F48" s="1">
        <v>5</v>
      </c>
      <c r="G48" s="32">
        <f>ROUND((1637.022-20-($F48/2))/1637.022,4)</f>
        <v>0.9863</v>
      </c>
      <c r="H48" s="30"/>
      <c r="I48" s="30">
        <f>IF(G48=0,ROUND($E48*$F48,2),ROUND($E48*$F48*$G48,2))</f>
        <v>666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/>
      <c r="U48" s="30">
        <f>ROUND((($I48)/9)*U$72,2)</f>
        <v>29.6</v>
      </c>
      <c r="V48" s="30"/>
      <c r="W48" s="30"/>
      <c r="X48" s="30"/>
      <c r="Y48" s="30">
        <f>ROUND($I48*(Y$72)/Y$74,2)</f>
        <v>0.2</v>
      </c>
      <c r="Z48" s="30">
        <f>ROUND(($I48*(Z$72/12))/27,2)</f>
        <v>4.11</v>
      </c>
      <c r="AA48" s="30">
        <f t="shared" si="6"/>
        <v>74</v>
      </c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14">
        <f>C48</f>
        <v>90600</v>
      </c>
      <c r="C49" s="14">
        <v>90650</v>
      </c>
      <c r="D49" s="3" t="s">
        <v>41</v>
      </c>
      <c r="E49" s="1">
        <f>C49-B49</f>
        <v>50</v>
      </c>
      <c r="F49" s="1">
        <f>AVERAGE(5,2)</f>
        <v>3.5</v>
      </c>
      <c r="G49" s="32">
        <f>ROUND((1637.022-20-($F49/2))/1637.022,4)</f>
        <v>0.9867</v>
      </c>
      <c r="H49" s="30"/>
      <c r="I49" s="30">
        <f>IF(G49=0,ROUND($E49*$F49,2),ROUND($E49*$F49*$G49,2))</f>
        <v>172.67</v>
      </c>
      <c r="J49" s="1"/>
      <c r="K49" s="30"/>
      <c r="L49" s="30"/>
      <c r="M49" s="30"/>
      <c r="N49" s="30"/>
      <c r="O49" s="30"/>
      <c r="P49" s="30"/>
      <c r="Q49" s="30"/>
      <c r="R49" s="30"/>
      <c r="S49" s="30"/>
      <c r="T49" s="6"/>
      <c r="U49" s="30">
        <f>ROUND((($I49)/9)*U$72,2)</f>
        <v>7.67</v>
      </c>
      <c r="V49" s="30"/>
      <c r="W49" s="30"/>
      <c r="X49" s="30"/>
      <c r="Y49" s="30">
        <f>ROUND($I49*(Y$72)/Y$74,2)</f>
        <v>0.05</v>
      </c>
      <c r="Z49" s="30">
        <f>ROUND(($I49*(Z$72/12))/27,2)</f>
        <v>1.07</v>
      </c>
      <c r="AA49" s="30">
        <f t="shared" si="6"/>
        <v>19.19</v>
      </c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14">
        <f>C49</f>
        <v>90650</v>
      </c>
      <c r="C50" s="14">
        <v>90764.26</v>
      </c>
      <c r="D50" s="3" t="s">
        <v>41</v>
      </c>
      <c r="E50" s="1">
        <f>C50-B50</f>
        <v>114.25999999999476</v>
      </c>
      <c r="F50" s="1">
        <v>2</v>
      </c>
      <c r="G50" s="32">
        <f>ROUND((1637.022-20-($F50/2))/1637.022,4)</f>
        <v>0.9872</v>
      </c>
      <c r="H50" s="30"/>
      <c r="I50" s="30">
        <f>IF(G50=0,ROUND($E50*$F50,2),ROUND($E50*$F50*$G50,2))</f>
        <v>225.59</v>
      </c>
      <c r="J50" s="1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30">
        <f>ROUND((($I50)/9)*U$72,2)</f>
        <v>10.03</v>
      </c>
      <c r="V50" s="30"/>
      <c r="W50" s="30"/>
      <c r="X50" s="30"/>
      <c r="Y50" s="30">
        <f>ROUND($I50*(Y$72)/Y$74,2)</f>
        <v>0.07</v>
      </c>
      <c r="Z50" s="30">
        <f>ROUND(($I50*(Z$72/12))/27,2)</f>
        <v>1.39</v>
      </c>
      <c r="AA50" s="30">
        <f t="shared" si="6"/>
        <v>25.07</v>
      </c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14"/>
      <c r="C51" s="14"/>
      <c r="D51" s="3"/>
      <c r="E51" s="1"/>
      <c r="F51" s="1"/>
      <c r="G51" s="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/>
      <c r="U51" s="30">
        <f>ROUND((($I51)/9)*U$72,2)</f>
        <v>0</v>
      </c>
      <c r="V51" s="30"/>
      <c r="W51" s="30"/>
      <c r="X51" s="30"/>
      <c r="Y51" s="30">
        <f>ROUND($I51*(Y$72)/Y$74,2)</f>
        <v>0</v>
      </c>
      <c r="Z51" s="30">
        <f>ROUND(($I51*(Z$72/12))/27,2)</f>
        <v>0</v>
      </c>
      <c r="AA51" s="30">
        <f t="shared" si="6"/>
        <v>0</v>
      </c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>
        <v>88798.38</v>
      </c>
      <c r="C52" s="14">
        <v>88867.17</v>
      </c>
      <c r="D52" s="3" t="s">
        <v>37</v>
      </c>
      <c r="E52" s="1">
        <f>C52-B52</f>
        <v>68.7899999999936</v>
      </c>
      <c r="F52" s="1">
        <v>5</v>
      </c>
      <c r="G52" s="32">
        <f>ROUND((4583.662-10-($F52/2))/4583.662,4)</f>
        <v>0.9973</v>
      </c>
      <c r="H52" s="30"/>
      <c r="I52" s="30">
        <f t="shared" si="12"/>
        <v>343.02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/>
      <c r="U52" s="30">
        <f>ROUND((($I52)/9)*U$72,2)</f>
        <v>15.25</v>
      </c>
      <c r="V52" s="30"/>
      <c r="W52" s="30"/>
      <c r="X52" s="30"/>
      <c r="Y52" s="30">
        <f>ROUND($I52*(Y$72)/Y$74,2)</f>
        <v>0.1</v>
      </c>
      <c r="Z52" s="30">
        <f>ROUND(($I52*(Z$72/12))/27,2)</f>
        <v>2.12</v>
      </c>
      <c r="AA52" s="30">
        <f t="shared" si="6"/>
        <v>38.11</v>
      </c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14"/>
      <c r="C53" s="14"/>
      <c r="D53" s="3"/>
      <c r="E53" s="1"/>
      <c r="F53" s="1"/>
      <c r="G53" s="1"/>
      <c r="H53" s="30"/>
      <c r="I53" s="30"/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33" t="s">
        <v>91</v>
      </c>
      <c r="C54" s="14"/>
      <c r="D54" s="3"/>
      <c r="E54" s="1"/>
      <c r="F54" s="1"/>
      <c r="G54" s="1"/>
      <c r="H54" s="30"/>
      <c r="I54" s="30"/>
      <c r="J54" s="1"/>
      <c r="K54" s="30"/>
      <c r="L54" s="30"/>
      <c r="M54" s="30"/>
      <c r="N54" s="30"/>
      <c r="O54" s="30"/>
      <c r="P54" s="30"/>
      <c r="Q54" s="30"/>
      <c r="R54" s="30"/>
      <c r="S54" s="30"/>
      <c r="T54" s="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>
        <v>7169.06</v>
      </c>
      <c r="C55" s="14">
        <v>7267.31</v>
      </c>
      <c r="D55" s="3" t="s">
        <v>37</v>
      </c>
      <c r="E55" s="1">
        <f aca="true" t="shared" si="13" ref="E55:E61">C55-B55</f>
        <v>98.25</v>
      </c>
      <c r="F55" s="151" t="s">
        <v>40</v>
      </c>
      <c r="G55" s="152"/>
      <c r="H55" s="152"/>
      <c r="I55" s="153"/>
      <c r="J55" s="1">
        <v>297.55</v>
      </c>
      <c r="K55" s="30"/>
      <c r="L55" s="30"/>
      <c r="M55" s="30"/>
      <c r="N55" s="30"/>
      <c r="O55" s="30"/>
      <c r="P55" s="30"/>
      <c r="Q55" s="30"/>
      <c r="R55" s="30"/>
      <c r="S55" s="30"/>
      <c r="T55" s="6"/>
      <c r="U55" s="30">
        <f>ROUND((($J55)/9)*U$72,2)</f>
        <v>13.22</v>
      </c>
      <c r="V55" s="30"/>
      <c r="W55" s="30"/>
      <c r="X55" s="30"/>
      <c r="Y55" s="30">
        <f>ROUND($J55*(Y$72)/Y$74,2)</f>
        <v>0.09</v>
      </c>
      <c r="Z55" s="30">
        <f>ROUND(($J55*(Z$72/12))/27,2)</f>
        <v>1.84</v>
      </c>
      <c r="AA55" s="30">
        <f>ROUND($J55/9,2)</f>
        <v>33.06</v>
      </c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14">
        <f aca="true" t="shared" si="14" ref="B56:B61">C55</f>
        <v>7267.31</v>
      </c>
      <c r="C56" s="14">
        <v>7300</v>
      </c>
      <c r="D56" s="3" t="s">
        <v>37</v>
      </c>
      <c r="E56" s="1">
        <f t="shared" si="13"/>
        <v>32.6899999999996</v>
      </c>
      <c r="F56" s="1">
        <v>5</v>
      </c>
      <c r="G56" s="32">
        <f>ROUND((3819.719-((9.595+8.941)/2)-($F56/2))/3819.719,4)</f>
        <v>0.9969</v>
      </c>
      <c r="H56" s="30"/>
      <c r="I56" s="30">
        <f t="shared" si="12"/>
        <v>162.94</v>
      </c>
      <c r="J56" s="1"/>
      <c r="K56" s="30"/>
      <c r="L56" s="30"/>
      <c r="M56" s="30"/>
      <c r="N56" s="30"/>
      <c r="O56" s="30"/>
      <c r="P56" s="30"/>
      <c r="Q56" s="30"/>
      <c r="R56" s="30"/>
      <c r="S56" s="30"/>
      <c r="T56" s="6"/>
      <c r="U56" s="30">
        <f aca="true" t="shared" si="15" ref="U56:U61">ROUND((($I56)/9)*U$72,2)</f>
        <v>7.24</v>
      </c>
      <c r="V56" s="30"/>
      <c r="W56" s="30"/>
      <c r="X56" s="30"/>
      <c r="Y56" s="30">
        <f aca="true" t="shared" si="16" ref="Y56:Y61">ROUND($I56*(Y$72)/Y$74,2)</f>
        <v>0.05</v>
      </c>
      <c r="Z56" s="30">
        <f aca="true" t="shared" si="17" ref="Z56:Z61">ROUND(($I56*(Z$72/12))/27,2)</f>
        <v>1.01</v>
      </c>
      <c r="AA56" s="30">
        <f t="shared" si="6"/>
        <v>18.1</v>
      </c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14">
        <f t="shared" si="14"/>
        <v>7300</v>
      </c>
      <c r="C57" s="14">
        <v>7350</v>
      </c>
      <c r="D57" s="3" t="s">
        <v>37</v>
      </c>
      <c r="E57" s="1">
        <f t="shared" si="13"/>
        <v>50</v>
      </c>
      <c r="F57" s="1">
        <f>AVERAGE(5,2)</f>
        <v>3.5</v>
      </c>
      <c r="G57" s="32">
        <f>ROUND((3819.719-((7.941+8.941)/2)-($F57/2))/3819.719,4)</f>
        <v>0.9973</v>
      </c>
      <c r="H57" s="30"/>
      <c r="I57" s="30">
        <f t="shared" si="12"/>
        <v>174.53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/>
      <c r="U57" s="30">
        <f t="shared" si="15"/>
        <v>7.76</v>
      </c>
      <c r="V57" s="30"/>
      <c r="W57" s="30"/>
      <c r="X57" s="30"/>
      <c r="Y57" s="30">
        <f t="shared" si="16"/>
        <v>0.05</v>
      </c>
      <c r="Z57" s="30">
        <f t="shared" si="17"/>
        <v>1.08</v>
      </c>
      <c r="AA57" s="30">
        <f t="shared" si="6"/>
        <v>19.39</v>
      </c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>
        <f t="shared" si="14"/>
        <v>7350</v>
      </c>
      <c r="C58" s="14">
        <v>7447.06</v>
      </c>
      <c r="D58" s="3" t="s">
        <v>37</v>
      </c>
      <c r="E58" s="1">
        <f t="shared" si="13"/>
        <v>97.0600000000004</v>
      </c>
      <c r="F58" s="1">
        <v>2</v>
      </c>
      <c r="G58" s="32">
        <f>ROUND((3819.719-((7.941+6)/2)-($F58/2))/3819.719,4)</f>
        <v>0.9979</v>
      </c>
      <c r="H58" s="30"/>
      <c r="I58" s="30">
        <f t="shared" si="12"/>
        <v>193.71</v>
      </c>
      <c r="J58" s="1"/>
      <c r="K58" s="30"/>
      <c r="L58" s="30"/>
      <c r="M58" s="30"/>
      <c r="N58" s="30"/>
      <c r="O58" s="30"/>
      <c r="P58" s="30"/>
      <c r="Q58" s="30"/>
      <c r="R58" s="30"/>
      <c r="S58" s="30"/>
      <c r="T58" s="6"/>
      <c r="U58" s="30">
        <f t="shared" si="15"/>
        <v>8.61</v>
      </c>
      <c r="V58" s="30"/>
      <c r="W58" s="30"/>
      <c r="X58" s="30"/>
      <c r="Y58" s="30">
        <f t="shared" si="16"/>
        <v>0.06</v>
      </c>
      <c r="Z58" s="30">
        <f t="shared" si="17"/>
        <v>1.2</v>
      </c>
      <c r="AA58" s="30">
        <f t="shared" si="6"/>
        <v>21.52</v>
      </c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14">
        <f t="shared" si="14"/>
        <v>7447.06</v>
      </c>
      <c r="C59" s="14">
        <v>7516.71</v>
      </c>
      <c r="D59" s="3" t="s">
        <v>37</v>
      </c>
      <c r="E59" s="1">
        <f t="shared" si="13"/>
        <v>69.64999999999964</v>
      </c>
      <c r="F59" s="1">
        <v>2</v>
      </c>
      <c r="G59" s="32">
        <f>ROUND((3819.719-6-($F59/2))/3819.719,4)</f>
        <v>0.9982</v>
      </c>
      <c r="H59" s="30"/>
      <c r="I59" s="30">
        <f t="shared" si="12"/>
        <v>139.05</v>
      </c>
      <c r="J59" s="30"/>
      <c r="K59" s="54"/>
      <c r="L59" s="30"/>
      <c r="M59" s="30"/>
      <c r="N59" s="30"/>
      <c r="O59" s="30"/>
      <c r="P59" s="30"/>
      <c r="Q59" s="30"/>
      <c r="R59" s="30"/>
      <c r="S59" s="30"/>
      <c r="T59" s="6"/>
      <c r="U59" s="30">
        <f t="shared" si="15"/>
        <v>6.18</v>
      </c>
      <c r="V59" s="30"/>
      <c r="W59" s="30"/>
      <c r="X59" s="30"/>
      <c r="Y59" s="30">
        <f t="shared" si="16"/>
        <v>0.04</v>
      </c>
      <c r="Z59" s="30">
        <f t="shared" si="17"/>
        <v>0.86</v>
      </c>
      <c r="AA59" s="30">
        <f t="shared" si="6"/>
        <v>15.45</v>
      </c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14">
        <f t="shared" si="14"/>
        <v>7516.71</v>
      </c>
      <c r="C60" s="14">
        <v>8117.83</v>
      </c>
      <c r="D60" s="3" t="s">
        <v>37</v>
      </c>
      <c r="E60" s="1">
        <f t="shared" si="13"/>
        <v>601.1199999999999</v>
      </c>
      <c r="F60" s="1">
        <v>2</v>
      </c>
      <c r="G60" s="1"/>
      <c r="H60" s="30"/>
      <c r="I60" s="30">
        <f t="shared" si="12"/>
        <v>1202.24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/>
      <c r="U60" s="30">
        <f t="shared" si="15"/>
        <v>53.43</v>
      </c>
      <c r="V60" s="30"/>
      <c r="W60" s="30"/>
      <c r="X60" s="30"/>
      <c r="Y60" s="30">
        <f t="shared" si="16"/>
        <v>0.36</v>
      </c>
      <c r="Z60" s="30">
        <f t="shared" si="17"/>
        <v>7.42</v>
      </c>
      <c r="AA60" s="30">
        <f t="shared" si="6"/>
        <v>133.58</v>
      </c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14">
        <f t="shared" si="14"/>
        <v>8117.83</v>
      </c>
      <c r="C61" s="14">
        <v>8167.8</v>
      </c>
      <c r="D61" s="3" t="s">
        <v>37</v>
      </c>
      <c r="E61" s="1">
        <f t="shared" si="13"/>
        <v>49.970000000000255</v>
      </c>
      <c r="F61" s="1">
        <f>AVERAGE(0,2)</f>
        <v>1</v>
      </c>
      <c r="G61" s="1"/>
      <c r="H61" s="30"/>
      <c r="I61" s="30">
        <f t="shared" si="12"/>
        <v>49.97</v>
      </c>
      <c r="J61" s="1"/>
      <c r="K61" s="30"/>
      <c r="L61" s="30"/>
      <c r="M61" s="30"/>
      <c r="N61" s="30"/>
      <c r="O61" s="30"/>
      <c r="P61" s="30"/>
      <c r="Q61" s="30"/>
      <c r="R61" s="30"/>
      <c r="S61" s="30"/>
      <c r="T61" s="6"/>
      <c r="U61" s="30">
        <f t="shared" si="15"/>
        <v>2.22</v>
      </c>
      <c r="V61" s="30"/>
      <c r="W61" s="30"/>
      <c r="X61" s="30"/>
      <c r="Y61" s="30">
        <f t="shared" si="16"/>
        <v>0.01</v>
      </c>
      <c r="Z61" s="30">
        <f t="shared" si="17"/>
        <v>0.31</v>
      </c>
      <c r="AA61" s="30">
        <f t="shared" si="6"/>
        <v>5.55</v>
      </c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/>
      <c r="C62" s="14"/>
      <c r="D62" s="3"/>
      <c r="E62" s="1"/>
      <c r="F62" s="1"/>
      <c r="G62" s="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33" t="s">
        <v>53</v>
      </c>
      <c r="C63" s="14"/>
      <c r="D63" s="3"/>
      <c r="E63" s="1"/>
      <c r="F63" s="1"/>
      <c r="G63" s="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14">
        <v>2450</v>
      </c>
      <c r="C64" s="14">
        <v>2458.25</v>
      </c>
      <c r="D64" s="3" t="s">
        <v>41</v>
      </c>
      <c r="E64" s="1">
        <f>C64-B64</f>
        <v>8.25</v>
      </c>
      <c r="F64" s="1">
        <v>5</v>
      </c>
      <c r="G64" s="1"/>
      <c r="H64" s="30"/>
      <c r="I64" s="30">
        <f>IF(G64=0,ROUND($E64*$F64,2),ROUND($E64*$F64*$G64,2))</f>
        <v>41.25</v>
      </c>
      <c r="J64" s="1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>
        <f>ROUND((($I64)/9)*U$72,2)</f>
        <v>1.83</v>
      </c>
      <c r="V64" s="30"/>
      <c r="W64" s="30"/>
      <c r="X64" s="30"/>
      <c r="Y64" s="30">
        <f>ROUND($I64*(Y$72)/Y$74,2)</f>
        <v>0.01</v>
      </c>
      <c r="Z64" s="30">
        <f>ROUND(($I64*(Z$72/12))/27,2)</f>
        <v>0.25</v>
      </c>
      <c r="AA64" s="30">
        <f t="shared" si="6"/>
        <v>4.58</v>
      </c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33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 aca="true" t="shared" si="18" ref="R67:AE67">IF(SUM(R13:R66)=0," ",ROUNDUP(SUM(R13:R66),0))</f>
        <v> </v>
      </c>
      <c r="S67" s="125" t="str">
        <f t="shared" si="18"/>
        <v> </v>
      </c>
      <c r="T67" s="125" t="str">
        <f t="shared" si="18"/>
        <v> </v>
      </c>
      <c r="U67" s="125">
        <f t="shared" si="18"/>
        <v>588</v>
      </c>
      <c r="V67" s="125" t="str">
        <f t="shared" si="18"/>
        <v> </v>
      </c>
      <c r="W67" s="125" t="str">
        <f t="shared" si="18"/>
        <v> </v>
      </c>
      <c r="X67" s="125" t="str">
        <f t="shared" si="18"/>
        <v> </v>
      </c>
      <c r="Y67" s="125">
        <f t="shared" si="18"/>
        <v>4</v>
      </c>
      <c r="Z67" s="125">
        <f t="shared" si="18"/>
        <v>82</v>
      </c>
      <c r="AA67" s="125">
        <f t="shared" si="18"/>
        <v>1470</v>
      </c>
      <c r="AB67" s="125" t="str">
        <f t="shared" si="18"/>
        <v> </v>
      </c>
      <c r="AC67" s="125" t="str">
        <f t="shared" si="18"/>
        <v> </v>
      </c>
      <c r="AD67" s="125" t="str">
        <f t="shared" si="18"/>
        <v> </v>
      </c>
      <c r="AE67" s="125" t="str">
        <f t="shared" si="18"/>
        <v> </v>
      </c>
      <c r="AF67" s="145">
        <v>13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79">
        <v>0.4</v>
      </c>
      <c r="V72" s="79">
        <f>2/12</f>
        <v>0.16666666666666666</v>
      </c>
      <c r="W72" s="78"/>
      <c r="X72" s="59"/>
      <c r="Y72" s="58">
        <v>0.3</v>
      </c>
      <c r="Z72" s="58">
        <v>2</v>
      </c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60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42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>
        <v>1000</v>
      </c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2">
    <mergeCell ref="B3:C11"/>
    <mergeCell ref="D3:D11"/>
    <mergeCell ref="E3:E11"/>
    <mergeCell ref="F3:F11"/>
    <mergeCell ref="G3:G11"/>
    <mergeCell ref="H3:H11"/>
    <mergeCell ref="V4:V11"/>
    <mergeCell ref="I3:I11"/>
    <mergeCell ref="J3:J11"/>
    <mergeCell ref="K3:K11"/>
    <mergeCell ref="L3:L11"/>
    <mergeCell ref="M3:M11"/>
    <mergeCell ref="N3:N11"/>
    <mergeCell ref="AB4:AB11"/>
    <mergeCell ref="O3:O11"/>
    <mergeCell ref="P3:P11"/>
    <mergeCell ref="Q3:Q11"/>
    <mergeCell ref="AF3:AF5"/>
    <mergeCell ref="AG3:AG5"/>
    <mergeCell ref="R4:R11"/>
    <mergeCell ref="S4:S11"/>
    <mergeCell ref="T4:T11"/>
    <mergeCell ref="U4:U11"/>
    <mergeCell ref="AC4:AC11"/>
    <mergeCell ref="AD4:AD11"/>
    <mergeCell ref="AE4:AE11"/>
    <mergeCell ref="AF6:AG50"/>
    <mergeCell ref="B14:I14"/>
    <mergeCell ref="W4:W11"/>
    <mergeCell ref="X4:X11"/>
    <mergeCell ref="Y4:Y11"/>
    <mergeCell ref="Z4:Z11"/>
    <mergeCell ref="AA4:AA11"/>
    <mergeCell ref="AF51:AG66"/>
    <mergeCell ref="F55:I55"/>
    <mergeCell ref="B67:Q68"/>
    <mergeCell ref="R67:R68"/>
    <mergeCell ref="S67:S68"/>
    <mergeCell ref="T67:T68"/>
    <mergeCell ref="U67:U68"/>
    <mergeCell ref="V67:V68"/>
    <mergeCell ref="AC67:AC68"/>
    <mergeCell ref="AD67:AD68"/>
    <mergeCell ref="AE67:AE68"/>
    <mergeCell ref="AF67:AG67"/>
    <mergeCell ref="AF68:AG68"/>
    <mergeCell ref="W67:W68"/>
    <mergeCell ref="X67:X68"/>
    <mergeCell ref="Y67:Y68"/>
    <mergeCell ref="Z67:Z68"/>
    <mergeCell ref="AA67:AA68"/>
    <mergeCell ref="AB67:AB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6">
      <selection activeCell="T4" sqref="T4:T11"/>
    </sheetView>
  </sheetViews>
  <sheetFormatPr defaultColWidth="9.140625" defaultRowHeight="12.75"/>
  <cols>
    <col min="1" max="3" width="24.7109375" style="15" customWidth="1"/>
    <col min="4" max="21" width="15.7109375" style="15" customWidth="1"/>
    <col min="22" max="22" width="15.7109375" style="61" customWidth="1"/>
    <col min="23" max="31" width="15.7109375" style="15" customWidth="1"/>
    <col min="32" max="34" width="6.7109375" style="15" customWidth="1"/>
    <col min="35" max="16384" width="9.140625" style="15" customWidth="1"/>
  </cols>
  <sheetData>
    <row r="1" spans="18:27" ht="12.75">
      <c r="R1" s="63"/>
      <c r="S1" s="63"/>
      <c r="T1" s="63"/>
      <c r="U1" s="63"/>
      <c r="V1" s="64"/>
      <c r="W1" s="63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 t="s">
        <v>15</v>
      </c>
      <c r="L3" s="127"/>
      <c r="M3" s="127"/>
      <c r="N3" s="127"/>
      <c r="O3" s="127"/>
      <c r="P3" s="127"/>
      <c r="Q3" s="127"/>
      <c r="R3" s="51"/>
      <c r="S3" s="51"/>
      <c r="T3" s="50">
        <v>304</v>
      </c>
      <c r="U3" s="51">
        <v>601</v>
      </c>
      <c r="V3" s="5">
        <v>622</v>
      </c>
      <c r="W3" s="5">
        <v>622</v>
      </c>
      <c r="X3" s="5"/>
      <c r="Y3" s="5">
        <v>622</v>
      </c>
      <c r="Z3" s="5">
        <v>622</v>
      </c>
      <c r="AA3" s="5">
        <v>622</v>
      </c>
      <c r="AB3" s="5">
        <v>622</v>
      </c>
      <c r="AC3" s="50"/>
      <c r="AD3" s="51"/>
      <c r="AE3" s="51"/>
      <c r="AF3" s="97" t="s">
        <v>12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102"/>
      <c r="S4" s="102"/>
      <c r="T4" s="99" t="s">
        <v>111</v>
      </c>
      <c r="U4" s="102" t="s">
        <v>109</v>
      </c>
      <c r="V4" s="157" t="s">
        <v>20</v>
      </c>
      <c r="W4" s="157" t="s">
        <v>98</v>
      </c>
      <c r="X4" s="157"/>
      <c r="Y4" s="157" t="s">
        <v>14</v>
      </c>
      <c r="Z4" s="102" t="s">
        <v>99</v>
      </c>
      <c r="AA4" s="99" t="s">
        <v>100</v>
      </c>
      <c r="AB4" s="157" t="s">
        <v>16</v>
      </c>
      <c r="AC4" s="99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0"/>
      <c r="U5" s="103"/>
      <c r="V5" s="158"/>
      <c r="W5" s="158"/>
      <c r="X5" s="158"/>
      <c r="Y5" s="158"/>
      <c r="Z5" s="103"/>
      <c r="AA5" s="100"/>
      <c r="AB5" s="158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0"/>
      <c r="U6" s="103"/>
      <c r="V6" s="158"/>
      <c r="W6" s="158"/>
      <c r="X6" s="158"/>
      <c r="Y6" s="158"/>
      <c r="Z6" s="103"/>
      <c r="AA6" s="100"/>
      <c r="AB6" s="158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0"/>
      <c r="U7" s="103"/>
      <c r="V7" s="158"/>
      <c r="W7" s="158"/>
      <c r="X7" s="158"/>
      <c r="Y7" s="158"/>
      <c r="Z7" s="103"/>
      <c r="AA7" s="100"/>
      <c r="AB7" s="158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0"/>
      <c r="U8" s="103"/>
      <c r="V8" s="158"/>
      <c r="W8" s="158"/>
      <c r="X8" s="158"/>
      <c r="Y8" s="158"/>
      <c r="Z8" s="103"/>
      <c r="AA8" s="100"/>
      <c r="AB8" s="158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0"/>
      <c r="U9" s="103"/>
      <c r="V9" s="158"/>
      <c r="W9" s="158"/>
      <c r="X9" s="158"/>
      <c r="Y9" s="158"/>
      <c r="Z9" s="103"/>
      <c r="AA9" s="100"/>
      <c r="AB9" s="158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0"/>
      <c r="U10" s="103"/>
      <c r="V10" s="158"/>
      <c r="W10" s="158"/>
      <c r="X10" s="158"/>
      <c r="Y10" s="158"/>
      <c r="Z10" s="103"/>
      <c r="AA10" s="100"/>
      <c r="AB10" s="158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1"/>
      <c r="U11" s="104"/>
      <c r="V11" s="159"/>
      <c r="W11" s="159"/>
      <c r="X11" s="159"/>
      <c r="Y11" s="159"/>
      <c r="Z11" s="104"/>
      <c r="AA11" s="101"/>
      <c r="AB11" s="159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25"/>
      <c r="S12" s="25"/>
      <c r="T12" s="52" t="s">
        <v>34</v>
      </c>
      <c r="U12" s="25" t="s">
        <v>65</v>
      </c>
      <c r="V12" s="4" t="s">
        <v>8</v>
      </c>
      <c r="W12" s="4" t="s">
        <v>15</v>
      </c>
      <c r="X12" s="4"/>
      <c r="Y12" s="4" t="s">
        <v>8</v>
      </c>
      <c r="Z12" s="4" t="s">
        <v>15</v>
      </c>
      <c r="AA12" s="4" t="s">
        <v>15</v>
      </c>
      <c r="AB12" s="4" t="s">
        <v>15</v>
      </c>
      <c r="AC12" s="52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95</v>
      </c>
      <c r="C14" s="106"/>
      <c r="D14" s="106"/>
      <c r="E14" s="106"/>
      <c r="F14" s="106"/>
      <c r="G14" s="106"/>
      <c r="H14" s="106"/>
      <c r="I14" s="10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85</v>
      </c>
      <c r="C15" s="71"/>
      <c r="D15" s="29"/>
      <c r="E15" s="30"/>
      <c r="F15" s="37"/>
      <c r="G15" s="32"/>
      <c r="H15" s="30"/>
      <c r="I15" s="30"/>
      <c r="J15" s="30"/>
      <c r="K15" s="30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82"/>
      <c r="AA15" s="82"/>
      <c r="AB15" s="82"/>
      <c r="AC15" s="30"/>
      <c r="AD15" s="30"/>
      <c r="AE15" s="30"/>
      <c r="AF15" s="110"/>
      <c r="AG15" s="111"/>
    </row>
    <row r="16" spans="1:33" s="19" customFormat="1" ht="21.75" customHeight="1">
      <c r="A16" s="26">
        <f>A15+1</f>
        <v>4</v>
      </c>
      <c r="B16" s="14">
        <v>37150</v>
      </c>
      <c r="C16" s="14">
        <v>39800</v>
      </c>
      <c r="D16" s="29" t="s">
        <v>54</v>
      </c>
      <c r="E16" s="1">
        <f>C16-B16</f>
        <v>2650</v>
      </c>
      <c r="F16" s="31"/>
      <c r="G16" s="32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1"/>
      <c r="T16" s="30"/>
      <c r="U16" s="30"/>
      <c r="V16" s="30"/>
      <c r="W16" s="1"/>
      <c r="X16" s="30"/>
      <c r="Y16" s="1">
        <f>$E16</f>
        <v>2650</v>
      </c>
      <c r="Z16" s="82">
        <v>11</v>
      </c>
      <c r="AA16" s="82">
        <v>1</v>
      </c>
      <c r="AB16" s="82">
        <v>1</v>
      </c>
      <c r="AC16" s="30"/>
      <c r="AD16" s="30"/>
      <c r="AE16" s="30"/>
      <c r="AF16" s="110"/>
      <c r="AG16" s="111"/>
    </row>
    <row r="17" spans="1:33" s="19" customFormat="1" ht="21.75" customHeight="1">
      <c r="A17" s="26">
        <f aca="true" t="shared" si="0" ref="A17:A66">A16+1</f>
        <v>5</v>
      </c>
      <c r="B17" s="14">
        <v>39800</v>
      </c>
      <c r="C17" s="14">
        <v>42100</v>
      </c>
      <c r="D17" s="29" t="s">
        <v>54</v>
      </c>
      <c r="E17" s="1">
        <f>C17-B17</f>
        <v>2300</v>
      </c>
      <c r="F17" s="31"/>
      <c r="G17" s="3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81"/>
      <c r="T17" s="30"/>
      <c r="U17" s="30"/>
      <c r="V17" s="1">
        <f>$E17</f>
        <v>2300</v>
      </c>
      <c r="W17" s="90">
        <v>14</v>
      </c>
      <c r="X17" s="30"/>
      <c r="Y17" s="1"/>
      <c r="Z17" s="82"/>
      <c r="AA17" s="82"/>
      <c r="AB17" s="82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14">
        <v>42100</v>
      </c>
      <c r="C18" s="14">
        <v>42530.16</v>
      </c>
      <c r="D18" s="29" t="s">
        <v>54</v>
      </c>
      <c r="E18" s="1">
        <f>C18-B18</f>
        <v>430.1600000000035</v>
      </c>
      <c r="F18" s="30"/>
      <c r="G18" s="3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81"/>
      <c r="T18" s="30"/>
      <c r="U18" s="30"/>
      <c r="V18" s="30"/>
      <c r="W18" s="1"/>
      <c r="X18" s="30"/>
      <c r="Y18" s="1">
        <f>$E18</f>
        <v>430.1600000000035</v>
      </c>
      <c r="Z18" s="82">
        <v>5</v>
      </c>
      <c r="AA18" s="82">
        <v>2</v>
      </c>
      <c r="AB18" s="82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>
        <v>42685.73</v>
      </c>
      <c r="C19" s="14">
        <v>42901.43</v>
      </c>
      <c r="D19" s="29" t="s">
        <v>54</v>
      </c>
      <c r="E19" s="1">
        <f>C19-B19</f>
        <v>215.6999999999971</v>
      </c>
      <c r="F19" s="69"/>
      <c r="G19" s="32"/>
      <c r="H19" s="30"/>
      <c r="I19" s="67"/>
      <c r="J19" s="30"/>
      <c r="K19" s="30"/>
      <c r="L19" s="30"/>
      <c r="M19" s="30"/>
      <c r="N19" s="30"/>
      <c r="O19" s="30"/>
      <c r="P19" s="30"/>
      <c r="Q19" s="30"/>
      <c r="R19" s="30"/>
      <c r="S19" s="81"/>
      <c r="T19" s="30"/>
      <c r="U19" s="30"/>
      <c r="V19" s="30"/>
      <c r="W19" s="1"/>
      <c r="X19" s="30"/>
      <c r="Y19" s="1">
        <f>$E19</f>
        <v>215.6999999999971</v>
      </c>
      <c r="Z19" s="82">
        <v>6</v>
      </c>
      <c r="AA19" s="82"/>
      <c r="AB19" s="82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v>43116.15</v>
      </c>
      <c r="C20" s="14">
        <v>46936.72</v>
      </c>
      <c r="D20" s="29" t="s">
        <v>54</v>
      </c>
      <c r="E20" s="1">
        <f>C20-B20</f>
        <v>3820.5699999999997</v>
      </c>
      <c r="F20" s="31"/>
      <c r="G20" s="3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81"/>
      <c r="T20" s="30"/>
      <c r="U20" s="30"/>
      <c r="V20" s="30"/>
      <c r="W20" s="1"/>
      <c r="X20" s="30"/>
      <c r="Y20" s="1">
        <f>$E20</f>
        <v>3820.5699999999997</v>
      </c>
      <c r="Z20" s="82">
        <v>32</v>
      </c>
      <c r="AA20" s="82">
        <v>1</v>
      </c>
      <c r="AB20" s="82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27"/>
      <c r="C21" s="28"/>
      <c r="D21" s="29"/>
      <c r="E21" s="30"/>
      <c r="F21" s="31"/>
      <c r="G21" s="3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81"/>
      <c r="T21" s="30"/>
      <c r="U21" s="30"/>
      <c r="V21" s="30"/>
      <c r="W21" s="30"/>
      <c r="X21" s="30"/>
      <c r="Y21" s="30"/>
      <c r="Z21" s="82"/>
      <c r="AA21" s="82"/>
      <c r="AB21" s="82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27"/>
      <c r="C22" s="28"/>
      <c r="D22" s="29"/>
      <c r="E22" s="30"/>
      <c r="F22" s="31"/>
      <c r="G22" s="32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81"/>
      <c r="T22" s="30"/>
      <c r="U22" s="30"/>
      <c r="V22" s="30"/>
      <c r="W22" s="30"/>
      <c r="X22" s="30"/>
      <c r="Y22" s="30"/>
      <c r="Z22" s="82"/>
      <c r="AA22" s="82"/>
      <c r="AB22" s="82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33" t="s">
        <v>52</v>
      </c>
      <c r="C23" s="28"/>
      <c r="D23" s="29"/>
      <c r="E23" s="30"/>
      <c r="F23" s="31"/>
      <c r="G23" s="3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81"/>
      <c r="T23" s="30"/>
      <c r="U23" s="30"/>
      <c r="V23" s="30"/>
      <c r="W23" s="30"/>
      <c r="X23" s="30"/>
      <c r="Y23" s="30"/>
      <c r="Z23" s="82"/>
      <c r="AA23" s="82"/>
      <c r="AB23" s="82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>
        <v>24120</v>
      </c>
      <c r="C24" s="14">
        <v>24280</v>
      </c>
      <c r="D24" s="29" t="s">
        <v>54</v>
      </c>
      <c r="E24" s="1">
        <f>C24-B24</f>
        <v>160</v>
      </c>
      <c r="F24" s="31"/>
      <c r="G24" s="3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81"/>
      <c r="T24" s="30"/>
      <c r="U24" s="30"/>
      <c r="V24" s="1">
        <f>$E24</f>
        <v>160</v>
      </c>
      <c r="W24" s="30"/>
      <c r="X24" s="30"/>
      <c r="Y24" s="30"/>
      <c r="Z24" s="82">
        <v>2</v>
      </c>
      <c r="AA24" s="82"/>
      <c r="AB24" s="82">
        <v>2</v>
      </c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27"/>
      <c r="C25" s="28"/>
      <c r="D25" s="29"/>
      <c r="E25" s="30"/>
      <c r="F25" s="31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81"/>
      <c r="T25" s="30"/>
      <c r="U25" s="30"/>
      <c r="V25" s="30"/>
      <c r="W25" s="30"/>
      <c r="X25" s="30"/>
      <c r="Y25" s="30"/>
      <c r="Z25" s="82"/>
      <c r="AA25" s="82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27"/>
      <c r="C26" s="28"/>
      <c r="D26" s="29"/>
      <c r="E26" s="30"/>
      <c r="F26" s="31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81"/>
      <c r="T26" s="30"/>
      <c r="U26" s="30"/>
      <c r="V26" s="30"/>
      <c r="W26" s="30"/>
      <c r="X26" s="30"/>
      <c r="Y26" s="30"/>
      <c r="Z26" s="82"/>
      <c r="AA26" s="82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27"/>
      <c r="C27" s="28"/>
      <c r="D27" s="29"/>
      <c r="E27" s="30"/>
      <c r="F27" s="31"/>
      <c r="G27" s="3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81"/>
      <c r="T27" s="30"/>
      <c r="U27" s="30"/>
      <c r="V27" s="30"/>
      <c r="W27" s="30"/>
      <c r="X27" s="30"/>
      <c r="Y27" s="30"/>
      <c r="Z27" s="82"/>
      <c r="AA27" s="82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27"/>
      <c r="C28" s="28"/>
      <c r="D28" s="29"/>
      <c r="E28" s="30"/>
      <c r="F28" s="31"/>
      <c r="G28" s="3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81"/>
      <c r="T28" s="30"/>
      <c r="U28" s="30"/>
      <c r="V28" s="30"/>
      <c r="W28" s="30"/>
      <c r="X28" s="30"/>
      <c r="Y28" s="30"/>
      <c r="Z28" s="82"/>
      <c r="AA28" s="82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27"/>
      <c r="C29" s="28"/>
      <c r="D29" s="29"/>
      <c r="E29" s="30"/>
      <c r="F29" s="31"/>
      <c r="G29" s="3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81"/>
      <c r="T29" s="30"/>
      <c r="U29" s="30"/>
      <c r="V29" s="30"/>
      <c r="W29" s="30"/>
      <c r="X29" s="30"/>
      <c r="Y29" s="30"/>
      <c r="Z29" s="82"/>
      <c r="AA29" s="82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33" t="s">
        <v>17</v>
      </c>
      <c r="C30" s="28"/>
      <c r="D30" s="29"/>
      <c r="E30" s="30"/>
      <c r="F30" s="31"/>
      <c r="G30" s="32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81"/>
      <c r="T30" s="30"/>
      <c r="U30" s="30"/>
      <c r="V30" s="30"/>
      <c r="W30" s="30"/>
      <c r="X30" s="30"/>
      <c r="Y30" s="30"/>
      <c r="Z30" s="82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154" t="s">
        <v>18</v>
      </c>
      <c r="C31" s="155"/>
      <c r="D31" s="156"/>
      <c r="E31" s="1">
        <v>10</v>
      </c>
      <c r="F31" s="69"/>
      <c r="G31" s="32"/>
      <c r="H31" s="30"/>
      <c r="I31" s="30"/>
      <c r="J31" s="30"/>
      <c r="K31" s="1">
        <v>6</v>
      </c>
      <c r="L31" s="30"/>
      <c r="M31" s="30"/>
      <c r="N31" s="30"/>
      <c r="O31" s="30"/>
      <c r="P31" s="30"/>
      <c r="Q31" s="30"/>
      <c r="R31" s="30"/>
      <c r="S31" s="81"/>
      <c r="T31" s="30"/>
      <c r="U31" s="30"/>
      <c r="V31" s="1">
        <f>-($E31*1)</f>
        <v>-10</v>
      </c>
      <c r="W31" s="1"/>
      <c r="X31" s="30"/>
      <c r="Y31" s="1">
        <f>-($E31*5)</f>
        <v>-50</v>
      </c>
      <c r="Z31" s="82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13"/>
      <c r="C32" s="9"/>
      <c r="D32" s="3"/>
      <c r="E32" s="1"/>
      <c r="F32" s="30"/>
      <c r="G32" s="32"/>
      <c r="H32" s="30"/>
      <c r="I32" s="67"/>
      <c r="J32" s="30"/>
      <c r="K32" s="1"/>
      <c r="L32" s="30"/>
      <c r="M32" s="30"/>
      <c r="N32" s="30"/>
      <c r="O32" s="30"/>
      <c r="P32" s="30"/>
      <c r="Q32" s="30"/>
      <c r="R32" s="30"/>
      <c r="S32" s="81"/>
      <c r="T32" s="30"/>
      <c r="U32" s="30"/>
      <c r="V32" s="1"/>
      <c r="W32" s="1"/>
      <c r="X32" s="30"/>
      <c r="Y32" s="1"/>
      <c r="Z32" s="82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154" t="s">
        <v>19</v>
      </c>
      <c r="C33" s="155"/>
      <c r="D33" s="156"/>
      <c r="E33" s="1">
        <v>20</v>
      </c>
      <c r="F33" s="31"/>
      <c r="G33" s="32"/>
      <c r="H33" s="30"/>
      <c r="I33" s="30"/>
      <c r="J33" s="30"/>
      <c r="K33" s="1">
        <v>29</v>
      </c>
      <c r="L33" s="30"/>
      <c r="M33" s="30"/>
      <c r="N33" s="30"/>
      <c r="O33" s="30"/>
      <c r="P33" s="30"/>
      <c r="Q33" s="30"/>
      <c r="R33" s="30"/>
      <c r="S33" s="81"/>
      <c r="T33" s="30"/>
      <c r="U33" s="30"/>
      <c r="V33" s="1">
        <f>-($E33*7)</f>
        <v>-140</v>
      </c>
      <c r="W33" s="1"/>
      <c r="X33" s="30"/>
      <c r="Y33" s="1">
        <f>-($E33*22)</f>
        <v>-440</v>
      </c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3"/>
      <c r="C34" s="9"/>
      <c r="D34" s="10"/>
      <c r="E34" s="1"/>
      <c r="F34" s="30"/>
      <c r="G34" s="32"/>
      <c r="H34" s="30"/>
      <c r="I34" s="30"/>
      <c r="J34" s="30"/>
      <c r="K34" s="1"/>
      <c r="L34" s="30"/>
      <c r="M34" s="30"/>
      <c r="N34" s="30"/>
      <c r="O34" s="30"/>
      <c r="P34" s="30"/>
      <c r="Q34" s="30"/>
      <c r="R34" s="30"/>
      <c r="S34" s="81"/>
      <c r="T34" s="30"/>
      <c r="U34" s="30"/>
      <c r="V34" s="1"/>
      <c r="W34" s="1"/>
      <c r="X34" s="30"/>
      <c r="Y34" s="1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54" t="s">
        <v>105</v>
      </c>
      <c r="C35" s="155"/>
      <c r="D35" s="156"/>
      <c r="E35" s="1">
        <v>15</v>
      </c>
      <c r="F35" s="30"/>
      <c r="G35" s="32"/>
      <c r="H35" s="30"/>
      <c r="I35" s="30"/>
      <c r="J35" s="30"/>
      <c r="K35" s="1">
        <v>14</v>
      </c>
      <c r="L35" s="30"/>
      <c r="M35" s="30"/>
      <c r="N35" s="30"/>
      <c r="O35" s="30"/>
      <c r="P35" s="30"/>
      <c r="Q35" s="30"/>
      <c r="R35" s="30"/>
      <c r="S35" s="81"/>
      <c r="T35" s="30"/>
      <c r="U35" s="30"/>
      <c r="V35" s="1">
        <f>-($E35*$K35)</f>
        <v>-210</v>
      </c>
      <c r="W35" s="7"/>
      <c r="X35" s="30"/>
      <c r="Y35" s="7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1"/>
      <c r="C36" s="2"/>
      <c r="D36" s="3"/>
      <c r="E36" s="1"/>
      <c r="F36" s="30"/>
      <c r="G36" s="32"/>
      <c r="H36" s="30"/>
      <c r="I36" s="30"/>
      <c r="J36" s="30"/>
      <c r="K36" s="1"/>
      <c r="L36" s="30"/>
      <c r="M36" s="30"/>
      <c r="N36" s="30"/>
      <c r="O36" s="30"/>
      <c r="P36" s="30"/>
      <c r="Q36" s="30"/>
      <c r="R36" s="30"/>
      <c r="S36" s="81"/>
      <c r="T36" s="30"/>
      <c r="U36" s="30"/>
      <c r="V36" s="1"/>
      <c r="W36" s="1"/>
      <c r="X36" s="30"/>
      <c r="Y36" s="1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54" t="s">
        <v>106</v>
      </c>
      <c r="C37" s="155"/>
      <c r="D37" s="156"/>
      <c r="E37" s="1">
        <v>15</v>
      </c>
      <c r="F37" s="31"/>
      <c r="G37" s="32"/>
      <c r="H37" s="30"/>
      <c r="I37" s="30"/>
      <c r="J37" s="30"/>
      <c r="K37" s="1">
        <v>57</v>
      </c>
      <c r="L37" s="30"/>
      <c r="M37" s="30"/>
      <c r="N37" s="30"/>
      <c r="O37" s="30"/>
      <c r="P37" s="30"/>
      <c r="Q37" s="30"/>
      <c r="R37" s="30"/>
      <c r="S37" s="81"/>
      <c r="T37" s="30"/>
      <c r="U37" s="30"/>
      <c r="V37" s="1"/>
      <c r="W37" s="1"/>
      <c r="X37" s="30"/>
      <c r="Y37" s="1">
        <f>-($E37*$K37)</f>
        <v>-855</v>
      </c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11"/>
      <c r="C38" s="2"/>
      <c r="D38" s="3"/>
      <c r="E38" s="1"/>
      <c r="F38" s="31"/>
      <c r="G38" s="32"/>
      <c r="H38" s="30"/>
      <c r="I38" s="30"/>
      <c r="J38" s="30"/>
      <c r="K38" s="1"/>
      <c r="L38" s="30"/>
      <c r="M38" s="30"/>
      <c r="N38" s="30"/>
      <c r="O38" s="30"/>
      <c r="P38" s="30"/>
      <c r="Q38" s="30"/>
      <c r="R38" s="30"/>
      <c r="S38" s="81"/>
      <c r="T38" s="30"/>
      <c r="U38" s="30"/>
      <c r="V38" s="1"/>
      <c r="W38" s="1"/>
      <c r="X38" s="30"/>
      <c r="Y38" s="1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154" t="s">
        <v>107</v>
      </c>
      <c r="C39" s="155"/>
      <c r="D39" s="156"/>
      <c r="E39" s="1" t="s">
        <v>21</v>
      </c>
      <c r="F39" s="31"/>
      <c r="G39" s="32"/>
      <c r="H39" s="30"/>
      <c r="I39" s="30"/>
      <c r="J39" s="30"/>
      <c r="K39" s="1">
        <v>4</v>
      </c>
      <c r="L39" s="30"/>
      <c r="M39" s="30"/>
      <c r="N39" s="30"/>
      <c r="O39" s="30"/>
      <c r="P39" s="30"/>
      <c r="Q39" s="30"/>
      <c r="R39" s="30"/>
      <c r="S39" s="81"/>
      <c r="T39" s="30"/>
      <c r="U39" s="30"/>
      <c r="V39" s="1"/>
      <c r="W39" s="1"/>
      <c r="X39" s="30"/>
      <c r="Y39" s="30">
        <f>-(23.855+20.16+11.14+8.96)</f>
        <v>-64.11500000000001</v>
      </c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33"/>
      <c r="C40" s="28"/>
      <c r="D40" s="71"/>
      <c r="E40" s="30"/>
      <c r="F40" s="71"/>
      <c r="G40" s="3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81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33"/>
      <c r="C41" s="28"/>
      <c r="D41" s="29"/>
      <c r="E41" s="30"/>
      <c r="F41" s="31"/>
      <c r="G41" s="3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81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27"/>
      <c r="C42" s="28"/>
      <c r="D42" s="29"/>
      <c r="E42" s="30"/>
      <c r="F42" s="71"/>
      <c r="G42" s="32"/>
      <c r="H42" s="30"/>
      <c r="I42" s="72"/>
      <c r="J42" s="30"/>
      <c r="K42" s="30"/>
      <c r="L42" s="30"/>
      <c r="M42" s="30"/>
      <c r="N42" s="30"/>
      <c r="O42" s="30"/>
      <c r="P42" s="30"/>
      <c r="Q42" s="30"/>
      <c r="R42" s="30"/>
      <c r="S42" s="81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105" t="s">
        <v>109</v>
      </c>
      <c r="C43" s="106"/>
      <c r="D43" s="106"/>
      <c r="E43" s="106"/>
      <c r="F43" s="106"/>
      <c r="G43" s="106"/>
      <c r="H43" s="106"/>
      <c r="I43" s="107"/>
      <c r="J43" s="30"/>
      <c r="K43" s="30"/>
      <c r="L43" s="30"/>
      <c r="M43" s="30"/>
      <c r="N43" s="30"/>
      <c r="O43" s="30"/>
      <c r="P43" s="30"/>
      <c r="Q43" s="30"/>
      <c r="R43" s="30"/>
      <c r="S43" s="81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33" t="s">
        <v>84</v>
      </c>
      <c r="C44" s="28"/>
      <c r="D44" s="29"/>
      <c r="E44" s="30"/>
      <c r="F44" s="31"/>
      <c r="G44" s="32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81"/>
      <c r="T44" s="30"/>
      <c r="U44" s="30"/>
      <c r="V44" s="30"/>
      <c r="W44" s="30"/>
      <c r="X44" s="30"/>
      <c r="Y44" s="30"/>
      <c r="Z44" s="30"/>
      <c r="AA44" s="30"/>
      <c r="AB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27">
        <v>46977</v>
      </c>
      <c r="C45" s="28">
        <v>47300</v>
      </c>
      <c r="D45" s="29" t="s">
        <v>41</v>
      </c>
      <c r="E45" s="1">
        <f>C45-B45</f>
        <v>323</v>
      </c>
      <c r="F45" s="138" t="s">
        <v>40</v>
      </c>
      <c r="G45" s="139"/>
      <c r="H45" s="139"/>
      <c r="I45" s="140"/>
      <c r="J45" s="30">
        <v>1939.2248</v>
      </c>
      <c r="K45" s="30"/>
      <c r="L45" s="30"/>
      <c r="M45" s="30"/>
      <c r="N45" s="30"/>
      <c r="O45" s="30"/>
      <c r="P45" s="30"/>
      <c r="Q45" s="30"/>
      <c r="R45" s="30"/>
      <c r="S45" s="81"/>
      <c r="T45" s="30"/>
      <c r="U45" s="30">
        <f>ROUND(($I45+$J45)/9,2)</f>
        <v>215.47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27">
        <v>49484.83</v>
      </c>
      <c r="C46" s="28">
        <v>49600</v>
      </c>
      <c r="D46" s="29" t="s">
        <v>41</v>
      </c>
      <c r="E46" s="1">
        <f>C46-B46</f>
        <v>115.16999999999825</v>
      </c>
      <c r="F46" s="138" t="s">
        <v>40</v>
      </c>
      <c r="G46" s="139"/>
      <c r="H46" s="139"/>
      <c r="I46" s="140"/>
      <c r="J46" s="30">
        <v>506.906</v>
      </c>
      <c r="K46" s="30"/>
      <c r="L46" s="30"/>
      <c r="M46" s="30"/>
      <c r="N46" s="30"/>
      <c r="O46" s="30"/>
      <c r="P46" s="30"/>
      <c r="Q46" s="30"/>
      <c r="R46" s="30"/>
      <c r="S46" s="81"/>
      <c r="T46" s="30"/>
      <c r="U46" s="30">
        <f>ROUND(($I46+$J46)/9,2)</f>
        <v>56.32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27"/>
      <c r="C47" s="28"/>
      <c r="D47" s="29"/>
      <c r="E47" s="30"/>
      <c r="F47" s="31"/>
      <c r="G47" s="32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81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33"/>
      <c r="C48" s="28"/>
      <c r="D48" s="29"/>
      <c r="E48" s="30"/>
      <c r="F48" s="31"/>
      <c r="G48" s="32"/>
      <c r="H48" s="30"/>
      <c r="I48" s="30"/>
      <c r="J48" s="30"/>
      <c r="K48" s="30"/>
      <c r="L48" s="30"/>
      <c r="M48" s="30"/>
      <c r="N48" s="30"/>
      <c r="O48" s="30"/>
      <c r="P48" s="30"/>
      <c r="Q48" s="56"/>
      <c r="R48" s="30"/>
      <c r="S48" s="81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27"/>
      <c r="C49" s="28"/>
      <c r="D49" s="29"/>
      <c r="E49" s="1"/>
      <c r="F49" s="31"/>
      <c r="G49" s="32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81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27"/>
      <c r="C50" s="28"/>
      <c r="D50" s="29"/>
      <c r="E50" s="1"/>
      <c r="F50" s="31"/>
      <c r="G50" s="32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81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14"/>
      <c r="C51" s="14"/>
      <c r="D51" s="29"/>
      <c r="E51" s="1"/>
      <c r="F51" s="69"/>
      <c r="G51" s="32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81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/>
      <c r="C52" s="14"/>
      <c r="D52" s="29"/>
      <c r="E52" s="1"/>
      <c r="F52" s="31"/>
      <c r="G52" s="3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81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27"/>
      <c r="C53" s="28"/>
      <c r="D53" s="29"/>
      <c r="E53" s="30"/>
      <c r="F53" s="31"/>
      <c r="G53" s="3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81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27"/>
      <c r="C54" s="28"/>
      <c r="D54" s="29"/>
      <c r="E54" s="30"/>
      <c r="F54" s="31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81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27"/>
      <c r="C55" s="27"/>
      <c r="D55" s="29"/>
      <c r="E55" s="30"/>
      <c r="F55" s="31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81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27"/>
      <c r="C56" s="28"/>
      <c r="D56" s="29"/>
      <c r="E56" s="30"/>
      <c r="F56" s="31"/>
      <c r="G56" s="3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81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70"/>
      <c r="C57" s="28"/>
      <c r="D57" s="71"/>
      <c r="E57" s="30"/>
      <c r="F57" s="71"/>
      <c r="G57" s="3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81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33" t="s">
        <v>97</v>
      </c>
      <c r="C58" s="28"/>
      <c r="D58" s="29"/>
      <c r="E58" s="30"/>
      <c r="F58" s="31"/>
      <c r="G58" s="32"/>
      <c r="H58" s="30"/>
      <c r="I58" s="30"/>
      <c r="J58" s="30"/>
      <c r="K58" s="30"/>
      <c r="L58" s="30"/>
      <c r="M58" s="30"/>
      <c r="N58" s="30"/>
      <c r="O58" s="30"/>
      <c r="P58" s="30"/>
      <c r="Q58" s="56"/>
      <c r="R58" s="30"/>
      <c r="S58" s="81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27">
        <v>37150</v>
      </c>
      <c r="C59" s="28">
        <v>38050</v>
      </c>
      <c r="D59" s="29" t="s">
        <v>54</v>
      </c>
      <c r="E59" s="1">
        <f>C59-B59</f>
        <v>900</v>
      </c>
      <c r="F59" s="31"/>
      <c r="G59" s="32"/>
      <c r="H59" s="30"/>
      <c r="I59" s="30">
        <f>ROUND(AVERAGE(3.6,15.94),2)</f>
        <v>9.77</v>
      </c>
      <c r="J59" s="30"/>
      <c r="K59" s="30"/>
      <c r="L59" s="30"/>
      <c r="M59" s="30"/>
      <c r="N59" s="30"/>
      <c r="O59" s="30"/>
      <c r="P59" s="30"/>
      <c r="Q59" s="30"/>
      <c r="R59" s="30"/>
      <c r="S59" s="81"/>
      <c r="T59" s="30">
        <f>ROUND((($I59)*($E59))/27,2)</f>
        <v>325.67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39" customFormat="1" ht="21.75" customHeight="1">
      <c r="A60" s="26">
        <f t="shared" si="0"/>
        <v>48</v>
      </c>
      <c r="B60" s="27">
        <f>C59</f>
        <v>38050</v>
      </c>
      <c r="C60" s="28">
        <v>42530.16</v>
      </c>
      <c r="D60" s="29" t="s">
        <v>54</v>
      </c>
      <c r="E60" s="1">
        <f>C60-B60</f>
        <v>4480.1600000000035</v>
      </c>
      <c r="F60" s="31"/>
      <c r="G60" s="32"/>
      <c r="H60" s="30"/>
      <c r="I60" s="30">
        <v>3.6</v>
      </c>
      <c r="J60" s="30"/>
      <c r="K60" s="30"/>
      <c r="L60" s="30"/>
      <c r="M60" s="30"/>
      <c r="N60" s="30"/>
      <c r="O60" s="30"/>
      <c r="P60" s="30"/>
      <c r="Q60" s="30"/>
      <c r="R60" s="30"/>
      <c r="S60" s="81"/>
      <c r="T60" s="30">
        <f>ROUND((($I60)*($E60))/27,2)</f>
        <v>597.35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39" customFormat="1" ht="21.75" customHeight="1">
      <c r="A61" s="26">
        <f t="shared" si="0"/>
        <v>49</v>
      </c>
      <c r="B61" s="14">
        <v>42685.73</v>
      </c>
      <c r="C61" s="14">
        <v>42901.43</v>
      </c>
      <c r="D61" s="29" t="s">
        <v>54</v>
      </c>
      <c r="E61" s="1">
        <f>C61-B61</f>
        <v>215.6999999999971</v>
      </c>
      <c r="F61" s="69"/>
      <c r="G61" s="32"/>
      <c r="H61" s="30"/>
      <c r="I61" s="30">
        <v>3.6</v>
      </c>
      <c r="J61" s="30"/>
      <c r="K61" s="30"/>
      <c r="L61" s="30"/>
      <c r="M61" s="30"/>
      <c r="N61" s="30"/>
      <c r="O61" s="30"/>
      <c r="P61" s="30"/>
      <c r="Q61" s="30"/>
      <c r="R61" s="30"/>
      <c r="S61" s="81"/>
      <c r="T61" s="30">
        <f>ROUND((($I61)*($E61))/27,2)</f>
        <v>28.76</v>
      </c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>
        <v>43116.15</v>
      </c>
      <c r="C62" s="14">
        <v>46936.72</v>
      </c>
      <c r="D62" s="29" t="s">
        <v>54</v>
      </c>
      <c r="E62" s="1">
        <f>C62-B62</f>
        <v>3820.5699999999997</v>
      </c>
      <c r="F62" s="31"/>
      <c r="G62" s="32"/>
      <c r="H62" s="30"/>
      <c r="I62" s="30">
        <v>3.6</v>
      </c>
      <c r="J62" s="30"/>
      <c r="K62" s="30"/>
      <c r="L62" s="30"/>
      <c r="M62" s="30"/>
      <c r="N62" s="30"/>
      <c r="O62" s="30"/>
      <c r="P62" s="30"/>
      <c r="Q62" s="30"/>
      <c r="R62" s="30"/>
      <c r="S62" s="81"/>
      <c r="T62" s="30">
        <f>ROUND((($I62)*($E62))/27,2)</f>
        <v>509.41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27"/>
      <c r="C63" s="28"/>
      <c r="D63" s="29"/>
      <c r="E63" s="30"/>
      <c r="F63" s="31"/>
      <c r="G63" s="3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81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27"/>
      <c r="C64" s="28"/>
      <c r="D64" s="29"/>
      <c r="E64" s="30"/>
      <c r="F64" s="31"/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81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27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 aca="true" t="shared" si="1" ref="R67:AE67">IF(SUM(R13:R66)=0," ",ROUNDUP(SUM(R13:R66),0))</f>
        <v> </v>
      </c>
      <c r="S67" s="125" t="str">
        <f t="shared" si="1"/>
        <v> </v>
      </c>
      <c r="T67" s="125">
        <f t="shared" si="1"/>
        <v>1462</v>
      </c>
      <c r="U67" s="125">
        <f t="shared" si="1"/>
        <v>272</v>
      </c>
      <c r="V67" s="125">
        <f t="shared" si="1"/>
        <v>2100</v>
      </c>
      <c r="W67" s="125">
        <f t="shared" si="1"/>
        <v>14</v>
      </c>
      <c r="X67" s="125" t="str">
        <f t="shared" si="1"/>
        <v> </v>
      </c>
      <c r="Y67" s="125">
        <f t="shared" si="1"/>
        <v>5708</v>
      </c>
      <c r="Z67" s="125">
        <f t="shared" si="1"/>
        <v>56</v>
      </c>
      <c r="AA67" s="125">
        <f t="shared" si="1"/>
        <v>4</v>
      </c>
      <c r="AB67" s="125">
        <f t="shared" si="1"/>
        <v>3</v>
      </c>
      <c r="AC67" s="125" t="str">
        <f t="shared" si="1"/>
        <v> </v>
      </c>
      <c r="AD67" s="125" t="str">
        <f t="shared" si="1"/>
        <v> </v>
      </c>
      <c r="AE67" s="125" t="str">
        <f t="shared" si="1"/>
        <v> </v>
      </c>
      <c r="AF67" s="145">
        <v>14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T69" s="42"/>
      <c r="U69" s="42"/>
      <c r="V69" s="15"/>
      <c r="W69" s="42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T70" s="42"/>
      <c r="U70" s="42"/>
      <c r="V70" s="15"/>
      <c r="W70" s="42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T71" s="42"/>
      <c r="U71" s="42"/>
      <c r="V71" s="15"/>
      <c r="W71" s="42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T72" s="58">
        <v>6</v>
      </c>
      <c r="U72" s="58"/>
      <c r="V72" s="58"/>
      <c r="W72" s="59"/>
      <c r="X72" s="59"/>
      <c r="Y72" s="58"/>
      <c r="Z72" s="58"/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38"/>
      <c r="I73" s="42"/>
      <c r="J73" s="42"/>
      <c r="K73" s="42"/>
      <c r="L73" s="42"/>
      <c r="M73" s="42"/>
      <c r="N73" s="42"/>
      <c r="O73" s="42"/>
      <c r="P73" s="42"/>
      <c r="Q73" s="42"/>
      <c r="R73" s="38"/>
      <c r="T73" s="57"/>
      <c r="U73" s="57"/>
      <c r="V73" s="15"/>
      <c r="W73" s="60"/>
      <c r="X73" s="42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9">
    <mergeCell ref="B33:D33"/>
    <mergeCell ref="J3:J11"/>
    <mergeCell ref="K3:K11"/>
    <mergeCell ref="O3:O11"/>
    <mergeCell ref="B3:C11"/>
    <mergeCell ref="D3:D11"/>
    <mergeCell ref="I3:I11"/>
    <mergeCell ref="B67:Q68"/>
    <mergeCell ref="AE67:AE68"/>
    <mergeCell ref="AF67:AG67"/>
    <mergeCell ref="AF68:AG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AB4:AB11"/>
    <mergeCell ref="V67:V68"/>
    <mergeCell ref="W67:W68"/>
    <mergeCell ref="X67:X68"/>
    <mergeCell ref="AD67:AD68"/>
    <mergeCell ref="Y67:Y68"/>
    <mergeCell ref="AF6:AG50"/>
    <mergeCell ref="AF51:AG66"/>
    <mergeCell ref="W4:W11"/>
    <mergeCell ref="X4:X11"/>
    <mergeCell ref="Y4:Y11"/>
    <mergeCell ref="Z4:Z11"/>
    <mergeCell ref="AA4:AA11"/>
    <mergeCell ref="AG3:AG5"/>
    <mergeCell ref="S4:S11"/>
    <mergeCell ref="T4:T11"/>
    <mergeCell ref="U4:U11"/>
    <mergeCell ref="V4:V11"/>
    <mergeCell ref="AE4:AE11"/>
    <mergeCell ref="AD4:AD11"/>
    <mergeCell ref="B43:I43"/>
    <mergeCell ref="F45:I45"/>
    <mergeCell ref="AC4:AC11"/>
    <mergeCell ref="Q3:Q11"/>
    <mergeCell ref="AF3:AF5"/>
    <mergeCell ref="P3:P11"/>
    <mergeCell ref="H3:H11"/>
    <mergeCell ref="B14:I14"/>
    <mergeCell ref="B31:D31"/>
    <mergeCell ref="R4:R11"/>
    <mergeCell ref="F46:I46"/>
    <mergeCell ref="L3:L11"/>
    <mergeCell ref="M3:M11"/>
    <mergeCell ref="N3:N11"/>
    <mergeCell ref="B35:D35"/>
    <mergeCell ref="B37:D37"/>
    <mergeCell ref="B39:D39"/>
    <mergeCell ref="E3:E11"/>
    <mergeCell ref="F3:F11"/>
    <mergeCell ref="G3:G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W27" sqref="W27"/>
    </sheetView>
  </sheetViews>
  <sheetFormatPr defaultColWidth="9.140625" defaultRowHeight="12.75"/>
  <cols>
    <col min="1" max="3" width="24.7109375" style="15" customWidth="1"/>
    <col min="4" max="21" width="15.7109375" style="15" customWidth="1"/>
    <col min="22" max="22" width="15.7109375" style="61" customWidth="1"/>
    <col min="23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4"/>
      <c r="W1" s="63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>
        <v>442</v>
      </c>
      <c r="S3" s="51"/>
      <c r="T3" s="51">
        <v>618</v>
      </c>
      <c r="U3" s="51"/>
      <c r="V3" s="51"/>
      <c r="W3" s="50"/>
      <c r="X3" s="51"/>
      <c r="Y3" s="50"/>
      <c r="Z3" s="51"/>
      <c r="AA3" s="50"/>
      <c r="AB3" s="51"/>
      <c r="AC3" s="50"/>
      <c r="AD3" s="51"/>
      <c r="AE3" s="51"/>
      <c r="AF3" s="97" t="s">
        <v>12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 t="s">
        <v>62</v>
      </c>
      <c r="S4" s="102"/>
      <c r="T4" s="102" t="s">
        <v>92</v>
      </c>
      <c r="U4" s="102"/>
      <c r="V4" s="102"/>
      <c r="W4" s="99"/>
      <c r="X4" s="102"/>
      <c r="Y4" s="99"/>
      <c r="Z4" s="102"/>
      <c r="AA4" s="99"/>
      <c r="AB4" s="102"/>
      <c r="AC4" s="99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3"/>
      <c r="T5" s="103"/>
      <c r="U5" s="103"/>
      <c r="V5" s="103"/>
      <c r="W5" s="100"/>
      <c r="X5" s="103"/>
      <c r="Y5" s="100"/>
      <c r="Z5" s="103"/>
      <c r="AA5" s="100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3"/>
      <c r="T6" s="103"/>
      <c r="U6" s="103"/>
      <c r="V6" s="103"/>
      <c r="W6" s="100"/>
      <c r="X6" s="103"/>
      <c r="Y6" s="100"/>
      <c r="Z6" s="103"/>
      <c r="AA6" s="100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3"/>
      <c r="T7" s="103"/>
      <c r="U7" s="103"/>
      <c r="V7" s="103"/>
      <c r="W7" s="100"/>
      <c r="X7" s="103"/>
      <c r="Y7" s="100"/>
      <c r="Z7" s="103"/>
      <c r="AA7" s="100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3"/>
      <c r="T8" s="103"/>
      <c r="U8" s="103"/>
      <c r="V8" s="103"/>
      <c r="W8" s="100"/>
      <c r="X8" s="103"/>
      <c r="Y8" s="100"/>
      <c r="Z8" s="103"/>
      <c r="AA8" s="100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3"/>
      <c r="T9" s="103"/>
      <c r="U9" s="103"/>
      <c r="V9" s="103"/>
      <c r="W9" s="100"/>
      <c r="X9" s="103"/>
      <c r="Y9" s="100"/>
      <c r="Z9" s="103"/>
      <c r="AA9" s="100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3"/>
      <c r="T10" s="103"/>
      <c r="U10" s="103"/>
      <c r="V10" s="103"/>
      <c r="W10" s="100"/>
      <c r="X10" s="103"/>
      <c r="Y10" s="100"/>
      <c r="Z10" s="103"/>
      <c r="AA10" s="100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4"/>
      <c r="T11" s="104"/>
      <c r="U11" s="104"/>
      <c r="V11" s="104"/>
      <c r="W11" s="101"/>
      <c r="X11" s="104"/>
      <c r="Y11" s="101"/>
      <c r="Z11" s="104"/>
      <c r="AA11" s="101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 t="s">
        <v>34</v>
      </c>
      <c r="S12" s="25"/>
      <c r="T12" s="25" t="s">
        <v>93</v>
      </c>
      <c r="U12" s="25"/>
      <c r="V12" s="25"/>
      <c r="W12" s="52"/>
      <c r="X12" s="25"/>
      <c r="Y12" s="52"/>
      <c r="Z12" s="25"/>
      <c r="AA12" s="52"/>
      <c r="AB12" s="25"/>
      <c r="AC12" s="52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94</v>
      </c>
      <c r="C14" s="106"/>
      <c r="D14" s="106"/>
      <c r="E14" s="106"/>
      <c r="F14" s="106"/>
      <c r="G14" s="106"/>
      <c r="H14" s="106"/>
      <c r="I14" s="10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36</v>
      </c>
      <c r="C15" s="71"/>
      <c r="D15" s="29"/>
      <c r="E15" s="30"/>
      <c r="F15" s="37"/>
      <c r="G15" s="32"/>
      <c r="H15" s="30"/>
      <c r="I15" s="30"/>
      <c r="J15" s="30"/>
      <c r="K15" s="30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>A15+1</f>
        <v>4</v>
      </c>
      <c r="B16" s="28">
        <v>42486.43</v>
      </c>
      <c r="C16" s="28">
        <v>42511.43</v>
      </c>
      <c r="D16" s="29" t="s">
        <v>39</v>
      </c>
      <c r="E16" s="30">
        <f>C16-B16</f>
        <v>25</v>
      </c>
      <c r="F16" s="31"/>
      <c r="G16" s="32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81">
        <f>ROUND(($E16/T$72),3)</f>
        <v>0.005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aca="true" t="shared" si="0" ref="A17:A66">A16+1</f>
        <v>5</v>
      </c>
      <c r="B17" s="27">
        <v>42667</v>
      </c>
      <c r="C17" s="28">
        <v>42692</v>
      </c>
      <c r="D17" s="29" t="s">
        <v>39</v>
      </c>
      <c r="E17" s="30">
        <f>C17-B17</f>
        <v>25</v>
      </c>
      <c r="F17" s="30"/>
      <c r="G17" s="3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81">
        <f>ROUND(($E17/T$72),3)</f>
        <v>0.005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27">
        <v>42501.96</v>
      </c>
      <c r="C18" s="28">
        <v>42526.96</v>
      </c>
      <c r="D18" s="29" t="s">
        <v>38</v>
      </c>
      <c r="E18" s="30">
        <f>C18-B18</f>
        <v>25</v>
      </c>
      <c r="F18" s="31"/>
      <c r="G18" s="3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81">
        <f>ROUND(($E18/T$72),3)</f>
        <v>0.005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27">
        <v>42682.53</v>
      </c>
      <c r="C19" s="28">
        <v>42707.53</v>
      </c>
      <c r="D19" s="29" t="s">
        <v>38</v>
      </c>
      <c r="E19" s="30">
        <f>C19-B19</f>
        <v>25</v>
      </c>
      <c r="F19" s="31"/>
      <c r="G19" s="3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81">
        <f>ROUND(($E19/T$72),3)</f>
        <v>0.005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27"/>
      <c r="C20" s="28"/>
      <c r="D20" s="29"/>
      <c r="E20" s="30"/>
      <c r="F20" s="31"/>
      <c r="G20" s="3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8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27"/>
      <c r="C21" s="28"/>
      <c r="D21" s="29"/>
      <c r="E21" s="30"/>
      <c r="F21" s="31"/>
      <c r="G21" s="3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81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33" t="s">
        <v>44</v>
      </c>
      <c r="C22" s="28"/>
      <c r="D22" s="29"/>
      <c r="E22" s="30"/>
      <c r="F22" s="31"/>
      <c r="G22" s="32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81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27">
        <v>42523.89</v>
      </c>
      <c r="C23" s="28">
        <v>42548.89</v>
      </c>
      <c r="D23" s="29" t="s">
        <v>45</v>
      </c>
      <c r="E23" s="30">
        <f>C23-B23</f>
        <v>25</v>
      </c>
      <c r="F23" s="31"/>
      <c r="G23" s="3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81">
        <f>ROUND(($E23/T$72),3)</f>
        <v>0.005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27">
        <v>42704.45</v>
      </c>
      <c r="C24" s="28">
        <v>42729.45</v>
      </c>
      <c r="D24" s="29" t="s">
        <v>45</v>
      </c>
      <c r="E24" s="30">
        <f>C24-B24</f>
        <v>25</v>
      </c>
      <c r="F24" s="31"/>
      <c r="G24" s="3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81">
        <f>ROUND(($E24/T$72),3)</f>
        <v>0.005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27">
        <v>37592.24</v>
      </c>
      <c r="C25" s="28">
        <v>37620.24</v>
      </c>
      <c r="D25" s="29" t="s">
        <v>46</v>
      </c>
      <c r="E25" s="30">
        <f>C25-B25</f>
        <v>28</v>
      </c>
      <c r="F25" s="31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81">
        <f>ROUND(($E25/T$72),3)</f>
        <v>0.005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27">
        <v>42508.36</v>
      </c>
      <c r="C26" s="28">
        <v>42533.36</v>
      </c>
      <c r="D26" s="29" t="s">
        <v>46</v>
      </c>
      <c r="E26" s="30">
        <f>C26-B26</f>
        <v>25</v>
      </c>
      <c r="F26" s="31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81">
        <f>ROUND(($E26/T$72),3)</f>
        <v>0.005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27">
        <v>42688.92</v>
      </c>
      <c r="C27" s="28">
        <v>42713.92</v>
      </c>
      <c r="D27" s="29" t="s">
        <v>46</v>
      </c>
      <c r="E27" s="30">
        <f>C27-B27</f>
        <v>25</v>
      </c>
      <c r="F27" s="31"/>
      <c r="G27" s="3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81">
        <f>ROUND(($E27/T$72),3)</f>
        <v>0.005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27"/>
      <c r="C28" s="28"/>
      <c r="D28" s="29"/>
      <c r="E28" s="30"/>
      <c r="F28" s="31"/>
      <c r="G28" s="3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81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27"/>
      <c r="C29" s="28"/>
      <c r="D29" s="29"/>
      <c r="E29" s="30"/>
      <c r="F29" s="69"/>
      <c r="G29" s="3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81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33" t="s">
        <v>43</v>
      </c>
      <c r="C30" s="28"/>
      <c r="D30" s="29"/>
      <c r="E30" s="30"/>
      <c r="F30" s="30"/>
      <c r="G30" s="32"/>
      <c r="H30" s="30"/>
      <c r="I30" s="6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81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27">
        <v>49444.48</v>
      </c>
      <c r="C31" s="28">
        <v>50243.78</v>
      </c>
      <c r="D31" s="29" t="s">
        <v>41</v>
      </c>
      <c r="E31" s="30">
        <f aca="true" t="shared" si="1" ref="E31:E38">C31-B31</f>
        <v>799.2999999999956</v>
      </c>
      <c r="F31" s="31"/>
      <c r="G31" s="32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81">
        <f>ROUND(($E31/T$72),3)</f>
        <v>0.151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27">
        <v>50400.29</v>
      </c>
      <c r="C32" s="28">
        <v>51495</v>
      </c>
      <c r="D32" s="29" t="s">
        <v>41</v>
      </c>
      <c r="E32" s="30">
        <f t="shared" si="1"/>
        <v>1094.7099999999991</v>
      </c>
      <c r="F32" s="30"/>
      <c r="G32" s="32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81">
        <f>ROUND(($E32/T$72),3)</f>
        <v>0.207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27">
        <v>49444.48</v>
      </c>
      <c r="C33" s="28">
        <v>49794.61</v>
      </c>
      <c r="D33" s="29" t="s">
        <v>37</v>
      </c>
      <c r="E33" s="30">
        <f t="shared" si="1"/>
        <v>350.1299999999974</v>
      </c>
      <c r="F33" s="30"/>
      <c r="G33" s="32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81">
        <f>ROUND(($E33/T$72),3)</f>
        <v>0.066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27">
        <v>50148.92</v>
      </c>
      <c r="C34" s="28">
        <v>51495</v>
      </c>
      <c r="D34" s="29" t="s">
        <v>37</v>
      </c>
      <c r="E34" s="30">
        <f t="shared" si="1"/>
        <v>1346.0800000000017</v>
      </c>
      <c r="F34" s="30"/>
      <c r="G34" s="32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81">
        <f>ROUND(($E34/T$72),3)</f>
        <v>0.255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27"/>
      <c r="C35" s="28"/>
      <c r="D35" s="29"/>
      <c r="E35" s="30"/>
      <c r="F35" s="30"/>
      <c r="G35" s="32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81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27"/>
      <c r="C36" s="28"/>
      <c r="D36" s="29"/>
      <c r="E36" s="30"/>
      <c r="F36" s="30"/>
      <c r="G36" s="3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81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33" t="s">
        <v>50</v>
      </c>
      <c r="C37" s="28"/>
      <c r="D37" s="29"/>
      <c r="E37" s="30"/>
      <c r="F37" s="31"/>
      <c r="G37" s="32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81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27">
        <v>40243.78</v>
      </c>
      <c r="C38" s="28">
        <v>40401.23</v>
      </c>
      <c r="D38" s="29" t="s">
        <v>41</v>
      </c>
      <c r="E38" s="30">
        <f t="shared" si="1"/>
        <v>157.45000000000437</v>
      </c>
      <c r="F38" s="31"/>
      <c r="G38" s="32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81">
        <f>ROUND(($E38/T$72),3)</f>
        <v>0.03</v>
      </c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27"/>
      <c r="C39" s="28"/>
      <c r="D39" s="29"/>
      <c r="E39" s="30"/>
      <c r="F39" s="31"/>
      <c r="G39" s="32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8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33"/>
      <c r="C40" s="28"/>
      <c r="D40" s="71"/>
      <c r="E40" s="30"/>
      <c r="F40" s="71"/>
      <c r="G40" s="3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8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33" t="s">
        <v>51</v>
      </c>
      <c r="C41" s="28"/>
      <c r="D41" s="29"/>
      <c r="E41" s="30"/>
      <c r="F41" s="31"/>
      <c r="G41" s="3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8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27">
        <v>79794.1</v>
      </c>
      <c r="C42" s="28">
        <v>80148.92</v>
      </c>
      <c r="D42" s="29" t="s">
        <v>37</v>
      </c>
      <c r="E42" s="30">
        <f>C42-B42</f>
        <v>354.81999999999243</v>
      </c>
      <c r="F42" s="71"/>
      <c r="G42" s="32"/>
      <c r="H42" s="30"/>
      <c r="I42" s="72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81">
        <f>ROUND(($E42/T$72),3)</f>
        <v>0.067</v>
      </c>
      <c r="U42" s="30"/>
      <c r="V42" s="30"/>
      <c r="W42" s="30"/>
      <c r="X42" s="30"/>
      <c r="Y42" s="30"/>
      <c r="Z42" s="30"/>
      <c r="AA42" s="30"/>
      <c r="AB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27"/>
      <c r="C43" s="28"/>
      <c r="D43" s="29"/>
      <c r="E43" s="30"/>
      <c r="F43" s="69"/>
      <c r="G43" s="32"/>
      <c r="H43" s="30"/>
      <c r="I43" s="67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81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27"/>
      <c r="C44" s="28"/>
      <c r="D44" s="29"/>
      <c r="E44" s="30"/>
      <c r="F44" s="31"/>
      <c r="G44" s="32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81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27"/>
      <c r="C45" s="28"/>
      <c r="D45" s="29"/>
      <c r="E45" s="30"/>
      <c r="F45" s="31"/>
      <c r="G45" s="32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8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27"/>
      <c r="C46" s="28"/>
      <c r="D46" s="29"/>
      <c r="E46" s="30"/>
      <c r="F46" s="31"/>
      <c r="G46" s="3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81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33"/>
      <c r="C47" s="28"/>
      <c r="D47" s="29"/>
      <c r="E47" s="30"/>
      <c r="F47" s="31"/>
      <c r="G47" s="32"/>
      <c r="H47" s="30"/>
      <c r="I47" s="30"/>
      <c r="J47" s="30"/>
      <c r="K47" s="30"/>
      <c r="L47" s="30"/>
      <c r="M47" s="30"/>
      <c r="N47" s="30"/>
      <c r="O47" s="30"/>
      <c r="P47" s="30"/>
      <c r="Q47" s="56"/>
      <c r="R47" s="30"/>
      <c r="S47" s="30"/>
      <c r="T47" s="81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27"/>
      <c r="C48" s="28"/>
      <c r="D48" s="29"/>
      <c r="E48" s="30"/>
      <c r="F48" s="31"/>
      <c r="G48" s="32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81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27"/>
      <c r="C49" s="28"/>
      <c r="D49" s="29"/>
      <c r="E49" s="30"/>
      <c r="F49" s="31"/>
      <c r="G49" s="32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81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27"/>
      <c r="C50" s="28"/>
      <c r="D50" s="29"/>
      <c r="E50" s="30"/>
      <c r="F50" s="69"/>
      <c r="G50" s="32"/>
      <c r="H50" s="30"/>
      <c r="I50" s="67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8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27"/>
      <c r="C51" s="28"/>
      <c r="D51" s="29"/>
      <c r="E51" s="30"/>
      <c r="F51" s="69"/>
      <c r="G51" s="32"/>
      <c r="H51" s="30"/>
      <c r="I51" s="67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81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33"/>
      <c r="C52" s="28"/>
      <c r="D52" s="29"/>
      <c r="E52" s="30"/>
      <c r="F52" s="31"/>
      <c r="G52" s="3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81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27"/>
      <c r="C53" s="28"/>
      <c r="D53" s="29"/>
      <c r="E53" s="30"/>
      <c r="F53" s="31"/>
      <c r="G53" s="3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81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27"/>
      <c r="C54" s="28"/>
      <c r="D54" s="29"/>
      <c r="E54" s="30"/>
      <c r="F54" s="31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81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27"/>
      <c r="C55" s="27"/>
      <c r="D55" s="29"/>
      <c r="E55" s="30"/>
      <c r="F55" s="31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81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105" t="s">
        <v>96</v>
      </c>
      <c r="C56" s="106"/>
      <c r="D56" s="106"/>
      <c r="E56" s="106"/>
      <c r="F56" s="106"/>
      <c r="G56" s="106"/>
      <c r="H56" s="106"/>
      <c r="I56" s="107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81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33" t="s">
        <v>85</v>
      </c>
      <c r="C57" s="28"/>
      <c r="D57" s="29"/>
      <c r="E57" s="30"/>
      <c r="F57" s="31"/>
      <c r="G57" s="3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81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27">
        <v>42505.16</v>
      </c>
      <c r="C58" s="28">
        <v>42530.16</v>
      </c>
      <c r="D58" s="29" t="s">
        <v>54</v>
      </c>
      <c r="E58" s="1">
        <f>C58-B58</f>
        <v>25</v>
      </c>
      <c r="F58" s="31">
        <v>2.81</v>
      </c>
      <c r="G58" s="32"/>
      <c r="H58" s="30"/>
      <c r="I58" s="30">
        <f>IF(G58=0,ROUND($E58*$F58,2),ROUND($E58*$F58*$G58,2))</f>
        <v>70.25</v>
      </c>
      <c r="J58" s="30"/>
      <c r="K58" s="30"/>
      <c r="L58" s="30"/>
      <c r="M58" s="30"/>
      <c r="N58" s="30"/>
      <c r="O58" s="30"/>
      <c r="P58" s="30"/>
      <c r="Q58" s="30"/>
      <c r="R58" s="30">
        <f>ROUND(-((($I58+$J58)*(R$72/12))/27),2)</f>
        <v>-0.33</v>
      </c>
      <c r="S58" s="30"/>
      <c r="T58" s="81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27">
        <v>42685.73</v>
      </c>
      <c r="C59" s="28">
        <v>42710.73</v>
      </c>
      <c r="D59" s="29" t="s">
        <v>54</v>
      </c>
      <c r="E59" s="1">
        <f>C59-B59</f>
        <v>25</v>
      </c>
      <c r="F59" s="31">
        <v>2.81</v>
      </c>
      <c r="G59" s="32"/>
      <c r="H59" s="30"/>
      <c r="I59" s="30">
        <f>IF(G59=0,ROUND($E59*$F59,2),ROUND($E59*$F59*$G59,2))</f>
        <v>70.25</v>
      </c>
      <c r="J59" s="30"/>
      <c r="K59" s="30"/>
      <c r="L59" s="30"/>
      <c r="M59" s="30"/>
      <c r="N59" s="30"/>
      <c r="O59" s="30"/>
      <c r="P59" s="30"/>
      <c r="Q59" s="30"/>
      <c r="R59" s="30">
        <f>ROUND(-((($I59+$J59)*(R$72/12))/27),2)</f>
        <v>-0.33</v>
      </c>
      <c r="S59" s="30"/>
      <c r="T59" s="81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39" customFormat="1" ht="21.75" customHeight="1">
      <c r="A60" s="26">
        <f t="shared" si="0"/>
        <v>48</v>
      </c>
      <c r="B60" s="33"/>
      <c r="C60" s="28"/>
      <c r="D60" s="29"/>
      <c r="E60" s="30"/>
      <c r="F60" s="31"/>
      <c r="G60" s="32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81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39" customFormat="1" ht="21.75" customHeight="1">
      <c r="A61" s="26">
        <f t="shared" si="0"/>
        <v>49</v>
      </c>
      <c r="B61" s="33" t="s">
        <v>52</v>
      </c>
      <c r="C61" s="71"/>
      <c r="D61" s="29"/>
      <c r="E61" s="30"/>
      <c r="F61" s="37"/>
      <c r="G61" s="32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81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>
        <v>24120</v>
      </c>
      <c r="C62" s="14">
        <v>24280</v>
      </c>
      <c r="D62" s="29" t="s">
        <v>54</v>
      </c>
      <c r="E62" s="1">
        <f>C62-B62</f>
        <v>160</v>
      </c>
      <c r="F62" s="31">
        <v>2.81</v>
      </c>
      <c r="G62" s="32"/>
      <c r="H62" s="30"/>
      <c r="I62" s="30">
        <f>IF(G62=0,ROUND($E62*$F62,2),ROUND($E62*$F62*$G62,2))</f>
        <v>449.6</v>
      </c>
      <c r="J62" s="30"/>
      <c r="K62" s="30"/>
      <c r="L62" s="30"/>
      <c r="M62" s="30"/>
      <c r="N62" s="30"/>
      <c r="O62" s="30"/>
      <c r="P62" s="30"/>
      <c r="Q62" s="30"/>
      <c r="R62" s="30">
        <f>ROUND(-((($I62+$J62)*(R$72/12))/27),2)</f>
        <v>-2.08</v>
      </c>
      <c r="S62" s="30"/>
      <c r="T62" s="81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27"/>
      <c r="C63" s="28"/>
      <c r="D63" s="29"/>
      <c r="E63" s="30"/>
      <c r="F63" s="31"/>
      <c r="G63" s="3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81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27"/>
      <c r="C64" s="28"/>
      <c r="D64" s="29"/>
      <c r="E64" s="30"/>
      <c r="F64" s="31"/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81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27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>
        <f aca="true" t="shared" si="2" ref="R67:AE67">IF(SUM(R13:R66)=0," ",ROUNDUP(SUM(R13:R66),0))</f>
        <v>-3</v>
      </c>
      <c r="S67" s="125" t="str">
        <f t="shared" si="2"/>
        <v> </v>
      </c>
      <c r="T67" s="125">
        <f t="shared" si="2"/>
        <v>1</v>
      </c>
      <c r="U67" s="125" t="str">
        <f t="shared" si="2"/>
        <v> </v>
      </c>
      <c r="V67" s="125" t="str">
        <f t="shared" si="2"/>
        <v> </v>
      </c>
      <c r="W67" s="125" t="str">
        <f t="shared" si="2"/>
        <v> </v>
      </c>
      <c r="X67" s="125" t="str">
        <f t="shared" si="2"/>
        <v> </v>
      </c>
      <c r="Y67" s="125" t="str">
        <f t="shared" si="2"/>
        <v> </v>
      </c>
      <c r="Z67" s="125" t="str">
        <f t="shared" si="2"/>
        <v> </v>
      </c>
      <c r="AA67" s="125" t="str">
        <f t="shared" si="2"/>
        <v> </v>
      </c>
      <c r="AB67" s="125" t="str">
        <f t="shared" si="2"/>
        <v> </v>
      </c>
      <c r="AC67" s="125" t="str">
        <f t="shared" si="2"/>
        <v> </v>
      </c>
      <c r="AD67" s="125" t="str">
        <f t="shared" si="2"/>
        <v> </v>
      </c>
      <c r="AE67" s="125" t="str">
        <f t="shared" si="2"/>
        <v> </v>
      </c>
      <c r="AF67" s="145">
        <v>15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15"/>
      <c r="W69" s="42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15"/>
      <c r="W70" s="42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15"/>
      <c r="W71" s="42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8"/>
      <c r="I72" s="57"/>
      <c r="J72" s="57"/>
      <c r="K72" s="57"/>
      <c r="L72" s="57"/>
      <c r="M72" s="57"/>
      <c r="N72" s="57"/>
      <c r="O72" s="57"/>
      <c r="P72" s="57"/>
      <c r="Q72" s="57"/>
      <c r="R72" s="57">
        <v>1.5</v>
      </c>
      <c r="S72" s="57"/>
      <c r="T72" s="58">
        <v>5280</v>
      </c>
      <c r="U72" s="58"/>
      <c r="V72" s="58"/>
      <c r="W72" s="59"/>
      <c r="X72" s="59"/>
      <c r="Y72" s="58"/>
      <c r="Z72" s="58"/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57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U73" s="57"/>
      <c r="V73" s="15"/>
      <c r="W73" s="60"/>
      <c r="X73" s="42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2">
    <mergeCell ref="B56:I56"/>
    <mergeCell ref="AB67:AB68"/>
    <mergeCell ref="AC67:AC68"/>
    <mergeCell ref="AD67:AD68"/>
    <mergeCell ref="B67:Q68"/>
    <mergeCell ref="R67:R68"/>
    <mergeCell ref="S67:S68"/>
    <mergeCell ref="T67:T68"/>
    <mergeCell ref="U67:U68"/>
    <mergeCell ref="AF68:AG68"/>
    <mergeCell ref="V67:V68"/>
    <mergeCell ref="W67:W68"/>
    <mergeCell ref="X67:X68"/>
    <mergeCell ref="Y67:Y68"/>
    <mergeCell ref="Z67:Z68"/>
    <mergeCell ref="AA67:AA68"/>
    <mergeCell ref="AE67:AE68"/>
    <mergeCell ref="AF67:AG67"/>
    <mergeCell ref="AC4:AC11"/>
    <mergeCell ref="AD4:AD11"/>
    <mergeCell ref="AE4:AE11"/>
    <mergeCell ref="AF6:AG50"/>
    <mergeCell ref="AF3:AF5"/>
    <mergeCell ref="AG3:AG5"/>
    <mergeCell ref="B14:I14"/>
    <mergeCell ref="AF51:AG66"/>
    <mergeCell ref="W4:W11"/>
    <mergeCell ref="X4:X11"/>
    <mergeCell ref="Y4:Y11"/>
    <mergeCell ref="Z4:Z11"/>
    <mergeCell ref="AA4:AA11"/>
    <mergeCell ref="AB4:AB11"/>
    <mergeCell ref="P3:P11"/>
    <mergeCell ref="Q3:Q11"/>
    <mergeCell ref="R4:R11"/>
    <mergeCell ref="S4:S11"/>
    <mergeCell ref="T4:T11"/>
    <mergeCell ref="U4:U11"/>
    <mergeCell ref="V4:V11"/>
    <mergeCell ref="H3:H11"/>
    <mergeCell ref="J3:J11"/>
    <mergeCell ref="K3:K11"/>
    <mergeCell ref="L3:L11"/>
    <mergeCell ref="M3:M11"/>
    <mergeCell ref="N3:N11"/>
    <mergeCell ref="O3:O11"/>
    <mergeCell ref="B3:C11"/>
    <mergeCell ref="D3:D11"/>
    <mergeCell ref="E3:E11"/>
    <mergeCell ref="F3:F11"/>
    <mergeCell ref="G3:G11"/>
    <mergeCell ref="I3:I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 t="s">
        <v>25</v>
      </c>
      <c r="L3" s="127" t="s">
        <v>26</v>
      </c>
      <c r="M3" s="127" t="s">
        <v>27</v>
      </c>
      <c r="N3" s="127" t="s">
        <v>28</v>
      </c>
      <c r="O3" s="127" t="s">
        <v>29</v>
      </c>
      <c r="P3" s="127" t="s">
        <v>30</v>
      </c>
      <c r="Q3" s="127" t="s">
        <v>31</v>
      </c>
      <c r="R3" s="50"/>
      <c r="S3" s="50"/>
      <c r="T3" s="50">
        <v>302</v>
      </c>
      <c r="U3" s="50">
        <v>304</v>
      </c>
      <c r="V3" s="50"/>
      <c r="W3" s="50">
        <v>407</v>
      </c>
      <c r="X3" s="50"/>
      <c r="Y3" s="50"/>
      <c r="Z3" s="50">
        <v>442</v>
      </c>
      <c r="AA3" s="50">
        <v>442</v>
      </c>
      <c r="AB3" s="50">
        <v>442</v>
      </c>
      <c r="AC3" s="50"/>
      <c r="AD3" s="51">
        <v>609</v>
      </c>
      <c r="AE3" s="51"/>
      <c r="AF3" s="97" t="s">
        <v>12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36"/>
      <c r="K4" s="136"/>
      <c r="L4" s="103"/>
      <c r="M4" s="103"/>
      <c r="N4" s="103"/>
      <c r="O4" s="103"/>
      <c r="P4" s="103"/>
      <c r="Q4" s="103"/>
      <c r="R4" s="99"/>
      <c r="S4" s="102"/>
      <c r="T4" s="99" t="s">
        <v>32</v>
      </c>
      <c r="U4" s="99" t="s">
        <v>111</v>
      </c>
      <c r="V4" s="99"/>
      <c r="W4" s="99" t="s">
        <v>70</v>
      </c>
      <c r="X4" s="99"/>
      <c r="Y4" s="102"/>
      <c r="Z4" s="99" t="s">
        <v>62</v>
      </c>
      <c r="AA4" s="102" t="s">
        <v>112</v>
      </c>
      <c r="AB4" s="99" t="s">
        <v>33</v>
      </c>
      <c r="AC4" s="99"/>
      <c r="AD4" s="102" t="s">
        <v>108</v>
      </c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36"/>
      <c r="K5" s="136"/>
      <c r="L5" s="103"/>
      <c r="M5" s="103"/>
      <c r="N5" s="103"/>
      <c r="O5" s="103"/>
      <c r="P5" s="103"/>
      <c r="Q5" s="103"/>
      <c r="R5" s="100"/>
      <c r="S5" s="103"/>
      <c r="T5" s="100"/>
      <c r="U5" s="100"/>
      <c r="V5" s="100"/>
      <c r="W5" s="100"/>
      <c r="X5" s="100"/>
      <c r="Y5" s="103"/>
      <c r="Z5" s="100"/>
      <c r="AA5" s="103"/>
      <c r="AB5" s="100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36"/>
      <c r="K6" s="136"/>
      <c r="L6" s="103"/>
      <c r="M6" s="103"/>
      <c r="N6" s="103"/>
      <c r="O6" s="103"/>
      <c r="P6" s="103"/>
      <c r="Q6" s="103"/>
      <c r="R6" s="100"/>
      <c r="S6" s="103"/>
      <c r="T6" s="100"/>
      <c r="U6" s="100"/>
      <c r="V6" s="100"/>
      <c r="W6" s="100"/>
      <c r="X6" s="100"/>
      <c r="Y6" s="103"/>
      <c r="Z6" s="100"/>
      <c r="AA6" s="103"/>
      <c r="AB6" s="100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36"/>
      <c r="K7" s="136"/>
      <c r="L7" s="103"/>
      <c r="M7" s="103"/>
      <c r="N7" s="103"/>
      <c r="O7" s="103"/>
      <c r="P7" s="103"/>
      <c r="Q7" s="103"/>
      <c r="R7" s="100"/>
      <c r="S7" s="103"/>
      <c r="T7" s="100"/>
      <c r="U7" s="100"/>
      <c r="V7" s="100"/>
      <c r="W7" s="100"/>
      <c r="X7" s="100"/>
      <c r="Y7" s="103"/>
      <c r="Z7" s="100"/>
      <c r="AA7" s="103"/>
      <c r="AB7" s="100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36"/>
      <c r="K8" s="136"/>
      <c r="L8" s="103"/>
      <c r="M8" s="103"/>
      <c r="N8" s="103"/>
      <c r="O8" s="103"/>
      <c r="P8" s="103"/>
      <c r="Q8" s="103"/>
      <c r="R8" s="100"/>
      <c r="S8" s="103"/>
      <c r="T8" s="100"/>
      <c r="U8" s="100"/>
      <c r="V8" s="100"/>
      <c r="W8" s="100"/>
      <c r="X8" s="100"/>
      <c r="Y8" s="103"/>
      <c r="Z8" s="100"/>
      <c r="AA8" s="103"/>
      <c r="AB8" s="100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36"/>
      <c r="K9" s="136"/>
      <c r="L9" s="103"/>
      <c r="M9" s="103"/>
      <c r="N9" s="103"/>
      <c r="O9" s="103"/>
      <c r="P9" s="103"/>
      <c r="Q9" s="103"/>
      <c r="R9" s="100"/>
      <c r="S9" s="103"/>
      <c r="T9" s="100"/>
      <c r="U9" s="100"/>
      <c r="V9" s="100"/>
      <c r="W9" s="100"/>
      <c r="X9" s="100"/>
      <c r="Y9" s="103"/>
      <c r="Z9" s="100"/>
      <c r="AA9" s="103"/>
      <c r="AB9" s="100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36"/>
      <c r="K10" s="136"/>
      <c r="L10" s="103"/>
      <c r="M10" s="103"/>
      <c r="N10" s="103"/>
      <c r="O10" s="103"/>
      <c r="P10" s="103"/>
      <c r="Q10" s="103"/>
      <c r="R10" s="100"/>
      <c r="S10" s="103"/>
      <c r="T10" s="100"/>
      <c r="U10" s="100"/>
      <c r="V10" s="100"/>
      <c r="W10" s="100"/>
      <c r="X10" s="100"/>
      <c r="Y10" s="103"/>
      <c r="Z10" s="100"/>
      <c r="AA10" s="103"/>
      <c r="AB10" s="100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37"/>
      <c r="K11" s="137"/>
      <c r="L11" s="104"/>
      <c r="M11" s="104"/>
      <c r="N11" s="104"/>
      <c r="O11" s="104"/>
      <c r="P11" s="104"/>
      <c r="Q11" s="104"/>
      <c r="R11" s="101"/>
      <c r="S11" s="104"/>
      <c r="T11" s="101"/>
      <c r="U11" s="101"/>
      <c r="V11" s="101"/>
      <c r="W11" s="101"/>
      <c r="X11" s="101"/>
      <c r="Y11" s="104"/>
      <c r="Z11" s="101"/>
      <c r="AA11" s="104"/>
      <c r="AB11" s="101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25"/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52"/>
      <c r="S12" s="52"/>
      <c r="T12" s="52" t="s">
        <v>34</v>
      </c>
      <c r="U12" s="52" t="s">
        <v>34</v>
      </c>
      <c r="V12" s="52"/>
      <c r="W12" s="52" t="s">
        <v>35</v>
      </c>
      <c r="X12" s="52"/>
      <c r="Y12" s="52"/>
      <c r="Z12" s="52" t="s">
        <v>34</v>
      </c>
      <c r="AA12" s="52" t="s">
        <v>34</v>
      </c>
      <c r="AB12" s="52" t="s">
        <v>34</v>
      </c>
      <c r="AC12" s="52"/>
      <c r="AD12" s="25" t="s">
        <v>8</v>
      </c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43</v>
      </c>
      <c r="C14" s="106"/>
      <c r="D14" s="106"/>
      <c r="E14" s="106"/>
      <c r="F14" s="106"/>
      <c r="G14" s="106"/>
      <c r="H14" s="106"/>
      <c r="I14" s="10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59</v>
      </c>
      <c r="C15" s="28"/>
      <c r="D15" s="29"/>
      <c r="E15" s="30"/>
      <c r="F15" s="37"/>
      <c r="G15" s="32"/>
      <c r="H15" s="30"/>
      <c r="I15" s="30"/>
      <c r="J15" s="30"/>
      <c r="K15" s="30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>A15+1</f>
        <v>4</v>
      </c>
      <c r="B16" s="27">
        <v>49444.48</v>
      </c>
      <c r="C16" s="28">
        <v>50203.04</v>
      </c>
      <c r="D16" s="29" t="s">
        <v>41</v>
      </c>
      <c r="E16" s="30">
        <f>C16-B16</f>
        <v>758.5599999999977</v>
      </c>
      <c r="F16" s="31">
        <f>ROUND(AVERAGE(51.171,36),2)</f>
        <v>43.59</v>
      </c>
      <c r="G16" s="32"/>
      <c r="H16" s="30"/>
      <c r="I16" s="30">
        <f>IF(G16=0,ROUND($E16*$F16,2),ROUND($E16*$F16*$G16,2))</f>
        <v>33065.63</v>
      </c>
      <c r="J16" s="30"/>
      <c r="K16" s="30"/>
      <c r="L16" s="30"/>
      <c r="M16" s="30"/>
      <c r="N16" s="30"/>
      <c r="O16" s="30"/>
      <c r="P16" s="30"/>
      <c r="Q16" s="30"/>
      <c r="R16" s="1"/>
      <c r="S16" s="1"/>
      <c r="T16" s="30">
        <f>ROUND(((($I16+$J16)*(T$72/12))/27),2)</f>
        <v>816.44</v>
      </c>
      <c r="U16" s="30">
        <f>ROUND(((($I16+$J16+$N16+$O16+$P16+$Q16)*(U$72/12))/27),2)</f>
        <v>612.33</v>
      </c>
      <c r="V16" s="30"/>
      <c r="W16" s="30">
        <f aca="true" t="shared" si="0" ref="W16:W23">ROUND((((($I16+$J16)/9)*W$72)*3),2)</f>
        <v>606.2</v>
      </c>
      <c r="X16" s="30"/>
      <c r="Y16" s="30"/>
      <c r="Z16" s="30">
        <f>ROUND(((($I16+$J16)*(Z$72/12))/27),2)</f>
        <v>153.08</v>
      </c>
      <c r="AA16" s="30">
        <f aca="true" t="shared" si="1" ref="Z16:AA19">ROUND(((($I16+$J16)*(AA$72/12))/27),2)</f>
        <v>178.6</v>
      </c>
      <c r="AB16" s="30">
        <f>$AA16+$Z16</f>
        <v>331.68</v>
      </c>
      <c r="AC16" s="30"/>
      <c r="AD16" s="30"/>
      <c r="AE16" s="30"/>
      <c r="AF16" s="110"/>
      <c r="AG16" s="111"/>
    </row>
    <row r="17" spans="1:33" s="19" customFormat="1" ht="21.75" customHeight="1">
      <c r="A17" s="26">
        <f aca="true" t="shared" si="2" ref="A17:A66">A16+1</f>
        <v>5</v>
      </c>
      <c r="B17" s="27">
        <f>C16</f>
        <v>50203.04</v>
      </c>
      <c r="C17" s="28">
        <v>50243.78</v>
      </c>
      <c r="D17" s="29" t="s">
        <v>41</v>
      </c>
      <c r="E17" s="30">
        <f>C17-B17</f>
        <v>40.73999999999796</v>
      </c>
      <c r="F17" s="31">
        <f>ROUND(AVERAGE(51.171,52),2)</f>
        <v>51.59</v>
      </c>
      <c r="G17" s="32">
        <f>ROUND((((2864.79+($F17/2))/2864.79)+1)/2,4)</f>
        <v>1.0045</v>
      </c>
      <c r="H17" s="30"/>
      <c r="I17" s="30">
        <f>IF(G17=0,ROUND($E17*$F17,2),ROUND($E17*$F17*$G17,2))</f>
        <v>2111.23</v>
      </c>
      <c r="J17" s="30"/>
      <c r="K17" s="30"/>
      <c r="L17" s="29"/>
      <c r="M17" s="29"/>
      <c r="N17" s="29"/>
      <c r="O17" s="29"/>
      <c r="P17" s="30"/>
      <c r="Q17" s="30"/>
      <c r="R17" s="1"/>
      <c r="S17" s="1"/>
      <c r="T17" s="30">
        <f aca="true" t="shared" si="3" ref="T17:T23">ROUND(((($I17+$J17)*(T$72/12))/27),2)</f>
        <v>52.13</v>
      </c>
      <c r="U17" s="30">
        <f aca="true" t="shared" si="4" ref="U17:U62">ROUND(((($I17+$J17+$N17+$O17+$P17+$Q17)*(U$72/12))/27),2)</f>
        <v>39.1</v>
      </c>
      <c r="V17" s="30"/>
      <c r="W17" s="30">
        <f t="shared" si="0"/>
        <v>38.71</v>
      </c>
      <c r="X17" s="30"/>
      <c r="Y17" s="30"/>
      <c r="Z17" s="30">
        <f t="shared" si="1"/>
        <v>9.77</v>
      </c>
      <c r="AA17" s="30">
        <f t="shared" si="1"/>
        <v>11.4</v>
      </c>
      <c r="AB17" s="30">
        <f>$AA17+$Z17</f>
        <v>21.17</v>
      </c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2"/>
        <v>6</v>
      </c>
      <c r="B18" s="27">
        <f>C17</f>
        <v>50243.78</v>
      </c>
      <c r="C18" s="28">
        <v>50603.04</v>
      </c>
      <c r="D18" s="29" t="s">
        <v>41</v>
      </c>
      <c r="E18" s="30">
        <f>C18-B18</f>
        <v>359.26000000000204</v>
      </c>
      <c r="F18" s="31">
        <v>36</v>
      </c>
      <c r="G18" s="32">
        <f>ROUND((((2864.79+($F18/2))/2864.79)+1)/2,4)</f>
        <v>1.0031</v>
      </c>
      <c r="H18" s="30"/>
      <c r="I18" s="30">
        <f>IF(G18=0,ROUND($E18*$F18,2),ROUND($E18*$F18*$G18,2))</f>
        <v>12973.45</v>
      </c>
      <c r="J18" s="30"/>
      <c r="K18" s="30"/>
      <c r="L18" s="30"/>
      <c r="M18" s="30"/>
      <c r="N18" s="30"/>
      <c r="O18" s="30"/>
      <c r="P18" s="30"/>
      <c r="Q18" s="30"/>
      <c r="R18" s="1"/>
      <c r="S18" s="1"/>
      <c r="T18" s="30">
        <f t="shared" si="3"/>
        <v>320.33</v>
      </c>
      <c r="U18" s="30">
        <f t="shared" si="4"/>
        <v>240.25</v>
      </c>
      <c r="V18" s="30"/>
      <c r="W18" s="30">
        <f t="shared" si="0"/>
        <v>237.85</v>
      </c>
      <c r="X18" s="30"/>
      <c r="Y18" s="30"/>
      <c r="Z18" s="30">
        <f t="shared" si="1"/>
        <v>60.06</v>
      </c>
      <c r="AA18" s="30">
        <f t="shared" si="1"/>
        <v>70.07</v>
      </c>
      <c r="AB18" s="30">
        <f>$AA18+$Z18</f>
        <v>130.13</v>
      </c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2"/>
        <v>7</v>
      </c>
      <c r="B19" s="27">
        <f>C18</f>
        <v>50603.04</v>
      </c>
      <c r="C19" s="28">
        <v>51495</v>
      </c>
      <c r="D19" s="29" t="s">
        <v>41</v>
      </c>
      <c r="E19" s="30">
        <f>C19-B19</f>
        <v>891.9599999999991</v>
      </c>
      <c r="F19" s="31">
        <v>36</v>
      </c>
      <c r="G19" s="32">
        <f>ROUND((2864.79+($F19/2))/2864.79,4)</f>
        <v>1.0063</v>
      </c>
      <c r="H19" s="30"/>
      <c r="I19" s="30">
        <f>IF(G19=0,ROUND($E19*$F19,2),ROUND($E19*$F19*$G19,2))</f>
        <v>32312.86</v>
      </c>
      <c r="J19" s="30"/>
      <c r="K19" s="30"/>
      <c r="L19" s="30"/>
      <c r="M19" s="30"/>
      <c r="N19" s="30"/>
      <c r="O19" s="30"/>
      <c r="P19" s="30"/>
      <c r="Q19" s="30"/>
      <c r="R19" s="1"/>
      <c r="S19" s="1"/>
      <c r="T19" s="30">
        <f t="shared" si="3"/>
        <v>797.85</v>
      </c>
      <c r="U19" s="30">
        <f t="shared" si="4"/>
        <v>598.39</v>
      </c>
      <c r="V19" s="30"/>
      <c r="W19" s="30">
        <f t="shared" si="0"/>
        <v>592.4</v>
      </c>
      <c r="X19" s="30"/>
      <c r="Y19" s="30"/>
      <c r="Z19" s="30">
        <f t="shared" si="1"/>
        <v>149.6</v>
      </c>
      <c r="AA19" s="30">
        <f t="shared" si="1"/>
        <v>174.53</v>
      </c>
      <c r="AB19" s="30">
        <f>$AA19+$Z19</f>
        <v>324.13</v>
      </c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2"/>
        <v>8</v>
      </c>
      <c r="B20" s="27"/>
      <c r="C20" s="28"/>
      <c r="D20" s="29"/>
      <c r="E20" s="30"/>
      <c r="F20" s="31"/>
      <c r="G20" s="3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"/>
      <c r="S20" s="1"/>
      <c r="T20" s="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2"/>
        <v>9</v>
      </c>
      <c r="B21" s="27">
        <v>50148.92</v>
      </c>
      <c r="C21" s="28">
        <v>50203.04</v>
      </c>
      <c r="D21" s="29" t="s">
        <v>37</v>
      </c>
      <c r="E21" s="30">
        <f>C21-B21</f>
        <v>54.12000000000262</v>
      </c>
      <c r="F21" s="31">
        <v>12</v>
      </c>
      <c r="G21" s="32"/>
      <c r="H21" s="30"/>
      <c r="I21" s="30">
        <f>IF(G21=0,ROUND($E21*$F21,2),ROUND($E21*$F21*$G21,2))</f>
        <v>649.44</v>
      </c>
      <c r="J21" s="30"/>
      <c r="K21" s="30"/>
      <c r="L21" s="30"/>
      <c r="M21" s="30"/>
      <c r="N21" s="30"/>
      <c r="O21" s="30"/>
      <c r="P21" s="30"/>
      <c r="Q21" s="30"/>
      <c r="R21" s="1"/>
      <c r="S21" s="1"/>
      <c r="T21" s="30">
        <f t="shared" si="3"/>
        <v>16.04</v>
      </c>
      <c r="U21" s="30">
        <f t="shared" si="4"/>
        <v>12.03</v>
      </c>
      <c r="V21" s="30"/>
      <c r="W21" s="30">
        <f t="shared" si="0"/>
        <v>11.91</v>
      </c>
      <c r="X21" s="30"/>
      <c r="Y21" s="30"/>
      <c r="Z21" s="30">
        <f aca="true" t="shared" si="5" ref="Z21:AA23">ROUND(((($I21+$J21)*(Z$72/12))/27),2)</f>
        <v>3.01</v>
      </c>
      <c r="AA21" s="30">
        <f t="shared" si="5"/>
        <v>3.51</v>
      </c>
      <c r="AB21" s="30">
        <f>$AA21+$Z21</f>
        <v>6.52</v>
      </c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2"/>
        <v>10</v>
      </c>
      <c r="B22" s="27">
        <f>C21</f>
        <v>50203.04</v>
      </c>
      <c r="C22" s="28">
        <v>50395.44</v>
      </c>
      <c r="D22" s="29" t="s">
        <v>37</v>
      </c>
      <c r="E22" s="30">
        <f>C22-B22</f>
        <v>192.40000000000146</v>
      </c>
      <c r="F22" s="31">
        <v>12</v>
      </c>
      <c r="G22" s="32">
        <f>ROUND((((2864.79-($F22/2))/2864.79)+1)/2,4)</f>
        <v>0.999</v>
      </c>
      <c r="H22" s="30"/>
      <c r="I22" s="30">
        <f>IF(G22=0,ROUND($E22*$F22,2),ROUND($E22*$F22*$G22,2))</f>
        <v>2306.49</v>
      </c>
      <c r="J22" s="30"/>
      <c r="K22" s="30"/>
      <c r="L22" s="30"/>
      <c r="M22" s="30"/>
      <c r="N22" s="30"/>
      <c r="O22" s="30"/>
      <c r="P22" s="30"/>
      <c r="Q22" s="30"/>
      <c r="R22" s="1"/>
      <c r="S22" s="1"/>
      <c r="T22" s="30">
        <f t="shared" si="3"/>
        <v>56.95</v>
      </c>
      <c r="U22" s="30">
        <f t="shared" si="4"/>
        <v>42.71</v>
      </c>
      <c r="V22" s="30"/>
      <c r="W22" s="30">
        <f t="shared" si="0"/>
        <v>42.29</v>
      </c>
      <c r="X22" s="30"/>
      <c r="Y22" s="30"/>
      <c r="Z22" s="30">
        <f t="shared" si="5"/>
        <v>10.68</v>
      </c>
      <c r="AA22" s="30">
        <f t="shared" si="5"/>
        <v>12.46</v>
      </c>
      <c r="AB22" s="30">
        <f>$AA22+$Z22</f>
        <v>23.14</v>
      </c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2"/>
        <v>11</v>
      </c>
      <c r="B23" s="27">
        <f>C22</f>
        <v>50395.44</v>
      </c>
      <c r="C23" s="28">
        <v>50495.44</v>
      </c>
      <c r="D23" s="29" t="s">
        <v>37</v>
      </c>
      <c r="E23" s="30">
        <f>C23-B23</f>
        <v>100</v>
      </c>
      <c r="F23" s="31">
        <f>ROUND(AVERAGE(12,0),2)</f>
        <v>6</v>
      </c>
      <c r="G23" s="32">
        <f>ROUND((((2864.79-($F23/2))/2864.79)+1)/2,4)</f>
        <v>0.9995</v>
      </c>
      <c r="H23" s="30"/>
      <c r="I23" s="30">
        <f>IF(G23=0,ROUND($E23*$F23,2),ROUND($E23*$F23*$G23,2))</f>
        <v>599.7</v>
      </c>
      <c r="J23" s="30"/>
      <c r="K23" s="30"/>
      <c r="L23" s="30"/>
      <c r="M23" s="30"/>
      <c r="N23" s="30"/>
      <c r="O23" s="30"/>
      <c r="P23" s="30"/>
      <c r="Q23" s="30"/>
      <c r="R23" s="1"/>
      <c r="S23" s="1"/>
      <c r="T23" s="30">
        <f t="shared" si="3"/>
        <v>14.81</v>
      </c>
      <c r="U23" s="30">
        <f t="shared" si="4"/>
        <v>11.11</v>
      </c>
      <c r="V23" s="30"/>
      <c r="W23" s="30">
        <f t="shared" si="0"/>
        <v>10.99</v>
      </c>
      <c r="X23" s="30"/>
      <c r="Y23" s="30"/>
      <c r="Z23" s="30">
        <f t="shared" si="5"/>
        <v>2.78</v>
      </c>
      <c r="AA23" s="30">
        <f t="shared" si="5"/>
        <v>3.24</v>
      </c>
      <c r="AB23" s="30">
        <f>$AA23+$Z23</f>
        <v>6.02</v>
      </c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2"/>
        <v>12</v>
      </c>
      <c r="B24" s="27"/>
      <c r="C24" s="28"/>
      <c r="D24" s="29"/>
      <c r="E24" s="30"/>
      <c r="F24" s="37"/>
      <c r="G24" s="3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"/>
      <c r="S24" s="1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2"/>
        <v>13</v>
      </c>
      <c r="B25" s="33" t="s">
        <v>60</v>
      </c>
      <c r="C25" s="28"/>
      <c r="D25" s="29"/>
      <c r="E25" s="30"/>
      <c r="F25" s="37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"/>
      <c r="S25" s="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>A25+1</f>
        <v>14</v>
      </c>
      <c r="B26" s="28">
        <v>49444.48</v>
      </c>
      <c r="C26" s="28">
        <v>49544.44</v>
      </c>
      <c r="D26" s="29" t="s">
        <v>41</v>
      </c>
      <c r="E26" s="30">
        <f aca="true" t="shared" si="6" ref="E26:E31">C26-B26</f>
        <v>99.95999999999913</v>
      </c>
      <c r="F26" s="31">
        <f>ROUND(AVERAGE(8,10),2)</f>
        <v>9</v>
      </c>
      <c r="G26" s="32"/>
      <c r="H26" s="30"/>
      <c r="I26" s="30">
        <f aca="true" t="shared" si="7" ref="I26:I31">IF(G26=0,ROUND($E26*$F26,2),ROUND($E26*$F26*$G26,2))</f>
        <v>899.64</v>
      </c>
      <c r="J26" s="30"/>
      <c r="K26" s="30">
        <f>IF($H26=0,ROUND($E26*(K$72/12),2),ROUND($E26*(K$72/12)*$H26,2))</f>
        <v>33.32</v>
      </c>
      <c r="L26" s="30"/>
      <c r="M26" s="30">
        <f aca="true" t="shared" si="8" ref="M26:N28">IF($H26=0,ROUND($E26*(M$72/12),2),ROUND($E26*(M$72/12)*$H26,2))</f>
        <v>83.3</v>
      </c>
      <c r="N26" s="30">
        <f t="shared" si="8"/>
        <v>133.28</v>
      </c>
      <c r="O26" s="30"/>
      <c r="P26" s="30"/>
      <c r="Q26" s="30"/>
      <c r="R26" s="1"/>
      <c r="S26" s="1"/>
      <c r="T26" s="30">
        <f>ROUND(((($I26+$J26)*(T$72/12)+($K26)*(T$73/12)+($M26)*(T$73/12))/27),2)</f>
        <v>23.65</v>
      </c>
      <c r="U26" s="30">
        <f>ROUND(((($I26+$J26+$N26+$O26+$P26+$Q26)*(U$72/12))/27),2)</f>
        <v>19.13</v>
      </c>
      <c r="V26" s="30"/>
      <c r="W26" s="30">
        <f>ROUND(((($I26+$J26)/9)*$W$72)+((($I26+$J26+$K26)/9)*$W$72)+((($I26+$J26+$M26)/9)*$W$72),2)</f>
        <v>17.21</v>
      </c>
      <c r="X26" s="30"/>
      <c r="Y26" s="30"/>
      <c r="Z26" s="30">
        <f>ROUND(((($I26+$J26)*(Z$72/12))/27),2)</f>
        <v>4.17</v>
      </c>
      <c r="AA26" s="30">
        <f>ROUND(((($I26+$J26)*(AA$72/12))/27),2)</f>
        <v>4.86</v>
      </c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2"/>
        <v>15</v>
      </c>
      <c r="B27" s="28">
        <f>C26</f>
        <v>49544.44</v>
      </c>
      <c r="C27" s="28">
        <v>50045.03</v>
      </c>
      <c r="D27" s="29" t="s">
        <v>41</v>
      </c>
      <c r="E27" s="30">
        <f t="shared" si="6"/>
        <v>500.5899999999965</v>
      </c>
      <c r="F27" s="31">
        <v>8</v>
      </c>
      <c r="G27" s="32"/>
      <c r="H27" s="30"/>
      <c r="I27" s="30">
        <f t="shared" si="7"/>
        <v>4004.72</v>
      </c>
      <c r="J27" s="30"/>
      <c r="K27" s="30">
        <f>IF($H27=0,ROUND($E27*(K$72/12),2),ROUND($E27*(K$72/12)*$H27,2))</f>
        <v>166.86</v>
      </c>
      <c r="L27" s="30"/>
      <c r="M27" s="30">
        <f t="shared" si="8"/>
        <v>417.16</v>
      </c>
      <c r="N27" s="30">
        <f t="shared" si="8"/>
        <v>667.45</v>
      </c>
      <c r="O27" s="30"/>
      <c r="P27" s="30"/>
      <c r="Q27" s="30"/>
      <c r="R27" s="1"/>
      <c r="S27" s="1"/>
      <c r="T27" s="30">
        <f>ROUND(((($I27+$J27)*(T$72/12)+($K27)*(T$73/12)+($M27)*(T$73/12))/27),2)</f>
        <v>106.09</v>
      </c>
      <c r="U27" s="30">
        <f>ROUND(((($I27+$J27+$N27+$O27+$P27+$Q27)*(U$72/12))/27),2)</f>
        <v>86.52</v>
      </c>
      <c r="V27" s="30"/>
      <c r="W27" s="30">
        <f>ROUND(((($I27+$J27)/9)*$W$72)+((($I27+$J27+$K27)/9)*$W$72)+((($I27+$J27+$M27)/9)*$W$72),2)</f>
        <v>76.99</v>
      </c>
      <c r="X27" s="30"/>
      <c r="Y27" s="30"/>
      <c r="Z27" s="30">
        <f>ROUND(((($I27+$J27)*(Z$72/12))/27),2)</f>
        <v>18.54</v>
      </c>
      <c r="AA27" s="30">
        <f>ROUND(((($I27+$J27)*(AA$72/12))/27),2)</f>
        <v>21.63</v>
      </c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2"/>
        <v>16</v>
      </c>
      <c r="B28" s="28">
        <f>C27</f>
        <v>50045.03</v>
      </c>
      <c r="C28" s="28">
        <v>50200</v>
      </c>
      <c r="D28" s="29" t="s">
        <v>41</v>
      </c>
      <c r="E28" s="30">
        <f t="shared" si="6"/>
        <v>154.97000000000116</v>
      </c>
      <c r="F28" s="31">
        <v>8</v>
      </c>
      <c r="G28" s="32"/>
      <c r="H28" s="30"/>
      <c r="I28" s="30">
        <f t="shared" si="7"/>
        <v>1239.76</v>
      </c>
      <c r="J28" s="30"/>
      <c r="K28" s="30"/>
      <c r="L28" s="30">
        <f>IF($H28=0,ROUND($E28*(L$72/12),2),ROUND($E28*(L$72/12)*$H28,2))</f>
        <v>77.49</v>
      </c>
      <c r="M28" s="30">
        <f t="shared" si="8"/>
        <v>129.14</v>
      </c>
      <c r="N28" s="30">
        <f t="shared" si="8"/>
        <v>206.63</v>
      </c>
      <c r="O28" s="30"/>
      <c r="P28" s="30">
        <f>IF($H28=0,ROUND($E28*(P$72/12),2),ROUND($E28*(P$72/12)*$H28,2))</f>
        <v>258.28</v>
      </c>
      <c r="Q28" s="30">
        <f>IF($H28=0,ROUND($E28*(Q$72/12),2),ROUND($E28*(Q$72/12)*$H28,2))</f>
        <v>284.11</v>
      </c>
      <c r="R28" s="1"/>
      <c r="S28" s="1"/>
      <c r="T28" s="30">
        <f>ROUND(((($I28+$J28+$P28)*(T$72/12)+($M28)*(T$73/12)+($N28)*(T$73/12))/27),2)</f>
        <v>41.13</v>
      </c>
      <c r="U28" s="30">
        <f>ROUND(((($I28+$J28+$P28+$Q28)*(U$72/12))/27),2)</f>
        <v>33</v>
      </c>
      <c r="V28" s="30"/>
      <c r="W28" s="30">
        <f>ROUND(((($I28+$J286+$L28+$P28)/9)*$W$72)+((($I28+$J28+$M28+$P28)/9)*$W$72)+((($I28+$J28+$N28+$P28)/9)*$W$72),2)</f>
        <v>29.99</v>
      </c>
      <c r="X28" s="30"/>
      <c r="Y28" s="30"/>
      <c r="Z28" s="30">
        <f>ROUND(((($I28+$J28)*(Z$72/12))/27),2)</f>
        <v>5.74</v>
      </c>
      <c r="AA28" s="30">
        <f>ROUND(((($I28+$J28+$P28+$L28)*(AA$72/12))/27),2)</f>
        <v>8.51</v>
      </c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2"/>
        <v>17</v>
      </c>
      <c r="B29" s="28">
        <f>C28</f>
        <v>50200</v>
      </c>
      <c r="C29" s="28">
        <v>50203.04</v>
      </c>
      <c r="D29" s="29" t="s">
        <v>41</v>
      </c>
      <c r="E29" s="30">
        <f t="shared" si="6"/>
        <v>3.040000000000873</v>
      </c>
      <c r="F29" s="31">
        <v>8</v>
      </c>
      <c r="G29" s="32"/>
      <c r="H29" s="30"/>
      <c r="I29" s="30">
        <f t="shared" si="7"/>
        <v>24.32</v>
      </c>
      <c r="J29" s="30"/>
      <c r="K29" s="30"/>
      <c r="L29" s="30"/>
      <c r="M29" s="30"/>
      <c r="N29" s="30"/>
      <c r="O29" s="30">
        <f>IF($H29=0,ROUND($E29*(O$72/12),2),ROUND($E29*(O$72/12)*$H29,2))</f>
        <v>4.56</v>
      </c>
      <c r="P29" s="30"/>
      <c r="Q29" s="30"/>
      <c r="R29" s="1"/>
      <c r="S29" s="1"/>
      <c r="T29" s="30">
        <f>ROUND(((($I29+$J29)*(T$72/12)+($K29)*(T$73/12)+($M29)*(T$73/12))/27),2)</f>
        <v>0.6</v>
      </c>
      <c r="U29" s="30">
        <f>ROUND(((($I29+$J29+$N29+$O29+$P29+$Q29)*(U$72/12))/27),2)</f>
        <v>0.53</v>
      </c>
      <c r="V29" s="30"/>
      <c r="W29" s="30">
        <f>ROUND(((($I29+$J29)/9)*$W$72)+((($I29+$J29+$K29)/9)*$W$72)+((($I29+$J29+$M29)/9)*$W$72),2)</f>
        <v>0.45</v>
      </c>
      <c r="X29" s="30"/>
      <c r="Y29" s="30"/>
      <c r="Z29" s="30">
        <f>ROUND(((($I29+$J29)*(Z$72/12))/27),2)</f>
        <v>0.11</v>
      </c>
      <c r="AA29" s="30">
        <f>ROUND(((($I29+$J29)*(AA$72/12))/27),2)</f>
        <v>0.13</v>
      </c>
      <c r="AB29" s="30"/>
      <c r="AC29" s="30"/>
      <c r="AD29" s="30">
        <f>IF($H29=0,$E29,ROUND($E29*$H29,2))</f>
        <v>3.040000000000873</v>
      </c>
      <c r="AE29" s="30"/>
      <c r="AF29" s="110"/>
      <c r="AG29" s="111"/>
    </row>
    <row r="30" spans="1:33" s="19" customFormat="1" ht="21.75" customHeight="1">
      <c r="A30" s="26">
        <f t="shared" si="2"/>
        <v>18</v>
      </c>
      <c r="B30" s="28">
        <f>C29</f>
        <v>50203.04</v>
      </c>
      <c r="C30" s="28">
        <v>50218.14</v>
      </c>
      <c r="D30" s="29" t="s">
        <v>41</v>
      </c>
      <c r="E30" s="30">
        <f t="shared" si="6"/>
        <v>15.099999999998545</v>
      </c>
      <c r="F30" s="31">
        <v>8</v>
      </c>
      <c r="G30" s="32">
        <f>ROUND((((2864.79+((51.171+51.474)/2)+($F30/2))/2864.79)+1)/2,4)</f>
        <v>1.0097</v>
      </c>
      <c r="H30" s="32">
        <f>ROUND((((2864.79+((51.171+51.474)/2)+($F30))/2864.79)+1)/2,4)</f>
        <v>1.0104</v>
      </c>
      <c r="I30" s="30">
        <f t="shared" si="7"/>
        <v>121.97</v>
      </c>
      <c r="J30" s="30"/>
      <c r="K30" s="30"/>
      <c r="L30" s="30"/>
      <c r="M30" s="30"/>
      <c r="N30" s="30"/>
      <c r="O30" s="30">
        <f>IF($H30=0,ROUND($E30*(O$72/12),2),ROUND($E30*(O$72/12)*$H30,2))</f>
        <v>22.89</v>
      </c>
      <c r="P30" s="30"/>
      <c r="Q30" s="30"/>
      <c r="R30" s="1"/>
      <c r="S30" s="1"/>
      <c r="T30" s="30">
        <f>ROUND(((($I30+$J30)*(T$72/12)+($K30)*(T$73/12)+($M30)*(T$73/12))/27),2)</f>
        <v>3.01</v>
      </c>
      <c r="U30" s="30">
        <f>ROUND(((($I30+$J30+$N30+$O30+$P30+$Q30)*(U$72/12))/27),2)</f>
        <v>2.68</v>
      </c>
      <c r="V30" s="30"/>
      <c r="W30" s="30">
        <f>ROUND(((($I30+$J30)/9)*$W$72)+((($I30+$J30+$K30)/9)*$W$72)+((($I30+$J30+$M30)/9)*$W$72),2)</f>
        <v>2.24</v>
      </c>
      <c r="X30" s="30"/>
      <c r="Y30" s="30"/>
      <c r="Z30" s="30">
        <f>ROUND(((($I30+$J30)*(Z$72/12))/27),2)</f>
        <v>0.56</v>
      </c>
      <c r="AA30" s="30">
        <f>ROUND(((($I30+$J30)*(AA$72/12))/27),2)</f>
        <v>0.66</v>
      </c>
      <c r="AB30" s="30"/>
      <c r="AC30" s="30"/>
      <c r="AD30" s="30">
        <f>IF($H30=0,$E30,ROUND($E30*$H30,2))</f>
        <v>15.26</v>
      </c>
      <c r="AE30" s="30"/>
      <c r="AF30" s="110"/>
      <c r="AG30" s="111"/>
    </row>
    <row r="31" spans="1:33" s="19" customFormat="1" ht="21.75" customHeight="1">
      <c r="A31" s="26">
        <f t="shared" si="2"/>
        <v>19</v>
      </c>
      <c r="B31" s="28">
        <f>C30</f>
        <v>50218.14</v>
      </c>
      <c r="C31" s="28">
        <v>50243.78</v>
      </c>
      <c r="D31" s="29" t="s">
        <v>41</v>
      </c>
      <c r="E31" s="30">
        <f t="shared" si="6"/>
        <v>25.639999999999418</v>
      </c>
      <c r="F31" s="31">
        <v>8</v>
      </c>
      <c r="G31" s="32">
        <f>ROUND((((2864.79+((52+51.474)/2)+($F31/2))/2864.79)+1)/2,4)</f>
        <v>1.0097</v>
      </c>
      <c r="H31" s="32">
        <f>ROUND((((2864.79+((52+51.474)/2)+($F31))/2864.79)+1)/2,4)</f>
        <v>1.0104</v>
      </c>
      <c r="I31" s="30">
        <f t="shared" si="7"/>
        <v>207.11</v>
      </c>
      <c r="J31" s="30"/>
      <c r="K31" s="30">
        <f>IF($H31=0,ROUND($E31*(K$72/12),2),ROUND($E31*(K$72/12)*$H31,2))</f>
        <v>8.64</v>
      </c>
      <c r="L31" s="30"/>
      <c r="M31" s="30">
        <f>IF($H31=0,ROUND($E31*(M$72/12),2),ROUND($E31*(M$72/12)*$H31,2))</f>
        <v>21.59</v>
      </c>
      <c r="N31" s="30">
        <f>IF($H31=0,ROUND($E31*(N$72/12),2),ROUND($E31*(N$72/12)*$H31,2))</f>
        <v>34.54</v>
      </c>
      <c r="O31" s="30"/>
      <c r="P31" s="30"/>
      <c r="Q31" s="30"/>
      <c r="R31" s="1"/>
      <c r="S31" s="1"/>
      <c r="T31" s="30">
        <f>ROUND(((($I31+$J31)*(T$72/12)+($K31)*(T$73/12)+($M31)*(T$73/12))/27),2)</f>
        <v>5.49</v>
      </c>
      <c r="U31" s="30">
        <f>ROUND(((($I31+$J31+$N31+$O31+$P31+$Q31)*(U$72/12))/27),2)</f>
        <v>4.48</v>
      </c>
      <c r="V31" s="30"/>
      <c r="W31" s="30">
        <f>ROUND(((($I31+$J31)/9)*$W$72)+((($I31+$J31+$K31)/9)*$W$72)+((($I31+$J31+$M31)/9)*$W$72),2)</f>
        <v>3.98</v>
      </c>
      <c r="X31" s="30"/>
      <c r="Y31" s="30"/>
      <c r="Z31" s="30">
        <f>ROUND(((($I31+$J31)*(Z$72/12))/27),2)</f>
        <v>0.96</v>
      </c>
      <c r="AA31" s="30">
        <f>ROUND(((($I31+$J31)*(AA$72/12))/27),2)</f>
        <v>1.12</v>
      </c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2"/>
        <v>20</v>
      </c>
      <c r="B32" s="28"/>
      <c r="C32" s="35"/>
      <c r="D32" s="29"/>
      <c r="E32" s="30"/>
      <c r="F32" s="31"/>
      <c r="G32" s="32"/>
      <c r="H32" s="32"/>
      <c r="I32" s="30"/>
      <c r="J32" s="30"/>
      <c r="K32" s="30"/>
      <c r="L32" s="30"/>
      <c r="M32" s="30"/>
      <c r="N32" s="30"/>
      <c r="O32" s="30"/>
      <c r="P32" s="30"/>
      <c r="Q32" s="30"/>
      <c r="R32" s="1"/>
      <c r="S32" s="1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2"/>
        <v>21</v>
      </c>
      <c r="B33" s="28">
        <v>50628.88</v>
      </c>
      <c r="C33" s="35">
        <v>50863.78</v>
      </c>
      <c r="D33" s="29" t="s">
        <v>41</v>
      </c>
      <c r="E33" s="30">
        <f>C33-B33</f>
        <v>234.90000000000146</v>
      </c>
      <c r="F33" s="31">
        <v>10</v>
      </c>
      <c r="G33" s="32">
        <f>ROUND((2864.79+36+($F33/2))/2864.79,4)</f>
        <v>1.0143</v>
      </c>
      <c r="H33" s="32">
        <f>ROUND((2864.79+36+($F33))/2864.79,4)</f>
        <v>1.0161</v>
      </c>
      <c r="I33" s="30">
        <f>IF($G33=0,ROUND($E33*$F33,2),ROUND($E33*$F33*$G33,2))</f>
        <v>2382.59</v>
      </c>
      <c r="J33" s="30"/>
      <c r="K33" s="30">
        <f>IF($H33=0,ROUND($E33*(K$72/12),2),ROUND($E33*(K$72/12)*$H33,2))</f>
        <v>79.56</v>
      </c>
      <c r="L33" s="30"/>
      <c r="M33" s="30">
        <f>IF($H33=0,ROUND($E33*(M$72/12),2),ROUND($E33*(M$72/12)*$H33,2))</f>
        <v>198.9</v>
      </c>
      <c r="N33" s="30">
        <f>IF($H33=0,ROUND($E33*(N$72/12),2),ROUND($E33*(N$72/12)*$H33,2))</f>
        <v>318.24</v>
      </c>
      <c r="O33" s="30"/>
      <c r="P33" s="30"/>
      <c r="Q33" s="30"/>
      <c r="R33" s="1"/>
      <c r="S33" s="1"/>
      <c r="T33" s="30">
        <f>ROUND(((($I33+$J33)*(T$72/12)+($K33)*(T$73/12)+($M33)*(T$73/12))/27),2)</f>
        <v>62.27</v>
      </c>
      <c r="U33" s="30">
        <f t="shared" si="4"/>
        <v>50.02</v>
      </c>
      <c r="V33" s="30"/>
      <c r="W33" s="30">
        <f>ROUND(((($I33+$J33)/9)*$W$72)+((($I33+$J33+$K33)/9)*$W$72)+((($I33+$J33+$M33)/9)*$W$72),2)</f>
        <v>45.38</v>
      </c>
      <c r="X33" s="30"/>
      <c r="Y33" s="30"/>
      <c r="Z33" s="30">
        <f>ROUND(((($I33+$J33)*(Z$72/12))/27),2)</f>
        <v>11.03</v>
      </c>
      <c r="AA33" s="30">
        <f>ROUND(((($I33+$J33)*(AA$72/12))/27),2)</f>
        <v>12.87</v>
      </c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2"/>
        <v>22</v>
      </c>
      <c r="B34" s="27">
        <f>C33</f>
        <v>50863.78</v>
      </c>
      <c r="C34" s="28">
        <v>50930.71</v>
      </c>
      <c r="D34" s="29" t="s">
        <v>41</v>
      </c>
      <c r="E34" s="30">
        <f>C34-B34</f>
        <v>66.93000000000029</v>
      </c>
      <c r="F34" s="31">
        <v>10</v>
      </c>
      <c r="G34" s="32">
        <f>ROUND((2864.79+36+($F34/2))/2864.79,4)</f>
        <v>1.0143</v>
      </c>
      <c r="H34" s="32">
        <f>ROUND((2864.79+36+($F34))/2864.79,4)</f>
        <v>1.0161</v>
      </c>
      <c r="I34" s="30">
        <f>IF($G34=0,ROUND($E34*$F34,2),ROUND($E34*$F34*$G34,2))</f>
        <v>678.87</v>
      </c>
      <c r="J34" s="30"/>
      <c r="K34" s="30"/>
      <c r="L34" s="30">
        <f>IF($H34=0,ROUND($E34*(L$72/12),2),ROUND($E34*(L$72/12)*$H34,2))</f>
        <v>34</v>
      </c>
      <c r="M34" s="30">
        <f>IF($H34=0,ROUND($E34*(M$72/12),2),ROUND($E34*(M$72/12)*$H34,2))</f>
        <v>56.67</v>
      </c>
      <c r="N34" s="30">
        <f>IF($H34=0,ROUND($E34*(N$72/12),2),ROUND($E34*(N$72/12)*$H34,2))</f>
        <v>90.68</v>
      </c>
      <c r="O34" s="30"/>
      <c r="P34" s="30">
        <f>IF($H34=0,ROUND($E34*(P$72/12),2),ROUND($E34*(P$72/12)*$H34,2))</f>
        <v>113.35</v>
      </c>
      <c r="Q34" s="30">
        <f>IF($H34=0,ROUND($E34*(Q$72/12),2),ROUND($E34*(Q$72/12)*$H34,2))</f>
        <v>124.68</v>
      </c>
      <c r="R34" s="1"/>
      <c r="S34" s="1"/>
      <c r="T34" s="30">
        <f>ROUND(((($I34+$J34+$P34)*(T$72/12)+($M34)*(T$73/12)+($N34)*(T$73/12))/27),2)</f>
        <v>21.38</v>
      </c>
      <c r="U34" s="30">
        <f>ROUND(((($I34+$J34+$P34+$Q34)*(U$72/12))/27),2)</f>
        <v>16.98</v>
      </c>
      <c r="V34" s="30"/>
      <c r="W34" s="30">
        <f>ROUND(((($I34+$J292+$L34+$P34)/9)*$W$72)+((($I34+$J34+$M34+$P34)/9)*$W$72)+((($I34+$J34+$N34+$P34)/9)*$W$72),2)</f>
        <v>15.63</v>
      </c>
      <c r="X34" s="30"/>
      <c r="Y34" s="30"/>
      <c r="Z34" s="30">
        <f>ROUND(((($I34+$J34)*(Z$72/12))/27),2)</f>
        <v>3.14</v>
      </c>
      <c r="AA34" s="30">
        <f>ROUND(((($I34+$J34+$P34+$L34)*(AA$72/12))/27),2)</f>
        <v>4.46</v>
      </c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2"/>
        <v>23</v>
      </c>
      <c r="B35" s="27">
        <f>C34</f>
        <v>50930.71</v>
      </c>
      <c r="C35" s="28">
        <v>50948.56</v>
      </c>
      <c r="D35" s="29" t="s">
        <v>41</v>
      </c>
      <c r="E35" s="30">
        <f>C35-B35</f>
        <v>17.849999999998545</v>
      </c>
      <c r="F35" s="31">
        <v>10</v>
      </c>
      <c r="G35" s="32">
        <f>ROUND((2864.79+36+($F35/2))/2864.79,4)</f>
        <v>1.0143</v>
      </c>
      <c r="H35" s="32">
        <f>ROUND((2864.79+36+($F35))/2864.79,4)</f>
        <v>1.0161</v>
      </c>
      <c r="I35" s="30">
        <f>IF($G35=0,ROUND($E35*$F35,2),ROUND($E35*$F35*$G35,2))</f>
        <v>181.05</v>
      </c>
      <c r="J35" s="30"/>
      <c r="K35" s="30"/>
      <c r="L35" s="30"/>
      <c r="M35" s="30"/>
      <c r="N35" s="30"/>
      <c r="O35" s="30">
        <f>IF($H35=0,ROUND($E35*(O$72/12),2),ROUND($E35*(O$72/12)*$H35,2))</f>
        <v>27.21</v>
      </c>
      <c r="P35" s="30"/>
      <c r="Q35" s="30"/>
      <c r="R35" s="1"/>
      <c r="S35" s="1"/>
      <c r="T35" s="30">
        <f>ROUND(((($I35+$J35)*(T$72/12)+($K35)*(T$73/12)+($M35)*(T$73/12))/27),2)</f>
        <v>4.47</v>
      </c>
      <c r="U35" s="30">
        <f t="shared" si="4"/>
        <v>3.86</v>
      </c>
      <c r="V35" s="30"/>
      <c r="W35" s="30">
        <f>ROUND(((($I35+$J35)/9)*$W$72)+((($I35+$J35+$K35)/9)*$W$72)+((($I35+$J35+$M35)/9)*$W$72),2)</f>
        <v>3.32</v>
      </c>
      <c r="X35" s="30"/>
      <c r="Y35" s="30"/>
      <c r="Z35" s="30">
        <f>ROUND(((($I35+$J35)*(Z$72/12))/27),2)</f>
        <v>0.84</v>
      </c>
      <c r="AA35" s="30">
        <f>ROUND(((($I35+$J35)*(AA$72/12))/27),2)</f>
        <v>0.98</v>
      </c>
      <c r="AB35" s="30"/>
      <c r="AC35" s="30"/>
      <c r="AD35" s="30">
        <f>IF($H35=0,$E35,ROUND($E35*$H35,2))</f>
        <v>18.14</v>
      </c>
      <c r="AE35" s="30"/>
      <c r="AF35" s="110"/>
      <c r="AG35" s="111"/>
    </row>
    <row r="36" spans="1:33" s="19" customFormat="1" ht="21.75" customHeight="1">
      <c r="A36" s="26">
        <f t="shared" si="2"/>
        <v>24</v>
      </c>
      <c r="B36" s="27">
        <f>C35</f>
        <v>50948.56</v>
      </c>
      <c r="C36" s="28">
        <v>51495</v>
      </c>
      <c r="D36" s="29" t="s">
        <v>41</v>
      </c>
      <c r="E36" s="30">
        <f>C36-B36</f>
        <v>546.4400000000023</v>
      </c>
      <c r="F36" s="31">
        <v>10</v>
      </c>
      <c r="G36" s="32">
        <f>ROUND((2864.79+36+($F36/2))/2864.79,4)</f>
        <v>1.0143</v>
      </c>
      <c r="H36" s="32">
        <f>ROUND((2864.79+36+($F36))/2864.79,4)</f>
        <v>1.0161</v>
      </c>
      <c r="I36" s="30">
        <f>IF($G36=0,ROUND($E36*$F36,2),ROUND($E36*$F36*$G36,2))</f>
        <v>5542.54</v>
      </c>
      <c r="J36" s="30"/>
      <c r="K36" s="30">
        <f>IF($H36=0,ROUND($E36*(K$72/12),2),ROUND($E36*(K$72/12)*$H36,2))</f>
        <v>185.08</v>
      </c>
      <c r="L36" s="30"/>
      <c r="M36" s="30">
        <f>IF($H36=0,ROUND($E36*(M$72/12),2),ROUND($E36*(M$72/12)*$H36,2))</f>
        <v>462.7</v>
      </c>
      <c r="N36" s="30">
        <f>IF($H36=0,ROUND($E36*(N$72/12),2),ROUND($E36*(N$72/12)*$H36,2))</f>
        <v>740.32</v>
      </c>
      <c r="O36" s="30"/>
      <c r="P36" s="30"/>
      <c r="Q36" s="30"/>
      <c r="R36" s="1"/>
      <c r="S36" s="1"/>
      <c r="T36" s="30">
        <f>ROUND(((($I36+$J36)*(T$72/12)+($K36)*(T$73/12)+($M36)*(T$73/12))/27),2)</f>
        <v>144.85</v>
      </c>
      <c r="U36" s="30">
        <f t="shared" si="4"/>
        <v>116.35</v>
      </c>
      <c r="V36" s="30"/>
      <c r="W36" s="30">
        <f>ROUND(((($I36+$J36)/9)*$W$72)+((($I36+$J36+$K36)/9)*$W$72)+((($I36+$J36+$M36)/9)*$W$72),2)</f>
        <v>105.57</v>
      </c>
      <c r="X36" s="30"/>
      <c r="Y36" s="30"/>
      <c r="Z36" s="30">
        <f>ROUND(((($I36+$J36)*(Z$72/12))/27),2)</f>
        <v>25.66</v>
      </c>
      <c r="AA36" s="30">
        <f>ROUND(((($I36+$J36)*(AA$72/12))/27),2)</f>
        <v>29.94</v>
      </c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2"/>
        <v>25</v>
      </c>
      <c r="B37" s="27"/>
      <c r="C37" s="28"/>
      <c r="D37" s="29"/>
      <c r="E37" s="30"/>
      <c r="F37" s="31"/>
      <c r="G37" s="32"/>
      <c r="H37" s="32"/>
      <c r="I37" s="30"/>
      <c r="J37" s="30"/>
      <c r="K37" s="30"/>
      <c r="L37" s="30"/>
      <c r="M37" s="30"/>
      <c r="N37" s="30"/>
      <c r="O37" s="30"/>
      <c r="P37" s="30"/>
      <c r="Q37" s="30"/>
      <c r="R37" s="1"/>
      <c r="S37" s="1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2"/>
        <v>26</v>
      </c>
      <c r="B38" s="27">
        <v>49444.48</v>
      </c>
      <c r="C38" s="28">
        <v>49694.61</v>
      </c>
      <c r="D38" s="29" t="s">
        <v>37</v>
      </c>
      <c r="E38" s="30">
        <f>C38-B38</f>
        <v>250.12999999999738</v>
      </c>
      <c r="F38" s="37">
        <v>10</v>
      </c>
      <c r="G38" s="32"/>
      <c r="H38" s="32"/>
      <c r="I38" s="30">
        <f>IF(G38=0,ROUND($E38*$F38,2),ROUND($E38*$F38*$G38,2))</f>
        <v>2501.3</v>
      </c>
      <c r="J38" s="30"/>
      <c r="K38" s="30">
        <f>IF($H38=0,ROUND($E38*(K$72/12),2),ROUND($E38*(K$72/12)*$H38,2))</f>
        <v>83.38</v>
      </c>
      <c r="L38" s="30"/>
      <c r="M38" s="30">
        <f>IF($H38=0,ROUND($E38*(M$72/12),2),ROUND($E38*(M$72/12)*$H38,2))</f>
        <v>208.44</v>
      </c>
      <c r="N38" s="30">
        <f>IF($H38=0,ROUND($E38*(N$72/12),2),ROUND($E38*(N$72/12)*$H38,2))</f>
        <v>333.51</v>
      </c>
      <c r="O38" s="30"/>
      <c r="P38" s="30"/>
      <c r="Q38" s="30"/>
      <c r="R38" s="1"/>
      <c r="S38" s="1"/>
      <c r="T38" s="30">
        <f>ROUND(((($I38+$J38)*(T$72/12)+($K38)*(T$73/12)+($M38)*(T$73/12))/27),2)</f>
        <v>65.36</v>
      </c>
      <c r="U38" s="30">
        <f t="shared" si="4"/>
        <v>52.5</v>
      </c>
      <c r="V38" s="30"/>
      <c r="W38" s="30">
        <f>ROUND(((($I38+$J38)/9)*$W$72)+((($I38+$J38+$K38)/9)*$W$72)+((($I38+$J38+$M38)/9)*$W$72),2)</f>
        <v>47.64</v>
      </c>
      <c r="X38" s="30"/>
      <c r="Y38" s="30"/>
      <c r="Z38" s="30">
        <f>ROUND(((($I38+$J38)*(Z$72/12))/27),2)</f>
        <v>11.58</v>
      </c>
      <c r="AA38" s="30">
        <f>ROUND(((($I38+$J38)*(AA$72/12))/27),2)</f>
        <v>13.51</v>
      </c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2"/>
        <v>27</v>
      </c>
      <c r="B39" s="27"/>
      <c r="C39" s="28"/>
      <c r="D39" s="29"/>
      <c r="E39" s="30"/>
      <c r="F39" s="31"/>
      <c r="G39" s="32"/>
      <c r="H39" s="32"/>
      <c r="I39" s="30"/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2"/>
        <v>28</v>
      </c>
      <c r="B40" s="27">
        <v>50148.92</v>
      </c>
      <c r="C40" s="28">
        <v>50152.18</v>
      </c>
      <c r="D40" s="29" t="s">
        <v>37</v>
      </c>
      <c r="E40" s="30">
        <f aca="true" t="shared" si="9" ref="E40:E52">C40-B40</f>
        <v>3.2600000000020373</v>
      </c>
      <c r="F40" s="37">
        <v>8</v>
      </c>
      <c r="G40" s="32"/>
      <c r="H40" s="32"/>
      <c r="I40" s="30">
        <f aca="true" t="shared" si="10" ref="I40:I51">IF(G40=0,ROUND($E40*$F40,2),ROUND($E40*$F40*$G40,2))</f>
        <v>26.08</v>
      </c>
      <c r="J40" s="30"/>
      <c r="K40" s="30"/>
      <c r="L40" s="30"/>
      <c r="M40" s="30"/>
      <c r="N40" s="30"/>
      <c r="O40" s="30">
        <f>IF($H40=0,ROUND($E40*(O$72/12),2),ROUND($E40*(O$72/12)*$H40,2))</f>
        <v>4.89</v>
      </c>
      <c r="P40" s="30"/>
      <c r="Q40" s="30"/>
      <c r="R40" s="1"/>
      <c r="S40" s="1"/>
      <c r="T40" s="30">
        <f aca="true" t="shared" si="11" ref="T40:T47">ROUND(((($I40+$J40)*(T$72/12)+($K40)*(T$73/12)+($M40)*(T$73/12))/27),2)</f>
        <v>0.64</v>
      </c>
      <c r="U40" s="30">
        <f t="shared" si="4"/>
        <v>0.57</v>
      </c>
      <c r="V40" s="30"/>
      <c r="W40" s="30">
        <f aca="true" t="shared" si="12" ref="W40:W51">ROUND(((($I40+$J40)/9)*$W$72)+((($I40+$J40+$K40)/9)*$W$72)+((($I40+$J40+$M40)/9)*$W$72),2)</f>
        <v>0.48</v>
      </c>
      <c r="X40" s="30"/>
      <c r="Y40" s="30"/>
      <c r="Z40" s="30">
        <f aca="true" t="shared" si="13" ref="Z40:AA47">ROUND(((($I40+$J40)*(Z$72/12))/27),2)</f>
        <v>0.12</v>
      </c>
      <c r="AA40" s="30">
        <f t="shared" si="13"/>
        <v>0.14</v>
      </c>
      <c r="AB40" s="30"/>
      <c r="AC40" s="30"/>
      <c r="AD40" s="30">
        <f>IF($H40=0,$E40,ROUND($E40*$H40,2))</f>
        <v>3.2600000000020373</v>
      </c>
      <c r="AE40" s="30"/>
      <c r="AF40" s="110"/>
      <c r="AG40" s="111"/>
    </row>
    <row r="41" spans="1:33" s="19" customFormat="1" ht="21.75" customHeight="1">
      <c r="A41" s="26">
        <f t="shared" si="2"/>
        <v>29</v>
      </c>
      <c r="B41" s="27">
        <f>C40</f>
        <v>50152.18</v>
      </c>
      <c r="C41" s="28">
        <v>50203.04</v>
      </c>
      <c r="D41" s="29" t="s">
        <v>37</v>
      </c>
      <c r="E41" s="30">
        <f t="shared" si="9"/>
        <v>50.86000000000058</v>
      </c>
      <c r="F41" s="37">
        <v>8</v>
      </c>
      <c r="G41" s="32"/>
      <c r="H41" s="32"/>
      <c r="I41" s="30">
        <f t="shared" si="10"/>
        <v>406.88</v>
      </c>
      <c r="J41" s="30"/>
      <c r="K41" s="30">
        <f aca="true" t="shared" si="14" ref="K41:K47">IF($H41=0,ROUND($E41*(K$72/12),2),ROUND($E41*(K$72/12)*$H41,2))</f>
        <v>16.95</v>
      </c>
      <c r="L41" s="30"/>
      <c r="M41" s="30">
        <f aca="true" t="shared" si="15" ref="M41:N48">IF($H41=0,ROUND($E41*(M$72/12),2),ROUND($E41*(M$72/12)*$H41,2))</f>
        <v>42.38</v>
      </c>
      <c r="N41" s="30">
        <f t="shared" si="15"/>
        <v>67.81</v>
      </c>
      <c r="O41" s="30"/>
      <c r="P41" s="30"/>
      <c r="Q41" s="30"/>
      <c r="R41" s="1"/>
      <c r="S41" s="1"/>
      <c r="T41" s="30">
        <f t="shared" si="11"/>
        <v>10.78</v>
      </c>
      <c r="U41" s="30">
        <f t="shared" si="4"/>
        <v>8.79</v>
      </c>
      <c r="V41" s="30"/>
      <c r="W41" s="30">
        <f t="shared" si="12"/>
        <v>7.82</v>
      </c>
      <c r="X41" s="30"/>
      <c r="Y41" s="30"/>
      <c r="Z41" s="30">
        <f t="shared" si="13"/>
        <v>1.88</v>
      </c>
      <c r="AA41" s="30">
        <f t="shared" si="13"/>
        <v>2.2</v>
      </c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2"/>
        <v>30</v>
      </c>
      <c r="B42" s="27">
        <f>C41</f>
        <v>50203.04</v>
      </c>
      <c r="C42" s="28">
        <v>50395.44</v>
      </c>
      <c r="D42" s="29" t="s">
        <v>37</v>
      </c>
      <c r="E42" s="30">
        <f t="shared" si="9"/>
        <v>192.40000000000146</v>
      </c>
      <c r="F42" s="37">
        <v>8</v>
      </c>
      <c r="G42" s="32">
        <f>ROUND((((2864.79-12-($F42/2))/2864.79)+1)/2,4)</f>
        <v>0.9972</v>
      </c>
      <c r="H42" s="32">
        <f>ROUND((((2864.79-12-($F42))/2864.79)+1)/2,4)</f>
        <v>0.9965</v>
      </c>
      <c r="I42" s="30">
        <f t="shared" si="10"/>
        <v>1534.89</v>
      </c>
      <c r="J42" s="30"/>
      <c r="K42" s="30">
        <f t="shared" si="14"/>
        <v>63.91</v>
      </c>
      <c r="L42" s="30"/>
      <c r="M42" s="30">
        <f t="shared" si="15"/>
        <v>159.77</v>
      </c>
      <c r="N42" s="30">
        <f t="shared" si="15"/>
        <v>255.64</v>
      </c>
      <c r="O42" s="30"/>
      <c r="P42" s="30"/>
      <c r="Q42" s="30"/>
      <c r="R42" s="1"/>
      <c r="S42" s="1"/>
      <c r="T42" s="30">
        <f t="shared" si="11"/>
        <v>40.66</v>
      </c>
      <c r="U42" s="30">
        <f t="shared" si="4"/>
        <v>33.16</v>
      </c>
      <c r="V42" s="30"/>
      <c r="W42" s="30">
        <f t="shared" si="12"/>
        <v>29.51</v>
      </c>
      <c r="X42" s="30"/>
      <c r="Y42" s="30"/>
      <c r="Z42" s="30">
        <f t="shared" si="13"/>
        <v>7.11</v>
      </c>
      <c r="AA42" s="30">
        <f t="shared" si="13"/>
        <v>8.29</v>
      </c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2"/>
        <v>31</v>
      </c>
      <c r="B43" s="27">
        <f>C42</f>
        <v>50395.44</v>
      </c>
      <c r="C43" s="28">
        <v>50495.44</v>
      </c>
      <c r="D43" s="29" t="s">
        <v>37</v>
      </c>
      <c r="E43" s="30">
        <f t="shared" si="9"/>
        <v>100</v>
      </c>
      <c r="F43" s="31">
        <f>ROUND(AVERAGE(10,8),2)</f>
        <v>9</v>
      </c>
      <c r="G43" s="32">
        <f>ROUND((((2864.79-12-($F43/2))/2864.79)+1)/2,4)</f>
        <v>0.9971</v>
      </c>
      <c r="H43" s="32">
        <f>ROUND((((2864.79-12-($F43))/2864.79)+1)/2,4)</f>
        <v>0.9963</v>
      </c>
      <c r="I43" s="30">
        <f t="shared" si="10"/>
        <v>897.39</v>
      </c>
      <c r="J43" s="30"/>
      <c r="K43" s="30">
        <f t="shared" si="14"/>
        <v>33.21</v>
      </c>
      <c r="L43" s="30"/>
      <c r="M43" s="30">
        <f t="shared" si="15"/>
        <v>83.03</v>
      </c>
      <c r="N43" s="30">
        <f t="shared" si="15"/>
        <v>132.84</v>
      </c>
      <c r="O43" s="30"/>
      <c r="P43" s="30"/>
      <c r="Q43" s="30"/>
      <c r="R43" s="1"/>
      <c r="S43" s="1"/>
      <c r="T43" s="30">
        <f t="shared" si="11"/>
        <v>23.59</v>
      </c>
      <c r="U43" s="30">
        <f t="shared" si="4"/>
        <v>19.08</v>
      </c>
      <c r="V43" s="30"/>
      <c r="W43" s="30">
        <f t="shared" si="12"/>
        <v>17.16</v>
      </c>
      <c r="X43" s="30"/>
      <c r="Y43" s="30"/>
      <c r="Z43" s="30">
        <f t="shared" si="13"/>
        <v>4.15</v>
      </c>
      <c r="AA43" s="30">
        <f t="shared" si="13"/>
        <v>4.85</v>
      </c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2"/>
        <v>32</v>
      </c>
      <c r="B44" s="27">
        <f>C43</f>
        <v>50495.44</v>
      </c>
      <c r="C44" s="28">
        <v>50603.04</v>
      </c>
      <c r="D44" s="29" t="s">
        <v>37</v>
      </c>
      <c r="E44" s="30">
        <f t="shared" si="9"/>
        <v>107.59999999999854</v>
      </c>
      <c r="F44" s="37">
        <v>10</v>
      </c>
      <c r="G44" s="32">
        <f>ROUND((((2864.79-($F44/2))/2864.79)+1)/2,4)</f>
        <v>0.9991</v>
      </c>
      <c r="H44" s="32">
        <f>ROUND((((2864.79-($F44))/2864.79)+1)/2,4)</f>
        <v>0.9983</v>
      </c>
      <c r="I44" s="30">
        <f t="shared" si="10"/>
        <v>1075.03</v>
      </c>
      <c r="J44" s="30"/>
      <c r="K44" s="30">
        <f t="shared" si="14"/>
        <v>35.81</v>
      </c>
      <c r="L44" s="30"/>
      <c r="M44" s="30">
        <f t="shared" si="15"/>
        <v>89.51</v>
      </c>
      <c r="N44" s="30">
        <f t="shared" si="15"/>
        <v>143.22</v>
      </c>
      <c r="O44" s="30"/>
      <c r="P44" s="30"/>
      <c r="Q44" s="30"/>
      <c r="R44" s="1"/>
      <c r="S44" s="1"/>
      <c r="T44" s="30">
        <f t="shared" si="11"/>
        <v>28.09</v>
      </c>
      <c r="U44" s="30">
        <f t="shared" si="4"/>
        <v>22.56</v>
      </c>
      <c r="V44" s="30"/>
      <c r="W44" s="30">
        <f t="shared" si="12"/>
        <v>20.47</v>
      </c>
      <c r="X44" s="30"/>
      <c r="Y44" s="30"/>
      <c r="Z44" s="30">
        <f t="shared" si="13"/>
        <v>4.98</v>
      </c>
      <c r="AA44" s="30">
        <f t="shared" si="13"/>
        <v>5.81</v>
      </c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2"/>
        <v>33</v>
      </c>
      <c r="B45" s="27">
        <f>C44</f>
        <v>50603.04</v>
      </c>
      <c r="C45" s="28">
        <v>50775</v>
      </c>
      <c r="D45" s="29" t="s">
        <v>37</v>
      </c>
      <c r="E45" s="30">
        <f t="shared" si="9"/>
        <v>171.95999999999913</v>
      </c>
      <c r="F45" s="31">
        <v>10</v>
      </c>
      <c r="G45" s="32">
        <f>ROUND((2864.79-($F45/2))/2864.79,4)</f>
        <v>0.9983</v>
      </c>
      <c r="H45" s="32">
        <f aca="true" t="shared" si="16" ref="H45:H52">ROUND((2864.79-($F45))/2864.79,4)</f>
        <v>0.9965</v>
      </c>
      <c r="I45" s="30">
        <f t="shared" si="10"/>
        <v>1716.68</v>
      </c>
      <c r="J45" s="30"/>
      <c r="K45" s="30">
        <f t="shared" si="14"/>
        <v>57.12</v>
      </c>
      <c r="L45" s="30"/>
      <c r="M45" s="30">
        <f t="shared" si="15"/>
        <v>142.8</v>
      </c>
      <c r="N45" s="30">
        <f t="shared" si="15"/>
        <v>228.48</v>
      </c>
      <c r="O45" s="30"/>
      <c r="P45" s="30"/>
      <c r="Q45" s="30"/>
      <c r="R45" s="1"/>
      <c r="S45" s="1"/>
      <c r="T45" s="30">
        <f t="shared" si="11"/>
        <v>44.86</v>
      </c>
      <c r="U45" s="30">
        <f t="shared" si="4"/>
        <v>36.02</v>
      </c>
      <c r="V45" s="30"/>
      <c r="W45" s="30">
        <f t="shared" si="12"/>
        <v>32.69</v>
      </c>
      <c r="X45" s="30"/>
      <c r="Y45" s="30"/>
      <c r="Z45" s="30">
        <f t="shared" si="13"/>
        <v>7.95</v>
      </c>
      <c r="AA45" s="30">
        <f t="shared" si="13"/>
        <v>9.27</v>
      </c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2"/>
        <v>34</v>
      </c>
      <c r="B46" s="27">
        <f aca="true" t="shared" si="17" ref="B46:B52">C45</f>
        <v>50775</v>
      </c>
      <c r="C46" s="28">
        <v>50794</v>
      </c>
      <c r="D46" s="29" t="s">
        <v>37</v>
      </c>
      <c r="E46" s="30">
        <f t="shared" si="9"/>
        <v>19</v>
      </c>
      <c r="F46" s="31">
        <f>ROUND(AVERAGE(10,7),2)</f>
        <v>8.5</v>
      </c>
      <c r="G46" s="32">
        <f aca="true" t="shared" si="18" ref="G46:G52">ROUND((2864.79-($F46/2))/2864.79,4)</f>
        <v>0.9985</v>
      </c>
      <c r="H46" s="32">
        <f t="shared" si="16"/>
        <v>0.997</v>
      </c>
      <c r="I46" s="30">
        <f t="shared" si="10"/>
        <v>161.26</v>
      </c>
      <c r="J46" s="30"/>
      <c r="K46" s="30">
        <f t="shared" si="14"/>
        <v>6.31</v>
      </c>
      <c r="L46" s="30"/>
      <c r="M46" s="30">
        <f t="shared" si="15"/>
        <v>15.79</v>
      </c>
      <c r="N46" s="30">
        <f t="shared" si="15"/>
        <v>25.26</v>
      </c>
      <c r="O46" s="30"/>
      <c r="P46" s="30"/>
      <c r="Q46" s="30"/>
      <c r="R46" s="1"/>
      <c r="S46" s="1"/>
      <c r="T46" s="30">
        <f t="shared" si="11"/>
        <v>4.25</v>
      </c>
      <c r="U46" s="30">
        <f t="shared" si="4"/>
        <v>3.45</v>
      </c>
      <c r="V46" s="30"/>
      <c r="W46" s="30">
        <f t="shared" si="12"/>
        <v>3.09</v>
      </c>
      <c r="X46" s="30"/>
      <c r="Y46" s="30"/>
      <c r="Z46" s="30">
        <f t="shared" si="13"/>
        <v>0.75</v>
      </c>
      <c r="AA46" s="30">
        <f t="shared" si="13"/>
        <v>0.87</v>
      </c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2"/>
        <v>35</v>
      </c>
      <c r="B47" s="27">
        <f t="shared" si="17"/>
        <v>50794</v>
      </c>
      <c r="C47" s="28">
        <v>50804.86</v>
      </c>
      <c r="D47" s="29" t="s">
        <v>37</v>
      </c>
      <c r="E47" s="30">
        <f t="shared" si="9"/>
        <v>10.860000000000582</v>
      </c>
      <c r="F47" s="31">
        <v>7</v>
      </c>
      <c r="G47" s="32">
        <f t="shared" si="18"/>
        <v>0.9988</v>
      </c>
      <c r="H47" s="32">
        <f t="shared" si="16"/>
        <v>0.9976</v>
      </c>
      <c r="I47" s="30">
        <f t="shared" si="10"/>
        <v>75.93</v>
      </c>
      <c r="J47" s="30"/>
      <c r="K47" s="30">
        <f t="shared" si="14"/>
        <v>3.61</v>
      </c>
      <c r="L47" s="30"/>
      <c r="M47" s="30">
        <f t="shared" si="15"/>
        <v>9.03</v>
      </c>
      <c r="N47" s="30">
        <f t="shared" si="15"/>
        <v>14.45</v>
      </c>
      <c r="O47" s="30"/>
      <c r="P47" s="30"/>
      <c r="Q47" s="30"/>
      <c r="R47" s="1"/>
      <c r="S47" s="1"/>
      <c r="T47" s="30">
        <f t="shared" si="11"/>
        <v>2.03</v>
      </c>
      <c r="U47" s="30">
        <f t="shared" si="4"/>
        <v>1.67</v>
      </c>
      <c r="V47" s="30"/>
      <c r="W47" s="30">
        <f t="shared" si="12"/>
        <v>1.47</v>
      </c>
      <c r="X47" s="30"/>
      <c r="Y47" s="30"/>
      <c r="Z47" s="30">
        <f t="shared" si="13"/>
        <v>0.35</v>
      </c>
      <c r="AA47" s="30">
        <f t="shared" si="13"/>
        <v>0.41</v>
      </c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2"/>
        <v>36</v>
      </c>
      <c r="B48" s="27">
        <f t="shared" si="17"/>
        <v>50804.86</v>
      </c>
      <c r="C48" s="28">
        <v>50873.02</v>
      </c>
      <c r="D48" s="29" t="s">
        <v>37</v>
      </c>
      <c r="E48" s="30">
        <f t="shared" si="9"/>
        <v>68.15999999999622</v>
      </c>
      <c r="F48" s="31">
        <v>7</v>
      </c>
      <c r="G48" s="32">
        <f t="shared" si="18"/>
        <v>0.9988</v>
      </c>
      <c r="H48" s="32">
        <f t="shared" si="16"/>
        <v>0.9976</v>
      </c>
      <c r="I48" s="30">
        <f t="shared" si="10"/>
        <v>476.55</v>
      </c>
      <c r="J48" s="30"/>
      <c r="K48" s="30"/>
      <c r="L48" s="30">
        <f>IF($H48=0,ROUND($E48*(L$72/12),2),ROUND($E48*(L$72/12)*$H48,2))</f>
        <v>34</v>
      </c>
      <c r="M48" s="30">
        <f t="shared" si="15"/>
        <v>56.66</v>
      </c>
      <c r="N48" s="30">
        <f t="shared" si="15"/>
        <v>90.66</v>
      </c>
      <c r="O48" s="30"/>
      <c r="P48" s="30">
        <f>IF($H48=0,ROUND($E48*(P$72/12),2),ROUND($E48*(P$72/12)*$H48,2))</f>
        <v>113.33</v>
      </c>
      <c r="Q48" s="30">
        <f>IF($H48=0,ROUND($E48*(Q$72/12),2),ROUND($E48*(Q$72/12)*$H48,2))</f>
        <v>124.66</v>
      </c>
      <c r="R48" s="1"/>
      <c r="S48" s="1"/>
      <c r="T48" s="30">
        <f>ROUND(((($I48+$J48+$P48)*(T$72/12)+($M48)*(T$73/12)+($N48)*(T$73/12))/27),2)</f>
        <v>16.38</v>
      </c>
      <c r="U48" s="30">
        <f>ROUND(((($I48+$J48+$P48+$Q48)*(U$72/12))/27),2)</f>
        <v>13.23</v>
      </c>
      <c r="V48" s="30"/>
      <c r="W48" s="30">
        <f>ROUND(((($I48+$J306+$L48+$P48)/9)*$W$72)+((($I48+$J48+$M48+$P48)/9)*$W$72)+((($I48+$J48+$N48+$P48)/9)*$W$72),2)</f>
        <v>11.92</v>
      </c>
      <c r="X48" s="30"/>
      <c r="Y48" s="30"/>
      <c r="Z48" s="30">
        <f>ROUND(((($I48+$J48)*(Z$72/12))/27),2)</f>
        <v>2.21</v>
      </c>
      <c r="AA48" s="30">
        <f>ROUND(((($I48+$J48+$P48+$L48)*(AA$72/12))/27),2)</f>
        <v>3.37</v>
      </c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2"/>
        <v>37</v>
      </c>
      <c r="B49" s="27">
        <f t="shared" si="17"/>
        <v>50873.02</v>
      </c>
      <c r="C49" s="28">
        <v>50891.21</v>
      </c>
      <c r="D49" s="29" t="s">
        <v>37</v>
      </c>
      <c r="E49" s="30">
        <f t="shared" si="9"/>
        <v>18.19000000000233</v>
      </c>
      <c r="F49" s="31">
        <v>7</v>
      </c>
      <c r="G49" s="32">
        <f t="shared" si="18"/>
        <v>0.9988</v>
      </c>
      <c r="H49" s="32">
        <f t="shared" si="16"/>
        <v>0.9976</v>
      </c>
      <c r="I49" s="30">
        <f t="shared" si="10"/>
        <v>127.18</v>
      </c>
      <c r="J49" s="30"/>
      <c r="K49" s="30"/>
      <c r="L49" s="30"/>
      <c r="M49" s="30"/>
      <c r="N49" s="30"/>
      <c r="O49" s="30">
        <f>IF($H49=0,ROUND($E49*(O$72/12),2),ROUND($E49*(O$72/12)*$H49,2))</f>
        <v>27.22</v>
      </c>
      <c r="P49" s="30"/>
      <c r="Q49" s="30"/>
      <c r="R49" s="1"/>
      <c r="S49" s="1"/>
      <c r="T49" s="30">
        <f>ROUND(((($I49+$J49)*(T$72/12)+($K49)*(T$73/12)+($M49)*(T$73/12))/27),2)</f>
        <v>3.14</v>
      </c>
      <c r="U49" s="30">
        <f t="shared" si="4"/>
        <v>2.86</v>
      </c>
      <c r="V49" s="30"/>
      <c r="W49" s="30">
        <f t="shared" si="12"/>
        <v>2.33</v>
      </c>
      <c r="X49" s="30"/>
      <c r="Y49" s="30"/>
      <c r="Z49" s="30">
        <f>ROUND(((($I49+$J49)*(Z$72/12))/27),2)</f>
        <v>0.59</v>
      </c>
      <c r="AA49" s="30">
        <f>ROUND(((($I49+$J49)*(AA$72/12))/27),2)</f>
        <v>0.69</v>
      </c>
      <c r="AB49" s="30"/>
      <c r="AC49" s="30"/>
      <c r="AD49" s="30">
        <f>IF($H49=0,$E49,ROUND($E49*$H49,2))</f>
        <v>18.15</v>
      </c>
      <c r="AE49" s="30"/>
      <c r="AF49" s="110"/>
      <c r="AG49" s="111"/>
    </row>
    <row r="50" spans="1:33" s="19" customFormat="1" ht="21.75" customHeight="1" thickBot="1">
      <c r="A50" s="26">
        <f t="shared" si="2"/>
        <v>38</v>
      </c>
      <c r="B50" s="27">
        <f t="shared" si="17"/>
        <v>50891.21</v>
      </c>
      <c r="C50" s="28">
        <v>50925</v>
      </c>
      <c r="D50" s="29" t="s">
        <v>37</v>
      </c>
      <c r="E50" s="30">
        <f t="shared" si="9"/>
        <v>33.79000000000087</v>
      </c>
      <c r="F50" s="31">
        <v>7</v>
      </c>
      <c r="G50" s="32">
        <f t="shared" si="18"/>
        <v>0.9988</v>
      </c>
      <c r="H50" s="32">
        <f t="shared" si="16"/>
        <v>0.9976</v>
      </c>
      <c r="I50" s="30">
        <f t="shared" si="10"/>
        <v>236.25</v>
      </c>
      <c r="J50" s="30"/>
      <c r="K50" s="30">
        <f>IF($H50=0,ROUND($E50*(K$72/12),2),ROUND($E50*(K$72/12)*$H50,2))</f>
        <v>11.24</v>
      </c>
      <c r="L50" s="30"/>
      <c r="M50" s="30">
        <f aca="true" t="shared" si="19" ref="M50:N52">IF($H50=0,ROUND($E50*(M$72/12),2),ROUND($E50*(M$72/12)*$H50,2))</f>
        <v>28.09</v>
      </c>
      <c r="N50" s="30">
        <f t="shared" si="19"/>
        <v>44.95</v>
      </c>
      <c r="O50" s="30"/>
      <c r="P50" s="30"/>
      <c r="Q50" s="30"/>
      <c r="R50" s="1"/>
      <c r="S50" s="1"/>
      <c r="T50" s="30">
        <f>ROUND(((($I50+$J50)*(T$72/12)+($K50)*(T$73/12)+($M50)*(T$73/12))/27),2)</f>
        <v>6.32</v>
      </c>
      <c r="U50" s="30">
        <f t="shared" si="4"/>
        <v>5.21</v>
      </c>
      <c r="V50" s="30"/>
      <c r="W50" s="30">
        <f t="shared" si="12"/>
        <v>4.57</v>
      </c>
      <c r="X50" s="30"/>
      <c r="Y50" s="30"/>
      <c r="Z50" s="30">
        <f>ROUND(((($I50+$J50)*(Z$72/12))/27),2)</f>
        <v>1.09</v>
      </c>
      <c r="AA50" s="30">
        <f>ROUND(((($I50+$J50)*(AA$72/12))/27),2)</f>
        <v>1.28</v>
      </c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2"/>
        <v>39</v>
      </c>
      <c r="B51" s="27">
        <f t="shared" si="17"/>
        <v>50925</v>
      </c>
      <c r="C51" s="28">
        <v>51000</v>
      </c>
      <c r="D51" s="29" t="s">
        <v>37</v>
      </c>
      <c r="E51" s="30">
        <f t="shared" si="9"/>
        <v>75</v>
      </c>
      <c r="F51" s="31">
        <f>ROUND(AVERAGE(10,7),2)</f>
        <v>8.5</v>
      </c>
      <c r="G51" s="32">
        <f t="shared" si="18"/>
        <v>0.9985</v>
      </c>
      <c r="H51" s="32">
        <f t="shared" si="16"/>
        <v>0.997</v>
      </c>
      <c r="I51" s="30">
        <f t="shared" si="10"/>
        <v>636.54</v>
      </c>
      <c r="J51" s="30"/>
      <c r="K51" s="30">
        <f>IF($H51=0,ROUND($E51*(K$72/12),2),ROUND($E51*(K$72/12)*$H51,2))</f>
        <v>24.93</v>
      </c>
      <c r="L51" s="30"/>
      <c r="M51" s="30">
        <f t="shared" si="19"/>
        <v>62.31</v>
      </c>
      <c r="N51" s="30">
        <f t="shared" si="19"/>
        <v>99.7</v>
      </c>
      <c r="O51" s="30"/>
      <c r="P51" s="30"/>
      <c r="Q51" s="30"/>
      <c r="R51" s="1"/>
      <c r="S51" s="1"/>
      <c r="T51" s="30">
        <f>ROUND(((($I51+$J51)*(T$72/12)+($K51)*(T$73/12)+($M51)*(T$73/12))/27),2)</f>
        <v>16.79</v>
      </c>
      <c r="U51" s="30">
        <f t="shared" si="4"/>
        <v>13.63</v>
      </c>
      <c r="V51" s="30"/>
      <c r="W51" s="30">
        <f t="shared" si="12"/>
        <v>12.2</v>
      </c>
      <c r="X51" s="30"/>
      <c r="Y51" s="30"/>
      <c r="Z51" s="30">
        <f>ROUND(((($I51+$J51)*(Z$72/12))/27),2)</f>
        <v>2.95</v>
      </c>
      <c r="AA51" s="30">
        <f>ROUND(((($I51+$J51)*(AA$72/12))/27),2)</f>
        <v>3.44</v>
      </c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2"/>
        <v>40</v>
      </c>
      <c r="B52" s="27">
        <f t="shared" si="17"/>
        <v>51000</v>
      </c>
      <c r="C52" s="28">
        <v>51495</v>
      </c>
      <c r="D52" s="29" t="s">
        <v>37</v>
      </c>
      <c r="E52" s="30">
        <f t="shared" si="9"/>
        <v>495</v>
      </c>
      <c r="F52" s="31">
        <v>10</v>
      </c>
      <c r="G52" s="32">
        <f t="shared" si="18"/>
        <v>0.9983</v>
      </c>
      <c r="H52" s="32">
        <f t="shared" si="16"/>
        <v>0.9965</v>
      </c>
      <c r="I52" s="30">
        <f>IF(G52=0,ROUND($E52*$F52,2),ROUND($E52*$F52*$G52,2))</f>
        <v>4941.59</v>
      </c>
      <c r="J52" s="30"/>
      <c r="K52" s="30">
        <f>IF($H52=0,ROUND($E52*(K$72/12),2),ROUND($E52*(K$72/12)*$H52,2))</f>
        <v>164.42</v>
      </c>
      <c r="L52" s="30"/>
      <c r="M52" s="30">
        <f t="shared" si="19"/>
        <v>411.06</v>
      </c>
      <c r="N52" s="30">
        <f t="shared" si="19"/>
        <v>657.69</v>
      </c>
      <c r="O52" s="30"/>
      <c r="P52" s="30"/>
      <c r="Q52" s="30"/>
      <c r="R52" s="1"/>
      <c r="S52" s="1"/>
      <c r="T52" s="30">
        <f>ROUND(((($I52+$J52)*(T$72/12)+($K52)*(T$73/12)+($M52)*(T$73/12))/27),2)</f>
        <v>129.12</v>
      </c>
      <c r="U52" s="30">
        <f t="shared" si="4"/>
        <v>103.69</v>
      </c>
      <c r="V52" s="30"/>
      <c r="W52" s="30">
        <f>ROUND(((($I52+$J52)/9)*$W$72)+((($I52+$J52+$K52)/9)*$W$72)+((($I52+$J52+$M52)/9)*$W$72),2)</f>
        <v>94.11</v>
      </c>
      <c r="X52" s="30"/>
      <c r="Y52" s="30"/>
      <c r="Z52" s="30">
        <f>ROUND(((($I52+$J52)*(Z$72/12))/27),2)</f>
        <v>22.88</v>
      </c>
      <c r="AA52" s="30">
        <f>ROUND(((($I52+$J52)*(AA$72/12))/27),2)</f>
        <v>26.69</v>
      </c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2"/>
        <v>41</v>
      </c>
      <c r="B53" s="27"/>
      <c r="C53" s="28"/>
      <c r="D53" s="29"/>
      <c r="E53" s="30"/>
      <c r="F53" s="37"/>
      <c r="G53" s="3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1"/>
      <c r="S53" s="1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2"/>
        <v>42</v>
      </c>
      <c r="B54" s="28"/>
      <c r="C54" s="28"/>
      <c r="D54" s="29"/>
      <c r="E54" s="30"/>
      <c r="F54" s="37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"/>
      <c r="S54" s="1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2"/>
        <v>43</v>
      </c>
      <c r="B55" s="28"/>
      <c r="C55" s="28"/>
      <c r="D55" s="29"/>
      <c r="E55" s="30"/>
      <c r="F55" s="37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1"/>
      <c r="S55" s="1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2"/>
        <v>44</v>
      </c>
      <c r="B56" s="28"/>
      <c r="C56" s="53"/>
      <c r="D56" s="29"/>
      <c r="E56" s="30"/>
      <c r="F56" s="31"/>
      <c r="G56" s="3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1"/>
      <c r="S56" s="1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>A56+1</f>
        <v>45</v>
      </c>
      <c r="B57" s="28"/>
      <c r="C57" s="28"/>
      <c r="D57" s="29"/>
      <c r="E57" s="30"/>
      <c r="F57" s="31"/>
      <c r="G57" s="3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1"/>
      <c r="S57" s="1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39" customFormat="1" ht="21.75" customHeight="1">
      <c r="A58" s="26">
        <f t="shared" si="2"/>
        <v>46</v>
      </c>
      <c r="B58" s="105" t="s">
        <v>47</v>
      </c>
      <c r="C58" s="106"/>
      <c r="D58" s="106"/>
      <c r="E58" s="106"/>
      <c r="F58" s="106"/>
      <c r="G58" s="106"/>
      <c r="H58" s="106"/>
      <c r="I58" s="107"/>
      <c r="J58" s="30"/>
      <c r="K58" s="30"/>
      <c r="L58" s="30"/>
      <c r="M58" s="30"/>
      <c r="N58" s="30"/>
      <c r="O58" s="30"/>
      <c r="P58" s="30"/>
      <c r="Q58" s="30"/>
      <c r="R58" s="1"/>
      <c r="S58" s="1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39" customFormat="1" ht="21.75" customHeight="1">
      <c r="A59" s="26">
        <f t="shared" si="2"/>
        <v>47</v>
      </c>
      <c r="B59" s="33" t="s">
        <v>48</v>
      </c>
      <c r="C59" s="28"/>
      <c r="D59" s="29"/>
      <c r="E59" s="30"/>
      <c r="F59" s="31"/>
      <c r="G59" s="32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"/>
      <c r="S59" s="1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39" customFormat="1" ht="21.75" customHeight="1">
      <c r="A60" s="26">
        <f t="shared" si="2"/>
        <v>48</v>
      </c>
      <c r="B60" s="28">
        <v>49694.61</v>
      </c>
      <c r="C60" s="28">
        <v>49973.79</v>
      </c>
      <c r="D60" s="29" t="s">
        <v>37</v>
      </c>
      <c r="E60" s="138" t="s">
        <v>40</v>
      </c>
      <c r="F60" s="139"/>
      <c r="G60" s="139"/>
      <c r="H60" s="139"/>
      <c r="I60" s="140"/>
      <c r="J60" s="30">
        <v>2732.84</v>
      </c>
      <c r="K60" s="30"/>
      <c r="L60" s="30"/>
      <c r="M60" s="30"/>
      <c r="N60" s="30"/>
      <c r="O60" s="30"/>
      <c r="P60" s="30"/>
      <c r="Q60" s="30"/>
      <c r="R60" s="1"/>
      <c r="S60" s="1"/>
      <c r="T60" s="30">
        <f>ROUND(((($I60+$J60)*(T$72/12))/27),2)</f>
        <v>67.48</v>
      </c>
      <c r="U60" s="30">
        <f t="shared" si="4"/>
        <v>50.61</v>
      </c>
      <c r="V60" s="30"/>
      <c r="W60" s="30">
        <f>ROUND((((($I60+$J60)/9)*W$72)*3),2)</f>
        <v>50.1</v>
      </c>
      <c r="X60" s="30"/>
      <c r="Y60" s="30"/>
      <c r="Z60" s="30">
        <f>ROUND(((($I60+$J60)*(Z$72/12))/27),2)</f>
        <v>12.65</v>
      </c>
      <c r="AA60" s="30">
        <f>ROUND(((($I60+$J60)*(AA$72/12))/27),2)</f>
        <v>14.76</v>
      </c>
      <c r="AB60" s="30"/>
      <c r="AC60" s="30"/>
      <c r="AD60" s="30"/>
      <c r="AE60" s="30"/>
      <c r="AF60" s="110"/>
      <c r="AG60" s="111"/>
    </row>
    <row r="61" spans="1:33" s="39" customFormat="1" ht="21.75" customHeight="1">
      <c r="A61" s="26">
        <f t="shared" si="2"/>
        <v>49</v>
      </c>
      <c r="B61" s="33" t="s">
        <v>49</v>
      </c>
      <c r="C61" s="28"/>
      <c r="D61" s="29"/>
      <c r="E61" s="30"/>
      <c r="F61" s="31"/>
      <c r="G61" s="32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1"/>
      <c r="S61" s="1"/>
      <c r="T61" s="1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2"/>
        <v>50</v>
      </c>
      <c r="B62" s="28">
        <v>50243.78</v>
      </c>
      <c r="C62" s="28">
        <v>50628.88</v>
      </c>
      <c r="D62" s="29" t="s">
        <v>41</v>
      </c>
      <c r="E62" s="138" t="s">
        <v>40</v>
      </c>
      <c r="F62" s="139"/>
      <c r="G62" s="139"/>
      <c r="H62" s="139"/>
      <c r="I62" s="140"/>
      <c r="J62" s="30">
        <v>2851.31</v>
      </c>
      <c r="K62" s="30"/>
      <c r="L62" s="30"/>
      <c r="M62" s="30"/>
      <c r="N62" s="30"/>
      <c r="O62" s="30"/>
      <c r="P62" s="30"/>
      <c r="Q62" s="30"/>
      <c r="R62" s="1"/>
      <c r="S62" s="1"/>
      <c r="T62" s="30">
        <f>ROUND(((($I62+$J62)*(T$72/12))/27),2)</f>
        <v>70.4</v>
      </c>
      <c r="U62" s="30">
        <f t="shared" si="4"/>
        <v>52.8</v>
      </c>
      <c r="V62" s="30"/>
      <c r="W62" s="30">
        <f>ROUND((((($I62+$J62)/9)*W$72)*3),2)</f>
        <v>52.27</v>
      </c>
      <c r="X62" s="30"/>
      <c r="Y62" s="30"/>
      <c r="Z62" s="30">
        <f>ROUND(((($I62+$J62)*(Z$72/12))/27),2)</f>
        <v>13.2</v>
      </c>
      <c r="AA62" s="30">
        <f>ROUND(((($I62+$J62)*(AA$72/12))/27),2)</f>
        <v>15.4</v>
      </c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2"/>
        <v>51</v>
      </c>
      <c r="B63" s="28"/>
      <c r="C63" s="28"/>
      <c r="D63" s="29"/>
      <c r="E63" s="30"/>
      <c r="F63" s="31"/>
      <c r="G63" s="3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1"/>
      <c r="S63" s="1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2"/>
        <v>52</v>
      </c>
      <c r="B64" s="28"/>
      <c r="C64" s="28"/>
      <c r="D64" s="29"/>
      <c r="E64" s="30"/>
      <c r="F64" s="31"/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2"/>
        <v>53</v>
      </c>
      <c r="B65" s="28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2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>IF(SUM(R13:R66)=0," ",ROUNDUP(SUM(R13:R66),0))</f>
        <v> </v>
      </c>
      <c r="S67" s="125" t="str">
        <f aca="true" t="shared" si="20" ref="S67:AE67">IF(SUM(S13:S66)=0," ",ROUNDUP(SUM(S13:S66),0))</f>
        <v> </v>
      </c>
      <c r="T67" s="125">
        <f t="shared" si="20"/>
        <v>3018</v>
      </c>
      <c r="U67" s="125">
        <f t="shared" si="20"/>
        <v>2310</v>
      </c>
      <c r="V67" s="125" t="str">
        <f t="shared" si="20"/>
        <v> </v>
      </c>
      <c r="W67" s="125">
        <f t="shared" si="20"/>
        <v>2229</v>
      </c>
      <c r="X67" s="125" t="str">
        <f t="shared" si="20"/>
        <v> </v>
      </c>
      <c r="Y67" s="125" t="str">
        <f t="shared" si="20"/>
        <v> </v>
      </c>
      <c r="Z67" s="125">
        <f t="shared" si="20"/>
        <v>555</v>
      </c>
      <c r="AA67" s="125">
        <f t="shared" si="20"/>
        <v>650</v>
      </c>
      <c r="AB67" s="125">
        <f t="shared" si="20"/>
        <v>843</v>
      </c>
      <c r="AC67" s="125" t="str">
        <f t="shared" si="20"/>
        <v> </v>
      </c>
      <c r="AD67" s="125">
        <f t="shared" si="20"/>
        <v>58</v>
      </c>
      <c r="AE67" s="125" t="str">
        <f t="shared" si="20"/>
        <v> </v>
      </c>
      <c r="AF67" s="145">
        <v>3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>
        <v>1.25</v>
      </c>
      <c r="I72" s="57"/>
      <c r="J72" s="57"/>
      <c r="K72" s="57">
        <v>4</v>
      </c>
      <c r="L72" s="57">
        <v>6</v>
      </c>
      <c r="M72" s="57">
        <v>10</v>
      </c>
      <c r="N72" s="57">
        <v>16</v>
      </c>
      <c r="O72" s="57">
        <v>18</v>
      </c>
      <c r="P72" s="57">
        <v>20</v>
      </c>
      <c r="Q72" s="57">
        <v>22</v>
      </c>
      <c r="R72" s="57"/>
      <c r="S72" s="57"/>
      <c r="T72" s="57">
        <v>8</v>
      </c>
      <c r="U72" s="58">
        <v>6</v>
      </c>
      <c r="V72" s="59">
        <v>0.055</v>
      </c>
      <c r="W72" s="59">
        <v>0.055</v>
      </c>
      <c r="X72" s="59"/>
      <c r="Y72" s="58">
        <v>1.75</v>
      </c>
      <c r="Z72" s="58">
        <v>1.5</v>
      </c>
      <c r="AA72" s="58">
        <v>1.75</v>
      </c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>
        <f>T72/2</f>
        <v>4</v>
      </c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141"/>
      <c r="L74" s="142"/>
      <c r="M74" s="142"/>
      <c r="N74" s="142"/>
      <c r="O74" s="142"/>
      <c r="P74" s="142"/>
      <c r="Q74" s="142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5">
    <mergeCell ref="X4:X11"/>
    <mergeCell ref="Y4:Y11"/>
    <mergeCell ref="E3:E11"/>
    <mergeCell ref="X67:X68"/>
    <mergeCell ref="I3:I11"/>
    <mergeCell ref="M3:M11"/>
    <mergeCell ref="S67:S68"/>
    <mergeCell ref="O3:O11"/>
    <mergeCell ref="H3:H11"/>
    <mergeCell ref="J3:J11"/>
    <mergeCell ref="K3:K11"/>
    <mergeCell ref="P3:P11"/>
    <mergeCell ref="E60:I60"/>
    <mergeCell ref="B3:C11"/>
    <mergeCell ref="D3:D11"/>
    <mergeCell ref="E62:I62"/>
    <mergeCell ref="F3:F11"/>
    <mergeCell ref="B14:I14"/>
    <mergeCell ref="AE4:AE11"/>
    <mergeCell ref="S4:S11"/>
    <mergeCell ref="Q3:Q11"/>
    <mergeCell ref="N3:N11"/>
    <mergeCell ref="G3:G11"/>
    <mergeCell ref="L3:L11"/>
    <mergeCell ref="B58:I58"/>
    <mergeCell ref="AC67:AC68"/>
    <mergeCell ref="AE67:AE68"/>
    <mergeCell ref="V67:V68"/>
    <mergeCell ref="R4:R11"/>
    <mergeCell ref="T4:T11"/>
    <mergeCell ref="U4:U11"/>
    <mergeCell ref="V4:V11"/>
    <mergeCell ref="AB4:AB11"/>
    <mergeCell ref="U67:U68"/>
    <mergeCell ref="AD4:AD11"/>
    <mergeCell ref="R67:R68"/>
    <mergeCell ref="T67:T68"/>
    <mergeCell ref="AD67:AD68"/>
    <mergeCell ref="Z4:Z11"/>
    <mergeCell ref="W4:W11"/>
    <mergeCell ref="AF6:AG50"/>
    <mergeCell ref="AA4:AA11"/>
    <mergeCell ref="AF3:AF5"/>
    <mergeCell ref="AG3:AG5"/>
    <mergeCell ref="AF51:AG66"/>
    <mergeCell ref="B67:Q68"/>
    <mergeCell ref="W67:W68"/>
    <mergeCell ref="AF67:AG67"/>
    <mergeCell ref="AF68:AG68"/>
    <mergeCell ref="AC4:AC11"/>
    <mergeCell ref="K74:Q74"/>
    <mergeCell ref="Y67:Y68"/>
    <mergeCell ref="Z67:Z68"/>
    <mergeCell ref="AA67:AA68"/>
    <mergeCell ref="AB67:AB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AA4" sqref="AA4:AA11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 t="s">
        <v>25</v>
      </c>
      <c r="L3" s="127" t="s">
        <v>26</v>
      </c>
      <c r="M3" s="127" t="s">
        <v>27</v>
      </c>
      <c r="N3" s="127" t="s">
        <v>28</v>
      </c>
      <c r="O3" s="127" t="s">
        <v>29</v>
      </c>
      <c r="P3" s="127" t="s">
        <v>30</v>
      </c>
      <c r="Q3" s="127" t="s">
        <v>31</v>
      </c>
      <c r="R3" s="50"/>
      <c r="S3" s="50"/>
      <c r="T3" s="50">
        <v>302</v>
      </c>
      <c r="U3" s="50">
        <v>304</v>
      </c>
      <c r="V3" s="50"/>
      <c r="W3" s="50">
        <v>407</v>
      </c>
      <c r="X3" s="50"/>
      <c r="Y3" s="50"/>
      <c r="Z3" s="50">
        <v>442</v>
      </c>
      <c r="AA3" s="50">
        <v>442</v>
      </c>
      <c r="AB3" s="50">
        <v>442</v>
      </c>
      <c r="AC3" s="50"/>
      <c r="AD3" s="51">
        <v>609</v>
      </c>
      <c r="AE3" s="51" t="s">
        <v>66</v>
      </c>
      <c r="AF3" s="97" t="s">
        <v>12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36"/>
      <c r="K4" s="136"/>
      <c r="L4" s="103"/>
      <c r="M4" s="103"/>
      <c r="N4" s="103"/>
      <c r="O4" s="103"/>
      <c r="P4" s="103"/>
      <c r="Q4" s="103"/>
      <c r="R4" s="99"/>
      <c r="S4" s="102"/>
      <c r="T4" s="99" t="s">
        <v>32</v>
      </c>
      <c r="U4" s="99" t="s">
        <v>111</v>
      </c>
      <c r="V4" s="99"/>
      <c r="W4" s="99" t="s">
        <v>70</v>
      </c>
      <c r="X4" s="99"/>
      <c r="Y4" s="102"/>
      <c r="Z4" s="99" t="s">
        <v>62</v>
      </c>
      <c r="AA4" s="102" t="s">
        <v>112</v>
      </c>
      <c r="AB4" s="102" t="s">
        <v>33</v>
      </c>
      <c r="AC4" s="99"/>
      <c r="AD4" s="102" t="s">
        <v>108</v>
      </c>
      <c r="AE4" s="102" t="s">
        <v>101</v>
      </c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36"/>
      <c r="K5" s="136"/>
      <c r="L5" s="103"/>
      <c r="M5" s="103"/>
      <c r="N5" s="103"/>
      <c r="O5" s="103"/>
      <c r="P5" s="103"/>
      <c r="Q5" s="103"/>
      <c r="R5" s="100"/>
      <c r="S5" s="103"/>
      <c r="T5" s="100"/>
      <c r="U5" s="100"/>
      <c r="V5" s="100"/>
      <c r="W5" s="100"/>
      <c r="X5" s="100"/>
      <c r="Y5" s="103"/>
      <c r="Z5" s="100"/>
      <c r="AA5" s="103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36"/>
      <c r="K6" s="136"/>
      <c r="L6" s="103"/>
      <c r="M6" s="103"/>
      <c r="N6" s="103"/>
      <c r="O6" s="103"/>
      <c r="P6" s="103"/>
      <c r="Q6" s="103"/>
      <c r="R6" s="100"/>
      <c r="S6" s="103"/>
      <c r="T6" s="100"/>
      <c r="U6" s="100"/>
      <c r="V6" s="100"/>
      <c r="W6" s="100"/>
      <c r="X6" s="100"/>
      <c r="Y6" s="103"/>
      <c r="Z6" s="100"/>
      <c r="AA6" s="103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36"/>
      <c r="K7" s="136"/>
      <c r="L7" s="103"/>
      <c r="M7" s="103"/>
      <c r="N7" s="103"/>
      <c r="O7" s="103"/>
      <c r="P7" s="103"/>
      <c r="Q7" s="103"/>
      <c r="R7" s="100"/>
      <c r="S7" s="103"/>
      <c r="T7" s="100"/>
      <c r="U7" s="100"/>
      <c r="V7" s="100"/>
      <c r="W7" s="100"/>
      <c r="X7" s="100"/>
      <c r="Y7" s="103"/>
      <c r="Z7" s="100"/>
      <c r="AA7" s="103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36"/>
      <c r="K8" s="136"/>
      <c r="L8" s="103"/>
      <c r="M8" s="103"/>
      <c r="N8" s="103"/>
      <c r="O8" s="103"/>
      <c r="P8" s="103"/>
      <c r="Q8" s="103"/>
      <c r="R8" s="100"/>
      <c r="S8" s="103"/>
      <c r="T8" s="100"/>
      <c r="U8" s="100"/>
      <c r="V8" s="100"/>
      <c r="W8" s="100"/>
      <c r="X8" s="100"/>
      <c r="Y8" s="103"/>
      <c r="Z8" s="100"/>
      <c r="AA8" s="103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36"/>
      <c r="K9" s="136"/>
      <c r="L9" s="103"/>
      <c r="M9" s="103"/>
      <c r="N9" s="103"/>
      <c r="O9" s="103"/>
      <c r="P9" s="103"/>
      <c r="Q9" s="103"/>
      <c r="R9" s="100"/>
      <c r="S9" s="103"/>
      <c r="T9" s="100"/>
      <c r="U9" s="100"/>
      <c r="V9" s="100"/>
      <c r="W9" s="100"/>
      <c r="X9" s="100"/>
      <c r="Y9" s="103"/>
      <c r="Z9" s="100"/>
      <c r="AA9" s="103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36"/>
      <c r="K10" s="136"/>
      <c r="L10" s="103"/>
      <c r="M10" s="103"/>
      <c r="N10" s="103"/>
      <c r="O10" s="103"/>
      <c r="P10" s="103"/>
      <c r="Q10" s="103"/>
      <c r="R10" s="100"/>
      <c r="S10" s="103"/>
      <c r="T10" s="100"/>
      <c r="U10" s="100"/>
      <c r="V10" s="100"/>
      <c r="W10" s="100"/>
      <c r="X10" s="100"/>
      <c r="Y10" s="103"/>
      <c r="Z10" s="100"/>
      <c r="AA10" s="103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37"/>
      <c r="K11" s="137"/>
      <c r="L11" s="104"/>
      <c r="M11" s="104"/>
      <c r="N11" s="104"/>
      <c r="O11" s="104"/>
      <c r="P11" s="104"/>
      <c r="Q11" s="104"/>
      <c r="R11" s="101"/>
      <c r="S11" s="104"/>
      <c r="T11" s="101"/>
      <c r="U11" s="101"/>
      <c r="V11" s="101"/>
      <c r="W11" s="101"/>
      <c r="X11" s="101"/>
      <c r="Y11" s="104"/>
      <c r="Z11" s="101"/>
      <c r="AA11" s="104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25"/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52"/>
      <c r="S12" s="52"/>
      <c r="T12" s="52" t="s">
        <v>34</v>
      </c>
      <c r="U12" s="52" t="s">
        <v>34</v>
      </c>
      <c r="V12" s="52"/>
      <c r="W12" s="52" t="s">
        <v>35</v>
      </c>
      <c r="X12" s="52"/>
      <c r="Y12" s="52"/>
      <c r="Z12" s="52" t="s">
        <v>34</v>
      </c>
      <c r="AA12" s="52" t="s">
        <v>34</v>
      </c>
      <c r="AB12" s="52" t="s">
        <v>34</v>
      </c>
      <c r="AC12" s="52"/>
      <c r="AD12" s="25" t="s">
        <v>8</v>
      </c>
      <c r="AE12" s="25" t="s">
        <v>8</v>
      </c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55</v>
      </c>
      <c r="C14" s="106"/>
      <c r="D14" s="106"/>
      <c r="E14" s="106"/>
      <c r="F14" s="106"/>
      <c r="G14" s="106"/>
      <c r="H14" s="106"/>
      <c r="I14" s="10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56</v>
      </c>
      <c r="C15" s="34"/>
      <c r="D15" s="29"/>
      <c r="E15" s="30"/>
      <c r="F15" s="37"/>
      <c r="G15" s="32"/>
      <c r="H15" s="30"/>
      <c r="I15" s="30"/>
      <c r="J15" s="30"/>
      <c r="K15" s="30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>A15+1</f>
        <v>4</v>
      </c>
      <c r="B16" s="27">
        <v>42530.16</v>
      </c>
      <c r="C16" s="28">
        <v>42555.16</v>
      </c>
      <c r="D16" s="29" t="s">
        <v>54</v>
      </c>
      <c r="E16" s="30">
        <f>C16-B16</f>
        <v>25</v>
      </c>
      <c r="F16" s="138" t="s">
        <v>40</v>
      </c>
      <c r="G16" s="139"/>
      <c r="H16" s="139"/>
      <c r="I16" s="140"/>
      <c r="J16" s="30">
        <v>3877.73</v>
      </c>
      <c r="K16" s="54"/>
      <c r="L16" s="30">
        <f>IF($H16=0,ROUND($E16*(L$72/12),2),ROUND($E16*(L$72/12)*$H16,2))</f>
        <v>12.5</v>
      </c>
      <c r="M16" s="30"/>
      <c r="N16" s="30"/>
      <c r="O16" s="30"/>
      <c r="P16" s="30"/>
      <c r="Q16" s="30"/>
      <c r="R16" s="30"/>
      <c r="S16" s="1"/>
      <c r="T16" s="30"/>
      <c r="U16" s="30">
        <f>ROUND(((($I16+$J16+$L16+$L16)*(U$72/12))/27),2)</f>
        <v>72.27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aca="true" t="shared" si="0" ref="A17:A66">A16+1</f>
        <v>5</v>
      </c>
      <c r="B17" s="27">
        <v>42660.73</v>
      </c>
      <c r="C17" s="28">
        <v>42685.73</v>
      </c>
      <c r="D17" s="29" t="s">
        <v>54</v>
      </c>
      <c r="E17" s="30">
        <f>C17-B17</f>
        <v>25</v>
      </c>
      <c r="F17" s="138" t="s">
        <v>40</v>
      </c>
      <c r="G17" s="139"/>
      <c r="H17" s="139"/>
      <c r="I17" s="140"/>
      <c r="J17" s="30">
        <v>3877.73</v>
      </c>
      <c r="K17" s="30"/>
      <c r="L17" s="30">
        <f aca="true" t="shared" si="1" ref="L17:L23">IF($H17=0,ROUND($E17*(L$72/12),2),ROUND($E17*(L$72/12)*$H17,2))</f>
        <v>12.5</v>
      </c>
      <c r="M17" s="29"/>
      <c r="N17" s="29"/>
      <c r="O17" s="29"/>
      <c r="P17" s="30"/>
      <c r="Q17" s="30"/>
      <c r="R17" s="30"/>
      <c r="S17" s="1"/>
      <c r="T17" s="30"/>
      <c r="U17" s="30">
        <f>ROUND(((($I17+$J17+$L17+$L17)*(U$72/12))/27),2)</f>
        <v>72.27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33" t="s">
        <v>57</v>
      </c>
      <c r="C18" s="34"/>
      <c r="D18" s="29"/>
      <c r="E18" s="30"/>
      <c r="F18" s="37"/>
      <c r="G18" s="3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27">
        <v>42901.43</v>
      </c>
      <c r="C19" s="28">
        <v>42928.48</v>
      </c>
      <c r="D19" s="29" t="s">
        <v>54</v>
      </c>
      <c r="E19" s="30">
        <f>C19-B19</f>
        <v>27.05000000000291</v>
      </c>
      <c r="F19" s="138" t="s">
        <v>40</v>
      </c>
      <c r="G19" s="139"/>
      <c r="H19" s="139"/>
      <c r="I19" s="140"/>
      <c r="J19" s="30">
        <v>4276.63</v>
      </c>
      <c r="K19" s="30"/>
      <c r="L19" s="30">
        <f t="shared" si="1"/>
        <v>13.53</v>
      </c>
      <c r="M19" s="30"/>
      <c r="N19" s="30"/>
      <c r="O19" s="30"/>
      <c r="P19" s="30"/>
      <c r="Q19" s="30"/>
      <c r="R19" s="30"/>
      <c r="S19" s="1"/>
      <c r="T19" s="30"/>
      <c r="U19" s="30">
        <f>ROUND(((($I19+$J19+$L19+$L19)*(U$72/12))/27),2)</f>
        <v>79.7</v>
      </c>
      <c r="V19" s="30"/>
      <c r="W19" s="30"/>
      <c r="X19" s="30"/>
      <c r="Y19" s="30"/>
      <c r="Z19" s="30"/>
      <c r="AA19" s="30"/>
      <c r="AB19" s="30"/>
      <c r="AC19" s="30"/>
      <c r="AD19" s="30"/>
      <c r="AE19" s="30">
        <v>159.14</v>
      </c>
      <c r="AF19" s="110"/>
      <c r="AG19" s="111"/>
    </row>
    <row r="20" spans="1:33" s="19" customFormat="1" ht="21.75" customHeight="1">
      <c r="A20" s="26">
        <f t="shared" si="0"/>
        <v>8</v>
      </c>
      <c r="B20" s="27">
        <v>43089.09</v>
      </c>
      <c r="C20" s="28">
        <v>43116.15</v>
      </c>
      <c r="D20" s="29" t="s">
        <v>54</v>
      </c>
      <c r="E20" s="30">
        <f>C20-B20</f>
        <v>27.060000000004948</v>
      </c>
      <c r="F20" s="138" t="s">
        <v>40</v>
      </c>
      <c r="G20" s="139"/>
      <c r="H20" s="139"/>
      <c r="I20" s="140"/>
      <c r="J20" s="30">
        <v>4278.73</v>
      </c>
      <c r="K20" s="30"/>
      <c r="L20" s="30">
        <f t="shared" si="1"/>
        <v>13.53</v>
      </c>
      <c r="M20" s="30"/>
      <c r="N20" s="30"/>
      <c r="O20" s="30"/>
      <c r="P20" s="30"/>
      <c r="Q20" s="30"/>
      <c r="R20" s="30"/>
      <c r="S20" s="1"/>
      <c r="T20" s="30"/>
      <c r="U20" s="30">
        <f>ROUND(((($I20+$J20+$L20+$L20)*(U$72/12))/27),2)</f>
        <v>79.74</v>
      </c>
      <c r="V20" s="30"/>
      <c r="W20" s="30"/>
      <c r="X20" s="30"/>
      <c r="Y20" s="30"/>
      <c r="Z20" s="30"/>
      <c r="AA20" s="30"/>
      <c r="AB20" s="30"/>
      <c r="AC20" s="30"/>
      <c r="AD20" s="30"/>
      <c r="AE20" s="30">
        <v>160.17</v>
      </c>
      <c r="AF20" s="110"/>
      <c r="AG20" s="111"/>
    </row>
    <row r="21" spans="1:33" s="19" customFormat="1" ht="21.75" customHeight="1">
      <c r="A21" s="26">
        <f t="shared" si="0"/>
        <v>9</v>
      </c>
      <c r="B21" s="33" t="s">
        <v>58</v>
      </c>
      <c r="C21" s="34"/>
      <c r="D21" s="29"/>
      <c r="E21" s="30"/>
      <c r="F21" s="37"/>
      <c r="G21" s="3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27">
        <v>78907.95</v>
      </c>
      <c r="C22" s="28">
        <v>78937.95</v>
      </c>
      <c r="D22" s="29" t="s">
        <v>54</v>
      </c>
      <c r="E22" s="30">
        <f>C22-B22</f>
        <v>30</v>
      </c>
      <c r="F22" s="138" t="s">
        <v>40</v>
      </c>
      <c r="G22" s="139"/>
      <c r="H22" s="139"/>
      <c r="I22" s="140"/>
      <c r="J22" s="30">
        <v>892.04</v>
      </c>
      <c r="K22" s="30"/>
      <c r="L22" s="30">
        <f t="shared" si="1"/>
        <v>15</v>
      </c>
      <c r="M22" s="30"/>
      <c r="N22" s="30"/>
      <c r="O22" s="30"/>
      <c r="P22" s="30"/>
      <c r="Q22" s="30"/>
      <c r="R22" s="30"/>
      <c r="S22" s="1"/>
      <c r="T22" s="30"/>
      <c r="U22" s="30">
        <f>ROUND(((($I22+$J22+$L22+$L22)*(U$72/12))/27),2)</f>
        <v>17.07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27">
        <v>79285.7</v>
      </c>
      <c r="C23" s="28">
        <v>79317.7</v>
      </c>
      <c r="D23" s="29" t="s">
        <v>54</v>
      </c>
      <c r="E23" s="30">
        <f>C23-B23</f>
        <v>32</v>
      </c>
      <c r="F23" s="138" t="s">
        <v>40</v>
      </c>
      <c r="G23" s="139"/>
      <c r="H23" s="139"/>
      <c r="I23" s="140"/>
      <c r="J23" s="30">
        <v>930.59</v>
      </c>
      <c r="K23" s="30"/>
      <c r="L23" s="30">
        <f t="shared" si="1"/>
        <v>16</v>
      </c>
      <c r="M23" s="30"/>
      <c r="N23" s="30"/>
      <c r="O23" s="30"/>
      <c r="P23" s="30"/>
      <c r="Q23" s="30"/>
      <c r="R23" s="30"/>
      <c r="S23" s="1"/>
      <c r="T23" s="30"/>
      <c r="U23" s="30">
        <f>ROUND(((($I23+$J23+$L23+$L23)*(U$72/12))/27),2)</f>
        <v>17.83</v>
      </c>
      <c r="V23" s="30"/>
      <c r="W23" s="30"/>
      <c r="X23" s="30"/>
      <c r="Y23" s="30"/>
      <c r="Z23" s="30"/>
      <c r="AA23" s="30"/>
      <c r="AB23" s="30"/>
      <c r="AC23" s="30"/>
      <c r="AD23" s="30"/>
      <c r="AE23" s="30">
        <v>29</v>
      </c>
      <c r="AF23" s="110"/>
      <c r="AG23" s="111"/>
    </row>
    <row r="24" spans="1:33" s="19" customFormat="1" ht="21.75" customHeight="1">
      <c r="A24" s="26">
        <f t="shared" si="0"/>
        <v>12</v>
      </c>
      <c r="B24" s="27"/>
      <c r="C24" s="28"/>
      <c r="D24" s="29"/>
      <c r="E24" s="30"/>
      <c r="F24" s="68"/>
      <c r="G24" s="32"/>
      <c r="H24" s="30"/>
      <c r="I24" s="67"/>
      <c r="J24" s="30"/>
      <c r="K24" s="30"/>
      <c r="L24" s="30"/>
      <c r="M24" s="30"/>
      <c r="N24" s="30"/>
      <c r="O24" s="30"/>
      <c r="P24" s="30"/>
      <c r="Q24" s="30"/>
      <c r="R24" s="1"/>
      <c r="S24" s="1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33"/>
      <c r="C25" s="28"/>
      <c r="D25" s="29"/>
      <c r="E25" s="30"/>
      <c r="F25" s="37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"/>
      <c r="S25" s="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>A25+1</f>
        <v>14</v>
      </c>
      <c r="B26" s="27"/>
      <c r="C26" s="28"/>
      <c r="D26" s="29"/>
      <c r="E26" s="30"/>
      <c r="F26" s="68"/>
      <c r="G26" s="32"/>
      <c r="H26" s="30"/>
      <c r="I26" s="67"/>
      <c r="J26" s="30"/>
      <c r="K26" s="30"/>
      <c r="L26" s="30"/>
      <c r="M26" s="30"/>
      <c r="N26" s="30"/>
      <c r="O26" s="30"/>
      <c r="P26" s="30"/>
      <c r="Q26" s="30"/>
      <c r="R26" s="1"/>
      <c r="S26" s="1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27"/>
      <c r="C27" s="28"/>
      <c r="D27" s="29"/>
      <c r="E27" s="30"/>
      <c r="F27" s="37"/>
      <c r="G27" s="32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1"/>
      <c r="S27" s="1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27"/>
      <c r="C28" s="28"/>
      <c r="D28" s="29"/>
      <c r="E28" s="30"/>
      <c r="F28" s="37"/>
      <c r="G28" s="3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"/>
      <c r="S28" s="1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05" t="s">
        <v>50</v>
      </c>
      <c r="C29" s="106"/>
      <c r="D29" s="106"/>
      <c r="E29" s="106"/>
      <c r="F29" s="106"/>
      <c r="G29" s="106"/>
      <c r="H29" s="106"/>
      <c r="I29" s="107"/>
      <c r="J29" s="30"/>
      <c r="K29" s="30"/>
      <c r="L29" s="30"/>
      <c r="M29" s="30"/>
      <c r="N29" s="30"/>
      <c r="O29" s="30"/>
      <c r="P29" s="30"/>
      <c r="Q29" s="30"/>
      <c r="R29" s="1"/>
      <c r="S29" s="1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33" t="s">
        <v>59</v>
      </c>
      <c r="C30" s="34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"/>
      <c r="S30" s="1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36">
        <v>40243.78</v>
      </c>
      <c r="C31" s="35">
        <v>40501.68</v>
      </c>
      <c r="D31" s="29" t="s">
        <v>37</v>
      </c>
      <c r="E31" s="30">
        <f>C31-B31</f>
        <v>257.90000000000146</v>
      </c>
      <c r="F31" s="31">
        <v>16</v>
      </c>
      <c r="G31" s="32"/>
      <c r="H31" s="30"/>
      <c r="I31" s="30">
        <f>IF($G31=0,ROUND($E31*$F31,2),ROUND($E31*$F31*$G31,2))</f>
        <v>4126.4</v>
      </c>
      <c r="J31" s="30"/>
      <c r="K31" s="30"/>
      <c r="L31" s="30"/>
      <c r="M31" s="30"/>
      <c r="N31" s="30"/>
      <c r="O31" s="30"/>
      <c r="P31" s="30"/>
      <c r="Q31" s="30"/>
      <c r="R31" s="1"/>
      <c r="S31" s="1"/>
      <c r="T31" s="30">
        <f>ROUND(((($I31+$J31)*(T$72/12))/27),2)</f>
        <v>101.89</v>
      </c>
      <c r="U31" s="30">
        <f>ROUND(((($I31+$J31+$N31+$O31+$P31+$Q31)*(U$72/12))/27),2)</f>
        <v>76.41</v>
      </c>
      <c r="V31" s="30"/>
      <c r="W31" s="30">
        <f>ROUND((((($I31+$J31)/9)*W$72)*3),2)</f>
        <v>75.65</v>
      </c>
      <c r="X31" s="30"/>
      <c r="Y31" s="30"/>
      <c r="Z31" s="30">
        <f>ROUND(((($I31+$J31)*(Z$72/12))/27),2)</f>
        <v>19.1</v>
      </c>
      <c r="AA31" s="30">
        <f>ROUND(((($I31+$J31)*(AA$72/12))/27),2)</f>
        <v>22.29</v>
      </c>
      <c r="AB31" s="30">
        <f>$AA31+$Z31</f>
        <v>41.39</v>
      </c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27">
        <f>C31</f>
        <v>40501.68</v>
      </c>
      <c r="C32" s="28">
        <v>40631.76</v>
      </c>
      <c r="D32" s="29" t="s">
        <v>37</v>
      </c>
      <c r="E32" s="30">
        <f>C32-B32</f>
        <v>130.08000000000175</v>
      </c>
      <c r="F32" s="31">
        <v>16</v>
      </c>
      <c r="G32" s="32">
        <f>ROUND((((487.624+($F32/2))/487.624)+1)/2,4)</f>
        <v>1.0082</v>
      </c>
      <c r="H32" s="30"/>
      <c r="I32" s="30">
        <f>IF($G32=0,ROUND($E32*$F32,2),ROUND($E32*$F32*$G32,2))</f>
        <v>2098.35</v>
      </c>
      <c r="J32" s="30"/>
      <c r="K32" s="30"/>
      <c r="L32" s="30"/>
      <c r="M32" s="30"/>
      <c r="N32" s="30"/>
      <c r="O32" s="30"/>
      <c r="P32" s="30"/>
      <c r="Q32" s="30"/>
      <c r="R32" s="1"/>
      <c r="S32" s="1"/>
      <c r="T32" s="30">
        <f>ROUND(((($I32+$J32)*(T$72/12))/27),2)</f>
        <v>51.81</v>
      </c>
      <c r="U32" s="30">
        <f>ROUND(((($I32+$J32+$N32+$O32+$P32+$Q32)*(U$72/12))/27),2)</f>
        <v>38.86</v>
      </c>
      <c r="V32" s="30"/>
      <c r="W32" s="30">
        <f>ROUND((((($I32+$J32)/9)*W$72)*3),2)</f>
        <v>38.47</v>
      </c>
      <c r="X32" s="30"/>
      <c r="Y32" s="30"/>
      <c r="Z32" s="30">
        <f>ROUND(((($I32+$J32)*(Z$72/12))/27),2)</f>
        <v>9.71</v>
      </c>
      <c r="AA32" s="30">
        <f>ROUND(((($I32+$J32)*(AA$72/12))/27),2)</f>
        <v>11.33</v>
      </c>
      <c r="AB32" s="30">
        <f>$AA32+$Z32</f>
        <v>21.04</v>
      </c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28"/>
      <c r="C33" s="73"/>
      <c r="D33" s="29"/>
      <c r="E33" s="30"/>
      <c r="F33" s="37"/>
      <c r="G33" s="32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"/>
      <c r="S33" s="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33" t="s">
        <v>60</v>
      </c>
      <c r="C34" s="28"/>
      <c r="D34" s="29"/>
      <c r="E34" s="30"/>
      <c r="F34" s="31"/>
      <c r="G34" s="32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"/>
      <c r="S34" s="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27">
        <v>40243.78</v>
      </c>
      <c r="C35" s="28">
        <v>40501.68</v>
      </c>
      <c r="D35" s="29" t="s">
        <v>41</v>
      </c>
      <c r="E35" s="30">
        <f>C35-B35</f>
        <v>257.90000000000146</v>
      </c>
      <c r="F35" s="31">
        <v>8</v>
      </c>
      <c r="G35" s="32"/>
      <c r="H35" s="30"/>
      <c r="I35" s="30">
        <f>IF(G35=0,ROUND($E35*$F35,2),ROUND($E35*$F35*$G35,2))</f>
        <v>2063.2</v>
      </c>
      <c r="J35" s="30"/>
      <c r="K35" s="30">
        <f>IF($H35=0,ROUND($E35*(K$72/12),2),ROUND($E35*(K$72/12)*$H35,2))</f>
        <v>85.97</v>
      </c>
      <c r="L35" s="30"/>
      <c r="M35" s="30">
        <f aca="true" t="shared" si="2" ref="M35:N37">IF($H35=0,ROUND($E35*(M$72/12),2),ROUND($E35*(M$72/12)*$H35,2))</f>
        <v>214.92</v>
      </c>
      <c r="N35" s="30">
        <f t="shared" si="2"/>
        <v>343.87</v>
      </c>
      <c r="O35" s="30"/>
      <c r="P35" s="30"/>
      <c r="Q35" s="30"/>
      <c r="R35" s="1"/>
      <c r="S35" s="1"/>
      <c r="T35" s="30">
        <f>ROUND(((($I35+$J35)*(T$72/12)+($K35)*(T$73/12)+($M35)*(T$73/12))/27),2)</f>
        <v>54.66</v>
      </c>
      <c r="U35" s="30">
        <f>ROUND(((($I35+$J35+$N35+$O35+$P35+$Q35)*(U$72/12))/27),2)</f>
        <v>44.58</v>
      </c>
      <c r="V35" s="30"/>
      <c r="W35" s="30">
        <f>ROUND(((($I35+$J35)/9)*$W$72)+((($I35+$J35+$K35)/9)*$W$72)+((($I35+$J35+$M35)/9)*$W$72),2)</f>
        <v>39.66</v>
      </c>
      <c r="X35" s="30"/>
      <c r="Y35" s="30"/>
      <c r="Z35" s="30">
        <f aca="true" t="shared" si="3" ref="Z35:AA37">ROUND(((($I35+$J35)*(Z$72/12))/27),2)</f>
        <v>9.55</v>
      </c>
      <c r="AA35" s="30">
        <f t="shared" si="3"/>
        <v>11.14</v>
      </c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27">
        <f>C35</f>
        <v>40501.68</v>
      </c>
      <c r="C36" s="28">
        <v>40551.68</v>
      </c>
      <c r="D36" s="29" t="s">
        <v>41</v>
      </c>
      <c r="E36" s="30">
        <f>C36-B36</f>
        <v>50</v>
      </c>
      <c r="F36" s="31">
        <f>ROUND(AVERAGE(8,6),2)</f>
        <v>7</v>
      </c>
      <c r="G36" s="32">
        <f>ROUND((((487.624-($F36/2))/487.624)+1)/2,4)</f>
        <v>0.9964</v>
      </c>
      <c r="H36" s="32">
        <f>ROUND((((487.624-($F36))/487.624)+1)/2,4)</f>
        <v>0.9928</v>
      </c>
      <c r="I36" s="30">
        <f>IF(G36=0,ROUND($E36*$F36,2),ROUND($E36*$F36*$G36,2))</f>
        <v>348.74</v>
      </c>
      <c r="J36" s="30"/>
      <c r="K36" s="30">
        <f>IF($H36=0,ROUND($E36*(K$72/12),2),ROUND($E36*(K$72/12)*$H36,2))</f>
        <v>16.55</v>
      </c>
      <c r="L36" s="30"/>
      <c r="M36" s="30">
        <f t="shared" si="2"/>
        <v>41.37</v>
      </c>
      <c r="N36" s="30">
        <f t="shared" si="2"/>
        <v>66.19</v>
      </c>
      <c r="O36" s="30"/>
      <c r="P36" s="30"/>
      <c r="Q36" s="30"/>
      <c r="R36" s="1"/>
      <c r="S36" s="1"/>
      <c r="T36" s="30">
        <f>ROUND(((($I36+$J36)*(T$72/12)+($K36)*(T$73/12)+($M36)*(T$73/12))/27),2)</f>
        <v>9.33</v>
      </c>
      <c r="U36" s="30">
        <f>ROUND(((($I36+$J36+$N36+$O36+$P36+$Q36)*(U$72/12))/27),2)</f>
        <v>7.68</v>
      </c>
      <c r="V36" s="30"/>
      <c r="W36" s="30">
        <f>ROUND(((($I36+$J36)/9)*$W$72)+((($I36+$J36+$K36)/9)*$W$72)+((($I36+$J36+$M36)/9)*$W$72),2)</f>
        <v>6.75</v>
      </c>
      <c r="X36" s="30"/>
      <c r="Y36" s="30"/>
      <c r="Z36" s="30">
        <f t="shared" si="3"/>
        <v>1.61</v>
      </c>
      <c r="AA36" s="30">
        <f t="shared" si="3"/>
        <v>1.88</v>
      </c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27">
        <f>C36</f>
        <v>40551.68</v>
      </c>
      <c r="C37" s="28">
        <v>40631.76</v>
      </c>
      <c r="D37" s="29" t="s">
        <v>41</v>
      </c>
      <c r="E37" s="30">
        <f>C37-B37</f>
        <v>80.08000000000175</v>
      </c>
      <c r="F37" s="31">
        <v>6</v>
      </c>
      <c r="G37" s="32">
        <f>ROUND((((487.624-($F37/2))/487.624)+1)/2,4)</f>
        <v>0.9969</v>
      </c>
      <c r="H37" s="32">
        <f>ROUND((((487.624-($F37))/487.624)+1)/2,4)</f>
        <v>0.9938</v>
      </c>
      <c r="I37" s="30">
        <f>IF(G37=0,ROUND($E37*$F37,2),ROUND($E37*$F37*$G37,2))</f>
        <v>478.99</v>
      </c>
      <c r="J37" s="30"/>
      <c r="K37" s="30">
        <f>IF($H37=0,ROUND($E37*(K$72/12),2),ROUND($E37*(K$72/12)*$H37,2))</f>
        <v>26.53</v>
      </c>
      <c r="L37" s="30"/>
      <c r="M37" s="30">
        <f t="shared" si="2"/>
        <v>66.32</v>
      </c>
      <c r="N37" s="30">
        <f t="shared" si="2"/>
        <v>106.11</v>
      </c>
      <c r="O37" s="30"/>
      <c r="P37" s="30"/>
      <c r="Q37" s="30"/>
      <c r="R37" s="1"/>
      <c r="S37" s="1"/>
      <c r="T37" s="30">
        <f>ROUND(((($I37+$J37)*(T$72/12)+($K37)*(T$73/12)+($M37)*(T$73/12))/27),2)</f>
        <v>12.97</v>
      </c>
      <c r="U37" s="30">
        <f>ROUND(((($I37+$J37+$N37+$O37+$P37+$Q37)*(U$72/12))/27),2)</f>
        <v>10.84</v>
      </c>
      <c r="V37" s="30"/>
      <c r="W37" s="30">
        <f>ROUND(((($I37+$J37)/9)*$W$72)+((($I37+$J37+$K37)/9)*$W$72)+((($I37+$J37+$M37)/9)*$W$72),2)</f>
        <v>9.35</v>
      </c>
      <c r="X37" s="30"/>
      <c r="Y37" s="30"/>
      <c r="Z37" s="30">
        <f t="shared" si="3"/>
        <v>2.22</v>
      </c>
      <c r="AA37" s="30">
        <f t="shared" si="3"/>
        <v>2.59</v>
      </c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27"/>
      <c r="C38" s="28"/>
      <c r="D38" s="29"/>
      <c r="E38" s="30"/>
      <c r="F38" s="69"/>
      <c r="G38" s="32"/>
      <c r="H38" s="30"/>
      <c r="I38" s="67"/>
      <c r="J38" s="30"/>
      <c r="K38" s="30"/>
      <c r="L38" s="30"/>
      <c r="M38" s="30"/>
      <c r="N38" s="30"/>
      <c r="O38" s="30"/>
      <c r="P38" s="30"/>
      <c r="Q38" s="30"/>
      <c r="R38" s="1"/>
      <c r="S38" s="1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27"/>
      <c r="C39" s="28"/>
      <c r="D39" s="29"/>
      <c r="E39" s="30"/>
      <c r="F39" s="37"/>
      <c r="G39" s="32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27"/>
      <c r="C40" s="28"/>
      <c r="D40" s="29"/>
      <c r="E40" s="30"/>
      <c r="F40" s="37"/>
      <c r="G40" s="3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"/>
      <c r="S40" s="1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27"/>
      <c r="C41" s="28"/>
      <c r="D41" s="29"/>
      <c r="E41" s="30"/>
      <c r="F41" s="37"/>
      <c r="G41" s="3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"/>
      <c r="S41" s="1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27"/>
      <c r="C42" s="28"/>
      <c r="D42" s="29"/>
      <c r="E42" s="30"/>
      <c r="F42" s="31"/>
      <c r="G42" s="32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"/>
      <c r="S42" s="1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105" t="s">
        <v>51</v>
      </c>
      <c r="C43" s="106"/>
      <c r="D43" s="106"/>
      <c r="E43" s="106"/>
      <c r="F43" s="106"/>
      <c r="G43" s="106"/>
      <c r="H43" s="106"/>
      <c r="I43" s="107"/>
      <c r="J43" s="30"/>
      <c r="K43" s="30"/>
      <c r="L43" s="30"/>
      <c r="M43" s="30"/>
      <c r="N43" s="30"/>
      <c r="O43" s="30"/>
      <c r="P43" s="30"/>
      <c r="Q43" s="30"/>
      <c r="R43" s="1"/>
      <c r="S43" s="1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33" t="s">
        <v>59</v>
      </c>
      <c r="C44" s="55"/>
      <c r="D44" s="29"/>
      <c r="E44" s="30"/>
      <c r="F44" s="69"/>
      <c r="G44" s="32"/>
      <c r="H44" s="30"/>
      <c r="I44" s="67"/>
      <c r="J44" s="30"/>
      <c r="K44" s="30"/>
      <c r="L44" s="30"/>
      <c r="M44" s="30"/>
      <c r="N44" s="30"/>
      <c r="O44" s="30"/>
      <c r="P44" s="30"/>
      <c r="Q44" s="30"/>
      <c r="R44" s="1"/>
      <c r="S44" s="1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27">
        <v>78882.95</v>
      </c>
      <c r="C45" s="28">
        <v>78907.95</v>
      </c>
      <c r="D45" s="29" t="s">
        <v>41</v>
      </c>
      <c r="E45" s="30">
        <f>C45-B45</f>
        <v>25</v>
      </c>
      <c r="F45" s="31">
        <v>16</v>
      </c>
      <c r="G45" s="32">
        <f>ROUND((381.972+($F45/2))/381.972,4)</f>
        <v>1.0209</v>
      </c>
      <c r="H45" s="30"/>
      <c r="I45" s="30">
        <f>IF(G45=0,ROUND($E45*$F45,2),ROUND($E45*$F45*$G45,2))</f>
        <v>408.36</v>
      </c>
      <c r="J45" s="30"/>
      <c r="K45" s="30"/>
      <c r="L45" s="30"/>
      <c r="M45" s="30"/>
      <c r="N45" s="30"/>
      <c r="O45" s="30"/>
      <c r="P45" s="30"/>
      <c r="Q45" s="30"/>
      <c r="R45" s="1"/>
      <c r="S45" s="1"/>
      <c r="T45" s="30">
        <f>ROUND(((($I45+$J45)*(T$72/12))/27),2)</f>
        <v>10.08</v>
      </c>
      <c r="U45" s="30">
        <f>ROUND(((($I45+$J45+$N45+$O45+$P45+$Q45)*(U$72/12))/27),2)</f>
        <v>7.56</v>
      </c>
      <c r="V45" s="30"/>
      <c r="W45" s="30">
        <f>ROUND((((($I45+$J45)/9)*W$72)*3),2)</f>
        <v>7.49</v>
      </c>
      <c r="X45" s="30"/>
      <c r="Y45" s="30"/>
      <c r="Z45" s="30">
        <f>ROUND(((($I45+$J45)*(Z$72/12))/27),2)</f>
        <v>1.89</v>
      </c>
      <c r="AA45" s="30">
        <f>ROUND(((($I45+$J45)*(AA$72/12))/27),2)</f>
        <v>2.21</v>
      </c>
      <c r="AB45" s="30">
        <f>$AA45+$Z45</f>
        <v>4.1</v>
      </c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27"/>
      <c r="C46" s="28"/>
      <c r="D46" s="29"/>
      <c r="E46" s="30"/>
      <c r="F46" s="31"/>
      <c r="G46" s="3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1"/>
      <c r="S46" s="1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27">
        <v>79695.44</v>
      </c>
      <c r="C47" s="28">
        <v>79974.46</v>
      </c>
      <c r="D47" s="29" t="s">
        <v>41</v>
      </c>
      <c r="E47" s="30">
        <f>C47-B47</f>
        <v>279.0200000000041</v>
      </c>
      <c r="F47" s="31">
        <v>16</v>
      </c>
      <c r="G47" s="32">
        <f>ROUND((3819.719+($F47/2))/3819.719,4)</f>
        <v>1.0021</v>
      </c>
      <c r="H47" s="30"/>
      <c r="I47" s="30">
        <f>IF(G47=0,ROUND($E47*$F47,2),ROUND($E47*$F47*$G47,2))</f>
        <v>4473.7</v>
      </c>
      <c r="J47" s="30"/>
      <c r="K47" s="30"/>
      <c r="L47" s="30"/>
      <c r="M47" s="30"/>
      <c r="N47" s="30"/>
      <c r="O47" s="30"/>
      <c r="P47" s="30"/>
      <c r="Q47" s="30"/>
      <c r="R47" s="1"/>
      <c r="S47" s="1"/>
      <c r="T47" s="30">
        <f>ROUND(((($I47+$J47)*(T$72/12))/27),2)</f>
        <v>110.46</v>
      </c>
      <c r="U47" s="30">
        <f>ROUND(((($I47+$J47+$N47+$O47+$P47+$Q47)*(U$72/12))/27),2)</f>
        <v>82.85</v>
      </c>
      <c r="V47" s="30"/>
      <c r="W47" s="30">
        <f>ROUND((((($I47+$J47)/9)*W$72)*3),2)</f>
        <v>82.02</v>
      </c>
      <c r="X47" s="30"/>
      <c r="Y47" s="30"/>
      <c r="Z47" s="30">
        <f>ROUND(((($I47+$J47)*(Z$72/12))/27),2)</f>
        <v>20.71</v>
      </c>
      <c r="AA47" s="30">
        <f>ROUND(((($I47+$J47)*(AA$72/12))/27),2)</f>
        <v>24.16</v>
      </c>
      <c r="AB47" s="30">
        <f>$AA47+$Z47</f>
        <v>44.870000000000005</v>
      </c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27">
        <f>C47</f>
        <v>79974.46</v>
      </c>
      <c r="C48" s="28">
        <v>80148.92</v>
      </c>
      <c r="D48" s="29" t="s">
        <v>41</v>
      </c>
      <c r="E48" s="30">
        <f>C48-B48</f>
        <v>174.45999999999185</v>
      </c>
      <c r="F48" s="138" t="s">
        <v>40</v>
      </c>
      <c r="G48" s="139"/>
      <c r="H48" s="139"/>
      <c r="I48" s="140"/>
      <c r="J48" s="30">
        <v>2330.11</v>
      </c>
      <c r="K48" s="30"/>
      <c r="L48" s="30"/>
      <c r="M48" s="30"/>
      <c r="N48" s="30"/>
      <c r="O48" s="30"/>
      <c r="P48" s="30"/>
      <c r="Q48" s="30"/>
      <c r="R48" s="1"/>
      <c r="S48" s="1"/>
      <c r="T48" s="30">
        <f>ROUND(((($I48+$J48)*(T$72/12))/27),2)</f>
        <v>57.53</v>
      </c>
      <c r="U48" s="30">
        <f>ROUND(((($I48+$J48+$N48+$O48+$P48+$Q48)*(U$72/12))/27),2)</f>
        <v>43.15</v>
      </c>
      <c r="V48" s="30"/>
      <c r="W48" s="30">
        <f>ROUND((((($I48+$J48)/9)*W$72)*3),2)</f>
        <v>42.72</v>
      </c>
      <c r="X48" s="30"/>
      <c r="Y48" s="30"/>
      <c r="Z48" s="30">
        <f>ROUND(((($I48+$J48)*(Z$72/12))/27),2)</f>
        <v>10.79</v>
      </c>
      <c r="AA48" s="30">
        <f>ROUND(((($I48+$J48)*(AA$72/12))/27),2)</f>
        <v>12.59</v>
      </c>
      <c r="AB48" s="30">
        <f>$AA48+$Z48</f>
        <v>23.38</v>
      </c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27"/>
      <c r="C49" s="28"/>
      <c r="D49" s="29"/>
      <c r="E49" s="30"/>
      <c r="F49" s="31"/>
      <c r="G49" s="32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"/>
      <c r="S49" s="1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33" t="s">
        <v>60</v>
      </c>
      <c r="C50" s="71"/>
      <c r="D50" s="29"/>
      <c r="E50" s="30"/>
      <c r="F50" s="37"/>
      <c r="G50" s="32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1"/>
      <c r="S50" s="1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27">
        <v>78882.95</v>
      </c>
      <c r="C51" s="28">
        <v>78907.95</v>
      </c>
      <c r="D51" s="29" t="s">
        <v>41</v>
      </c>
      <c r="E51" s="30">
        <f>C51-B51</f>
        <v>25</v>
      </c>
      <c r="F51" s="31">
        <v>6</v>
      </c>
      <c r="G51" s="32">
        <f>ROUND((381.972+16+($F51/2))/381.972,4)</f>
        <v>1.0497</v>
      </c>
      <c r="H51" s="32">
        <f>ROUND((381.972+16+($F51))/381.972,4)</f>
        <v>1.0576</v>
      </c>
      <c r="I51" s="30">
        <f>IF(G51=0,ROUND($E51*$F51,2),ROUND($E51*$F51*$G51,2))</f>
        <v>157.46</v>
      </c>
      <c r="J51" s="30"/>
      <c r="K51" s="30">
        <f>IF($H51=0,ROUND($E51*(K$72/12),2),ROUND($E51*(K$72/12)*$H51,2))</f>
        <v>8.81</v>
      </c>
      <c r="L51" s="30"/>
      <c r="M51" s="30">
        <f>IF($H51=0,ROUND($E51*(M$72/12),2),ROUND($E51*(M$72/12)*$H51,2))</f>
        <v>22.03</v>
      </c>
      <c r="N51" s="30">
        <f>IF($H51=0,ROUND($E51*(N$72/12),2),ROUND($E51*(N$72/12)*$H51,2))</f>
        <v>35.25</v>
      </c>
      <c r="O51" s="30"/>
      <c r="P51" s="30"/>
      <c r="Q51" s="30"/>
      <c r="R51" s="30"/>
      <c r="S51" s="30"/>
      <c r="T51" s="30">
        <f>ROUND(((($I51+$J51)*(T$72/12)+($K51)*(T$73/12)+($M51)*(T$73/12))/27),2)</f>
        <v>4.27</v>
      </c>
      <c r="U51" s="30">
        <f>ROUND(((($I51+$J51+$N51+$O51+$P51+$Q51)*(U$72/12))/27),2)</f>
        <v>3.57</v>
      </c>
      <c r="V51" s="30"/>
      <c r="W51" s="30">
        <f>ROUND(((($I51+$J51)/9)*$W$72)+((($I51+$J51+$K51)/9)*$W$72)+((($I51+$J51+$M51)/9)*$W$72),2)</f>
        <v>3.08</v>
      </c>
      <c r="X51" s="30"/>
      <c r="Y51" s="30"/>
      <c r="Z51" s="30">
        <f>ROUND(((($I51+$J51)*(Z$72/12))/27),2)</f>
        <v>0.73</v>
      </c>
      <c r="AA51" s="30">
        <f>ROUND(((($I51+$J51)*(AA$72/12))/27),2)</f>
        <v>0.85</v>
      </c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33"/>
      <c r="C52" s="28"/>
      <c r="D52" s="29"/>
      <c r="E52" s="30"/>
      <c r="F52" s="31"/>
      <c r="G52" s="32"/>
      <c r="H52" s="32"/>
      <c r="I52" s="30"/>
      <c r="J52" s="30"/>
      <c r="K52" s="30"/>
      <c r="L52" s="30"/>
      <c r="M52" s="30"/>
      <c r="N52" s="30"/>
      <c r="O52" s="30"/>
      <c r="P52" s="30"/>
      <c r="Q52" s="30"/>
      <c r="R52" s="1"/>
      <c r="S52" s="1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27">
        <v>78882.95</v>
      </c>
      <c r="C53" s="28">
        <v>78907.95</v>
      </c>
      <c r="D53" s="29" t="s">
        <v>37</v>
      </c>
      <c r="E53" s="30">
        <f>C53-B53</f>
        <v>25</v>
      </c>
      <c r="F53" s="30">
        <v>4</v>
      </c>
      <c r="G53" s="32">
        <f>ROUND((381.972-($F53/2))/381.972,4)</f>
        <v>0.9948</v>
      </c>
      <c r="H53" s="32">
        <f>ROUND((381.972-($F53))/381.972,4)</f>
        <v>0.9895</v>
      </c>
      <c r="I53" s="30">
        <f>IF($G53=0,ROUND($E53*$F53,2),ROUND($E53*$F53*$G53,2))</f>
        <v>99.48</v>
      </c>
      <c r="J53" s="30"/>
      <c r="K53" s="30">
        <f>IF($H53=0,ROUND($E53*(K$72/12),2),ROUND($E53*(K$72/12)*$H53,2))</f>
        <v>8.25</v>
      </c>
      <c r="L53" s="30"/>
      <c r="M53" s="30">
        <f>IF($H53=0,ROUND($E53*(M$72/12),2),ROUND($E53*(M$72/12)*$H53,2))</f>
        <v>20.61</v>
      </c>
      <c r="N53" s="30">
        <f>IF($H53=0,ROUND($E53*(N$72/12),2),ROUND($E53*(N$72/12)*$H53,2))</f>
        <v>32.98</v>
      </c>
      <c r="O53" s="30"/>
      <c r="P53" s="30"/>
      <c r="Q53" s="30"/>
      <c r="R53" s="30"/>
      <c r="S53" s="30"/>
      <c r="T53" s="30">
        <f>ROUND(((($I53+$J53)*(T$72/12)+($K53)*(T$73/12)+($M53)*(T$73/12))/27),2)</f>
        <v>2.81</v>
      </c>
      <c r="U53" s="30">
        <f>ROUND(((($I53+$J53+$N53+$O53+$P53+$Q53)*(U$72/12))/27),2)</f>
        <v>2.45</v>
      </c>
      <c r="V53" s="30"/>
      <c r="W53" s="30">
        <f>ROUND(((($I53+$J53)/9)*$W$72)+((($I53+$J53+$K53)/9)*$W$72)+((($I53+$J53+$M53)/9)*$W$72),2)</f>
        <v>2</v>
      </c>
      <c r="X53" s="30"/>
      <c r="Y53" s="30"/>
      <c r="Z53" s="30">
        <f>ROUND(((($I53+$J53)*(Z$72/12))/27),2)</f>
        <v>0.46</v>
      </c>
      <c r="AA53" s="30">
        <f>ROUND(((($I53+$J53)*(AA$72/12))/27),2)</f>
        <v>0.54</v>
      </c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27"/>
      <c r="C54" s="28"/>
      <c r="D54" s="29"/>
      <c r="E54" s="30"/>
      <c r="F54" s="31"/>
      <c r="G54" s="32"/>
      <c r="H54" s="32"/>
      <c r="I54" s="30"/>
      <c r="J54" s="30"/>
      <c r="K54" s="30"/>
      <c r="L54" s="30"/>
      <c r="M54" s="30"/>
      <c r="N54" s="30"/>
      <c r="O54" s="30"/>
      <c r="P54" s="30"/>
      <c r="Q54" s="30"/>
      <c r="R54" s="1"/>
      <c r="S54" s="1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27">
        <v>79695.44</v>
      </c>
      <c r="C55" s="28">
        <v>79978</v>
      </c>
      <c r="D55" s="29" t="s">
        <v>37</v>
      </c>
      <c r="E55" s="30">
        <f>C55-B55</f>
        <v>282.5599999999977</v>
      </c>
      <c r="F55" s="31">
        <v>8</v>
      </c>
      <c r="G55" s="32">
        <f>ROUND((3819.719-($F55/2))/3819.719,4)</f>
        <v>0.999</v>
      </c>
      <c r="H55" s="32">
        <f>ROUND((3819.719-($F55))/3819.719,4)</f>
        <v>0.9979</v>
      </c>
      <c r="I55" s="30">
        <f>IF(G55=0,ROUND($E55*$F55,2),ROUND($E55*$F55*$G55,2))</f>
        <v>2258.22</v>
      </c>
      <c r="J55" s="30"/>
      <c r="K55" s="30">
        <f>IF($H55=0,ROUND($E55*(K$72/12),2),ROUND($E55*(K$72/12)*$H55,2))</f>
        <v>93.99</v>
      </c>
      <c r="L55" s="30"/>
      <c r="M55" s="30">
        <f>IF($H55=0,ROUND($E55*(M$72/12),2),ROUND($E55*(M$72/12)*$H55,2))</f>
        <v>234.97</v>
      </c>
      <c r="N55" s="30">
        <f>IF($H55=0,ROUND($E55*(N$72/12),2),ROUND($E55*(N$72/12)*$H55,2))</f>
        <v>375.96</v>
      </c>
      <c r="O55" s="30"/>
      <c r="P55" s="30"/>
      <c r="Q55" s="30"/>
      <c r="R55" s="1"/>
      <c r="S55" s="1"/>
      <c r="T55" s="30">
        <f>ROUND(((($I55+$J55)*(T$72/12)+($K55)*(T$73/12)+($M55)*(T$73/12))/27),2)</f>
        <v>59.82</v>
      </c>
      <c r="U55" s="30">
        <f>ROUND(((($I55+$J55+$N55+$O55+$P55+$Q55)*(U$72/12))/27),2)</f>
        <v>48.78</v>
      </c>
      <c r="V55" s="30"/>
      <c r="W55" s="30">
        <f>ROUND(((($I55+$J55)/9)*$W$72)+((($I55+$J55+$K55)/9)*$W$72)+((($I55+$J55+$M55)/9)*$W$72),2)</f>
        <v>43.41</v>
      </c>
      <c r="X55" s="30"/>
      <c r="Y55" s="30"/>
      <c r="Z55" s="30">
        <f>ROUND(((($I55+$J55)*(Z$72/12))/27),2)</f>
        <v>10.45</v>
      </c>
      <c r="AA55" s="30">
        <f>ROUND(((($I55+$J55)*(AA$72/12))/27),2)</f>
        <v>12.2</v>
      </c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27">
        <f>C55</f>
        <v>79978</v>
      </c>
      <c r="C56" s="28">
        <v>80134</v>
      </c>
      <c r="D56" s="29" t="s">
        <v>37</v>
      </c>
      <c r="E56" s="30">
        <f>C56-B56</f>
        <v>156</v>
      </c>
      <c r="F56" s="31">
        <v>8</v>
      </c>
      <c r="G56" s="32">
        <f>ROUND((3819.719-($F56/2))/3819.719,4)</f>
        <v>0.999</v>
      </c>
      <c r="H56" s="32">
        <f>ROUND((3819.719-($F56))/3819.719,4)</f>
        <v>0.9979</v>
      </c>
      <c r="I56" s="30">
        <f>IF(G56=0,ROUND($E56*$F56,2),ROUND($E56*$F56*$G56,2))</f>
        <v>1246.75</v>
      </c>
      <c r="J56" s="30"/>
      <c r="K56" s="30"/>
      <c r="L56" s="30">
        <f>IF($H56=0,ROUND($E56*(L$72/12),2),ROUND($E56*(L$72/12)*$H56,2))</f>
        <v>77.84</v>
      </c>
      <c r="M56" s="30">
        <f>IF($H56=0,ROUND($E56*(M$72/12),2),ROUND($E56*(M$72/12)*$H56,2))</f>
        <v>129.73</v>
      </c>
      <c r="N56" s="30">
        <f>IF($H56=0,ROUND($E56*(N$72/12),2),ROUND($E56*(N$72/12)*$H56,2))</f>
        <v>207.56</v>
      </c>
      <c r="O56" s="30"/>
      <c r="P56" s="30">
        <f>IF($H56=0,ROUND($E56*(P$72/12),2),ROUND($E56*(P$72/12)*$H56,2))</f>
        <v>259.45</v>
      </c>
      <c r="Q56" s="30">
        <f>IF($H56=0,ROUND($E56*(Q$72/12),2),ROUND($E56*(Q$72/12)*$H56,2))</f>
        <v>285.4</v>
      </c>
      <c r="R56" s="1"/>
      <c r="S56" s="1"/>
      <c r="T56" s="30">
        <f>ROUND(((($I56+$J56+$P56)*(T$72/12)+($M56)*(T$73/12)+($N56)*(T$73/12))/27),2)</f>
        <v>41.35</v>
      </c>
      <c r="U56" s="30">
        <f>ROUND(((($I56+$J56+$P56+$Q56)*(U$72/12))/27),2)</f>
        <v>33.18</v>
      </c>
      <c r="V56" s="30"/>
      <c r="W56" s="30">
        <f>ROUND(((($I56+$J310+$L56+$P56)/9)*$W$72)+((($I56+$J56+$M56+$P56)/9)*$W$72)+((($I56+$J56+$N56+$P56)/9)*$W$72),2)</f>
        <v>30.15</v>
      </c>
      <c r="X56" s="30"/>
      <c r="Y56" s="30"/>
      <c r="Z56" s="30">
        <f>ROUND(((($I56+$J56)*(Z$72/12))/27),2)</f>
        <v>5.77</v>
      </c>
      <c r="AA56" s="30">
        <f>ROUND(((($I56+$J56+$P56+$L56)*(AA$72/12))/27),2)</f>
        <v>8.56</v>
      </c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27">
        <f>C56</f>
        <v>80134</v>
      </c>
      <c r="C57" s="28">
        <v>80148.92</v>
      </c>
      <c r="D57" s="29" t="s">
        <v>37</v>
      </c>
      <c r="E57" s="30">
        <f>C57-B57</f>
        <v>14.919999999998254</v>
      </c>
      <c r="F57" s="31">
        <v>8</v>
      </c>
      <c r="G57" s="32">
        <f>ROUND((3819.719-($F57/2))/3819.719,4)</f>
        <v>0.999</v>
      </c>
      <c r="H57" s="32">
        <f>ROUND((3819.719-($F57))/3819.719,4)</f>
        <v>0.9979</v>
      </c>
      <c r="I57" s="30">
        <f>IF(G57=0,ROUND($E57*$F57,2),ROUND($E57*$F57*$G57,2))</f>
        <v>119.24</v>
      </c>
      <c r="J57" s="30"/>
      <c r="K57" s="30"/>
      <c r="L57" s="30"/>
      <c r="M57" s="30"/>
      <c r="N57" s="30"/>
      <c r="O57" s="30">
        <f>IF($H57=0,ROUND($E57*(O$72/12),2),ROUND($E57*(O$72/12)*$H57,2))</f>
        <v>22.33</v>
      </c>
      <c r="P57" s="30"/>
      <c r="Q57" s="30"/>
      <c r="R57" s="1"/>
      <c r="S57" s="1"/>
      <c r="T57" s="30">
        <f>ROUND(((($I57+$J57)*(T$72/12)+($K57)*(T$73/12)+($M57)*(T$73/12))/27),2)</f>
        <v>2.94</v>
      </c>
      <c r="U57" s="30">
        <f>ROUND(((($I57+$J57+$N57+$O57+$P57+$Q57)*(U$72/12))/27),2)</f>
        <v>2.62</v>
      </c>
      <c r="V57" s="30"/>
      <c r="W57" s="30">
        <f>ROUND(((($I57+$J57)/9)*$W$72)+((($I57+$J57+$K57)/9)*$W$72)+((($I57+$J57+$M57)/9)*$W$72),2)</f>
        <v>2.19</v>
      </c>
      <c r="X57" s="30"/>
      <c r="Y57" s="30"/>
      <c r="Z57" s="30">
        <f>ROUND(((($I57+$J57)*(Z$72/12))/27),2)</f>
        <v>0.55</v>
      </c>
      <c r="AA57" s="30">
        <f>ROUND(((($I57+$J57)*(AA$72/12))/27),2)</f>
        <v>0.64</v>
      </c>
      <c r="AB57" s="30"/>
      <c r="AC57" s="30"/>
      <c r="AD57" s="30">
        <f>IF($H57=0,$E57,ROUND($E57*$H57,2))</f>
        <v>14.89</v>
      </c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28"/>
      <c r="C58" s="28"/>
      <c r="D58" s="29"/>
      <c r="E58" s="30"/>
      <c r="F58" s="31"/>
      <c r="G58" s="3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1"/>
      <c r="S58" s="1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28"/>
      <c r="C59" s="28"/>
      <c r="D59" s="29"/>
      <c r="E59" s="30"/>
      <c r="F59" s="31"/>
      <c r="G59" s="32"/>
      <c r="H59" s="30"/>
      <c r="I59" s="30"/>
      <c r="J59" s="30"/>
      <c r="K59" s="30"/>
      <c r="L59" s="30"/>
      <c r="M59" s="30"/>
      <c r="N59" s="30"/>
      <c r="O59" s="30"/>
      <c r="P59" s="30"/>
      <c r="Q59" s="56"/>
      <c r="R59" s="1"/>
      <c r="S59" s="1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105" t="s">
        <v>52</v>
      </c>
      <c r="C60" s="106"/>
      <c r="D60" s="106"/>
      <c r="E60" s="106"/>
      <c r="F60" s="106"/>
      <c r="G60" s="106"/>
      <c r="H60" s="106"/>
      <c r="I60" s="107"/>
      <c r="J60" s="30"/>
      <c r="K60" s="30"/>
      <c r="L60" s="30"/>
      <c r="M60" s="30"/>
      <c r="N60" s="30"/>
      <c r="O60" s="30"/>
      <c r="P60" s="30"/>
      <c r="Q60" s="30"/>
      <c r="R60" s="1"/>
      <c r="S60" s="1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33" t="s">
        <v>59</v>
      </c>
      <c r="C61" s="55"/>
      <c r="D61" s="29"/>
      <c r="E61" s="30"/>
      <c r="F61" s="69"/>
      <c r="G61" s="32"/>
      <c r="H61" s="30"/>
      <c r="I61" s="67"/>
      <c r="J61" s="30"/>
      <c r="K61" s="30"/>
      <c r="L61" s="30"/>
      <c r="M61" s="30"/>
      <c r="N61" s="30"/>
      <c r="O61" s="30"/>
      <c r="P61" s="30"/>
      <c r="Q61" s="30"/>
      <c r="R61" s="1"/>
      <c r="S61" s="1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19" customFormat="1" ht="21.75" customHeight="1">
      <c r="A62" s="26">
        <f t="shared" si="0"/>
        <v>50</v>
      </c>
      <c r="B62" s="14">
        <v>24120</v>
      </c>
      <c r="C62" s="14">
        <v>24280</v>
      </c>
      <c r="D62" s="29" t="s">
        <v>54</v>
      </c>
      <c r="E62" s="30">
        <f>C62-B62</f>
        <v>160</v>
      </c>
      <c r="F62" s="31">
        <v>8.33</v>
      </c>
      <c r="G62" s="32"/>
      <c r="H62" s="30"/>
      <c r="I62" s="30">
        <f>IF(G62=0,ROUND($E62*$F62,2),ROUND($E62*$F62*$G62,2))</f>
        <v>1332.8</v>
      </c>
      <c r="J62" s="30"/>
      <c r="K62" s="30"/>
      <c r="L62" s="30"/>
      <c r="M62" s="30"/>
      <c r="N62" s="30"/>
      <c r="O62" s="30"/>
      <c r="P62" s="30"/>
      <c r="Q62" s="30"/>
      <c r="R62" s="1"/>
      <c r="S62" s="1"/>
      <c r="T62" s="30">
        <f>ROUND(((($I62+$J62)*(T$72/12))/27),2)</f>
        <v>32.91</v>
      </c>
      <c r="U62" s="30">
        <f>ROUND(((($I62+$J62+$N62+$O62+$P62+$Q62)*(U$72/12))/27),2)</f>
        <v>24.68</v>
      </c>
      <c r="V62" s="30"/>
      <c r="W62" s="30">
        <f>ROUND((((($I62+$J62)/9)*W$72)*3),2)</f>
        <v>24.43</v>
      </c>
      <c r="X62" s="30"/>
      <c r="Y62" s="30"/>
      <c r="Z62" s="30">
        <f>ROUND(((($I62+$J62)*(Z$72/12))/27),2)</f>
        <v>6.17</v>
      </c>
      <c r="AA62" s="30">
        <f>ROUND(((($I62+$J62)*(AA$72/12))/27),2)</f>
        <v>7.2</v>
      </c>
      <c r="AB62" s="30">
        <f>$AA62+$Z62</f>
        <v>13.370000000000001</v>
      </c>
      <c r="AC62" s="30"/>
      <c r="AD62" s="30"/>
      <c r="AE62" s="30"/>
      <c r="AF62" s="110"/>
      <c r="AG62" s="111"/>
    </row>
    <row r="63" spans="1:33" s="19" customFormat="1" ht="21.75" customHeight="1">
      <c r="A63" s="26">
        <f t="shared" si="0"/>
        <v>51</v>
      </c>
      <c r="B63" s="28"/>
      <c r="C63" s="28"/>
      <c r="D63" s="29"/>
      <c r="E63" s="30"/>
      <c r="F63" s="31"/>
      <c r="G63" s="3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28"/>
      <c r="C64" s="28"/>
      <c r="D64" s="29"/>
      <c r="E64" s="30"/>
      <c r="F64" s="31"/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28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 aca="true" t="shared" si="4" ref="R67:AE67">IF(SUM(R13:R66)=0," ",ROUNDUP(SUM(R13:R66),0))</f>
        <v> </v>
      </c>
      <c r="S67" s="125" t="str">
        <f t="shared" si="4"/>
        <v> </v>
      </c>
      <c r="T67" s="125">
        <f t="shared" si="4"/>
        <v>553</v>
      </c>
      <c r="U67" s="125">
        <f t="shared" si="4"/>
        <v>767</v>
      </c>
      <c r="V67" s="125" t="str">
        <f t="shared" si="4"/>
        <v> </v>
      </c>
      <c r="W67" s="125">
        <f t="shared" si="4"/>
        <v>408</v>
      </c>
      <c r="X67" s="125" t="str">
        <f t="shared" si="4"/>
        <v> </v>
      </c>
      <c r="Y67" s="125" t="str">
        <f t="shared" si="4"/>
        <v> </v>
      </c>
      <c r="Z67" s="125">
        <f t="shared" si="4"/>
        <v>100</v>
      </c>
      <c r="AA67" s="125">
        <f t="shared" si="4"/>
        <v>119</v>
      </c>
      <c r="AB67" s="125">
        <f t="shared" si="4"/>
        <v>149</v>
      </c>
      <c r="AC67" s="125" t="str">
        <f t="shared" si="4"/>
        <v> </v>
      </c>
      <c r="AD67" s="125">
        <f t="shared" si="4"/>
        <v>15</v>
      </c>
      <c r="AE67" s="125">
        <f t="shared" si="4"/>
        <v>349</v>
      </c>
      <c r="AF67" s="145">
        <v>4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>
        <v>1.25</v>
      </c>
      <c r="I72" s="57"/>
      <c r="J72" s="57"/>
      <c r="K72" s="57">
        <v>4</v>
      </c>
      <c r="L72" s="57">
        <v>6</v>
      </c>
      <c r="M72" s="57">
        <v>10</v>
      </c>
      <c r="N72" s="57">
        <v>16</v>
      </c>
      <c r="O72" s="57">
        <v>18</v>
      </c>
      <c r="P72" s="57">
        <v>20</v>
      </c>
      <c r="Q72" s="57">
        <v>22</v>
      </c>
      <c r="R72" s="57"/>
      <c r="S72" s="57"/>
      <c r="T72" s="57">
        <v>8</v>
      </c>
      <c r="U72" s="58">
        <v>6</v>
      </c>
      <c r="V72" s="59">
        <v>0.055</v>
      </c>
      <c r="W72" s="59">
        <v>0.055</v>
      </c>
      <c r="X72" s="59"/>
      <c r="Y72" s="58">
        <v>1.75</v>
      </c>
      <c r="Z72" s="58">
        <v>1.5</v>
      </c>
      <c r="AA72" s="58">
        <v>1.75</v>
      </c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>
        <f>T72/2</f>
        <v>4</v>
      </c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141"/>
      <c r="L74" s="142"/>
      <c r="M74" s="142"/>
      <c r="N74" s="142"/>
      <c r="O74" s="142"/>
      <c r="P74" s="142"/>
      <c r="Q74" s="142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62">
    <mergeCell ref="F23:I23"/>
    <mergeCell ref="B29:I29"/>
    <mergeCell ref="B43:I43"/>
    <mergeCell ref="K3:K11"/>
    <mergeCell ref="F16:I16"/>
    <mergeCell ref="F17:I17"/>
    <mergeCell ref="B3:C11"/>
    <mergeCell ref="D3:D11"/>
    <mergeCell ref="H3:H11"/>
    <mergeCell ref="F19:I19"/>
    <mergeCell ref="Y4:Y11"/>
    <mergeCell ref="Z4:Z11"/>
    <mergeCell ref="E3:E11"/>
    <mergeCell ref="F3:F11"/>
    <mergeCell ref="G3:G11"/>
    <mergeCell ref="B60:I60"/>
    <mergeCell ref="B14:I14"/>
    <mergeCell ref="F20:I20"/>
    <mergeCell ref="F22:I22"/>
    <mergeCell ref="I3:I11"/>
    <mergeCell ref="Q3:Q11"/>
    <mergeCell ref="V4:V11"/>
    <mergeCell ref="S4:S11"/>
    <mergeCell ref="AG3:AG5"/>
    <mergeCell ref="R4:R11"/>
    <mergeCell ref="T4:T11"/>
    <mergeCell ref="U4:U11"/>
    <mergeCell ref="W4:W11"/>
    <mergeCell ref="X4:X11"/>
    <mergeCell ref="AA4:AA11"/>
    <mergeCell ref="N3:N11"/>
    <mergeCell ref="L3:L11"/>
    <mergeCell ref="M3:M11"/>
    <mergeCell ref="J3:J11"/>
    <mergeCell ref="O3:O11"/>
    <mergeCell ref="P3:P11"/>
    <mergeCell ref="AE67:AE68"/>
    <mergeCell ref="AF67:AG67"/>
    <mergeCell ref="AF68:AG68"/>
    <mergeCell ref="AE4:AE11"/>
    <mergeCell ref="AB4:AB11"/>
    <mergeCell ref="AC4:AC11"/>
    <mergeCell ref="AD4:AD11"/>
    <mergeCell ref="AF51:AG66"/>
    <mergeCell ref="AF6:AG50"/>
    <mergeCell ref="AF3:AF5"/>
    <mergeCell ref="AC67:AC68"/>
    <mergeCell ref="V67:V68"/>
    <mergeCell ref="W67:W68"/>
    <mergeCell ref="X67:X68"/>
    <mergeCell ref="AD67:AD68"/>
    <mergeCell ref="Y67:Y68"/>
    <mergeCell ref="Z67:Z68"/>
    <mergeCell ref="F48:I48"/>
    <mergeCell ref="B67:Q68"/>
    <mergeCell ref="K74:Q74"/>
    <mergeCell ref="AA67:AA68"/>
    <mergeCell ref="AB67:AB68"/>
    <mergeCell ref="R67:R68"/>
    <mergeCell ref="T67:T68"/>
    <mergeCell ref="U67:U68"/>
    <mergeCell ref="S67:S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6">
      <selection activeCell="H52" sqref="H52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20:28" ht="12.75">
      <c r="T1" s="63"/>
      <c r="U1" s="63"/>
      <c r="V1" s="63"/>
      <c r="W1" s="64"/>
      <c r="X1" s="63"/>
      <c r="Y1" s="63"/>
      <c r="AA1" s="63"/>
      <c r="AB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 t="s">
        <v>25</v>
      </c>
      <c r="L3" s="127" t="s">
        <v>26</v>
      </c>
      <c r="M3" s="127" t="s">
        <v>27</v>
      </c>
      <c r="N3" s="127" t="s">
        <v>28</v>
      </c>
      <c r="O3" s="127" t="s">
        <v>29</v>
      </c>
      <c r="P3" s="127" t="s">
        <v>30</v>
      </c>
      <c r="Q3" s="127" t="s">
        <v>31</v>
      </c>
      <c r="R3" s="50"/>
      <c r="S3" s="50">
        <v>302</v>
      </c>
      <c r="T3" s="50"/>
      <c r="U3" s="50">
        <v>304</v>
      </c>
      <c r="V3" s="50"/>
      <c r="W3" s="50">
        <v>407</v>
      </c>
      <c r="X3" s="50"/>
      <c r="Y3" s="51">
        <v>441</v>
      </c>
      <c r="Z3" s="50">
        <v>441</v>
      </c>
      <c r="AA3" s="50"/>
      <c r="AB3" s="50"/>
      <c r="AC3" s="50"/>
      <c r="AD3" s="51">
        <v>609</v>
      </c>
      <c r="AE3" s="51"/>
      <c r="AF3" s="97" t="s">
        <v>12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36"/>
      <c r="K4" s="136"/>
      <c r="L4" s="103"/>
      <c r="M4" s="103"/>
      <c r="N4" s="103"/>
      <c r="O4" s="103"/>
      <c r="P4" s="103"/>
      <c r="Q4" s="103"/>
      <c r="R4" s="99"/>
      <c r="S4" s="99" t="s">
        <v>69</v>
      </c>
      <c r="T4" s="99"/>
      <c r="U4" s="99" t="s">
        <v>111</v>
      </c>
      <c r="V4" s="99"/>
      <c r="W4" s="99" t="s">
        <v>71</v>
      </c>
      <c r="X4" s="99"/>
      <c r="Y4" s="102" t="s">
        <v>63</v>
      </c>
      <c r="Z4" s="102" t="s">
        <v>68</v>
      </c>
      <c r="AA4" s="99"/>
      <c r="AB4" s="99"/>
      <c r="AC4" s="99"/>
      <c r="AD4" s="102" t="s">
        <v>108</v>
      </c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36"/>
      <c r="K5" s="136"/>
      <c r="L5" s="103"/>
      <c r="M5" s="103"/>
      <c r="N5" s="103"/>
      <c r="O5" s="103"/>
      <c r="P5" s="103"/>
      <c r="Q5" s="103"/>
      <c r="R5" s="100"/>
      <c r="S5" s="100"/>
      <c r="T5" s="100"/>
      <c r="U5" s="100"/>
      <c r="V5" s="100"/>
      <c r="W5" s="100"/>
      <c r="X5" s="100"/>
      <c r="Y5" s="103"/>
      <c r="Z5" s="103"/>
      <c r="AA5" s="100"/>
      <c r="AB5" s="100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36"/>
      <c r="K6" s="136"/>
      <c r="L6" s="103"/>
      <c r="M6" s="103"/>
      <c r="N6" s="103"/>
      <c r="O6" s="103"/>
      <c r="P6" s="103"/>
      <c r="Q6" s="103"/>
      <c r="R6" s="100"/>
      <c r="S6" s="100"/>
      <c r="T6" s="100"/>
      <c r="U6" s="100"/>
      <c r="V6" s="100"/>
      <c r="W6" s="100"/>
      <c r="X6" s="100"/>
      <c r="Y6" s="103"/>
      <c r="Z6" s="103"/>
      <c r="AA6" s="100"/>
      <c r="AB6" s="100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36"/>
      <c r="K7" s="136"/>
      <c r="L7" s="103"/>
      <c r="M7" s="103"/>
      <c r="N7" s="103"/>
      <c r="O7" s="103"/>
      <c r="P7" s="103"/>
      <c r="Q7" s="103"/>
      <c r="R7" s="100"/>
      <c r="S7" s="100"/>
      <c r="T7" s="100"/>
      <c r="U7" s="100"/>
      <c r="V7" s="100"/>
      <c r="W7" s="100"/>
      <c r="X7" s="100"/>
      <c r="Y7" s="103"/>
      <c r="Z7" s="103"/>
      <c r="AA7" s="100"/>
      <c r="AB7" s="100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36"/>
      <c r="K8" s="136"/>
      <c r="L8" s="103"/>
      <c r="M8" s="103"/>
      <c r="N8" s="103"/>
      <c r="O8" s="103"/>
      <c r="P8" s="103"/>
      <c r="Q8" s="103"/>
      <c r="R8" s="100"/>
      <c r="S8" s="100"/>
      <c r="T8" s="100"/>
      <c r="U8" s="100"/>
      <c r="V8" s="100"/>
      <c r="W8" s="100"/>
      <c r="X8" s="100"/>
      <c r="Y8" s="103"/>
      <c r="Z8" s="103"/>
      <c r="AA8" s="100"/>
      <c r="AB8" s="100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36"/>
      <c r="K9" s="136"/>
      <c r="L9" s="103"/>
      <c r="M9" s="103"/>
      <c r="N9" s="103"/>
      <c r="O9" s="103"/>
      <c r="P9" s="103"/>
      <c r="Q9" s="103"/>
      <c r="R9" s="100"/>
      <c r="S9" s="100"/>
      <c r="T9" s="100"/>
      <c r="U9" s="100"/>
      <c r="V9" s="100"/>
      <c r="W9" s="100"/>
      <c r="X9" s="100"/>
      <c r="Y9" s="103"/>
      <c r="Z9" s="103"/>
      <c r="AA9" s="100"/>
      <c r="AB9" s="100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36"/>
      <c r="K10" s="136"/>
      <c r="L10" s="103"/>
      <c r="M10" s="103"/>
      <c r="N10" s="103"/>
      <c r="O10" s="103"/>
      <c r="P10" s="103"/>
      <c r="Q10" s="103"/>
      <c r="R10" s="100"/>
      <c r="S10" s="100"/>
      <c r="T10" s="100"/>
      <c r="U10" s="100"/>
      <c r="V10" s="100"/>
      <c r="W10" s="100"/>
      <c r="X10" s="100"/>
      <c r="Y10" s="103"/>
      <c r="Z10" s="103"/>
      <c r="AA10" s="100"/>
      <c r="AB10" s="100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37"/>
      <c r="K11" s="137"/>
      <c r="L11" s="104"/>
      <c r="M11" s="104"/>
      <c r="N11" s="104"/>
      <c r="O11" s="104"/>
      <c r="P11" s="104"/>
      <c r="Q11" s="104"/>
      <c r="R11" s="101"/>
      <c r="S11" s="101"/>
      <c r="T11" s="101"/>
      <c r="U11" s="101"/>
      <c r="V11" s="101"/>
      <c r="W11" s="101"/>
      <c r="X11" s="101"/>
      <c r="Y11" s="104"/>
      <c r="Z11" s="104"/>
      <c r="AA11" s="101"/>
      <c r="AB11" s="101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52"/>
      <c r="S12" s="52" t="s">
        <v>34</v>
      </c>
      <c r="T12" s="52"/>
      <c r="U12" s="52" t="s">
        <v>34</v>
      </c>
      <c r="V12" s="52"/>
      <c r="W12" s="52" t="s">
        <v>35</v>
      </c>
      <c r="X12" s="52"/>
      <c r="Y12" s="25" t="s">
        <v>34</v>
      </c>
      <c r="Z12" s="52" t="s">
        <v>34</v>
      </c>
      <c r="AA12" s="52"/>
      <c r="AB12" s="52"/>
      <c r="AC12" s="52"/>
      <c r="AD12" s="25" t="s">
        <v>8</v>
      </c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53</v>
      </c>
      <c r="C14" s="106"/>
      <c r="D14" s="106"/>
      <c r="E14" s="106"/>
      <c r="F14" s="106"/>
      <c r="G14" s="106"/>
      <c r="H14" s="106"/>
      <c r="I14" s="10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59</v>
      </c>
      <c r="C15" s="55"/>
      <c r="D15" s="29"/>
      <c r="E15" s="30"/>
      <c r="F15" s="69"/>
      <c r="G15" s="32"/>
      <c r="H15" s="30"/>
      <c r="I15" s="67"/>
      <c r="J15" s="30"/>
      <c r="K15" s="30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>A15+1</f>
        <v>4</v>
      </c>
      <c r="B16" s="27">
        <v>2450</v>
      </c>
      <c r="C16" s="28">
        <v>2466</v>
      </c>
      <c r="D16" s="29" t="s">
        <v>41</v>
      </c>
      <c r="E16" s="30">
        <f>C16-B16</f>
        <v>16</v>
      </c>
      <c r="F16" s="31">
        <f>ROUND(AVERAGE(12,12.455),2)</f>
        <v>12.23</v>
      </c>
      <c r="G16" s="32"/>
      <c r="H16" s="30"/>
      <c r="I16" s="30">
        <f>IF(G16=0,ROUND($E16*$F16,2),ROUND($E16*$F16*$G16,2))</f>
        <v>195.68</v>
      </c>
      <c r="J16" s="30"/>
      <c r="K16" s="54"/>
      <c r="L16" s="30"/>
      <c r="M16" s="30"/>
      <c r="N16" s="30"/>
      <c r="O16" s="30"/>
      <c r="P16" s="30"/>
      <c r="Q16" s="30"/>
      <c r="R16" s="1"/>
      <c r="S16" s="30">
        <f>ROUND(((($I16+$J16)*(S$72/12))/27),2)</f>
        <v>2.42</v>
      </c>
      <c r="T16" s="30"/>
      <c r="U16" s="30">
        <f>ROUND(((($I16+$J16+$N16+$O16+$P16+$Q16)*(U$72/12))/27),2)</f>
        <v>3.62</v>
      </c>
      <c r="V16" s="30"/>
      <c r="W16" s="30">
        <f>ROUND((((($I16+$J16)/9)*W$72)*2),2)</f>
        <v>2.39</v>
      </c>
      <c r="X16" s="30"/>
      <c r="Y16" s="30">
        <f>ROUND(((($I16+$J16)*(Y$72/12))/27),2)</f>
        <v>0.75</v>
      </c>
      <c r="Z16" s="30">
        <f aca="true" t="shared" si="0" ref="Y16:Z19">ROUND(((($I16+$J16)*(Z$72/12))/27),2)</f>
        <v>1.06</v>
      </c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aca="true" t="shared" si="1" ref="A17:A66">A16+1</f>
        <v>5</v>
      </c>
      <c r="B17" s="27">
        <f>C16</f>
        <v>2466</v>
      </c>
      <c r="C17" s="28">
        <v>2607.65</v>
      </c>
      <c r="D17" s="29" t="s">
        <v>41</v>
      </c>
      <c r="E17" s="30">
        <f>C17-B17</f>
        <v>141.6500000000001</v>
      </c>
      <c r="F17" s="31">
        <v>12</v>
      </c>
      <c r="G17" s="32"/>
      <c r="H17" s="30"/>
      <c r="I17" s="30">
        <f>IF(G17=0,ROUND($E17*$F17,2),ROUND($E17*$F17*$G17,2))</f>
        <v>1699.8</v>
      </c>
      <c r="J17" s="30"/>
      <c r="K17" s="30"/>
      <c r="L17" s="30"/>
      <c r="M17" s="30"/>
      <c r="N17" s="30"/>
      <c r="O17" s="30"/>
      <c r="P17" s="30"/>
      <c r="Q17" s="30"/>
      <c r="R17" s="1"/>
      <c r="S17" s="30">
        <f>ROUND(((($I17+$J17)*(S$72/12))/27),2)</f>
        <v>20.99</v>
      </c>
      <c r="T17" s="30"/>
      <c r="U17" s="30">
        <f>ROUND(((($I17+$J17+$N17+$O17+$P17+$Q17)*(U$72/12))/27),2)</f>
        <v>31.48</v>
      </c>
      <c r="V17" s="30"/>
      <c r="W17" s="30">
        <f>ROUND((((($I17+$J17)/9)*W$72)*2),2)</f>
        <v>20.78</v>
      </c>
      <c r="X17" s="30"/>
      <c r="Y17" s="30">
        <f t="shared" si="0"/>
        <v>6.56</v>
      </c>
      <c r="Z17" s="30">
        <f t="shared" si="0"/>
        <v>9.18</v>
      </c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1"/>
        <v>6</v>
      </c>
      <c r="B18" s="27">
        <f>C17</f>
        <v>2607.65</v>
      </c>
      <c r="C18" s="28">
        <v>2753.5</v>
      </c>
      <c r="D18" s="29" t="s">
        <v>41</v>
      </c>
      <c r="E18" s="30">
        <f>C18-B18</f>
        <v>145.8499999999999</v>
      </c>
      <c r="F18" s="31">
        <v>12</v>
      </c>
      <c r="G18" s="32">
        <f>ROUND((2362.116-($F18/2))/2362.116,4)</f>
        <v>0.9975</v>
      </c>
      <c r="H18" s="30"/>
      <c r="I18" s="30">
        <f>IF(G18=0,ROUND($E18*$F18,2),ROUND($E18*$F18*$G18,2))</f>
        <v>1745.82</v>
      </c>
      <c r="J18" s="30"/>
      <c r="K18" s="56"/>
      <c r="L18" s="30"/>
      <c r="M18" s="30"/>
      <c r="N18" s="30"/>
      <c r="O18" s="30"/>
      <c r="P18" s="30"/>
      <c r="Q18" s="30"/>
      <c r="R18" s="1"/>
      <c r="S18" s="30">
        <f>ROUND(((($I18+$J18)*(S$72/12))/27),2)</f>
        <v>21.55</v>
      </c>
      <c r="T18" s="30"/>
      <c r="U18" s="30">
        <f>ROUND(((($I18+$J18+$N18+$O18+$P18+$Q18)*(U$72/12))/27),2)</f>
        <v>32.33</v>
      </c>
      <c r="V18" s="30"/>
      <c r="W18" s="30">
        <f>ROUND((((($I18+$J18)/9)*W$72)*2),2)</f>
        <v>21.34</v>
      </c>
      <c r="X18" s="30"/>
      <c r="Y18" s="30">
        <f t="shared" si="0"/>
        <v>6.74</v>
      </c>
      <c r="Z18" s="30">
        <f t="shared" si="0"/>
        <v>9.43</v>
      </c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1"/>
        <v>7</v>
      </c>
      <c r="B19" s="27">
        <f>C18</f>
        <v>2753.5</v>
      </c>
      <c r="C19" s="28">
        <v>2770</v>
      </c>
      <c r="D19" s="29" t="s">
        <v>41</v>
      </c>
      <c r="E19" s="30">
        <f>C19-B19</f>
        <v>16.5</v>
      </c>
      <c r="F19" s="31">
        <f>ROUND(AVERAGE(12,11.725),2)</f>
        <v>11.86</v>
      </c>
      <c r="G19" s="32">
        <f>ROUND((2362.116-($F19/2))/2362.116,4)</f>
        <v>0.9975</v>
      </c>
      <c r="H19" s="30"/>
      <c r="I19" s="30">
        <f>IF(G19=0,ROUND($E19*$F19,2),ROUND($E19*$F19*$G19,2))</f>
        <v>195.2</v>
      </c>
      <c r="J19" s="30"/>
      <c r="K19" s="56"/>
      <c r="L19" s="30"/>
      <c r="M19" s="30"/>
      <c r="N19" s="30"/>
      <c r="O19" s="30"/>
      <c r="P19" s="30"/>
      <c r="Q19" s="30"/>
      <c r="R19" s="1"/>
      <c r="S19" s="30">
        <f>ROUND(((($I19+$J19)*(S$72/12))/27),2)</f>
        <v>2.41</v>
      </c>
      <c r="T19" s="30"/>
      <c r="U19" s="30">
        <f>ROUND(((($I19+$J19+$N19+$O19+$P19+$Q19)*(U$72/12))/27),2)</f>
        <v>3.61</v>
      </c>
      <c r="V19" s="30"/>
      <c r="W19" s="30">
        <f>ROUND((((($I19+$J19)/9)*W$72)*2),2)</f>
        <v>2.39</v>
      </c>
      <c r="X19" s="30"/>
      <c r="Y19" s="30">
        <f t="shared" si="0"/>
        <v>0.75</v>
      </c>
      <c r="Z19" s="30">
        <f t="shared" si="0"/>
        <v>1.05</v>
      </c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1"/>
        <v>8</v>
      </c>
      <c r="B20" s="27"/>
      <c r="C20" s="28"/>
      <c r="D20" s="29"/>
      <c r="E20" s="30"/>
      <c r="F20" s="31"/>
      <c r="G20" s="32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1"/>
        <v>9</v>
      </c>
      <c r="B21" s="27">
        <v>2450</v>
      </c>
      <c r="C21" s="28">
        <v>2489</v>
      </c>
      <c r="D21" s="29" t="s">
        <v>37</v>
      </c>
      <c r="E21" s="30">
        <f>C21-B21</f>
        <v>39</v>
      </c>
      <c r="F21" s="31">
        <f>ROUND(AVERAGE(12,10.884),2)</f>
        <v>11.44</v>
      </c>
      <c r="G21" s="32"/>
      <c r="H21" s="30"/>
      <c r="I21" s="30">
        <f>IF(G21=0,ROUND($E21*$F21,2),ROUND($E21*$F21*$G21,2))</f>
        <v>446.16</v>
      </c>
      <c r="J21" s="30"/>
      <c r="K21" s="30"/>
      <c r="L21" s="30"/>
      <c r="M21" s="30"/>
      <c r="N21" s="30"/>
      <c r="O21" s="30"/>
      <c r="P21" s="30"/>
      <c r="Q21" s="30"/>
      <c r="R21" s="1"/>
      <c r="S21" s="30">
        <f>ROUND(((($I21+$J21)*(S$72/12))/27),2)</f>
        <v>5.51</v>
      </c>
      <c r="T21" s="30"/>
      <c r="U21" s="30">
        <f>ROUND(((($I21+$J21+$N21+$O21+$P21+$Q21)*(U$72/12))/27),2)</f>
        <v>8.26</v>
      </c>
      <c r="V21" s="30"/>
      <c r="W21" s="30">
        <f>ROUND((((($I21+$J21)/9)*W$72)*2),2)</f>
        <v>5.45</v>
      </c>
      <c r="X21" s="30"/>
      <c r="Y21" s="30">
        <f aca="true" t="shared" si="2" ref="Y21:Z24">ROUND(((($I21+$J21)*(Y$72/12))/27),2)</f>
        <v>1.72</v>
      </c>
      <c r="Z21" s="30">
        <f t="shared" si="2"/>
        <v>2.41</v>
      </c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1"/>
        <v>10</v>
      </c>
      <c r="B22" s="27">
        <f>C21</f>
        <v>2489</v>
      </c>
      <c r="C22" s="28">
        <v>2607.65</v>
      </c>
      <c r="D22" s="29" t="s">
        <v>37</v>
      </c>
      <c r="E22" s="30">
        <f>C22-B22</f>
        <v>118.65000000000009</v>
      </c>
      <c r="F22" s="31">
        <v>12</v>
      </c>
      <c r="G22" s="32"/>
      <c r="H22" s="30"/>
      <c r="I22" s="30">
        <f>IF(G22=0,ROUND($E22*$F22,2),ROUND($E22*$F22*$G22,2))</f>
        <v>1423.8</v>
      </c>
      <c r="J22" s="30"/>
      <c r="K22" s="30"/>
      <c r="L22" s="30"/>
      <c r="M22" s="30"/>
      <c r="N22" s="30"/>
      <c r="O22" s="30"/>
      <c r="P22" s="30"/>
      <c r="Q22" s="30"/>
      <c r="R22" s="1"/>
      <c r="S22" s="30">
        <f>ROUND(((($I22+$J22)*(S$72/12))/27),2)</f>
        <v>17.58</v>
      </c>
      <c r="T22" s="30"/>
      <c r="U22" s="30">
        <f>ROUND(((($I22+$J22+$N22+$O22+$P22+$Q22)*(U$72/12))/27),2)</f>
        <v>26.37</v>
      </c>
      <c r="V22" s="30"/>
      <c r="W22" s="30">
        <f>ROUND((((($I22+$J22)/9)*W$72)*2),2)</f>
        <v>17.4</v>
      </c>
      <c r="X22" s="30"/>
      <c r="Y22" s="30">
        <f t="shared" si="2"/>
        <v>5.49</v>
      </c>
      <c r="Z22" s="30">
        <f t="shared" si="2"/>
        <v>7.69</v>
      </c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1"/>
        <v>11</v>
      </c>
      <c r="B23" s="27">
        <f>C22</f>
        <v>2607.65</v>
      </c>
      <c r="C23" s="28">
        <v>2753.5</v>
      </c>
      <c r="D23" s="29" t="s">
        <v>37</v>
      </c>
      <c r="E23" s="30">
        <f>C23-B23</f>
        <v>145.8499999999999</v>
      </c>
      <c r="F23" s="31">
        <v>12</v>
      </c>
      <c r="G23" s="32">
        <f>ROUND((2362.116+($F23/2))/2362.116,4)</f>
        <v>1.0025</v>
      </c>
      <c r="H23" s="30"/>
      <c r="I23" s="30">
        <f>IF(G23=0,ROUND($E23*$F23,2),ROUND($E23*$F23*$G23,2))</f>
        <v>1754.58</v>
      </c>
      <c r="J23" s="30"/>
      <c r="K23" s="30"/>
      <c r="L23" s="30"/>
      <c r="M23" s="30"/>
      <c r="N23" s="30"/>
      <c r="O23" s="30"/>
      <c r="P23" s="30"/>
      <c r="Q23" s="30"/>
      <c r="R23" s="1"/>
      <c r="S23" s="30">
        <f>ROUND(((($I23+$J23)*(S$72/12))/27),2)</f>
        <v>21.66</v>
      </c>
      <c r="T23" s="30"/>
      <c r="U23" s="30">
        <f>ROUND(((($I23+$J23+$N23+$O23+$P23+$Q23)*(U$72/12))/27),2)</f>
        <v>32.49</v>
      </c>
      <c r="V23" s="30"/>
      <c r="W23" s="30">
        <f>ROUND((((($I23+$J23)/9)*W$72)*2),2)</f>
        <v>21.44</v>
      </c>
      <c r="X23" s="30"/>
      <c r="Y23" s="30">
        <f t="shared" si="2"/>
        <v>6.77</v>
      </c>
      <c r="Z23" s="30">
        <f t="shared" si="2"/>
        <v>9.48</v>
      </c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1"/>
        <v>12</v>
      </c>
      <c r="B24" s="27">
        <f>C23</f>
        <v>2753.5</v>
      </c>
      <c r="C24" s="28">
        <v>2770</v>
      </c>
      <c r="D24" s="29" t="s">
        <v>37</v>
      </c>
      <c r="E24" s="30">
        <f>C24-B24</f>
        <v>16.5</v>
      </c>
      <c r="F24" s="31">
        <f>ROUND(AVERAGE(12,11.528),2)</f>
        <v>11.76</v>
      </c>
      <c r="G24" s="32">
        <f>ROUND((2362.116+($F24/2))/2362.116,4)</f>
        <v>1.0025</v>
      </c>
      <c r="H24" s="30"/>
      <c r="I24" s="30">
        <f>IF(G24=0,ROUND($E24*$F24,2),ROUND($E24*$F24*$G24,2))</f>
        <v>194.53</v>
      </c>
      <c r="J24" s="30"/>
      <c r="K24" s="30"/>
      <c r="L24" s="30"/>
      <c r="M24" s="30"/>
      <c r="N24" s="30"/>
      <c r="O24" s="30"/>
      <c r="P24" s="30"/>
      <c r="Q24" s="30"/>
      <c r="R24" s="1"/>
      <c r="S24" s="30">
        <f>ROUND(((($I24+$J24)*(S$72/12))/27),2)</f>
        <v>2.4</v>
      </c>
      <c r="T24" s="30"/>
      <c r="U24" s="30">
        <f>ROUND(((($I24+$J24+$N24+$O24+$P24+$Q24)*(U$72/12))/27),2)</f>
        <v>3.6</v>
      </c>
      <c r="V24" s="30"/>
      <c r="W24" s="30">
        <f>ROUND((((($I24+$J24)/9)*W$72)*2),2)</f>
        <v>2.38</v>
      </c>
      <c r="X24" s="30"/>
      <c r="Y24" s="30">
        <f t="shared" si="2"/>
        <v>0.75</v>
      </c>
      <c r="Z24" s="30">
        <f t="shared" si="2"/>
        <v>1.05</v>
      </c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1"/>
        <v>13</v>
      </c>
      <c r="B25" s="27"/>
      <c r="C25" s="28"/>
      <c r="D25" s="29"/>
      <c r="E25" s="30"/>
      <c r="F25" s="30"/>
      <c r="G25" s="3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1"/>
        <v>14</v>
      </c>
      <c r="B26" s="33" t="s">
        <v>60</v>
      </c>
      <c r="C26" s="28"/>
      <c r="D26" s="29"/>
      <c r="E26" s="30"/>
      <c r="F26" s="31"/>
      <c r="G26" s="3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1"/>
        <v>15</v>
      </c>
      <c r="B27" s="27">
        <v>2450</v>
      </c>
      <c r="C27" s="28">
        <v>2463.23</v>
      </c>
      <c r="D27" s="29" t="s">
        <v>41</v>
      </c>
      <c r="E27" s="30">
        <f aca="true" t="shared" si="3" ref="E27:E33">C27-B27</f>
        <v>13.230000000000018</v>
      </c>
      <c r="F27" s="31">
        <v>4</v>
      </c>
      <c r="G27" s="32"/>
      <c r="H27" s="30"/>
      <c r="I27" s="30">
        <f aca="true" t="shared" si="4" ref="I27:I32">IF($G27=0,ROUND($E27*$F27,2),ROUND($E27*$F27*$G27,2))</f>
        <v>52.92</v>
      </c>
      <c r="J27" s="30"/>
      <c r="K27" s="30">
        <f>IF($H27=0,ROUND($E27*(K$72/12),2),ROUND($E27*(K$72/12)*$H27,2))</f>
        <v>4.41</v>
      </c>
      <c r="L27" s="30"/>
      <c r="M27" s="30">
        <f>IF($H27=0,ROUND($E27*(M$72/12),2),ROUND($E27*(M$72/12)*$H27,2))</f>
        <v>11.03</v>
      </c>
      <c r="N27" s="30"/>
      <c r="O27" s="30"/>
      <c r="P27" s="30"/>
      <c r="Q27" s="30"/>
      <c r="R27" s="1"/>
      <c r="S27" s="30">
        <f>ROUND(((($I27+$J27+$K27)*(S$72/12))/27),2)</f>
        <v>0.71</v>
      </c>
      <c r="T27" s="30"/>
      <c r="U27" s="30">
        <f>ROUND(((($I27+$J27+$M27+$O27)*(U$72/12))/27),2)</f>
        <v>1.18</v>
      </c>
      <c r="V27" s="30"/>
      <c r="W27" s="30">
        <f>ROUND(((($I27+$J27)/9)*$W$72)+((($I27+$J27+$K27)/9)*$W$72),2)</f>
        <v>0.67</v>
      </c>
      <c r="X27" s="30"/>
      <c r="Y27" s="30">
        <f aca="true" t="shared" si="5" ref="Y27:Z31">ROUND(((($I27+$J27)*(Y$72/12))/27),2)</f>
        <v>0.2</v>
      </c>
      <c r="Z27" s="30">
        <f t="shared" si="5"/>
        <v>0.29</v>
      </c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1"/>
        <v>16</v>
      </c>
      <c r="B28" s="27">
        <f>C27</f>
        <v>2463.23</v>
      </c>
      <c r="C28" s="28">
        <v>2466</v>
      </c>
      <c r="D28" s="29" t="s">
        <v>41</v>
      </c>
      <c r="E28" s="30">
        <f t="shared" si="3"/>
        <v>2.769999999999982</v>
      </c>
      <c r="F28" s="31">
        <f>ROUND(AVERAGE(4,3.654),2)</f>
        <v>3.83</v>
      </c>
      <c r="G28" s="32"/>
      <c r="H28" s="30"/>
      <c r="I28" s="30">
        <f t="shared" si="4"/>
        <v>10.61</v>
      </c>
      <c r="J28" s="30"/>
      <c r="K28" s="30">
        <f>IF($H28=0,ROUND($E28*(K$72/12),2),ROUND($E28*(K$72/12)*$H28,2))</f>
        <v>0.92</v>
      </c>
      <c r="L28" s="30"/>
      <c r="M28" s="30">
        <f>IF($H28=0,ROUND($E28*(M$72/12),2),ROUND($E28*(M$72/12)*$H28,2))</f>
        <v>2.31</v>
      </c>
      <c r="N28" s="30"/>
      <c r="O28" s="30"/>
      <c r="P28" s="30"/>
      <c r="Q28" s="30"/>
      <c r="R28" s="1"/>
      <c r="S28" s="30">
        <f>ROUND(((($I28+$J28+$K28)*(S$72/12))/27),2)</f>
        <v>0.14</v>
      </c>
      <c r="T28" s="30"/>
      <c r="U28" s="30">
        <f>ROUND(((($I28+$J28+$M28+$O28)*(U$72/12))/27),2)</f>
        <v>0.24</v>
      </c>
      <c r="V28" s="30"/>
      <c r="W28" s="30">
        <f>ROUND(((($I28+$J28)/9)*$W$72)+((($I28+$J28+$K28)/9)*$W$72),2)</f>
        <v>0.14</v>
      </c>
      <c r="X28" s="30"/>
      <c r="Y28" s="30">
        <f t="shared" si="5"/>
        <v>0.04</v>
      </c>
      <c r="Z28" s="30">
        <f t="shared" si="5"/>
        <v>0.06</v>
      </c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1"/>
        <v>17</v>
      </c>
      <c r="B29" s="27">
        <f>C28</f>
        <v>2466</v>
      </c>
      <c r="C29" s="28">
        <v>2470.6</v>
      </c>
      <c r="D29" s="29" t="s">
        <v>41</v>
      </c>
      <c r="E29" s="30">
        <f t="shared" si="3"/>
        <v>4.599999999999909</v>
      </c>
      <c r="F29" s="31">
        <f>ROUND(AVERAGE(3.654,2.947),2)</f>
        <v>3.3</v>
      </c>
      <c r="G29" s="32"/>
      <c r="H29" s="30"/>
      <c r="I29" s="30">
        <f t="shared" si="4"/>
        <v>15.18</v>
      </c>
      <c r="J29" s="30"/>
      <c r="K29" s="30">
        <f>IF($H29=0,ROUND($E29*(K$72/12),2),ROUND($E29*(K$72/12)*$H29,2))</f>
        <v>1.53</v>
      </c>
      <c r="L29" s="30"/>
      <c r="M29" s="30">
        <f>IF($H29=0,ROUND($E29*(M$72/12),2),ROUND($E29*(M$72/12)*$H29,2))</f>
        <v>3.83</v>
      </c>
      <c r="N29" s="30"/>
      <c r="O29" s="30"/>
      <c r="P29" s="30"/>
      <c r="Q29" s="30"/>
      <c r="R29" s="1"/>
      <c r="S29" s="30">
        <f>ROUND(((($I29+$J29+$K29)*(S$72/12))/27),2)</f>
        <v>0.21</v>
      </c>
      <c r="T29" s="30"/>
      <c r="U29" s="30">
        <f>ROUND(((($I29+$J29+$M29+$O29)*(U$72/12))/27),2)</f>
        <v>0.35</v>
      </c>
      <c r="V29" s="30"/>
      <c r="W29" s="30">
        <f>ROUND(((($I29+$J29)/9)*$W$72)+((($I29+$J29+$K29)/9)*$W$72),2)</f>
        <v>0.19</v>
      </c>
      <c r="X29" s="30"/>
      <c r="Y29" s="30">
        <f t="shared" si="5"/>
        <v>0.06</v>
      </c>
      <c r="Z29" s="30">
        <f t="shared" si="5"/>
        <v>0.08</v>
      </c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1"/>
        <v>18</v>
      </c>
      <c r="B30" s="27">
        <f>C29</f>
        <v>2470.6</v>
      </c>
      <c r="C30" s="28">
        <v>2501.85</v>
      </c>
      <c r="D30" s="29" t="s">
        <v>41</v>
      </c>
      <c r="E30" s="30">
        <f t="shared" si="3"/>
        <v>31.25</v>
      </c>
      <c r="F30" s="30">
        <v>2.95</v>
      </c>
      <c r="G30" s="32"/>
      <c r="H30" s="30"/>
      <c r="I30" s="30">
        <f t="shared" si="4"/>
        <v>92.19</v>
      </c>
      <c r="J30" s="30"/>
      <c r="K30" s="30">
        <f>IF($H30=0,ROUND($E30*(K$72/12),2),ROUND($E30*(K$72/12)*$H30,2))</f>
        <v>10.42</v>
      </c>
      <c r="L30" s="30"/>
      <c r="M30" s="30">
        <f>IF($H30=0,ROUND($E30*(M$72/12),2),ROUND($E30*(M$72/12)*$H30,2))</f>
        <v>26.04</v>
      </c>
      <c r="N30" s="30"/>
      <c r="O30" s="30"/>
      <c r="P30" s="30"/>
      <c r="Q30" s="30"/>
      <c r="R30" s="1"/>
      <c r="S30" s="30">
        <f>ROUND(((($I30+$J30+$K30)*(S$72/12))/27),2)</f>
        <v>1.27</v>
      </c>
      <c r="T30" s="30"/>
      <c r="U30" s="30">
        <f>ROUND(((($I30+$J30+$M30+$O30)*(U$72/12))/27),2)</f>
        <v>2.19</v>
      </c>
      <c r="V30" s="30"/>
      <c r="W30" s="30">
        <f>ROUND(((($I30+$J30)/9)*$W$72)+((($I30+$J30+$K30)/9)*$W$72),2)</f>
        <v>1.19</v>
      </c>
      <c r="X30" s="30"/>
      <c r="Y30" s="30">
        <f t="shared" si="5"/>
        <v>0.36</v>
      </c>
      <c r="Z30" s="30">
        <f t="shared" si="5"/>
        <v>0.5</v>
      </c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1"/>
        <v>19</v>
      </c>
      <c r="B31" s="27">
        <f>C30</f>
        <v>2501.85</v>
      </c>
      <c r="C31" s="28">
        <v>2520</v>
      </c>
      <c r="D31" s="29" t="s">
        <v>41</v>
      </c>
      <c r="E31" s="30">
        <f t="shared" si="3"/>
        <v>18.15000000000009</v>
      </c>
      <c r="F31" s="30">
        <v>2.95</v>
      </c>
      <c r="G31" s="32"/>
      <c r="H31" s="30"/>
      <c r="I31" s="30">
        <f t="shared" si="4"/>
        <v>53.54</v>
      </c>
      <c r="J31" s="30"/>
      <c r="K31" s="30"/>
      <c r="L31" s="30"/>
      <c r="M31" s="30"/>
      <c r="N31" s="30"/>
      <c r="O31" s="30">
        <f>IF($H31=0,ROUND($E31*(O$72/12),2),ROUND($E31*(O$72/12)*$H31,2))</f>
        <v>27.23</v>
      </c>
      <c r="P31" s="30"/>
      <c r="Q31" s="30"/>
      <c r="R31" s="1"/>
      <c r="S31" s="30">
        <f>ROUND(((($I31+$J31+$K31)*(S$72/12))/27),2)</f>
        <v>0.66</v>
      </c>
      <c r="T31" s="30"/>
      <c r="U31" s="30">
        <f>ROUND(((($I31+$J31+$M31+$O31)*(U$72/12))/27),2)</f>
        <v>1.5</v>
      </c>
      <c r="V31" s="30"/>
      <c r="W31" s="30">
        <f>ROUND(((($I31+$J31)/9)*$W$72)+((($I31+$J31+$K31)/9)*$W$72),2)</f>
        <v>0.65</v>
      </c>
      <c r="X31" s="30"/>
      <c r="Y31" s="30">
        <f t="shared" si="5"/>
        <v>0.21</v>
      </c>
      <c r="Z31" s="30">
        <f t="shared" si="5"/>
        <v>0.29</v>
      </c>
      <c r="AA31" s="30"/>
      <c r="AB31" s="30"/>
      <c r="AC31" s="30"/>
      <c r="AD31" s="30">
        <f>IF($H31=0,$E31,ROUND($E31*$H31,2))</f>
        <v>18.15000000000009</v>
      </c>
      <c r="AE31" s="30"/>
      <c r="AF31" s="110"/>
      <c r="AG31" s="111"/>
    </row>
    <row r="32" spans="1:33" s="19" customFormat="1" ht="21.75" customHeight="1">
      <c r="A32" s="26">
        <f t="shared" si="1"/>
        <v>20</v>
      </c>
      <c r="B32" s="27">
        <f>C31</f>
        <v>2520</v>
      </c>
      <c r="C32" s="28">
        <v>2607.65</v>
      </c>
      <c r="D32" s="29" t="s">
        <v>41</v>
      </c>
      <c r="E32" s="30">
        <f t="shared" si="3"/>
        <v>87.65000000000009</v>
      </c>
      <c r="F32" s="30">
        <v>2.95</v>
      </c>
      <c r="G32" s="32"/>
      <c r="H32" s="30"/>
      <c r="I32" s="30">
        <f t="shared" si="4"/>
        <v>258.57</v>
      </c>
      <c r="J32" s="30"/>
      <c r="K32" s="30"/>
      <c r="L32" s="30">
        <f aca="true" t="shared" si="6" ref="L32:N33">IF($H32=0,ROUND($E32*(L$72/12),2),ROUND($E32*(L$72/12)*$H32,2))</f>
        <v>43.83</v>
      </c>
      <c r="M32" s="30">
        <f t="shared" si="6"/>
        <v>73.04</v>
      </c>
      <c r="N32" s="30">
        <f t="shared" si="6"/>
        <v>116.87</v>
      </c>
      <c r="O32" s="30"/>
      <c r="P32" s="30">
        <f>IF($H32=0,ROUND($E32*(P$72/12),2),ROUND($E32*(P$72/12)*$H32,2))</f>
        <v>146.08</v>
      </c>
      <c r="Q32" s="30"/>
      <c r="R32" s="1"/>
      <c r="S32" s="30">
        <f>ROUND(((($I32+$J32+$M32+$P32)*(S$72/12))/27),2)</f>
        <v>5.9</v>
      </c>
      <c r="T32" s="30"/>
      <c r="U32" s="30">
        <f>ROUND(((($I32+$J32+$N32+$P32)*(U$72/12))/27),2)</f>
        <v>9.66</v>
      </c>
      <c r="V32" s="30"/>
      <c r="W32" s="30">
        <f>ROUND(((($I32+$J32+$P32+$L32)/9)*$W$72)+((($I32+$J32+$M32+$P32)/9)*$W$72),2)</f>
        <v>5.66</v>
      </c>
      <c r="X32" s="30"/>
      <c r="Y32" s="30">
        <f aca="true" t="shared" si="7" ref="Y32:Y38">ROUND(((($I32+$J32)*(Y$72/12))/27),2)</f>
        <v>1</v>
      </c>
      <c r="Z32" s="30">
        <f>ROUND(((($I32+$J32+$L32+$P32)*(Z$72/12))/27),2)</f>
        <v>2.42</v>
      </c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1"/>
        <v>21</v>
      </c>
      <c r="B33" s="27">
        <f aca="true" t="shared" si="8" ref="B33:B38">C32</f>
        <v>2607.65</v>
      </c>
      <c r="C33" s="28">
        <v>2688.48</v>
      </c>
      <c r="D33" s="29" t="s">
        <v>41</v>
      </c>
      <c r="E33" s="30">
        <f t="shared" si="3"/>
        <v>80.82999999999993</v>
      </c>
      <c r="F33" s="138" t="s">
        <v>40</v>
      </c>
      <c r="G33" s="139"/>
      <c r="H33" s="139"/>
      <c r="I33" s="140"/>
      <c r="J33" s="30">
        <v>200.04</v>
      </c>
      <c r="K33" s="30"/>
      <c r="L33" s="30">
        <f t="shared" si="6"/>
        <v>40.42</v>
      </c>
      <c r="M33" s="30">
        <f t="shared" si="6"/>
        <v>67.36</v>
      </c>
      <c r="N33" s="30">
        <f t="shared" si="6"/>
        <v>107.77</v>
      </c>
      <c r="O33" s="30"/>
      <c r="P33" s="30">
        <f>IF($H33=0,ROUND($E33*(P$72/12),2),ROUND($E33*(P$72/12)*$H33,2))</f>
        <v>134.72</v>
      </c>
      <c r="Q33" s="30"/>
      <c r="R33" s="1"/>
      <c r="S33" s="30">
        <f>ROUND(((($I33+$J33+$M33+$P33)*(S$72/12))/27),2)</f>
        <v>4.96</v>
      </c>
      <c r="T33" s="30"/>
      <c r="U33" s="30">
        <f>ROUND(((($I33+$J33+$N33+$P33)*(U$72/12))/27),2)</f>
        <v>8.2</v>
      </c>
      <c r="V33" s="30"/>
      <c r="W33" s="30">
        <f>ROUND(((($I33+$J33+$P33+$L33)/9)*$W$72)+((($I33+$J33+$M33+$P33)/9)*$W$72),2)</f>
        <v>4.75</v>
      </c>
      <c r="X33" s="30"/>
      <c r="Y33" s="30">
        <f t="shared" si="7"/>
        <v>0.77</v>
      </c>
      <c r="Z33" s="30">
        <f>ROUND(((($I33+$J33+$L33+$P33)*(Z$72/12))/27),2)</f>
        <v>2.03</v>
      </c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1"/>
        <v>22</v>
      </c>
      <c r="B34" s="27">
        <f t="shared" si="8"/>
        <v>2688.48</v>
      </c>
      <c r="C34" s="28">
        <v>2706.73</v>
      </c>
      <c r="D34" s="29" t="s">
        <v>41</v>
      </c>
      <c r="E34" s="30">
        <f>C34-B34</f>
        <v>18.25</v>
      </c>
      <c r="F34" s="30">
        <v>1.57</v>
      </c>
      <c r="G34" s="32">
        <f>ROUND((2362.116-12-($F34/2))/2362.116,4)</f>
        <v>0.9946</v>
      </c>
      <c r="H34" s="32">
        <f>ROUND((2362.116-12-($F34))/2362.116,4)</f>
        <v>0.9943</v>
      </c>
      <c r="I34" s="30">
        <f>IF($G34=0,ROUND($E34*$F34,2),ROUND($E34*$F34*$G34,2))</f>
        <v>28.5</v>
      </c>
      <c r="J34" s="30"/>
      <c r="K34" s="30"/>
      <c r="L34" s="30"/>
      <c r="M34" s="30"/>
      <c r="N34" s="30"/>
      <c r="O34" s="30">
        <f>IF($H34=0,ROUND($E34*(O$72/12),2),ROUND($E34*(O$72/12)*$H34,2))</f>
        <v>27.22</v>
      </c>
      <c r="P34" s="30"/>
      <c r="Q34" s="30"/>
      <c r="R34" s="1"/>
      <c r="S34" s="30">
        <f>ROUND(((($I34+$J34+$K34)*(S$72/12))/27),2)</f>
        <v>0.35</v>
      </c>
      <c r="T34" s="30"/>
      <c r="U34" s="30">
        <f>ROUND(((($I34+$J34+$M34+$O34)*(U$72/12))/27),2)</f>
        <v>1.03</v>
      </c>
      <c r="V34" s="30"/>
      <c r="W34" s="30">
        <f>ROUND(((($I34+$J34)/9)*$W$72)+((($I34+$J34+$K34)/9)*$W$72),2)</f>
        <v>0.35</v>
      </c>
      <c r="X34" s="30"/>
      <c r="Y34" s="30">
        <f t="shared" si="7"/>
        <v>0.11</v>
      </c>
      <c r="Z34" s="30">
        <f>ROUND(((($I34+$J34)*(Z$72/12))/27),2)</f>
        <v>0.15</v>
      </c>
      <c r="AA34" s="30"/>
      <c r="AB34" s="30"/>
      <c r="AC34" s="30"/>
      <c r="AD34" s="30">
        <f>IF($H34=0,$E34,ROUND($E34*$H34,2))</f>
        <v>18.15</v>
      </c>
      <c r="AE34" s="30"/>
      <c r="AF34" s="110"/>
      <c r="AG34" s="111"/>
    </row>
    <row r="35" spans="1:33" s="19" customFormat="1" ht="21.75" customHeight="1">
      <c r="A35" s="26">
        <f t="shared" si="1"/>
        <v>23</v>
      </c>
      <c r="B35" s="27">
        <f t="shared" si="8"/>
        <v>2706.73</v>
      </c>
      <c r="C35" s="28">
        <v>2738.16</v>
      </c>
      <c r="D35" s="29" t="s">
        <v>41</v>
      </c>
      <c r="E35" s="30">
        <f>C35-B35</f>
        <v>31.429999999999836</v>
      </c>
      <c r="F35" s="30">
        <v>1.57</v>
      </c>
      <c r="G35" s="32">
        <f>ROUND((2362.116-12-($F35/2))/2362.116,4)</f>
        <v>0.9946</v>
      </c>
      <c r="H35" s="32">
        <f>ROUND((2362.116-12-($F35))/2362.116,4)</f>
        <v>0.9943</v>
      </c>
      <c r="I35" s="30">
        <f>IF($G35=0,ROUND($E35*$F35,2),ROUND($E35*$F35*$G35,2))</f>
        <v>49.08</v>
      </c>
      <c r="J35" s="30"/>
      <c r="K35" s="30">
        <f>IF($H35=0,ROUND($E35*(K$72/12),2),ROUND($E35*(K$72/12)*$H35,2))</f>
        <v>10.42</v>
      </c>
      <c r="L35" s="30"/>
      <c r="M35" s="30">
        <f>IF($H35=0,ROUND($E35*(M$72/12),2),ROUND($E35*(M$72/12)*$H35,2))</f>
        <v>26.04</v>
      </c>
      <c r="N35" s="30"/>
      <c r="O35" s="30"/>
      <c r="P35" s="30"/>
      <c r="Q35" s="30"/>
      <c r="R35" s="1"/>
      <c r="S35" s="30">
        <f>ROUND(((($I35+$J35+$K35)*(S$72/12))/27),2)</f>
        <v>0.73</v>
      </c>
      <c r="T35" s="30"/>
      <c r="U35" s="30">
        <f>ROUND(((($I35+$J35+$M35+$O35)*(U$72/12))/27),2)</f>
        <v>1.39</v>
      </c>
      <c r="V35" s="30"/>
      <c r="W35" s="30">
        <f>ROUND(((($I35+$J35)/9)*$W$72)+((($I35+$J35+$K35)/9)*$W$72),2)</f>
        <v>0.66</v>
      </c>
      <c r="X35" s="30"/>
      <c r="Y35" s="30">
        <f t="shared" si="7"/>
        <v>0.19</v>
      </c>
      <c r="Z35" s="30">
        <f>ROUND(((($I35+$J35)*(Z$72/12))/27),2)</f>
        <v>0.27</v>
      </c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1"/>
        <v>24</v>
      </c>
      <c r="B36" s="27">
        <f t="shared" si="8"/>
        <v>2738.16</v>
      </c>
      <c r="C36" s="28">
        <v>2748.86</v>
      </c>
      <c r="D36" s="29" t="s">
        <v>41</v>
      </c>
      <c r="E36" s="30">
        <f>C36-B36</f>
        <v>10.700000000000273</v>
      </c>
      <c r="F36" s="31">
        <f>ROUND(AVERAGE(2,1.572),2)</f>
        <v>1.79</v>
      </c>
      <c r="G36" s="32">
        <f>ROUND((2362.116-12-($F36/2))/2362.116,4)</f>
        <v>0.9945</v>
      </c>
      <c r="H36" s="32">
        <f>ROUND((2362.116-12-($F36))/2362.116,4)</f>
        <v>0.9942</v>
      </c>
      <c r="I36" s="30">
        <f>IF($G36=0,ROUND($E36*$F36,2),ROUND($E36*$F36*$G36,2))</f>
        <v>19.05</v>
      </c>
      <c r="J36" s="30"/>
      <c r="K36" s="30">
        <f>IF($H36=0,ROUND($E36*(K$72/12),2),ROUND($E36*(K$72/12)*$H36,2))</f>
        <v>3.55</v>
      </c>
      <c r="L36" s="30"/>
      <c r="M36" s="30">
        <f>IF($H36=0,ROUND($E36*(M$72/12),2),ROUND($E36*(M$72/12)*$H36,2))</f>
        <v>8.86</v>
      </c>
      <c r="N36" s="30"/>
      <c r="O36" s="30"/>
      <c r="P36" s="30"/>
      <c r="Q36" s="30"/>
      <c r="R36" s="1"/>
      <c r="S36" s="30">
        <f>ROUND(((($I36+$J36+$K36)*(S$72/12))/27),2)</f>
        <v>0.28</v>
      </c>
      <c r="T36" s="30"/>
      <c r="U36" s="30">
        <f>ROUND(((($I36+$J36+$M36+$O36)*(U$72/12))/27),2)</f>
        <v>0.52</v>
      </c>
      <c r="V36" s="30"/>
      <c r="W36" s="30">
        <f>ROUND(((($I36+$J36)/9)*$W$72)+((($I36+$J36+$K36)/9)*$W$72),2)</f>
        <v>0.25</v>
      </c>
      <c r="X36" s="30"/>
      <c r="Y36" s="30">
        <f t="shared" si="7"/>
        <v>0.07</v>
      </c>
      <c r="Z36" s="30">
        <f>ROUND(((($I36+$J36)*(Z$72/12))/27),2)</f>
        <v>0.1</v>
      </c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1"/>
        <v>25</v>
      </c>
      <c r="B37" s="27">
        <f t="shared" si="8"/>
        <v>2748.86</v>
      </c>
      <c r="C37" s="28">
        <v>2753.5</v>
      </c>
      <c r="D37" s="29" t="s">
        <v>41</v>
      </c>
      <c r="E37" s="30">
        <f>C37-B37</f>
        <v>4.639999999999873</v>
      </c>
      <c r="F37" s="30">
        <v>2</v>
      </c>
      <c r="G37" s="32">
        <f>ROUND((2362.116-12-($F37/2))/2362.116,4)</f>
        <v>0.9945</v>
      </c>
      <c r="H37" s="32">
        <f>ROUND((2362.116-12-($F37))/2362.116,4)</f>
        <v>0.9941</v>
      </c>
      <c r="I37" s="30">
        <f>IF(G37=0,ROUND($E37*$F37,2),ROUND($E37*$F37*$G37,2))</f>
        <v>9.23</v>
      </c>
      <c r="J37" s="30"/>
      <c r="K37" s="30">
        <f>IF($H37=0,ROUND($E37*(K$72/12),2),ROUND($E37*(K$72/12)*$H37,2))</f>
        <v>1.54</v>
      </c>
      <c r="L37" s="30"/>
      <c r="M37" s="30">
        <f>IF($H37=0,ROUND($E37*(M$72/12),2),ROUND($E37*(M$72/12)*$H37,2))</f>
        <v>3.84</v>
      </c>
      <c r="N37" s="30"/>
      <c r="O37" s="30"/>
      <c r="P37" s="30"/>
      <c r="Q37" s="30"/>
      <c r="R37" s="1"/>
      <c r="S37" s="30">
        <f>ROUND(((($I37+$J37+$K37)*(S$72/12))/27),2)</f>
        <v>0.13</v>
      </c>
      <c r="T37" s="30"/>
      <c r="U37" s="30">
        <f>ROUND(((($I37+$J37+$M37+$O37)*(U$72/12))/27),2)</f>
        <v>0.24</v>
      </c>
      <c r="V37" s="30"/>
      <c r="W37" s="30">
        <f>ROUND(((($I37+$J37)/9)*$W$72)+((($I37+$J37+$K37)/9)*$W$72),2)</f>
        <v>0.12</v>
      </c>
      <c r="X37" s="30"/>
      <c r="Y37" s="30">
        <f t="shared" si="7"/>
        <v>0.04</v>
      </c>
      <c r="Z37" s="30">
        <f>ROUND(((($I37+$J37)*(Z$72/12))/27),2)</f>
        <v>0.05</v>
      </c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1"/>
        <v>26</v>
      </c>
      <c r="B38" s="27">
        <f t="shared" si="8"/>
        <v>2753.5</v>
      </c>
      <c r="C38" s="28">
        <v>2770</v>
      </c>
      <c r="D38" s="29" t="s">
        <v>41</v>
      </c>
      <c r="E38" s="30">
        <f>C38-B38</f>
        <v>16.5</v>
      </c>
      <c r="F38" s="30">
        <v>2</v>
      </c>
      <c r="G38" s="32">
        <f>ROUND((2362.116-11.86-($F38/2))/2362.116,4)</f>
        <v>0.9946</v>
      </c>
      <c r="H38" s="32">
        <f>ROUND((2362.116-11.86-($F38))/2362.116,4)</f>
        <v>0.9941</v>
      </c>
      <c r="I38" s="30">
        <f>IF(G38=0,ROUND($E38*$F38,2),ROUND($E38*$F38*$G38,2))</f>
        <v>32.82</v>
      </c>
      <c r="J38" s="30"/>
      <c r="K38" s="30">
        <f>IF($H38=0,ROUND($E38*(K$72/12),2),ROUND($E38*(K$72/12)*$H38,2))</f>
        <v>5.47</v>
      </c>
      <c r="L38" s="30"/>
      <c r="M38" s="30">
        <f>IF($H38=0,ROUND($E38*(M$72/12),2),ROUND($E38*(M$72/12)*$H38,2))</f>
        <v>13.67</v>
      </c>
      <c r="N38" s="30"/>
      <c r="O38" s="30"/>
      <c r="P38" s="30"/>
      <c r="Q38" s="30"/>
      <c r="R38" s="1"/>
      <c r="S38" s="30">
        <f>ROUND(((($I38+$J38+$K38)*(S$72/12))/27),2)</f>
        <v>0.47</v>
      </c>
      <c r="T38" s="30"/>
      <c r="U38" s="30">
        <f>ROUND(((($I38+$J38+$M38+$O38)*(U$72/12))/27),2)</f>
        <v>0.86</v>
      </c>
      <c r="V38" s="30"/>
      <c r="W38" s="30">
        <f>ROUND(((($I38+$J38)/9)*$W$72)+((($I38+$J38+$K38)/9)*$W$72),2)</f>
        <v>0.43</v>
      </c>
      <c r="X38" s="30"/>
      <c r="Y38" s="30">
        <f t="shared" si="7"/>
        <v>0.13</v>
      </c>
      <c r="Z38" s="30">
        <f>ROUND(((($I38+$J38)*(Z$72/12))/27),2)</f>
        <v>0.18</v>
      </c>
      <c r="AA38" s="30"/>
      <c r="AB38" s="30"/>
      <c r="AC38" s="93"/>
      <c r="AD38" s="30"/>
      <c r="AE38" s="30"/>
      <c r="AF38" s="110"/>
      <c r="AG38" s="111"/>
    </row>
    <row r="39" spans="1:33" s="19" customFormat="1" ht="21.75" customHeight="1">
      <c r="A39" s="26">
        <f t="shared" si="1"/>
        <v>27</v>
      </c>
      <c r="B39" s="33"/>
      <c r="C39" s="55"/>
      <c r="D39" s="29"/>
      <c r="E39" s="30"/>
      <c r="F39" s="69"/>
      <c r="G39" s="32"/>
      <c r="H39" s="30"/>
      <c r="I39" s="67"/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1"/>
        <v>28</v>
      </c>
      <c r="B40" s="27">
        <v>2450</v>
      </c>
      <c r="C40" s="28">
        <v>2503.51</v>
      </c>
      <c r="D40" s="29" t="s">
        <v>37</v>
      </c>
      <c r="E40" s="30">
        <f aca="true" t="shared" si="9" ref="E40:E47">C40-B40</f>
        <v>53.51000000000022</v>
      </c>
      <c r="F40" s="31">
        <v>4</v>
      </c>
      <c r="G40" s="32"/>
      <c r="H40" s="30"/>
      <c r="I40" s="30">
        <f>IF(G40=0,ROUND($E40*$F40,2),ROUND($E40*$F40*$G40,2))</f>
        <v>214.04</v>
      </c>
      <c r="J40" s="30"/>
      <c r="K40" s="30">
        <f>IF($H40=0,ROUND($E40*(K$72/12),2),ROUND($E40*(K$72/12)*$H40,2))</f>
        <v>17.84</v>
      </c>
      <c r="L40" s="30"/>
      <c r="M40" s="30">
        <f>IF($H40=0,ROUND($E40*(M$72/12),2),ROUND($E40*(M$72/12)*$H40,2))</f>
        <v>44.59</v>
      </c>
      <c r="N40" s="30"/>
      <c r="O40" s="30"/>
      <c r="P40" s="30"/>
      <c r="Q40" s="30"/>
      <c r="R40" s="1"/>
      <c r="S40" s="30">
        <f>ROUND(((($I40+$J40+$K40)*(S$72/12))/27),2)</f>
        <v>2.86</v>
      </c>
      <c r="T40" s="30"/>
      <c r="U40" s="30">
        <f>ROUND(((($I40+$J40+$M40+$O40)*(U$72/12))/27),2)</f>
        <v>4.79</v>
      </c>
      <c r="V40" s="30"/>
      <c r="W40" s="30">
        <f>ROUND(((($I40+$J40)/9)*$W$72)+((($I40+$J40+$K40)/9)*$W$72),2)</f>
        <v>2.73</v>
      </c>
      <c r="X40" s="30"/>
      <c r="Y40" s="30">
        <f aca="true" t="shared" si="10" ref="Y40:Z42">ROUND(((($I40+$J40)*(Y$72/12))/27),2)</f>
        <v>0.83</v>
      </c>
      <c r="Z40" s="30">
        <f t="shared" si="10"/>
        <v>1.16</v>
      </c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1"/>
        <v>29</v>
      </c>
      <c r="B41" s="27">
        <f aca="true" t="shared" si="11" ref="B41:B47">C40</f>
        <v>2503.51</v>
      </c>
      <c r="C41" s="28">
        <v>2513.44</v>
      </c>
      <c r="D41" s="29" t="s">
        <v>37</v>
      </c>
      <c r="E41" s="30">
        <f t="shared" si="9"/>
        <v>9.929999999999836</v>
      </c>
      <c r="F41" s="31">
        <f>ROUND(AVERAGE(4,5.985),2)</f>
        <v>4.99</v>
      </c>
      <c r="G41" s="32"/>
      <c r="H41" s="30"/>
      <c r="I41" s="30">
        <f>IF(G41=0,ROUND($E41*$F41,2),ROUND($E41*$F41*$G41,2))</f>
        <v>49.55</v>
      </c>
      <c r="J41" s="30"/>
      <c r="K41" s="30">
        <f>IF($H41=0,ROUND($E41*(K$72/12),2),ROUND($E41*(K$72/12)*$H41,2))</f>
        <v>3.31</v>
      </c>
      <c r="L41" s="30"/>
      <c r="M41" s="30">
        <f>IF($H41=0,ROUND($E41*(M$72/12),2),ROUND($E41*(M$72/12)*$H41,2))</f>
        <v>8.27</v>
      </c>
      <c r="N41" s="30"/>
      <c r="O41" s="30"/>
      <c r="P41" s="30"/>
      <c r="Q41" s="30"/>
      <c r="R41" s="1"/>
      <c r="S41" s="30">
        <f>ROUND(((($I41+$J41+$K41)*(S$72/12))/27),2)</f>
        <v>0.65</v>
      </c>
      <c r="T41" s="30"/>
      <c r="U41" s="30">
        <f>ROUND(((($I41+$J41+$M41+$O41)*(U$72/12))/27),2)</f>
        <v>1.07</v>
      </c>
      <c r="V41" s="30"/>
      <c r="W41" s="30">
        <f>ROUND(((($I41+$J41)/9)*$W$72)+((($I41+$J41+$K41)/9)*$W$72),2)</f>
        <v>0.63</v>
      </c>
      <c r="X41" s="30"/>
      <c r="Y41" s="30">
        <f t="shared" si="10"/>
        <v>0.19</v>
      </c>
      <c r="Z41" s="30">
        <f t="shared" si="10"/>
        <v>0.27</v>
      </c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1"/>
        <v>30</v>
      </c>
      <c r="B42" s="27">
        <f t="shared" si="11"/>
        <v>2513.44</v>
      </c>
      <c r="C42" s="28">
        <v>2531.58</v>
      </c>
      <c r="D42" s="29" t="s">
        <v>37</v>
      </c>
      <c r="E42" s="30">
        <f t="shared" si="9"/>
        <v>18.139999999999873</v>
      </c>
      <c r="F42" s="31">
        <v>5.99</v>
      </c>
      <c r="G42" s="32"/>
      <c r="H42" s="30"/>
      <c r="I42" s="30">
        <f>IF(G42=0,ROUND($E42*$F42,2),ROUND($E42*$F42*$G42,2))</f>
        <v>108.66</v>
      </c>
      <c r="J42" s="30"/>
      <c r="K42" s="30"/>
      <c r="L42" s="30"/>
      <c r="M42" s="30"/>
      <c r="N42" s="30"/>
      <c r="O42" s="30">
        <f>IF($H42=0,ROUND($E42*(O$72/12),2),ROUND($E42*(O$72/12)*$H42,2))</f>
        <v>27.21</v>
      </c>
      <c r="P42" s="30"/>
      <c r="Q42" s="30"/>
      <c r="R42" s="1"/>
      <c r="S42" s="30">
        <f>ROUND(((($I42+$J42+$K42)*(S$72/12))/27),2)</f>
        <v>1.34</v>
      </c>
      <c r="T42" s="30"/>
      <c r="U42" s="30">
        <f>ROUND(((($I42+$J42+$M42+$O42)*(U$72/12))/27),2)</f>
        <v>2.52</v>
      </c>
      <c r="V42" s="30"/>
      <c r="W42" s="30">
        <f>ROUND(((($I42+$J42)/9)*$W$72)+((($I42+$J42+$K42)/9)*$W$72),2)</f>
        <v>1.33</v>
      </c>
      <c r="X42" s="30"/>
      <c r="Y42" s="30">
        <f t="shared" si="10"/>
        <v>0.42</v>
      </c>
      <c r="Z42" s="30">
        <f t="shared" si="10"/>
        <v>0.59</v>
      </c>
      <c r="AA42" s="30"/>
      <c r="AB42" s="30"/>
      <c r="AC42" s="30"/>
      <c r="AD42" s="30">
        <f>IF($H42=0,$E42,ROUND($E42*$H42,2))</f>
        <v>18.139999999999873</v>
      </c>
      <c r="AE42" s="30"/>
      <c r="AF42" s="110"/>
      <c r="AG42" s="111"/>
    </row>
    <row r="43" spans="1:33" s="19" customFormat="1" ht="21.75" customHeight="1">
      <c r="A43" s="26">
        <f t="shared" si="1"/>
        <v>31</v>
      </c>
      <c r="B43" s="27">
        <f t="shared" si="11"/>
        <v>2531.58</v>
      </c>
      <c r="C43" s="28">
        <v>2607.65</v>
      </c>
      <c r="D43" s="29" t="s">
        <v>37</v>
      </c>
      <c r="E43" s="30">
        <f t="shared" si="9"/>
        <v>76.07000000000016</v>
      </c>
      <c r="F43" s="31">
        <v>5.99</v>
      </c>
      <c r="G43" s="32"/>
      <c r="H43" s="30"/>
      <c r="I43" s="30">
        <f>IF(G43=0,ROUND($E43*$F43,2),ROUND($E43*$F43*$G43,2))</f>
        <v>455.66</v>
      </c>
      <c r="J43" s="30"/>
      <c r="K43" s="30"/>
      <c r="L43" s="30">
        <f aca="true" t="shared" si="12" ref="L43:N47">IF($H43=0,ROUND($E43*(L$72/12),2),ROUND($E43*(L$72/12)*$H43,2))</f>
        <v>38.04</v>
      </c>
      <c r="M43" s="30">
        <f t="shared" si="12"/>
        <v>63.39</v>
      </c>
      <c r="N43" s="30">
        <f t="shared" si="12"/>
        <v>101.43</v>
      </c>
      <c r="O43" s="30"/>
      <c r="P43" s="30">
        <f>IF($H43=0,ROUND($E43*(P$72/12),2),ROUND($E43*(P$72/12)*$H43,2))</f>
        <v>126.78</v>
      </c>
      <c r="Q43" s="30"/>
      <c r="R43" s="1"/>
      <c r="S43" s="30">
        <f>ROUND(((($I43+$J43+$M43+$P43)*(S$72/12))/27),2)</f>
        <v>7.97</v>
      </c>
      <c r="T43" s="30"/>
      <c r="U43" s="30">
        <f>ROUND(((($I43+$J43+$N43+$P43)*(U$72/12))/27),2)</f>
        <v>12.66</v>
      </c>
      <c r="V43" s="30"/>
      <c r="W43" s="30">
        <f>ROUND(((($I43+$J43+$P43+$L43)/9)*$W$72)+((($I43+$J43+$M43+$P43)/9)*$W$72),2)</f>
        <v>7.74</v>
      </c>
      <c r="X43" s="30"/>
      <c r="Y43" s="30">
        <f>ROUND(((($I43+$J43)*(Y$72/12))/27),2)</f>
        <v>1.76</v>
      </c>
      <c r="Z43" s="30">
        <f>ROUND(((($I43+$J43+$L43+$P43)*(Z$72/12))/27),2)</f>
        <v>3.35</v>
      </c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1"/>
        <v>32</v>
      </c>
      <c r="B44" s="27">
        <f t="shared" si="11"/>
        <v>2607.65</v>
      </c>
      <c r="C44" s="28">
        <v>2698.84</v>
      </c>
      <c r="D44" s="29" t="s">
        <v>37</v>
      </c>
      <c r="E44" s="30">
        <f t="shared" si="9"/>
        <v>91.19000000000005</v>
      </c>
      <c r="F44" s="138" t="s">
        <v>40</v>
      </c>
      <c r="G44" s="139"/>
      <c r="H44" s="139"/>
      <c r="I44" s="140"/>
      <c r="J44" s="30">
        <v>603.61</v>
      </c>
      <c r="K44" s="30"/>
      <c r="L44" s="30">
        <f t="shared" si="12"/>
        <v>45.6</v>
      </c>
      <c r="M44" s="30">
        <f t="shared" si="12"/>
        <v>75.99</v>
      </c>
      <c r="N44" s="30">
        <f t="shared" si="12"/>
        <v>121.59</v>
      </c>
      <c r="O44" s="30"/>
      <c r="P44" s="30">
        <f>IF($H44=0,ROUND($E44*(P$72/12),2),ROUND($E44*(P$72/12)*$H44,2))</f>
        <v>151.98</v>
      </c>
      <c r="Q44" s="30"/>
      <c r="R44" s="1"/>
      <c r="S44" s="30">
        <f>ROUND(((($I44+$J44+$M44+$P44)*(S$72/12))/27),2)</f>
        <v>10.27</v>
      </c>
      <c r="T44" s="30"/>
      <c r="U44" s="30">
        <f>ROUND(((($I44+$J44+$N44+$P44)*(U$72/12))/27),2)</f>
        <v>16.24</v>
      </c>
      <c r="V44" s="30"/>
      <c r="W44" s="30">
        <f>ROUND(((($I44+$J44+$P44+$L44)/9)*$W$72)+((($I44+$J44+$M44+$P44)/9)*$W$72),2)</f>
        <v>9.98</v>
      </c>
      <c r="X44" s="30"/>
      <c r="Y44" s="30">
        <f>ROUND(((($I44+$J44)*(Y$72/12))/27),2)</f>
        <v>2.33</v>
      </c>
      <c r="Z44" s="30">
        <f>ROUND(((($I44+$J44+$L44+$P44)*(Z$72/12))/27),2)</f>
        <v>4.33</v>
      </c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1"/>
        <v>33</v>
      </c>
      <c r="B45" s="27">
        <f t="shared" si="11"/>
        <v>2698.84</v>
      </c>
      <c r="C45" s="28">
        <v>2716.82</v>
      </c>
      <c r="D45" s="29" t="s">
        <v>37</v>
      </c>
      <c r="E45" s="30">
        <f t="shared" si="9"/>
        <v>17.980000000000018</v>
      </c>
      <c r="F45" s="31">
        <f>ROUND(AVERAGE(7.76,8.529),2)</f>
        <v>8.14</v>
      </c>
      <c r="G45" s="32">
        <f>ROUND((2362.116+12+($F45/2))/2362.116,4)</f>
        <v>1.0068</v>
      </c>
      <c r="H45" s="32">
        <f>ROUND((2362.116+12+($F45))/2362.116,4)</f>
        <v>1.0085</v>
      </c>
      <c r="I45" s="30">
        <f>IF(G45=0,ROUND($E45*$F45,2),ROUND($E45*$F45*$G45,2))</f>
        <v>147.35</v>
      </c>
      <c r="J45" s="30"/>
      <c r="K45" s="30"/>
      <c r="L45" s="30"/>
      <c r="M45" s="30"/>
      <c r="N45" s="30"/>
      <c r="O45" s="30">
        <f>IF($H45=0,ROUND($E45*(O$72/12),2),ROUND($E45*(O$72/12)*$H45,2))</f>
        <v>27.2</v>
      </c>
      <c r="P45" s="30"/>
      <c r="Q45" s="30"/>
      <c r="R45" s="1"/>
      <c r="S45" s="30">
        <f>ROUND(((($I45+$J45+$K45)*(S$72/12))/27),2)</f>
        <v>1.82</v>
      </c>
      <c r="T45" s="30"/>
      <c r="U45" s="30">
        <f>ROUND(((($I45+$J45+$M45+$O45)*(U$72/12))/27),2)</f>
        <v>3.23</v>
      </c>
      <c r="V45" s="30"/>
      <c r="W45" s="30">
        <f>ROUND(((($I45+$J45)/9)*$W$72)+((($I45+$J45+$K45)/9)*$W$72),2)</f>
        <v>1.8</v>
      </c>
      <c r="X45" s="30"/>
      <c r="Y45" s="30">
        <f>ROUND(((($I45+$J45)*(Y$72/12))/27),2)</f>
        <v>0.57</v>
      </c>
      <c r="Z45" s="30">
        <f>ROUND(((($I45+$J45)*(Z$72/12))/27),2)</f>
        <v>0.8</v>
      </c>
      <c r="AA45" s="30"/>
      <c r="AB45" s="30"/>
      <c r="AC45" s="30"/>
      <c r="AD45" s="30">
        <f>IF($H45=0,$E45,ROUND($E45*$H45,2))</f>
        <v>18.13</v>
      </c>
      <c r="AE45" s="30"/>
      <c r="AF45" s="110"/>
      <c r="AG45" s="111"/>
    </row>
    <row r="46" spans="1:33" s="19" customFormat="1" ht="21.75" customHeight="1">
      <c r="A46" s="26">
        <f t="shared" si="1"/>
        <v>34</v>
      </c>
      <c r="B46" s="27">
        <f t="shared" si="11"/>
        <v>2716.82</v>
      </c>
      <c r="C46" s="28">
        <v>2753.5</v>
      </c>
      <c r="D46" s="29" t="s">
        <v>37</v>
      </c>
      <c r="E46" s="30">
        <f t="shared" si="9"/>
        <v>36.679999999999836</v>
      </c>
      <c r="F46" s="31">
        <f>ROUND(AVERAGE(7.062,8.529),2)</f>
        <v>7.8</v>
      </c>
      <c r="G46" s="32">
        <f>ROUND((2362.116+12+($F46/2))/2362.116,4)</f>
        <v>1.0067</v>
      </c>
      <c r="H46" s="32">
        <f>ROUND((2362.116+12+($F46))/2362.116,4)</f>
        <v>1.0084</v>
      </c>
      <c r="I46" s="30">
        <f>IF(G46=0,ROUND($E46*$F46,2),ROUND($E46*$F46*$G46,2))</f>
        <v>288.02</v>
      </c>
      <c r="J46" s="30"/>
      <c r="K46" s="30">
        <f>IF($H46=0,ROUND($E46*(K$72/12),2),ROUND($E46*(K$72/12)*$H46,2))</f>
        <v>12.33</v>
      </c>
      <c r="L46" s="30"/>
      <c r="M46" s="30">
        <f t="shared" si="12"/>
        <v>30.82</v>
      </c>
      <c r="N46" s="30"/>
      <c r="O46" s="30"/>
      <c r="P46" s="30"/>
      <c r="Q46" s="30"/>
      <c r="R46" s="1"/>
      <c r="S46" s="30">
        <f>ROUND(((($I46+$J46+$K46)*(S$72/12))/27),2)</f>
        <v>3.71</v>
      </c>
      <c r="T46" s="30"/>
      <c r="U46" s="30">
        <f>ROUND(((($I46+$J46+$M46+$O46)*(U$72/12))/27),2)</f>
        <v>5.9</v>
      </c>
      <c r="V46" s="30"/>
      <c r="W46" s="30">
        <f>ROUND(((($I46+$J46)/9)*$W$72)+((($I46+$J46+$K46)/9)*$W$72),2)</f>
        <v>3.6</v>
      </c>
      <c r="X46" s="30"/>
      <c r="Y46" s="30">
        <f>ROUND(((($I46+$J46)*(Y$72/12))/27),2)</f>
        <v>1.11</v>
      </c>
      <c r="Z46" s="30">
        <f>ROUND(((($I46+$J46)*(Z$72/12))/27),2)</f>
        <v>1.56</v>
      </c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1"/>
        <v>35</v>
      </c>
      <c r="B47" s="27">
        <f t="shared" si="11"/>
        <v>2753.5</v>
      </c>
      <c r="C47" s="28">
        <v>2770</v>
      </c>
      <c r="D47" s="29" t="s">
        <v>37</v>
      </c>
      <c r="E47" s="30">
        <f t="shared" si="9"/>
        <v>16.5</v>
      </c>
      <c r="F47" s="31">
        <f>ROUND(AVERAGE(7.062,6.402),2)</f>
        <v>6.73</v>
      </c>
      <c r="G47" s="32">
        <f>ROUND((2362.116+11.76+($F47/2))/2362.116,4)</f>
        <v>1.0064</v>
      </c>
      <c r="H47" s="32">
        <f>ROUND((2362.116+11.76+($F47))/2362.116,4)</f>
        <v>1.0078</v>
      </c>
      <c r="I47" s="30">
        <f>IF(G47=0,ROUND($E47*$F47,2),ROUND($E47*$F47*$G47,2))</f>
        <v>111.76</v>
      </c>
      <c r="J47" s="30"/>
      <c r="K47" s="30">
        <f>IF($H47=0,ROUND($E47*(K$72/12),2),ROUND($E47*(K$72/12)*$H47,2))</f>
        <v>5.54</v>
      </c>
      <c r="L47" s="30"/>
      <c r="M47" s="30">
        <f t="shared" si="12"/>
        <v>13.86</v>
      </c>
      <c r="N47" s="30"/>
      <c r="O47" s="30"/>
      <c r="P47" s="30"/>
      <c r="Q47" s="30"/>
      <c r="R47" s="30"/>
      <c r="S47" s="30">
        <f>ROUND(((($I47+$J47+$K47)*(S$72/12))/27),2)</f>
        <v>1.45</v>
      </c>
      <c r="T47" s="30"/>
      <c r="U47" s="30">
        <f>ROUND(((($I47+$J47+$M47+$O47)*(U$72/12))/27),2)</f>
        <v>2.33</v>
      </c>
      <c r="V47" s="30"/>
      <c r="W47" s="30">
        <f>ROUND(((($I47+$J47)/9)*$W$72)+((($I47+$J47+$K47)/9)*$W$72),2)</f>
        <v>1.4</v>
      </c>
      <c r="X47" s="30"/>
      <c r="Y47" s="30">
        <f>ROUND(((($I47+$J47)*(Y$72/12))/27),2)</f>
        <v>0.43</v>
      </c>
      <c r="Z47" s="30">
        <f>ROUND(((($I47+$J47)*(Z$72/12))/27),2)</f>
        <v>0.6</v>
      </c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1"/>
        <v>36</v>
      </c>
      <c r="B48" s="27"/>
      <c r="C48" s="28"/>
      <c r="D48" s="29"/>
      <c r="E48" s="30"/>
      <c r="F48" s="31"/>
      <c r="G48" s="32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1"/>
        <v>37</v>
      </c>
      <c r="B49" s="27"/>
      <c r="C49" s="28"/>
      <c r="D49" s="29"/>
      <c r="E49" s="30"/>
      <c r="F49" s="31"/>
      <c r="G49" s="32"/>
      <c r="H49" s="30"/>
      <c r="I49" s="30"/>
      <c r="J49" s="30"/>
      <c r="K49" s="56"/>
      <c r="L49" s="30"/>
      <c r="M49" s="30"/>
      <c r="N49" s="30"/>
      <c r="O49" s="30"/>
      <c r="P49" s="30"/>
      <c r="Q49" s="56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1"/>
        <v>38</v>
      </c>
      <c r="B50" s="27"/>
      <c r="C50" s="28"/>
      <c r="D50" s="29"/>
      <c r="E50" s="30"/>
      <c r="F50" s="31"/>
      <c r="G50" s="32"/>
      <c r="H50" s="30"/>
      <c r="I50" s="30"/>
      <c r="J50" s="30"/>
      <c r="K50" s="56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1"/>
        <v>39</v>
      </c>
      <c r="B51" s="27"/>
      <c r="C51" s="28"/>
      <c r="D51" s="29"/>
      <c r="E51" s="30"/>
      <c r="F51" s="31"/>
      <c r="G51" s="32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1"/>
        <v>40</v>
      </c>
      <c r="B52" s="27"/>
      <c r="C52" s="28"/>
      <c r="D52" s="29"/>
      <c r="E52" s="30"/>
      <c r="F52" s="31"/>
      <c r="G52" s="3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1"/>
        <v>41</v>
      </c>
      <c r="B53" s="27"/>
      <c r="C53" s="28"/>
      <c r="D53" s="29"/>
      <c r="E53" s="30"/>
      <c r="F53" s="31"/>
      <c r="G53" s="3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1"/>
        <v>42</v>
      </c>
      <c r="B54" s="27"/>
      <c r="C54" s="28"/>
      <c r="D54" s="29"/>
      <c r="E54" s="30"/>
      <c r="F54" s="31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1"/>
        <v>43</v>
      </c>
      <c r="B55" s="27"/>
      <c r="C55" s="28"/>
      <c r="D55" s="29"/>
      <c r="E55" s="30"/>
      <c r="F55" s="31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1"/>
        <v>44</v>
      </c>
      <c r="B56" s="27"/>
      <c r="C56" s="28"/>
      <c r="D56" s="29"/>
      <c r="E56" s="30"/>
      <c r="F56" s="31"/>
      <c r="G56" s="3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1"/>
        <v>45</v>
      </c>
      <c r="B57" s="33"/>
      <c r="C57" s="28"/>
      <c r="D57" s="29"/>
      <c r="E57" s="30"/>
      <c r="F57" s="31"/>
      <c r="G57" s="3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1"/>
        <v>46</v>
      </c>
      <c r="B58" s="27"/>
      <c r="C58" s="28"/>
      <c r="D58" s="29"/>
      <c r="E58" s="30"/>
      <c r="F58" s="31"/>
      <c r="G58" s="3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1"/>
        <v>47</v>
      </c>
      <c r="B59" s="27"/>
      <c r="C59" s="28"/>
      <c r="D59" s="29"/>
      <c r="E59" s="30"/>
      <c r="F59" s="31"/>
      <c r="G59" s="32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1"/>
        <v>48</v>
      </c>
      <c r="B60" s="27"/>
      <c r="C60" s="28"/>
      <c r="D60" s="29"/>
      <c r="E60" s="30"/>
      <c r="F60" s="31"/>
      <c r="G60" s="32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39" customFormat="1" ht="21.75" customHeight="1">
      <c r="A61" s="26">
        <f t="shared" si="1"/>
        <v>49</v>
      </c>
      <c r="B61" s="27"/>
      <c r="C61" s="28"/>
      <c r="D61" s="29"/>
      <c r="E61" s="30"/>
      <c r="F61" s="31"/>
      <c r="G61" s="32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1"/>
        <v>50</v>
      </c>
      <c r="B62" s="27"/>
      <c r="C62" s="28"/>
      <c r="D62" s="29"/>
      <c r="E62" s="30"/>
      <c r="F62" s="69"/>
      <c r="G62" s="32"/>
      <c r="H62" s="30"/>
      <c r="I62" s="67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1"/>
        <v>51</v>
      </c>
      <c r="B63" s="27"/>
      <c r="C63" s="28"/>
      <c r="D63" s="29"/>
      <c r="E63" s="30"/>
      <c r="F63" s="31"/>
      <c r="G63" s="3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1"/>
        <v>52</v>
      </c>
      <c r="B64" s="27"/>
      <c r="C64" s="28"/>
      <c r="D64" s="29"/>
      <c r="E64" s="30"/>
      <c r="F64" s="31"/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1"/>
        <v>53</v>
      </c>
      <c r="B65" s="27"/>
      <c r="C65" s="28"/>
      <c r="D65" s="29"/>
      <c r="E65" s="30"/>
      <c r="F65" s="3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1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 aca="true" t="shared" si="13" ref="R67:AE67">IF(SUM(R13:R66)=0," ",ROUNDUP(SUM(R13:R66),0))</f>
        <v> </v>
      </c>
      <c r="S67" s="125">
        <f t="shared" si="13"/>
        <v>141</v>
      </c>
      <c r="T67" s="125" t="str">
        <f t="shared" si="13"/>
        <v> </v>
      </c>
      <c r="U67" s="125">
        <f t="shared" si="13"/>
        <v>218</v>
      </c>
      <c r="V67" s="125" t="str">
        <f t="shared" si="13"/>
        <v> </v>
      </c>
      <c r="W67" s="125">
        <f t="shared" si="13"/>
        <v>138</v>
      </c>
      <c r="X67" s="125" t="str">
        <f t="shared" si="13"/>
        <v> </v>
      </c>
      <c r="Y67" s="125">
        <f t="shared" si="13"/>
        <v>41</v>
      </c>
      <c r="Z67" s="125">
        <f t="shared" si="13"/>
        <v>61</v>
      </c>
      <c r="AA67" s="125" t="str">
        <f t="shared" si="13"/>
        <v> </v>
      </c>
      <c r="AB67" s="125" t="str">
        <f t="shared" si="13"/>
        <v> </v>
      </c>
      <c r="AC67" s="125" t="str">
        <f t="shared" si="13"/>
        <v> </v>
      </c>
      <c r="AD67" s="125">
        <f t="shared" si="13"/>
        <v>73</v>
      </c>
      <c r="AE67" s="125" t="str">
        <f t="shared" si="13"/>
        <v> </v>
      </c>
      <c r="AF67" s="145">
        <v>5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8"/>
      <c r="I72" s="57"/>
      <c r="J72" s="57"/>
      <c r="K72" s="57">
        <v>4</v>
      </c>
      <c r="L72" s="57">
        <v>6</v>
      </c>
      <c r="M72" s="57">
        <v>10</v>
      </c>
      <c r="N72" s="57">
        <v>16</v>
      </c>
      <c r="O72" s="57">
        <v>18</v>
      </c>
      <c r="P72" s="57">
        <v>20</v>
      </c>
      <c r="Q72" s="57">
        <v>22</v>
      </c>
      <c r="R72" s="57"/>
      <c r="S72" s="57">
        <v>4</v>
      </c>
      <c r="T72" s="57">
        <v>8</v>
      </c>
      <c r="U72" s="58">
        <v>6</v>
      </c>
      <c r="V72" s="59">
        <v>0.055</v>
      </c>
      <c r="W72" s="59">
        <v>0.055</v>
      </c>
      <c r="X72" s="59"/>
      <c r="Y72" s="59">
        <v>1.25</v>
      </c>
      <c r="Z72" s="58">
        <v>1.75</v>
      </c>
      <c r="AA72" s="58">
        <v>1.5</v>
      </c>
      <c r="AB72" s="58">
        <v>1.75</v>
      </c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>
        <f>T72/2</f>
        <v>4</v>
      </c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141"/>
      <c r="L74" s="142"/>
      <c r="M74" s="142"/>
      <c r="N74" s="142"/>
      <c r="O74" s="142"/>
      <c r="P74" s="142"/>
      <c r="Q74" s="142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4">
    <mergeCell ref="F44:I44"/>
    <mergeCell ref="F33:I33"/>
    <mergeCell ref="B67:Q68"/>
    <mergeCell ref="B14:I14"/>
    <mergeCell ref="W67:W68"/>
    <mergeCell ref="X67:X68"/>
    <mergeCell ref="W4:W11"/>
    <mergeCell ref="X4:X11"/>
    <mergeCell ref="Y4:Y11"/>
    <mergeCell ref="S4:S11"/>
    <mergeCell ref="S67:S68"/>
    <mergeCell ref="K74:Q74"/>
    <mergeCell ref="R4:R11"/>
    <mergeCell ref="T4:T11"/>
    <mergeCell ref="U4:U11"/>
    <mergeCell ref="Q3:Q11"/>
    <mergeCell ref="Z4:Z11"/>
    <mergeCell ref="AA4:AA11"/>
    <mergeCell ref="AE4:AE11"/>
    <mergeCell ref="AD4:AD11"/>
    <mergeCell ref="I3:I11"/>
    <mergeCell ref="Z67:Z68"/>
    <mergeCell ref="R67:R68"/>
    <mergeCell ref="T67:T68"/>
    <mergeCell ref="U67:U68"/>
    <mergeCell ref="N3:N11"/>
    <mergeCell ref="AE67:AE68"/>
    <mergeCell ref="AA67:AA68"/>
    <mergeCell ref="AC4:AC11"/>
    <mergeCell ref="AB67:AB68"/>
    <mergeCell ref="AC67:AC68"/>
    <mergeCell ref="AD67:AD68"/>
    <mergeCell ref="AF67:AG67"/>
    <mergeCell ref="AF68:AG68"/>
    <mergeCell ref="AF51:AG66"/>
    <mergeCell ref="AF6:AG50"/>
    <mergeCell ref="AB4:AB11"/>
    <mergeCell ref="V67:V68"/>
    <mergeCell ref="AF3:AF5"/>
    <mergeCell ref="AG3:AG5"/>
    <mergeCell ref="Y67:Y68"/>
    <mergeCell ref="V4:V11"/>
    <mergeCell ref="J3:J11"/>
    <mergeCell ref="K3:K11"/>
    <mergeCell ref="L3:L11"/>
    <mergeCell ref="M3:M11"/>
    <mergeCell ref="O3:O11"/>
    <mergeCell ref="P3:P11"/>
    <mergeCell ref="B3:C11"/>
    <mergeCell ref="D3:D11"/>
    <mergeCell ref="E3:E11"/>
    <mergeCell ref="F3:F11"/>
    <mergeCell ref="G3:G11"/>
    <mergeCell ref="H3:H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N20" sqref="N20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>
        <v>209</v>
      </c>
      <c r="U3" s="50"/>
      <c r="V3" s="76">
        <v>441</v>
      </c>
      <c r="W3" s="50"/>
      <c r="X3" s="50"/>
      <c r="Y3" s="50"/>
      <c r="Z3" s="50"/>
      <c r="AA3" s="50"/>
      <c r="AB3" s="50"/>
      <c r="AC3" s="50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 t="s">
        <v>72</v>
      </c>
      <c r="U4" s="99"/>
      <c r="V4" s="147" t="s">
        <v>73</v>
      </c>
      <c r="W4" s="99"/>
      <c r="X4" s="99"/>
      <c r="Y4" s="102"/>
      <c r="Z4" s="99"/>
      <c r="AA4" s="102"/>
      <c r="AB4" s="102"/>
      <c r="AC4" s="99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0"/>
      <c r="Y5" s="103"/>
      <c r="Z5" s="100"/>
      <c r="AA5" s="103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0"/>
      <c r="Y6" s="103"/>
      <c r="Z6" s="100"/>
      <c r="AA6" s="103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0"/>
      <c r="Y7" s="103"/>
      <c r="Z7" s="100"/>
      <c r="AA7" s="103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0"/>
      <c r="Y8" s="103"/>
      <c r="Z8" s="100"/>
      <c r="AA8" s="103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0"/>
      <c r="Y9" s="103"/>
      <c r="Z9" s="100"/>
      <c r="AA9" s="103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0"/>
      <c r="Y10" s="103"/>
      <c r="Z10" s="100"/>
      <c r="AA10" s="103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1"/>
      <c r="Y11" s="104"/>
      <c r="Z11" s="101"/>
      <c r="AA11" s="104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25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 t="s">
        <v>74</v>
      </c>
      <c r="U12" s="52"/>
      <c r="V12" s="77" t="s">
        <v>34</v>
      </c>
      <c r="W12" s="52"/>
      <c r="X12" s="52"/>
      <c r="Y12" s="52"/>
      <c r="Z12" s="52"/>
      <c r="AA12" s="52"/>
      <c r="AB12" s="52"/>
      <c r="AC12" s="52"/>
      <c r="AD12" s="25"/>
      <c r="AE12" s="25"/>
      <c r="AF12" s="110"/>
      <c r="AG12" s="111"/>
    </row>
    <row r="13" spans="1:33" s="23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94"/>
      <c r="K13" s="94"/>
      <c r="L13" s="94"/>
      <c r="M13" s="94"/>
      <c r="N13" s="94"/>
      <c r="O13" s="94"/>
      <c r="P13" s="94"/>
      <c r="Q13" s="94"/>
      <c r="R13" s="95"/>
      <c r="S13" s="95"/>
      <c r="T13" s="96"/>
      <c r="U13" s="95"/>
      <c r="V13" s="96"/>
      <c r="W13" s="95"/>
      <c r="X13" s="95"/>
      <c r="Y13" s="95"/>
      <c r="Z13" s="95"/>
      <c r="AA13" s="95"/>
      <c r="AB13" s="95"/>
      <c r="AC13" s="95"/>
      <c r="AD13" s="94"/>
      <c r="AE13" s="94"/>
      <c r="AF13" s="110"/>
      <c r="AG13" s="111"/>
    </row>
    <row r="14" spans="1:33" s="19" customFormat="1" ht="21.75" customHeight="1">
      <c r="A14" s="26">
        <f aca="true" t="shared" si="0" ref="A14:A19">A13+1</f>
        <v>2</v>
      </c>
      <c r="B14" s="105" t="s">
        <v>75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 t="shared" si="0"/>
        <v>3</v>
      </c>
      <c r="B15" s="33" t="s">
        <v>85</v>
      </c>
      <c r="C15" s="35"/>
      <c r="D15" s="29"/>
      <c r="E15" s="30"/>
      <c r="F15" s="30"/>
      <c r="G15" s="30"/>
      <c r="H15" s="30"/>
      <c r="I15" s="30"/>
      <c r="J15" s="30"/>
      <c r="K15" s="30"/>
      <c r="L15" s="29"/>
      <c r="M15" s="29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t="shared" si="0"/>
        <v>4</v>
      </c>
      <c r="B16" s="27">
        <v>38973.71</v>
      </c>
      <c r="C16" s="35">
        <v>39137.36</v>
      </c>
      <c r="D16" s="29" t="s">
        <v>41</v>
      </c>
      <c r="E16" s="1">
        <f>C16-B16</f>
        <v>163.65000000000146</v>
      </c>
      <c r="F16" s="30">
        <v>5</v>
      </c>
      <c r="G16" s="30"/>
      <c r="H16" s="30"/>
      <c r="I16" s="30">
        <f>IF(G16=0,ROUND($E16*$F16,2),ROUND($E16*$F16*$G16,2))</f>
        <v>818.25</v>
      </c>
      <c r="J16" s="30"/>
      <c r="K16" s="30"/>
      <c r="L16" s="29"/>
      <c r="M16" s="29"/>
      <c r="N16" s="29"/>
      <c r="O16" s="29"/>
      <c r="P16" s="30"/>
      <c r="Q16" s="30"/>
      <c r="R16" s="30"/>
      <c r="S16" s="30"/>
      <c r="T16" s="6">
        <f>IF($G16=0,ROUND($E16/T$72,2),ROUND(($E16*$G16)/T$72,2))</f>
        <v>1.64</v>
      </c>
      <c r="U16" s="30"/>
      <c r="V16" s="30">
        <f>($I16/27)*(V$72/12)</f>
        <v>5.050925925925926</v>
      </c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27">
        <f>C16</f>
        <v>39137.36</v>
      </c>
      <c r="C17" s="35">
        <v>39385</v>
      </c>
      <c r="D17" s="29" t="s">
        <v>41</v>
      </c>
      <c r="E17" s="1">
        <f>C17-B17</f>
        <v>247.63999999999942</v>
      </c>
      <c r="F17" s="30">
        <v>5</v>
      </c>
      <c r="G17" s="32">
        <f>ROUND((21630.91-((78.427+74.151)/2)-($F17/2))/21630.91,4)</f>
        <v>0.9964</v>
      </c>
      <c r="H17" s="30"/>
      <c r="I17" s="30">
        <f>IF(G17=0,ROUND($E17*$F17,2),ROUND($E17*$F17*$G17,2))</f>
        <v>1233.74</v>
      </c>
      <c r="J17" s="30"/>
      <c r="K17" s="30"/>
      <c r="L17" s="29"/>
      <c r="M17" s="29"/>
      <c r="N17" s="29"/>
      <c r="O17" s="29"/>
      <c r="P17" s="30"/>
      <c r="Q17" s="30"/>
      <c r="R17" s="30"/>
      <c r="S17" s="30"/>
      <c r="T17" s="6">
        <f>IF($G17=0,ROUND($E17/T$72,2),ROUND(($E17*$G17)/T$72,2))</f>
        <v>2.47</v>
      </c>
      <c r="U17" s="30"/>
      <c r="V17" s="30">
        <f>($I17/27)*(V$72/12)</f>
        <v>7.615679012345678</v>
      </c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33"/>
      <c r="C18" s="35"/>
      <c r="D18" s="29"/>
      <c r="E18" s="1"/>
      <c r="F18" s="30"/>
      <c r="G18" s="32"/>
      <c r="H18" s="30"/>
      <c r="I18" s="30"/>
      <c r="J18" s="30"/>
      <c r="K18" s="30"/>
      <c r="L18" s="29"/>
      <c r="M18" s="29"/>
      <c r="N18" s="29"/>
      <c r="O18" s="29"/>
      <c r="P18" s="30"/>
      <c r="Q18" s="30"/>
      <c r="R18" s="30"/>
      <c r="S18" s="30"/>
      <c r="T18" s="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27">
        <v>39454.3</v>
      </c>
      <c r="C19" s="28">
        <v>39472.51</v>
      </c>
      <c r="D19" s="3" t="s">
        <v>41</v>
      </c>
      <c r="E19" s="1">
        <f aca="true" t="shared" si="1" ref="E19:E34">C19-B19</f>
        <v>18.209999999999127</v>
      </c>
      <c r="F19" s="1">
        <v>4.5</v>
      </c>
      <c r="G19" s="32">
        <f>ROUND((21630.91-((73.458+73.276)/2)-($F19/2))/21630.91,4)</f>
        <v>0.9965</v>
      </c>
      <c r="H19" s="30"/>
      <c r="I19" s="30">
        <f>IF(G19=0,ROUND($E19*$F19,2),ROUND($E19*$F19*$G19,2))</f>
        <v>81.66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>
        <f>IF($G19=0,ROUND($E19/T$72,2),ROUND(($E19*$G19)/T$72,2))</f>
        <v>0.18</v>
      </c>
      <c r="U19" s="30"/>
      <c r="V19" s="30">
        <f>($I19/27)*(V$72/12)</f>
        <v>0.504074074074074</v>
      </c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aca="true" t="shared" si="2" ref="A20:A66">A19+1</f>
        <v>8</v>
      </c>
      <c r="B20" s="14">
        <f>C19</f>
        <v>39472.51</v>
      </c>
      <c r="C20" s="14">
        <v>39686.59</v>
      </c>
      <c r="D20" s="3" t="s">
        <v>41</v>
      </c>
      <c r="E20" s="1">
        <f t="shared" si="1"/>
        <v>214.07999999999447</v>
      </c>
      <c r="F20" s="1">
        <v>5</v>
      </c>
      <c r="G20" s="32">
        <f>ROUND((21630.91-((73.276+71.135)/2)-($F20/2))/21630.91,4)</f>
        <v>0.9965</v>
      </c>
      <c r="H20" s="30"/>
      <c r="I20" s="30">
        <f>IF(G20=0,ROUND($E20*$F20,2),ROUND($E20*$F20*$G20,2))</f>
        <v>1066.65</v>
      </c>
      <c r="J20" s="1"/>
      <c r="K20" s="30"/>
      <c r="L20" s="30"/>
      <c r="M20" s="30"/>
      <c r="N20" s="30"/>
      <c r="O20" s="30"/>
      <c r="P20" s="30"/>
      <c r="Q20" s="30"/>
      <c r="R20" s="30"/>
      <c r="S20" s="30"/>
      <c r="T20" s="6">
        <f>IF($G20=0,ROUND($E20/T$72,2),ROUND(($E20*$G20)/T$72,2))</f>
        <v>2.13</v>
      </c>
      <c r="U20" s="30"/>
      <c r="V20" s="30">
        <f>($I20/27)*(V$72/12)</f>
        <v>6.58425925925926</v>
      </c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2"/>
        <v>9</v>
      </c>
      <c r="B21" s="14"/>
      <c r="C21" s="14"/>
      <c r="D21" s="3"/>
      <c r="E21" s="1"/>
      <c r="F21" s="1"/>
      <c r="G21" s="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2"/>
        <v>10</v>
      </c>
      <c r="B22" s="14">
        <v>41030.96</v>
      </c>
      <c r="C22" s="14">
        <v>42553.84</v>
      </c>
      <c r="D22" s="3" t="s">
        <v>41</v>
      </c>
      <c r="E22" s="1">
        <f t="shared" si="1"/>
        <v>1522.8799999999974</v>
      </c>
      <c r="F22" s="1">
        <v>5</v>
      </c>
      <c r="G22" s="1"/>
      <c r="H22" s="30"/>
      <c r="I22" s="30">
        <f>IF(G22=0,ROUND($E22*$F22,2),ROUND($E22*$F22*$G22,2))</f>
        <v>7614.4</v>
      </c>
      <c r="J22" s="1"/>
      <c r="K22" s="30"/>
      <c r="L22" s="30"/>
      <c r="M22" s="30"/>
      <c r="N22" s="30"/>
      <c r="O22" s="30"/>
      <c r="P22" s="30"/>
      <c r="Q22" s="30"/>
      <c r="R22" s="30"/>
      <c r="S22" s="30"/>
      <c r="T22" s="6">
        <f>IF($G22=0,ROUND($E22/T$72,2),ROUND(($E22*$G22)/T$72,2))</f>
        <v>15.23</v>
      </c>
      <c r="U22" s="30"/>
      <c r="V22" s="30">
        <f>($I22/27)*(V$72/12)</f>
        <v>47.00246913580247</v>
      </c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2"/>
        <v>11</v>
      </c>
      <c r="B23" s="14"/>
      <c r="C23" s="14"/>
      <c r="D23" s="3"/>
      <c r="E23" s="1"/>
      <c r="F23" s="1"/>
      <c r="G23" s="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2"/>
        <v>12</v>
      </c>
      <c r="B24" s="14">
        <v>42709.41</v>
      </c>
      <c r="C24" s="14">
        <v>42752.06</v>
      </c>
      <c r="D24" s="3" t="s">
        <v>41</v>
      </c>
      <c r="E24" s="1">
        <f t="shared" si="1"/>
        <v>42.64999999999418</v>
      </c>
      <c r="F24" s="1">
        <v>4.5</v>
      </c>
      <c r="G24" s="32"/>
      <c r="H24" s="30"/>
      <c r="I24" s="30">
        <f>IF(G24=0,ROUND($E24*$F24,2),ROUND($E24*$F24*$G24,2))</f>
        <v>191.92</v>
      </c>
      <c r="J24" s="1"/>
      <c r="K24" s="30"/>
      <c r="L24" s="30"/>
      <c r="M24" s="30"/>
      <c r="N24" s="30"/>
      <c r="O24" s="30"/>
      <c r="P24" s="30"/>
      <c r="Q24" s="30"/>
      <c r="R24" s="30"/>
      <c r="S24" s="30"/>
      <c r="T24" s="6">
        <f>IF($G24=0,ROUND($E24/T$72,2),ROUND(($E24*$G24)/T$72,2))</f>
        <v>0.43</v>
      </c>
      <c r="U24" s="30"/>
      <c r="V24" s="30">
        <f>($I24/27)*(V$72/12)</f>
        <v>1.1846913580246912</v>
      </c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2"/>
        <v>13</v>
      </c>
      <c r="B25" s="14">
        <f>C24</f>
        <v>42752.06</v>
      </c>
      <c r="C25" s="14">
        <v>42841.24</v>
      </c>
      <c r="D25" s="3" t="s">
        <v>41</v>
      </c>
      <c r="E25" s="1">
        <f>C25-B25</f>
        <v>89.18000000000029</v>
      </c>
      <c r="F25" s="1">
        <v>5</v>
      </c>
      <c r="G25" s="32"/>
      <c r="H25" s="30"/>
      <c r="I25" s="30">
        <f>IF(G25=0,ROUND($E25*$F25,2),ROUND($E25*$F25*$G25,2))</f>
        <v>445.9</v>
      </c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>
        <f>IF($G25=0,ROUND($E25/T$72,2),ROUND(($E25*$G25)/T$72,2))</f>
        <v>0.89</v>
      </c>
      <c r="U25" s="30"/>
      <c r="V25" s="30">
        <f>($I25/27)*(V$72/12)</f>
        <v>2.7524691358024684</v>
      </c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2"/>
        <v>14</v>
      </c>
      <c r="B26" s="14">
        <f>C25</f>
        <v>42841.24</v>
      </c>
      <c r="C26" s="14">
        <v>42920.46</v>
      </c>
      <c r="D26" s="3" t="s">
        <v>41</v>
      </c>
      <c r="E26" s="1">
        <f>C26-B26</f>
        <v>79.22000000000116</v>
      </c>
      <c r="F26" s="1">
        <v>5</v>
      </c>
      <c r="G26" s="32">
        <f>ROUND((14228.562-77.5-($F26/2))/14228.562,4)</f>
        <v>0.9944</v>
      </c>
      <c r="H26" s="30"/>
      <c r="I26" s="30">
        <f>IF(G26=0,ROUND($E26*$F26,2),ROUND($E26*$F26*$G26,2))</f>
        <v>393.88</v>
      </c>
      <c r="J26" s="1"/>
      <c r="K26" s="30"/>
      <c r="L26" s="30"/>
      <c r="M26" s="30"/>
      <c r="N26" s="30"/>
      <c r="O26" s="30"/>
      <c r="P26" s="30"/>
      <c r="Q26" s="30"/>
      <c r="R26" s="30"/>
      <c r="S26" s="30"/>
      <c r="T26" s="6">
        <f>IF($G26=0,ROUND($E26/T$72,2),ROUND(($E26*$G26)/T$72,2))</f>
        <v>0.79</v>
      </c>
      <c r="U26" s="30"/>
      <c r="V26" s="30">
        <f>($I26/27)*(V$72/12)</f>
        <v>2.4313580246913578</v>
      </c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2"/>
        <v>15</v>
      </c>
      <c r="B27" s="14"/>
      <c r="C27" s="14"/>
      <c r="D27" s="3"/>
      <c r="E27" s="1"/>
      <c r="F27" s="1"/>
      <c r="G27" s="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2"/>
        <v>16</v>
      </c>
      <c r="B28" s="14">
        <v>43132.29</v>
      </c>
      <c r="C28" s="14">
        <v>43180</v>
      </c>
      <c r="D28" s="3" t="s">
        <v>41</v>
      </c>
      <c r="E28" s="1">
        <f t="shared" si="1"/>
        <v>47.70999999999913</v>
      </c>
      <c r="F28" s="1">
        <v>4.5</v>
      </c>
      <c r="G28" s="32">
        <f>ROUND((14228.562-77.5-($F28/2))/14228.562,4)</f>
        <v>0.9944</v>
      </c>
      <c r="H28" s="30"/>
      <c r="I28" s="30">
        <f>IF(G28=0,ROUND($E28*$F28,2),ROUND($E28*$F28*$G28,2))</f>
        <v>213.49</v>
      </c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>
        <f>IF($G28=0,ROUND($E28/T$72,2),ROUND(($E28*$G28)/T$72,2))</f>
        <v>0.47</v>
      </c>
      <c r="U28" s="30"/>
      <c r="V28" s="30">
        <f>($I28/27)*(V$72/12)</f>
        <v>1.3178395061728394</v>
      </c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2"/>
        <v>17</v>
      </c>
      <c r="B29" s="14">
        <f>C28</f>
        <v>43180</v>
      </c>
      <c r="C29" s="14">
        <v>43213</v>
      </c>
      <c r="D29" s="3" t="s">
        <v>41</v>
      </c>
      <c r="E29" s="1">
        <f t="shared" si="1"/>
        <v>33</v>
      </c>
      <c r="F29" s="1">
        <v>5</v>
      </c>
      <c r="G29" s="32">
        <f>ROUND((14228.562-((77.5+70.9)/2)-($F29/2))/14228.562,4)</f>
        <v>0.9946</v>
      </c>
      <c r="H29" s="30"/>
      <c r="I29" s="30">
        <f>IF(G29=0,ROUND($E29*$F29,2),ROUND($E29*$F29*$G29,2))</f>
        <v>164.11</v>
      </c>
      <c r="J29" s="1"/>
      <c r="K29" s="30"/>
      <c r="L29" s="30"/>
      <c r="M29" s="30"/>
      <c r="N29" s="30"/>
      <c r="O29" s="30"/>
      <c r="P29" s="30"/>
      <c r="Q29" s="30"/>
      <c r="R29" s="30"/>
      <c r="S29" s="30"/>
      <c r="T29" s="6">
        <f>IF($G29=0,ROUND($E29/T$72,2),ROUND(($E29*$G29)/T$72,2))</f>
        <v>0.33</v>
      </c>
      <c r="U29" s="30"/>
      <c r="V29" s="30">
        <f>($I29/27)*(V$72/12)</f>
        <v>1.0130246913580248</v>
      </c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2"/>
        <v>18</v>
      </c>
      <c r="B30" s="14">
        <f>C29</f>
        <v>43213</v>
      </c>
      <c r="C30" s="14">
        <v>43990</v>
      </c>
      <c r="D30" s="10" t="s">
        <v>41</v>
      </c>
      <c r="E30" s="1">
        <f t="shared" si="1"/>
        <v>777</v>
      </c>
      <c r="F30" s="1">
        <v>5</v>
      </c>
      <c r="G30" s="32">
        <f>ROUND((14228.562-((70.9+82)/2)-($F30/2))/14228.562,4)</f>
        <v>0.9945</v>
      </c>
      <c r="H30" s="30"/>
      <c r="I30" s="30">
        <f>IF(G30=0,ROUND($E30*$F30,2),ROUND($E30*$F30*$G30,2))</f>
        <v>3863.63</v>
      </c>
      <c r="J30" s="1"/>
      <c r="K30" s="30"/>
      <c r="L30" s="30"/>
      <c r="M30" s="30"/>
      <c r="N30" s="30"/>
      <c r="O30" s="30"/>
      <c r="P30" s="30"/>
      <c r="Q30" s="30"/>
      <c r="R30" s="30"/>
      <c r="S30" s="30"/>
      <c r="T30" s="6">
        <f>IF($G30=0,ROUND($E30/T$72,2),ROUND(($E30*$G30)/T$72,2))</f>
        <v>7.73</v>
      </c>
      <c r="U30" s="30"/>
      <c r="V30" s="30">
        <f>($I30/27)*(V$72/12)</f>
        <v>23.84956790123457</v>
      </c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2"/>
        <v>19</v>
      </c>
      <c r="B31" s="27">
        <f>C30</f>
        <v>43990</v>
      </c>
      <c r="C31" s="28">
        <v>44823.91</v>
      </c>
      <c r="D31" s="29" t="s">
        <v>41</v>
      </c>
      <c r="E31" s="1">
        <f>C31-B31</f>
        <v>833.9100000000035</v>
      </c>
      <c r="F31" s="1">
        <v>5</v>
      </c>
      <c r="G31" s="32">
        <f>ROUND((14228.562-82-($F31/2))/14228.562,4)</f>
        <v>0.9941</v>
      </c>
      <c r="H31" s="30"/>
      <c r="I31" s="30">
        <f>IF(G31=0,ROUND($E31*$F31,2),ROUND($E31*$F31*$G31,2))</f>
        <v>4144.95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>
        <f>IF($G31=0,ROUND($E31/T$72,2),ROUND(($E31*$G31)/T$72,2))</f>
        <v>8.29</v>
      </c>
      <c r="U31" s="30"/>
      <c r="V31" s="30">
        <f>($I31/27)*(V$72/12)</f>
        <v>25.58611111111111</v>
      </c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2"/>
        <v>20</v>
      </c>
      <c r="B32" s="27">
        <f>C31</f>
        <v>44823.91</v>
      </c>
      <c r="C32" s="28">
        <v>44948.04</v>
      </c>
      <c r="D32" s="29" t="s">
        <v>41</v>
      </c>
      <c r="E32" s="30">
        <f>C32-B32</f>
        <v>124.12999999999738</v>
      </c>
      <c r="F32" s="1">
        <v>5</v>
      </c>
      <c r="G32" s="32"/>
      <c r="H32" s="30"/>
      <c r="I32" s="30">
        <f>IF(G32=0,ROUND($E32*$F32,2),ROUND($E32*$F32*$G32,2))</f>
        <v>620.65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>
        <f>IF($G32=0,ROUND($E32/T$72,2),ROUND(($E32*$G32)/T$72,2))</f>
        <v>1.24</v>
      </c>
      <c r="U32" s="30"/>
      <c r="V32" s="30">
        <f>($I32/27)*(V$72/12)</f>
        <v>3.8311728395061726</v>
      </c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2"/>
        <v>21</v>
      </c>
      <c r="B33" s="14"/>
      <c r="C33" s="14"/>
      <c r="D33" s="3"/>
      <c r="E33" s="1"/>
      <c r="F33" s="1"/>
      <c r="G33" s="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2"/>
        <v>22</v>
      </c>
      <c r="B34" s="14">
        <v>46730.42</v>
      </c>
      <c r="C34" s="14">
        <v>46915</v>
      </c>
      <c r="D34" s="3" t="s">
        <v>41</v>
      </c>
      <c r="E34" s="1">
        <f t="shared" si="1"/>
        <v>184.58000000000175</v>
      </c>
      <c r="F34" s="1">
        <v>5</v>
      </c>
      <c r="G34" s="32"/>
      <c r="H34" s="30"/>
      <c r="I34" s="30">
        <f>IF(G34=0,ROUND($E34*$F34,2),ROUND($E34*$F34*$G34,2))</f>
        <v>922.9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>
        <f>IF($G34=0,ROUND($E34/T$72,2),ROUND(($E34*$G34)/T$72,2))</f>
        <v>1.85</v>
      </c>
      <c r="U34" s="30"/>
      <c r="V34" s="30">
        <f>($I34/27)*(V$72/12)</f>
        <v>5.696913580246914</v>
      </c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2"/>
        <v>23</v>
      </c>
      <c r="B35" s="14"/>
      <c r="C35" s="14"/>
      <c r="D35" s="3"/>
      <c r="E35" s="1"/>
      <c r="F35" s="1"/>
      <c r="G35" s="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2"/>
        <v>24</v>
      </c>
      <c r="B36" s="14">
        <v>38824.9</v>
      </c>
      <c r="C36" s="14">
        <v>39137.36</v>
      </c>
      <c r="D36" s="3" t="s">
        <v>37</v>
      </c>
      <c r="E36" s="1">
        <f>C36-B36</f>
        <v>312.4599999999991</v>
      </c>
      <c r="F36" s="1">
        <v>5</v>
      </c>
      <c r="G36" s="1"/>
      <c r="H36" s="30"/>
      <c r="I36" s="30">
        <f>IF(G36=0,ROUND($E36*$F36,2),ROUND($E36*$F36*$G36,2))</f>
        <v>1562.3</v>
      </c>
      <c r="J36" s="1"/>
      <c r="K36" s="30"/>
      <c r="L36" s="30"/>
      <c r="M36" s="30"/>
      <c r="N36" s="30"/>
      <c r="O36" s="30"/>
      <c r="P36" s="30"/>
      <c r="Q36" s="30"/>
      <c r="R36" s="1"/>
      <c r="S36" s="30"/>
      <c r="T36" s="6">
        <f>IF($G36=0,ROUND($E36/T$72,2),ROUND(($E36*$G36)/T$72,2))</f>
        <v>3.12</v>
      </c>
      <c r="U36" s="30"/>
      <c r="V36" s="30">
        <f>($I36/27)*(V$72/12)</f>
        <v>9.643827160493826</v>
      </c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2"/>
        <v>25</v>
      </c>
      <c r="B37" s="14">
        <f>C36</f>
        <v>39137.36</v>
      </c>
      <c r="C37" s="14">
        <v>39212.5</v>
      </c>
      <c r="D37" s="3" t="s">
        <v>37</v>
      </c>
      <c r="E37" s="1">
        <f aca="true" t="shared" si="3" ref="E37:E53">C37-B37</f>
        <v>75.13999999999942</v>
      </c>
      <c r="F37" s="1">
        <v>5</v>
      </c>
      <c r="G37" s="32">
        <f>ROUND((21630.91+82+($F37/2))/21630.91,4)</f>
        <v>1.0039</v>
      </c>
      <c r="H37" s="30"/>
      <c r="I37" s="30">
        <f>IF(G37=0,ROUND($E37*$F37,2),ROUND($E37*$F37*$G37,2))</f>
        <v>377.17</v>
      </c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>
        <f>IF($G37=0,ROUND($E37/T$72,2),ROUND(($E37*$G37)/T$72,2))</f>
        <v>0.75</v>
      </c>
      <c r="U37" s="30"/>
      <c r="V37" s="30">
        <f>($I37/27)*(V$72/12)</f>
        <v>2.3282098765432098</v>
      </c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2"/>
        <v>26</v>
      </c>
      <c r="B38" s="28">
        <f>C37</f>
        <v>39212.5</v>
      </c>
      <c r="C38" s="28">
        <v>39325</v>
      </c>
      <c r="D38" s="3" t="s">
        <v>37</v>
      </c>
      <c r="E38" s="30">
        <f t="shared" si="3"/>
        <v>112.5</v>
      </c>
      <c r="F38" s="1">
        <v>5</v>
      </c>
      <c r="G38" s="32">
        <f>ROUND((21630.91+((82+77.5)/2)+($F38/2))/21630.91,4)</f>
        <v>1.0038</v>
      </c>
      <c r="H38" s="30"/>
      <c r="I38" s="30">
        <f>IF(G38=0,ROUND($E38*$F38,2),ROUND($E38*$F38*$G38,2))</f>
        <v>564.64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>
        <f>IF($G38=0,ROUND($E38/T$72,2),ROUND(($E38*$G38)/T$72,2))</f>
        <v>1.13</v>
      </c>
      <c r="U38" s="30"/>
      <c r="V38" s="30">
        <f>($I38/27)*(V$72/12)</f>
        <v>3.4854320987654317</v>
      </c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2"/>
        <v>27</v>
      </c>
      <c r="B39" s="27">
        <f>C38</f>
        <v>39325</v>
      </c>
      <c r="C39" s="28">
        <v>39356.92</v>
      </c>
      <c r="D39" s="3" t="s">
        <v>37</v>
      </c>
      <c r="E39" s="30">
        <f t="shared" si="3"/>
        <v>31.919999999998254</v>
      </c>
      <c r="F39" s="1">
        <v>5</v>
      </c>
      <c r="G39" s="32">
        <f>ROUND((21630.91+77.5+($F39/2))/21630.91,4)</f>
        <v>1.0037</v>
      </c>
      <c r="H39" s="30"/>
      <c r="I39" s="30">
        <f>IF(G39=0,ROUND($E39*$F39,2),ROUND($E39*$F39*$G39,2))</f>
        <v>160.19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">
        <f>IF($G39=0,ROUND($E39/T$72,2),ROUND(($E39*$G39)/T$72,2))</f>
        <v>0.32</v>
      </c>
      <c r="U39" s="30"/>
      <c r="V39" s="30">
        <f>($I39/27)*(V$72/12)</f>
        <v>0.988827160493827</v>
      </c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2"/>
        <v>28</v>
      </c>
      <c r="B40" s="14">
        <f>C39</f>
        <v>39356.92</v>
      </c>
      <c r="C40" s="14">
        <v>39375</v>
      </c>
      <c r="D40" s="3" t="s">
        <v>37</v>
      </c>
      <c r="E40" s="1">
        <f t="shared" si="3"/>
        <v>18.080000000001746</v>
      </c>
      <c r="F40" s="1">
        <v>4.5</v>
      </c>
      <c r="G40" s="32">
        <f>ROUND((21630.91+77.5+($F40/2))/21630.91,4)</f>
        <v>1.0037</v>
      </c>
      <c r="H40" s="30"/>
      <c r="I40" s="30">
        <f aca="true" t="shared" si="4" ref="I40:I54">IF(G40=0,ROUND($E40*$F40,2),ROUND($E40*$F40*$G40,2))</f>
        <v>81.66</v>
      </c>
      <c r="J40" s="1"/>
      <c r="K40" s="30"/>
      <c r="L40" s="30"/>
      <c r="M40" s="30"/>
      <c r="N40" s="30"/>
      <c r="O40" s="30"/>
      <c r="P40" s="30"/>
      <c r="Q40" s="30"/>
      <c r="R40" s="30"/>
      <c r="S40" s="30"/>
      <c r="T40" s="6">
        <f>IF($G40=0,ROUND($E40/T$72,2),ROUND(($E40*$G40)/T$72,2))</f>
        <v>0.18</v>
      </c>
      <c r="U40" s="30"/>
      <c r="V40" s="30">
        <f>($I40/27)*(V$72/12)</f>
        <v>0.504074074074074</v>
      </c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2"/>
        <v>29</v>
      </c>
      <c r="B41" s="14"/>
      <c r="C41" s="14"/>
      <c r="D41" s="3"/>
      <c r="E41" s="1"/>
      <c r="F41" s="1"/>
      <c r="G41" s="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2"/>
        <v>30</v>
      </c>
      <c r="B42" s="14">
        <v>40750.59</v>
      </c>
      <c r="C42" s="14">
        <v>42488.47</v>
      </c>
      <c r="D42" s="3" t="s">
        <v>37</v>
      </c>
      <c r="E42" s="1">
        <f t="shared" si="3"/>
        <v>1737.8800000000047</v>
      </c>
      <c r="F42" s="1">
        <v>5</v>
      </c>
      <c r="G42" s="32"/>
      <c r="H42" s="30"/>
      <c r="I42" s="30">
        <f t="shared" si="4"/>
        <v>8689.4</v>
      </c>
      <c r="J42" s="1"/>
      <c r="K42" s="30"/>
      <c r="L42" s="30"/>
      <c r="M42" s="30"/>
      <c r="N42" s="30"/>
      <c r="O42" s="30"/>
      <c r="P42" s="30"/>
      <c r="Q42" s="30"/>
      <c r="R42" s="30"/>
      <c r="S42" s="30"/>
      <c r="T42" s="6">
        <f>IF($G42=0,ROUND($E42/T$72,2),ROUND(($E42*$G42)/T$72,2))</f>
        <v>17.38</v>
      </c>
      <c r="U42" s="30"/>
      <c r="V42" s="30">
        <f>($I42/27)*(V$72/12)</f>
        <v>53.63827160493827</v>
      </c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2"/>
        <v>31</v>
      </c>
      <c r="B43" s="14">
        <f>C42</f>
        <v>42488.47</v>
      </c>
      <c r="C43" s="14">
        <v>42506.61</v>
      </c>
      <c r="D43" s="3" t="s">
        <v>37</v>
      </c>
      <c r="E43" s="1">
        <f t="shared" si="3"/>
        <v>18.139999999999418</v>
      </c>
      <c r="F43" s="1">
        <v>4.5</v>
      </c>
      <c r="G43" s="1"/>
      <c r="H43" s="30"/>
      <c r="I43" s="30">
        <f t="shared" si="4"/>
        <v>81.63</v>
      </c>
      <c r="J43" s="1"/>
      <c r="K43" s="30"/>
      <c r="L43" s="30"/>
      <c r="M43" s="30"/>
      <c r="N43" s="30"/>
      <c r="O43" s="30"/>
      <c r="P43" s="30"/>
      <c r="Q43" s="30"/>
      <c r="R43" s="30"/>
      <c r="S43" s="30"/>
      <c r="T43" s="6">
        <f>IF($G43=0,ROUND($E43/T$72,2),ROUND(($E43*$G43)/T$72,2))</f>
        <v>0.18</v>
      </c>
      <c r="U43" s="30"/>
      <c r="V43" s="30">
        <f>($I43/27)*(V$72/12)</f>
        <v>0.5038888888888888</v>
      </c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2"/>
        <v>32</v>
      </c>
      <c r="B44" s="14"/>
      <c r="C44" s="14"/>
      <c r="D44" s="3"/>
      <c r="E44" s="1"/>
      <c r="F44" s="1"/>
      <c r="G44" s="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2"/>
        <v>33</v>
      </c>
      <c r="B45" s="14">
        <v>42662.18</v>
      </c>
      <c r="C45" s="14">
        <v>42684.43</v>
      </c>
      <c r="D45" s="3" t="s">
        <v>37</v>
      </c>
      <c r="E45" s="1">
        <f t="shared" si="3"/>
        <v>22.25</v>
      </c>
      <c r="F45" s="1">
        <v>4.5</v>
      </c>
      <c r="G45" s="1"/>
      <c r="H45" s="30"/>
      <c r="I45" s="30">
        <f>IF(G45=0,ROUND($E45*$F45,2),ROUND($E45*$F45*$G45,2))</f>
        <v>100.13</v>
      </c>
      <c r="J45" s="1"/>
      <c r="K45" s="30"/>
      <c r="L45" s="30"/>
      <c r="M45" s="30"/>
      <c r="N45" s="30"/>
      <c r="O45" s="30"/>
      <c r="P45" s="30"/>
      <c r="Q45" s="30"/>
      <c r="R45" s="30"/>
      <c r="S45" s="30"/>
      <c r="T45" s="6">
        <f>IF($G45=0,ROUND($E45/T$72,2),ROUND(($E45*$G45)/T$72,2))</f>
        <v>0.22</v>
      </c>
      <c r="U45" s="30"/>
      <c r="V45" s="30">
        <f>($I45/27)*(V$72/12)</f>
        <v>0.6180864197530864</v>
      </c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2"/>
        <v>34</v>
      </c>
      <c r="B46" s="27">
        <f>C45</f>
        <v>42684.43</v>
      </c>
      <c r="C46" s="28">
        <v>42841.24</v>
      </c>
      <c r="D46" s="3" t="s">
        <v>37</v>
      </c>
      <c r="E46" s="1">
        <f>C46-B46</f>
        <v>156.80999999999767</v>
      </c>
      <c r="F46" s="31">
        <v>5</v>
      </c>
      <c r="G46" s="32"/>
      <c r="H46" s="30"/>
      <c r="I46" s="30">
        <f>IF(G46=0,ROUND($E46*$F46,2),ROUND($E46*$F46*$G46,2))</f>
        <v>784.05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>
        <f>IF($G46=0,ROUND($E46/T$72,2),ROUND(($E46*$G46)/T$72,2))</f>
        <v>1.57</v>
      </c>
      <c r="U46" s="30"/>
      <c r="V46" s="30">
        <f>($I46/27)*(V$72/12)</f>
        <v>4.839814814814814</v>
      </c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2"/>
        <v>35</v>
      </c>
      <c r="B47" s="27">
        <f>C46</f>
        <v>42841.24</v>
      </c>
      <c r="C47" s="28">
        <v>42868.64</v>
      </c>
      <c r="D47" s="3" t="s">
        <v>37</v>
      </c>
      <c r="E47" s="1">
        <f>C47-B47</f>
        <v>27.400000000001455</v>
      </c>
      <c r="F47" s="31">
        <v>5</v>
      </c>
      <c r="G47" s="32">
        <f>ROUND((14228.562+77.5+($F47/2))/14228.562,4)</f>
        <v>1.0056</v>
      </c>
      <c r="H47" s="30"/>
      <c r="I47" s="30">
        <f>IF(G47=0,ROUND($E47*$F47,2),ROUND($E47*$F47*$G47,2))</f>
        <v>137.77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>
        <f>IF($G47=0,ROUND($E47/T$72,2),ROUND(($E47*$G47)/T$72,2))</f>
        <v>0.28</v>
      </c>
      <c r="U47" s="30"/>
      <c r="V47" s="30">
        <f>($I47/27)*(V$72/12)</f>
        <v>0.8504320987654321</v>
      </c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2"/>
        <v>36</v>
      </c>
      <c r="B48" s="27">
        <f>C47</f>
        <v>42868.64</v>
      </c>
      <c r="C48" s="28">
        <v>42886.69</v>
      </c>
      <c r="D48" s="3" t="s">
        <v>37</v>
      </c>
      <c r="E48" s="1">
        <f>C48-B48</f>
        <v>18.05000000000291</v>
      </c>
      <c r="F48" s="31">
        <v>4.5</v>
      </c>
      <c r="G48" s="32">
        <f>ROUND((14228.562+77.5+($F48/2))/14228.562,4)</f>
        <v>1.0056</v>
      </c>
      <c r="H48" s="30"/>
      <c r="I48" s="30">
        <f>IF(G48=0,ROUND($E48*$F48,2),ROUND($E48*$F48*$G48,2))</f>
        <v>81.68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>
        <f>IF($G48=0,ROUND($E48/T$72,2),ROUND(($E48*$G48)/T$72,2))</f>
        <v>0.18</v>
      </c>
      <c r="U48" s="30"/>
      <c r="V48" s="30">
        <f>($I48/27)*(V$72/12)</f>
        <v>0.5041975308641975</v>
      </c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2"/>
        <v>37</v>
      </c>
      <c r="B49" s="14"/>
      <c r="C49" s="14"/>
      <c r="D49" s="3"/>
      <c r="E49" s="1"/>
      <c r="F49" s="1"/>
      <c r="G49" s="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>
      <c r="A50" s="26">
        <f t="shared" si="2"/>
        <v>38</v>
      </c>
      <c r="B50" s="14">
        <v>43096.1</v>
      </c>
      <c r="C50" s="14">
        <v>43122.5</v>
      </c>
      <c r="D50" s="3" t="s">
        <v>37</v>
      </c>
      <c r="E50" s="1">
        <f t="shared" si="3"/>
        <v>26.400000000001455</v>
      </c>
      <c r="F50" s="1">
        <v>4.5</v>
      </c>
      <c r="G50" s="32">
        <f>ROUND((14228.562+77.5+($F50/2))/14228.562,4)</f>
        <v>1.0056</v>
      </c>
      <c r="H50" s="30"/>
      <c r="I50" s="30">
        <f t="shared" si="4"/>
        <v>119.47</v>
      </c>
      <c r="J50" s="1"/>
      <c r="K50" s="30"/>
      <c r="L50" s="30"/>
      <c r="M50" s="30"/>
      <c r="N50" s="30"/>
      <c r="O50" s="30"/>
      <c r="P50" s="30"/>
      <c r="Q50" s="30"/>
      <c r="R50" s="30"/>
      <c r="S50" s="30"/>
      <c r="T50" s="6">
        <f>IF($G50=0,ROUND($E50/T$72,2),ROUND(($E50*$G50)/T$72,2))</f>
        <v>0.27</v>
      </c>
      <c r="U50" s="30"/>
      <c r="V50" s="30">
        <f>($I50/27)*(V$72/12)</f>
        <v>0.7374691358024692</v>
      </c>
      <c r="W50" s="30"/>
      <c r="X50" s="30"/>
      <c r="Y50" s="30"/>
      <c r="Z50" s="30"/>
      <c r="AA50" s="30"/>
      <c r="AB50" s="30"/>
      <c r="AC50" s="30"/>
      <c r="AD50" s="30"/>
      <c r="AE50" s="30"/>
      <c r="AF50" s="110"/>
      <c r="AG50" s="111"/>
    </row>
    <row r="51" spans="1:33" s="19" customFormat="1" ht="21.75" customHeight="1">
      <c r="A51" s="26">
        <f t="shared" si="2"/>
        <v>39</v>
      </c>
      <c r="B51" s="14">
        <f>C50</f>
        <v>43122.5</v>
      </c>
      <c r="C51" s="14">
        <v>43310</v>
      </c>
      <c r="D51" s="3" t="s">
        <v>37</v>
      </c>
      <c r="E51" s="1">
        <f t="shared" si="3"/>
        <v>187.5</v>
      </c>
      <c r="F51" s="1">
        <v>5</v>
      </c>
      <c r="G51" s="32">
        <f>ROUND((14228.562+((77.5+70)/2)+($F51/2))/14228.562,4)</f>
        <v>1.0054</v>
      </c>
      <c r="H51" s="30"/>
      <c r="I51" s="30">
        <f>IF(G51=0,ROUND($E51*$F51,2),ROUND($E51*$F51*$G51,2))</f>
        <v>942.56</v>
      </c>
      <c r="J51" s="1"/>
      <c r="K51" s="30"/>
      <c r="L51" s="30"/>
      <c r="M51" s="30"/>
      <c r="N51" s="30"/>
      <c r="O51" s="30"/>
      <c r="P51" s="30"/>
      <c r="Q51" s="30"/>
      <c r="R51" s="30"/>
      <c r="S51" s="30"/>
      <c r="T51" s="6">
        <f>IF($G51=0,ROUND($E51/T$72,2),ROUND(($E51*$G51)/T$72,2))</f>
        <v>1.89</v>
      </c>
      <c r="U51" s="30"/>
      <c r="V51" s="30">
        <f>($I51/27)*(V$72/12)</f>
        <v>5.818271604938271</v>
      </c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2"/>
        <v>40</v>
      </c>
      <c r="B52" s="14">
        <f>C51</f>
        <v>43310</v>
      </c>
      <c r="C52" s="14">
        <v>44623.71</v>
      </c>
      <c r="D52" s="3" t="s">
        <v>37</v>
      </c>
      <c r="E52" s="1">
        <f t="shared" si="3"/>
        <v>1313.7099999999991</v>
      </c>
      <c r="F52" s="1">
        <v>5</v>
      </c>
      <c r="G52" s="32">
        <f>ROUND((14228.562+70+($F52/2))/14228.562,4)</f>
        <v>1.0051</v>
      </c>
      <c r="H52" s="30"/>
      <c r="I52" s="30">
        <f t="shared" si="4"/>
        <v>6602.05</v>
      </c>
      <c r="J52" s="10"/>
      <c r="K52" s="30"/>
      <c r="L52" s="30"/>
      <c r="M52" s="30"/>
      <c r="N52" s="30"/>
      <c r="O52" s="30"/>
      <c r="P52" s="30"/>
      <c r="Q52" s="30"/>
      <c r="R52" s="30"/>
      <c r="S52" s="30"/>
      <c r="T52" s="6">
        <f>IF($G52=0,ROUND($E52/T$72,2),ROUND(($E52*$G52)/T$72,2))</f>
        <v>13.2</v>
      </c>
      <c r="U52" s="30"/>
      <c r="V52" s="30">
        <f>($I52/27)*(V$72/12)</f>
        <v>40.7533950617284</v>
      </c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2"/>
        <v>41</v>
      </c>
      <c r="B53" s="14">
        <v>46121.17</v>
      </c>
      <c r="C53" s="14">
        <v>46846.85</v>
      </c>
      <c r="D53" s="3" t="s">
        <v>37</v>
      </c>
      <c r="E53" s="1">
        <f t="shared" si="3"/>
        <v>725.6800000000003</v>
      </c>
      <c r="F53" s="1">
        <v>5</v>
      </c>
      <c r="G53" s="1"/>
      <c r="H53" s="30"/>
      <c r="I53" s="30">
        <f t="shared" si="4"/>
        <v>3628.4</v>
      </c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6">
        <f>IF($G53=0,ROUND($E53/T$72,2),ROUND(($E53*$G53)/T$72,2))</f>
        <v>7.26</v>
      </c>
      <c r="U53" s="30"/>
      <c r="V53" s="30">
        <f>($I53/27)*(V$72/12)</f>
        <v>22.397530864197527</v>
      </c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2"/>
        <v>42</v>
      </c>
      <c r="B54" s="14">
        <f>C53</f>
        <v>46846.85</v>
      </c>
      <c r="C54" s="14">
        <v>46865</v>
      </c>
      <c r="D54" s="3" t="s">
        <v>37</v>
      </c>
      <c r="E54" s="1">
        <f>C54-B54</f>
        <v>18.150000000001455</v>
      </c>
      <c r="F54" s="1">
        <v>4.5</v>
      </c>
      <c r="G54" s="1"/>
      <c r="H54" s="30"/>
      <c r="I54" s="30">
        <f t="shared" si="4"/>
        <v>81.68</v>
      </c>
      <c r="J54" s="1"/>
      <c r="K54" s="30"/>
      <c r="L54" s="30"/>
      <c r="M54" s="30"/>
      <c r="N54" s="30"/>
      <c r="O54" s="30"/>
      <c r="P54" s="30"/>
      <c r="Q54" s="30"/>
      <c r="R54" s="30"/>
      <c r="S54" s="30"/>
      <c r="T54" s="6">
        <f>IF($G54=0,ROUND($E54/T$72,2),ROUND(($E54*$G54)/T$72,2))</f>
        <v>0.18</v>
      </c>
      <c r="U54" s="30"/>
      <c r="V54" s="30">
        <f>($I54/27)*(V$72/12)</f>
        <v>0.5041975308641975</v>
      </c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2"/>
        <v>43</v>
      </c>
      <c r="B55" s="33"/>
      <c r="C55" s="28"/>
      <c r="D55" s="29"/>
      <c r="E55" s="30"/>
      <c r="F55" s="37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2"/>
        <v>44</v>
      </c>
      <c r="B56" s="33" t="s">
        <v>84</v>
      </c>
      <c r="C56" s="28"/>
      <c r="D56" s="29"/>
      <c r="E56" s="30"/>
      <c r="F56" s="31"/>
      <c r="G56" s="3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2"/>
        <v>45</v>
      </c>
      <c r="B57" s="14">
        <v>47564</v>
      </c>
      <c r="C57" s="14">
        <v>47605</v>
      </c>
      <c r="D57" s="3" t="s">
        <v>41</v>
      </c>
      <c r="E57" s="1">
        <f>C57-B57</f>
        <v>41</v>
      </c>
      <c r="F57" s="1">
        <v>4.5</v>
      </c>
      <c r="G57" s="32">
        <f>ROUND((3904.072-22-($F57/2))/3904.072,4)</f>
        <v>0.9938</v>
      </c>
      <c r="H57" s="30"/>
      <c r="I57" s="30">
        <f>IF(G57=0,ROUND($E57*$F57,2),ROUND($E57*$F57*$G57,2))</f>
        <v>183.36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>
        <f>IF($G57=0,ROUND($E57/T$72,2),ROUND(($E57*$G57)/T$72,2))</f>
        <v>0.41</v>
      </c>
      <c r="U57" s="30"/>
      <c r="V57" s="30">
        <f>($I57/27)*(V$72/12)</f>
        <v>1.1318518518518519</v>
      </c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2"/>
        <v>46</v>
      </c>
      <c r="B58" s="27">
        <f>C57</f>
        <v>47605</v>
      </c>
      <c r="C58" s="28">
        <v>47863.75</v>
      </c>
      <c r="D58" s="29" t="s">
        <v>41</v>
      </c>
      <c r="E58" s="1">
        <f>C58-B58</f>
        <v>258.75</v>
      </c>
      <c r="F58" s="1">
        <v>5</v>
      </c>
      <c r="G58" s="32">
        <f>ROUND((3904.072-22-($F58/2))/3904.072,4)</f>
        <v>0.9937</v>
      </c>
      <c r="H58" s="30"/>
      <c r="I58" s="30">
        <f>IF(G58=0,ROUND($E58*$F58,2),ROUND($E58*$F58*$G58,2))</f>
        <v>1285.6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>
        <f>IF($G58=0,ROUND($E58/T$72,2),ROUND(($E58*$G58)/T$72,2))</f>
        <v>2.57</v>
      </c>
      <c r="U58" s="30"/>
      <c r="V58" s="30">
        <f>($I58/27)*(V$72/12)</f>
        <v>7.935802469135802</v>
      </c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2"/>
        <v>47</v>
      </c>
      <c r="B59" s="14"/>
      <c r="C59" s="14"/>
      <c r="D59" s="3"/>
      <c r="E59" s="1"/>
      <c r="F59" s="1"/>
      <c r="G59" s="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2"/>
        <v>48</v>
      </c>
      <c r="B60" s="14">
        <v>49600</v>
      </c>
      <c r="C60" s="14">
        <v>50665.75</v>
      </c>
      <c r="D60" s="3" t="s">
        <v>41</v>
      </c>
      <c r="E60" s="1">
        <f>C60-B60</f>
        <v>1065.75</v>
      </c>
      <c r="F60" s="1">
        <v>5</v>
      </c>
      <c r="G60" s="1"/>
      <c r="H60" s="30"/>
      <c r="I60" s="30">
        <f>IF(G60=0,ROUND($E60*$F60,2),ROUND($E60*$F60*$G60,2))</f>
        <v>5328.75</v>
      </c>
      <c r="J60" s="1"/>
      <c r="K60" s="30"/>
      <c r="L60" s="30"/>
      <c r="M60" s="30"/>
      <c r="N60" s="30"/>
      <c r="O60" s="30"/>
      <c r="P60" s="30"/>
      <c r="Q60" s="30"/>
      <c r="R60" s="30"/>
      <c r="S60" s="30"/>
      <c r="T60" s="6">
        <f>IF($G60=0,ROUND($E60/T$72,2),ROUND(($E60*$G60)/T$72,2))</f>
        <v>10.66</v>
      </c>
      <c r="U60" s="30"/>
      <c r="V60" s="30">
        <f>($I60/27)*(V$72/12)</f>
        <v>32.89351851851852</v>
      </c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2"/>
        <v>49</v>
      </c>
      <c r="B61" s="14">
        <f>C60</f>
        <v>50665.75</v>
      </c>
      <c r="C61" s="14">
        <v>51065.75</v>
      </c>
      <c r="D61" s="3" t="s">
        <v>41</v>
      </c>
      <c r="E61" s="1">
        <f>C61-B61</f>
        <v>400</v>
      </c>
      <c r="F61" s="1">
        <v>5</v>
      </c>
      <c r="G61" s="32">
        <f>ROUND(((2291.83-22-($F61/2))/2291.83+1)/2,4)</f>
        <v>0.9947</v>
      </c>
      <c r="H61" s="30"/>
      <c r="I61" s="30">
        <f>IF(G61=0,ROUND($E61*$F61,2),ROUND($E61*$F61*$G61,2))</f>
        <v>1989.4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>
        <f>IF($G61=0,ROUND($E61/T$72,2),ROUND(($E61*$G61)/T$72,2))</f>
        <v>3.98</v>
      </c>
      <c r="U61" s="30"/>
      <c r="V61" s="30">
        <f>($I61/27)*(V$72/12)</f>
        <v>12.280246913580246</v>
      </c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19" customFormat="1" ht="21.75" customHeight="1">
      <c r="A62" s="26">
        <f t="shared" si="2"/>
        <v>50</v>
      </c>
      <c r="B62" s="14">
        <f>C61</f>
        <v>51065.75</v>
      </c>
      <c r="C62" s="14">
        <v>51412.5</v>
      </c>
      <c r="D62" s="3" t="s">
        <v>41</v>
      </c>
      <c r="E62" s="1">
        <f>C62-B62</f>
        <v>346.75</v>
      </c>
      <c r="F62" s="1">
        <v>5</v>
      </c>
      <c r="G62" s="32">
        <f>ROUND((2291.83-10-($F62/2))/2291.83,4)</f>
        <v>0.9945</v>
      </c>
      <c r="H62" s="30"/>
      <c r="I62" s="30">
        <f>IF(G62=0,ROUND($E62*$F62,2),ROUND($E62*$F62*$G62,2))</f>
        <v>1724.21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>
        <f>IF($G62=0,ROUND($E62/T$72,2),ROUND(($E62*$G62)/T$72,2))</f>
        <v>3.45</v>
      </c>
      <c r="U62" s="30"/>
      <c r="V62" s="30">
        <f>($I62/27)*(V$72/12)</f>
        <v>10.64327160493827</v>
      </c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19" customFormat="1" ht="21.75" customHeight="1">
      <c r="A63" s="26">
        <f t="shared" si="2"/>
        <v>51</v>
      </c>
      <c r="B63" s="14">
        <f>C62</f>
        <v>51412.5</v>
      </c>
      <c r="C63" s="14">
        <v>51485</v>
      </c>
      <c r="D63" s="3" t="s">
        <v>41</v>
      </c>
      <c r="E63" s="1">
        <f>C63-B63</f>
        <v>72.5</v>
      </c>
      <c r="F63" s="1">
        <v>5</v>
      </c>
      <c r="G63" s="32">
        <f>ROUND((2291.83-10-($F63/2))/2291.83,4)</f>
        <v>0.9945</v>
      </c>
      <c r="H63" s="30"/>
      <c r="I63" s="30">
        <f>IF(G63=0,ROUND($E63*$F63,2),ROUND($E63*$F63*$G63,2))</f>
        <v>360.51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>
        <f>IF($G63=0,ROUND($E63/T$72,2),ROUND(($E63*$G63)/T$72,2))</f>
        <v>0.72</v>
      </c>
      <c r="U63" s="30"/>
      <c r="V63" s="30">
        <f>($I63/27)*(V$72/12)</f>
        <v>2.22537037037037</v>
      </c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19" customFormat="1" ht="21.75" customHeight="1">
      <c r="A64" s="26">
        <f t="shared" si="2"/>
        <v>52</v>
      </c>
      <c r="B64" s="14"/>
      <c r="C64" s="14"/>
      <c r="D64" s="3"/>
      <c r="E64" s="1"/>
      <c r="F64" s="1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2"/>
        <v>53</v>
      </c>
      <c r="B65" s="14">
        <v>48797.2</v>
      </c>
      <c r="C65" s="14">
        <v>49082.07</v>
      </c>
      <c r="D65" s="3" t="s">
        <v>37</v>
      </c>
      <c r="E65" s="1">
        <f>C65-B65</f>
        <v>284.8700000000026</v>
      </c>
      <c r="F65" s="1">
        <v>5</v>
      </c>
      <c r="G65" s="32">
        <f>ROUND((3904.072+46+($F65/2))/3904.072,4)</f>
        <v>1.0124</v>
      </c>
      <c r="H65" s="30"/>
      <c r="I65" s="30">
        <f>IF(G65=0,ROUND($E65*$F65,2),ROUND($E65*$F65*$G65,2))</f>
        <v>1442.01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>
        <f>IF($G65=0,ROUND($E65/T$72,2),ROUND(($E65*$G65)/T$72,2))</f>
        <v>2.88</v>
      </c>
      <c r="U65" s="30"/>
      <c r="V65" s="30">
        <f>($I65/27)*(V$72/12)</f>
        <v>8.901296296296294</v>
      </c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2"/>
        <v>54</v>
      </c>
      <c r="B66" s="14">
        <f>C65</f>
        <v>49082.07</v>
      </c>
      <c r="C66" s="14">
        <v>49100</v>
      </c>
      <c r="D66" s="3" t="s">
        <v>37</v>
      </c>
      <c r="E66" s="1">
        <f>C66-B66</f>
        <v>17.93000000000029</v>
      </c>
      <c r="F66" s="1">
        <v>4.5</v>
      </c>
      <c r="G66" s="32">
        <f>ROUND((3904.072+46+($F66/2))/3904.072,4)</f>
        <v>1.0124</v>
      </c>
      <c r="H66" s="30"/>
      <c r="I66" s="30">
        <f>IF(G66=0,ROUND($E66*$F66,2),ROUND($E66*$F66*$G66,2))</f>
        <v>81.69</v>
      </c>
      <c r="J66" s="30"/>
      <c r="K66" s="54"/>
      <c r="L66" s="30"/>
      <c r="M66" s="30"/>
      <c r="N66" s="30"/>
      <c r="O66" s="30"/>
      <c r="P66" s="30"/>
      <c r="Q66" s="30"/>
      <c r="R66" s="30"/>
      <c r="S66" s="30"/>
      <c r="T66" s="6">
        <f>IF($G66=0,ROUND($E66/T$72,2),ROUND(($E66*$G66)/T$72,2))</f>
        <v>0.18</v>
      </c>
      <c r="U66" s="30"/>
      <c r="V66" s="30">
        <f>($I66/27)*(V$72/12)</f>
        <v>0.5042592592592592</v>
      </c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 aca="true" t="shared" si="5" ref="R67:AE67">IF(SUM(R14:R66)=0," ",ROUNDUP(SUM(R14:R66),0))</f>
        <v> </v>
      </c>
      <c r="S67" s="125" t="str">
        <f t="shared" si="5"/>
        <v> </v>
      </c>
      <c r="T67" s="125">
        <f t="shared" si="5"/>
        <v>117</v>
      </c>
      <c r="U67" s="125" t="str">
        <f t="shared" si="5"/>
        <v> </v>
      </c>
      <c r="V67" s="125">
        <f t="shared" si="5"/>
        <v>360</v>
      </c>
      <c r="W67" s="125" t="str">
        <f t="shared" si="5"/>
        <v> </v>
      </c>
      <c r="X67" s="125" t="str">
        <f t="shared" si="5"/>
        <v> </v>
      </c>
      <c r="Y67" s="125" t="str">
        <f t="shared" si="5"/>
        <v> </v>
      </c>
      <c r="Z67" s="125" t="str">
        <f t="shared" si="5"/>
        <v> </v>
      </c>
      <c r="AA67" s="125" t="str">
        <f t="shared" si="5"/>
        <v> </v>
      </c>
      <c r="AB67" s="125" t="str">
        <f t="shared" si="5"/>
        <v> </v>
      </c>
      <c r="AC67" s="125" t="str">
        <f t="shared" si="5"/>
        <v> </v>
      </c>
      <c r="AD67" s="125" t="str">
        <f t="shared" si="5"/>
        <v> </v>
      </c>
      <c r="AE67" s="125" t="str">
        <f t="shared" si="5"/>
        <v> </v>
      </c>
      <c r="AF67" s="145">
        <v>6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50"/>
      <c r="U68" s="126"/>
      <c r="V68" s="126"/>
      <c r="W68" s="150"/>
      <c r="X68" s="126"/>
      <c r="Y68" s="150"/>
      <c r="Z68" s="150"/>
      <c r="AA68" s="126"/>
      <c r="AB68" s="126"/>
      <c r="AC68" s="150"/>
      <c r="AD68" s="126"/>
      <c r="AE68" s="150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>
        <v>100</v>
      </c>
      <c r="U72" s="58"/>
      <c r="V72" s="79">
        <v>2</v>
      </c>
      <c r="W72" s="78"/>
      <c r="X72" s="59"/>
      <c r="Y72" s="58"/>
      <c r="Z72" s="58"/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1">
    <mergeCell ref="AF51:AG66"/>
    <mergeCell ref="AF6:AG50"/>
    <mergeCell ref="B14:I14"/>
    <mergeCell ref="AA67:AA68"/>
    <mergeCell ref="AB67:AB68"/>
    <mergeCell ref="Z67:Z68"/>
    <mergeCell ref="B67:Q68"/>
    <mergeCell ref="AC67:AC68"/>
    <mergeCell ref="AD67:AD68"/>
    <mergeCell ref="AF68:AG68"/>
    <mergeCell ref="AD4:AD11"/>
    <mergeCell ref="AE4:AE11"/>
    <mergeCell ref="X4:X11"/>
    <mergeCell ref="Y4:Y11"/>
    <mergeCell ref="Z4:Z11"/>
    <mergeCell ref="AA4:AA11"/>
    <mergeCell ref="R67:R68"/>
    <mergeCell ref="S67:S68"/>
    <mergeCell ref="T67:T68"/>
    <mergeCell ref="U67:U68"/>
    <mergeCell ref="AE67:AE68"/>
    <mergeCell ref="AF67:AG67"/>
    <mergeCell ref="V67:V68"/>
    <mergeCell ref="W67:W68"/>
    <mergeCell ref="X67:X68"/>
    <mergeCell ref="Y67:Y68"/>
    <mergeCell ref="AB4:AB11"/>
    <mergeCell ref="AC4:AC11"/>
    <mergeCell ref="P3:P11"/>
    <mergeCell ref="Q3:Q11"/>
    <mergeCell ref="AF3:AF5"/>
    <mergeCell ref="AG3:AG5"/>
    <mergeCell ref="R4:R11"/>
    <mergeCell ref="S4:S11"/>
    <mergeCell ref="T4:T11"/>
    <mergeCell ref="U4:U11"/>
    <mergeCell ref="V4:V11"/>
    <mergeCell ref="W4:W11"/>
    <mergeCell ref="J3:J11"/>
    <mergeCell ref="K3:K11"/>
    <mergeCell ref="L3:L11"/>
    <mergeCell ref="M3:M11"/>
    <mergeCell ref="N3:N11"/>
    <mergeCell ref="O3:O11"/>
    <mergeCell ref="B3:C11"/>
    <mergeCell ref="D3:D11"/>
    <mergeCell ref="E3:E11"/>
    <mergeCell ref="F3:F11"/>
    <mergeCell ref="G3:G11"/>
    <mergeCell ref="I3:I11"/>
    <mergeCell ref="H3:H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view="pageBreakPreview" zoomScale="50" zoomScaleNormal="25" zoomScaleSheetLayoutView="50" workbookViewId="0" topLeftCell="A1">
      <selection activeCell="K41" sqref="K41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>
        <v>209</v>
      </c>
      <c r="U3" s="50"/>
      <c r="V3" s="76">
        <v>441</v>
      </c>
      <c r="W3" s="50"/>
      <c r="X3" s="50"/>
      <c r="Y3" s="50"/>
      <c r="Z3" s="50"/>
      <c r="AA3" s="50"/>
      <c r="AB3" s="50"/>
      <c r="AC3" s="50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 t="s">
        <v>72</v>
      </c>
      <c r="U4" s="99"/>
      <c r="V4" s="147" t="s">
        <v>73</v>
      </c>
      <c r="W4" s="99"/>
      <c r="X4" s="99"/>
      <c r="Y4" s="102"/>
      <c r="Z4" s="99"/>
      <c r="AA4" s="102"/>
      <c r="AB4" s="102"/>
      <c r="AC4" s="99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0"/>
      <c r="Y5" s="103"/>
      <c r="Z5" s="100"/>
      <c r="AA5" s="103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0"/>
      <c r="Y6" s="103"/>
      <c r="Z6" s="100"/>
      <c r="AA6" s="103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0"/>
      <c r="Y7" s="103"/>
      <c r="Z7" s="100"/>
      <c r="AA7" s="103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0"/>
      <c r="Y8" s="103"/>
      <c r="Z8" s="100"/>
      <c r="AA8" s="103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0"/>
      <c r="Y9" s="103"/>
      <c r="Z9" s="100"/>
      <c r="AA9" s="103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0"/>
      <c r="Y10" s="103"/>
      <c r="Z10" s="100"/>
      <c r="AA10" s="103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1"/>
      <c r="Y11" s="104"/>
      <c r="Z11" s="101"/>
      <c r="AA11" s="104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25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 t="s">
        <v>74</v>
      </c>
      <c r="U12" s="52"/>
      <c r="V12" s="77" t="s">
        <v>34</v>
      </c>
      <c r="W12" s="52"/>
      <c r="X12" s="52"/>
      <c r="Y12" s="52"/>
      <c r="Z12" s="52"/>
      <c r="AA12" s="52"/>
      <c r="AB12" s="52"/>
      <c r="AC12" s="52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75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43</v>
      </c>
      <c r="C15" s="28"/>
      <c r="D15" s="29"/>
      <c r="E15" s="30"/>
      <c r="F15" s="37"/>
      <c r="G15" s="3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14">
        <v>46962.5</v>
      </c>
      <c r="C16" s="14">
        <v>46980.65</v>
      </c>
      <c r="D16" s="3" t="s">
        <v>41</v>
      </c>
      <c r="E16" s="1">
        <f aca="true" t="shared" si="1" ref="E16:E45">C16-B16</f>
        <v>18.150000000001455</v>
      </c>
      <c r="F16" s="1">
        <v>4.5</v>
      </c>
      <c r="G16" s="1"/>
      <c r="H16" s="30"/>
      <c r="I16" s="30">
        <f aca="true" t="shared" si="2" ref="I16:I45">IF(G16=0,ROUND($E16*$F16,2),ROUND($E16*$F16*$G16,2))</f>
        <v>81.68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>
        <f>IF($G16=0,ROUND($E16/T$72,2),ROUND(($E16*$G16)/T$72,2))</f>
        <v>0.18</v>
      </c>
      <c r="U16" s="30"/>
      <c r="V16" s="30">
        <f>($I16/27)*(V$72/12)</f>
        <v>0.5041975308641975</v>
      </c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14">
        <f>C16</f>
        <v>46980.65</v>
      </c>
      <c r="C17" s="14">
        <v>47254.68</v>
      </c>
      <c r="D17" s="3" t="s">
        <v>41</v>
      </c>
      <c r="E17" s="1">
        <f t="shared" si="1"/>
        <v>274.02999999999884</v>
      </c>
      <c r="F17" s="1">
        <v>5</v>
      </c>
      <c r="G17" s="1"/>
      <c r="H17" s="30"/>
      <c r="I17" s="30">
        <f t="shared" si="2"/>
        <v>1370.15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>
        <f>IF($G17=0,ROUND($E17/T$72,2),ROUND(($E17*$G17)/T$72,2))</f>
        <v>2.74</v>
      </c>
      <c r="U17" s="30"/>
      <c r="V17" s="30">
        <f aca="true" t="shared" si="3" ref="V17:V32">($I17/27)*(V$72/12)</f>
        <v>8.457716049382716</v>
      </c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27">
        <f>C17</f>
        <v>47254.68</v>
      </c>
      <c r="C18" s="14">
        <v>47345.51</v>
      </c>
      <c r="D18" s="3" t="s">
        <v>41</v>
      </c>
      <c r="E18" s="1">
        <f>C18-B18</f>
        <v>90.83000000000175</v>
      </c>
      <c r="F18" s="1">
        <v>5</v>
      </c>
      <c r="G18" s="32">
        <f>ROUND((3904.072-70-($F18/2))/3904.072,4)</f>
        <v>0.9814</v>
      </c>
      <c r="H18" s="30"/>
      <c r="I18" s="30">
        <f t="shared" si="2"/>
        <v>445.7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">
        <f>IF($G18=0,ROUND($E18/T$72,2),ROUND(($E18*$G18)/T$72,2))</f>
        <v>0.89</v>
      </c>
      <c r="U18" s="30"/>
      <c r="V18" s="30">
        <f t="shared" si="3"/>
        <v>2.751234567901234</v>
      </c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33"/>
      <c r="C19" s="35"/>
      <c r="D19" s="29"/>
      <c r="E19" s="30"/>
      <c r="F19" s="30"/>
      <c r="G19" s="30"/>
      <c r="H19" s="30"/>
      <c r="I19" s="30"/>
      <c r="J19" s="30"/>
      <c r="K19" s="30"/>
      <c r="L19" s="29"/>
      <c r="M19" s="29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v>48084.09</v>
      </c>
      <c r="C20" s="14">
        <v>48663.69</v>
      </c>
      <c r="D20" s="3" t="s">
        <v>41</v>
      </c>
      <c r="E20" s="1">
        <f>C20-B20</f>
        <v>579.6000000000058</v>
      </c>
      <c r="F20" s="1">
        <v>5</v>
      </c>
      <c r="G20" s="32">
        <f>ROUND((3904.072-70-($F20/2))/3904.072,4)</f>
        <v>0.9814</v>
      </c>
      <c r="H20" s="30"/>
      <c r="I20" s="30">
        <f>IF(G20=0,ROUND($E20*$F20,2),ROUND($E20*$F20*$G20,2))</f>
        <v>2844.1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>
        <f>IF($G20=0,ROUND($E20/T$72,2),ROUND(($E20*$G20)/T$72,2))</f>
        <v>5.69</v>
      </c>
      <c r="U20" s="30"/>
      <c r="V20" s="30">
        <f t="shared" si="3"/>
        <v>17.55617283950617</v>
      </c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/>
      <c r="C21" s="14"/>
      <c r="D21" s="3"/>
      <c r="E21" s="1"/>
      <c r="F21" s="1"/>
      <c r="G21" s="32"/>
      <c r="H21" s="30"/>
      <c r="I21" s="30"/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14">
        <v>50200</v>
      </c>
      <c r="C22" s="14">
        <v>50203.04</v>
      </c>
      <c r="D22" s="3" t="s">
        <v>41</v>
      </c>
      <c r="E22" s="1">
        <f>C22-B22</f>
        <v>3.040000000000873</v>
      </c>
      <c r="F22" s="1">
        <v>4.5</v>
      </c>
      <c r="G22" s="1"/>
      <c r="H22" s="30"/>
      <c r="I22" s="30">
        <f>IF(G22=0,ROUND($E22*$F22,2),ROUND($E22*$F22*$G22,2))</f>
        <v>13.68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>
        <f>IF($G22=0,ROUND($E22/T$72,2),ROUND(($E22*$G22)/T$72,2))</f>
        <v>0.03</v>
      </c>
      <c r="U22" s="30"/>
      <c r="V22" s="30">
        <f t="shared" si="3"/>
        <v>0.08444444444444445</v>
      </c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14">
        <f>C22</f>
        <v>50203.04</v>
      </c>
      <c r="C23" s="14">
        <v>50218.14</v>
      </c>
      <c r="D23" s="3" t="s">
        <v>41</v>
      </c>
      <c r="E23" s="1">
        <f>C23-B23</f>
        <v>15.099999999998545</v>
      </c>
      <c r="F23" s="1">
        <v>4.5</v>
      </c>
      <c r="G23" s="32">
        <f>ROUND(((2864.79+((59.475+59.173)/2)+($F23/2))/2864.79+1)/2,4)</f>
        <v>1.0107</v>
      </c>
      <c r="H23" s="30"/>
      <c r="I23" s="30">
        <f>IF(G23=0,ROUND($E23*$F23,2),ROUND($E23*$F23*$G23,2))</f>
        <v>68.68</v>
      </c>
      <c r="J23" s="1"/>
      <c r="K23" s="30"/>
      <c r="L23" s="30"/>
      <c r="M23" s="30"/>
      <c r="N23" s="30"/>
      <c r="O23" s="30"/>
      <c r="P23" s="30"/>
      <c r="Q23" s="30"/>
      <c r="R23" s="30"/>
      <c r="S23" s="30"/>
      <c r="T23" s="6">
        <f>IF($G23=0,ROUND($E23/T$72,2),ROUND(($E23*$G23)/T$72,2))</f>
        <v>0.15</v>
      </c>
      <c r="U23" s="30"/>
      <c r="V23" s="30">
        <f t="shared" si="3"/>
        <v>0.42395061728395067</v>
      </c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>
        <f>C23</f>
        <v>50218.14</v>
      </c>
      <c r="C24" s="14">
        <v>50243.78</v>
      </c>
      <c r="D24" s="3" t="s">
        <v>41</v>
      </c>
      <c r="E24" s="1">
        <f>C24-B24</f>
        <v>25.639999999999418</v>
      </c>
      <c r="F24" s="1">
        <v>5</v>
      </c>
      <c r="G24" s="32">
        <f>ROUND(((2864.79+((59.475+60)/2)+($F24/2))/2864.79+1)/2,4)</f>
        <v>1.0109</v>
      </c>
      <c r="H24" s="30"/>
      <c r="I24" s="30">
        <f>IF(G24=0,ROUND($E24*$F24,2),ROUND($E24*$F24*$G24,2))</f>
        <v>129.6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>
        <f>IF($G24=0,ROUND($E24/T$72,2),ROUND(($E24*$G24)/T$72,2))</f>
        <v>0.26</v>
      </c>
      <c r="U24" s="30"/>
      <c r="V24" s="30">
        <f t="shared" si="3"/>
        <v>0.7999999999999999</v>
      </c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14"/>
      <c r="C25" s="14"/>
      <c r="D25" s="3"/>
      <c r="E25" s="1"/>
      <c r="F25" s="1"/>
      <c r="G25" s="32"/>
      <c r="H25" s="30"/>
      <c r="I25" s="30"/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14">
        <v>50930.71</v>
      </c>
      <c r="C26" s="14">
        <v>50948.56</v>
      </c>
      <c r="D26" s="3" t="s">
        <v>41</v>
      </c>
      <c r="E26" s="1">
        <f>C26-B26</f>
        <v>17.849999999998545</v>
      </c>
      <c r="F26" s="1">
        <v>4.5</v>
      </c>
      <c r="G26" s="32">
        <f>ROUND((2864.79+46+($F26/2))/2864.79,4)</f>
        <v>1.0168</v>
      </c>
      <c r="H26" s="30"/>
      <c r="I26" s="30">
        <f>IF(G26=0,ROUND($E26*$F26,2),ROUND($E26*$F26*$G26,2))</f>
        <v>81.67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>
        <f>IF($G26=0,ROUND($E26/T$72,2),ROUND(($E26*$G26)/T$72,2))</f>
        <v>0.18</v>
      </c>
      <c r="U26" s="30"/>
      <c r="V26" s="30">
        <f t="shared" si="3"/>
        <v>0.5041358024691358</v>
      </c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14">
        <f>C26</f>
        <v>50948.56</v>
      </c>
      <c r="C27" s="14">
        <v>51146.12</v>
      </c>
      <c r="D27" s="3" t="s">
        <v>41</v>
      </c>
      <c r="E27" s="1">
        <f>C27-B27</f>
        <v>197.56000000000495</v>
      </c>
      <c r="F27" s="1">
        <v>5</v>
      </c>
      <c r="G27" s="32">
        <f>ROUND((2864.79+46+($F27/2))/2864.79,4)</f>
        <v>1.0169</v>
      </c>
      <c r="H27" s="30"/>
      <c r="I27" s="30">
        <f>IF(G27=0,ROUND($E27*$F27,2),ROUND($E27*$F27*$G27,2))</f>
        <v>1004.49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6">
        <f>IF($G27=0,ROUND($E27/T$72,2),ROUND(($E27*$G27)/T$72,2))</f>
        <v>2.01</v>
      </c>
      <c r="U27" s="30"/>
      <c r="V27" s="30">
        <f t="shared" si="3"/>
        <v>6.200555555555555</v>
      </c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14"/>
      <c r="C28" s="14"/>
      <c r="D28" s="3"/>
      <c r="E28" s="1"/>
      <c r="F28" s="1"/>
      <c r="G28" s="32"/>
      <c r="H28" s="30"/>
      <c r="I28" s="30"/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>
        <v>47395.11</v>
      </c>
      <c r="C29" s="14">
        <v>47413.21</v>
      </c>
      <c r="D29" s="3" t="s">
        <v>37</v>
      </c>
      <c r="E29" s="1">
        <f t="shared" si="1"/>
        <v>18.099999999998545</v>
      </c>
      <c r="F29" s="1">
        <v>4.5</v>
      </c>
      <c r="G29" s="32">
        <f>ROUND((3904.072+10+($F29/2))/3904.072,4)</f>
        <v>1.0031</v>
      </c>
      <c r="H29" s="30"/>
      <c r="I29" s="30">
        <f t="shared" si="2"/>
        <v>81.7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">
        <f>IF($G29=0,ROUND($E29/T$72,2),ROUND(($E29*$G29)/T$72,2))</f>
        <v>0.18</v>
      </c>
      <c r="U29" s="30"/>
      <c r="V29" s="30">
        <f t="shared" si="3"/>
        <v>0.504320987654321</v>
      </c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f>C29</f>
        <v>47413.21</v>
      </c>
      <c r="C30" s="14">
        <v>48473.31</v>
      </c>
      <c r="D30" s="3" t="s">
        <v>37</v>
      </c>
      <c r="E30" s="1">
        <f t="shared" si="1"/>
        <v>1060.0999999999985</v>
      </c>
      <c r="F30" s="1">
        <v>5</v>
      </c>
      <c r="G30" s="1"/>
      <c r="H30" s="30"/>
      <c r="I30" s="30">
        <f t="shared" si="2"/>
        <v>5300.5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">
        <f>IF($G30=0,ROUND($E30/T$72,2),ROUND(($E30*$G30)/T$72,2))</f>
        <v>10.6</v>
      </c>
      <c r="U30" s="30"/>
      <c r="V30" s="30">
        <f t="shared" si="3"/>
        <v>32.71913580246913</v>
      </c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14"/>
      <c r="C31" s="14"/>
      <c r="D31" s="3"/>
      <c r="E31" s="1"/>
      <c r="F31" s="1"/>
      <c r="G31" s="32"/>
      <c r="H31" s="30"/>
      <c r="I31" s="30"/>
      <c r="J31" s="1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14">
        <v>49557.46</v>
      </c>
      <c r="C32" s="14">
        <v>49657.49</v>
      </c>
      <c r="D32" s="3" t="s">
        <v>37</v>
      </c>
      <c r="E32" s="1">
        <f t="shared" si="1"/>
        <v>100.02999999999884</v>
      </c>
      <c r="F32" s="1">
        <v>5</v>
      </c>
      <c r="G32" s="1"/>
      <c r="H32" s="30"/>
      <c r="I32" s="30">
        <f t="shared" si="2"/>
        <v>500.15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>
        <f>IF($G32=0,ROUND($E32/T$72,2),ROUND(($E32*$G32)/T$72,2))</f>
        <v>1</v>
      </c>
      <c r="U32" s="30"/>
      <c r="V32" s="30">
        <f t="shared" si="3"/>
        <v>3.087345679012345</v>
      </c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14">
        <f>C32</f>
        <v>49657.49</v>
      </c>
      <c r="C33" s="14">
        <v>49694.61</v>
      </c>
      <c r="D33" s="3" t="s">
        <v>37</v>
      </c>
      <c r="E33" s="1">
        <f t="shared" si="1"/>
        <v>37.12000000000262</v>
      </c>
      <c r="F33" s="151" t="s">
        <v>40</v>
      </c>
      <c r="G33" s="152"/>
      <c r="H33" s="152"/>
      <c r="I33" s="153"/>
      <c r="J33" s="1">
        <v>339.81</v>
      </c>
      <c r="K33" s="30"/>
      <c r="L33" s="30"/>
      <c r="M33" s="30"/>
      <c r="N33" s="30"/>
      <c r="O33" s="30"/>
      <c r="P33" s="30"/>
      <c r="Q33" s="30"/>
      <c r="R33" s="30"/>
      <c r="S33" s="30"/>
      <c r="T33" s="6">
        <f>IF($G33=0,ROUND($E33/T$72,2),ROUND(($E33*$G33)/T$72,2))</f>
        <v>0.37</v>
      </c>
      <c r="U33" s="30"/>
      <c r="V33" s="30">
        <f>($J33/27)*(V$72/12)</f>
        <v>2.0975925925925925</v>
      </c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/>
      <c r="C34" s="14"/>
      <c r="D34" s="3"/>
      <c r="E34" s="1"/>
      <c r="F34" s="1"/>
      <c r="G34" s="32"/>
      <c r="H34" s="30"/>
      <c r="I34" s="30"/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4">
        <v>50148.92</v>
      </c>
      <c r="C35" s="14">
        <v>50152.18</v>
      </c>
      <c r="D35" s="3" t="s">
        <v>37</v>
      </c>
      <c r="E35" s="1">
        <f t="shared" si="1"/>
        <v>3.2600000000020373</v>
      </c>
      <c r="F35" s="1">
        <v>4.5</v>
      </c>
      <c r="G35" s="1"/>
      <c r="H35" s="30"/>
      <c r="I35" s="30">
        <f t="shared" si="2"/>
        <v>14.67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>
        <f aca="true" t="shared" si="4" ref="T35:T42">IF($G35=0,ROUND($E35/T$72,2),ROUND(($E35*$G35)/T$72,2))</f>
        <v>0.03</v>
      </c>
      <c r="U35" s="30"/>
      <c r="V35" s="30">
        <f aca="true" t="shared" si="5" ref="V35:V42">($I35/27)*(V$72/12)</f>
        <v>0.09055555555555556</v>
      </c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>
        <f aca="true" t="shared" si="6" ref="B36:B42">C35</f>
        <v>50152.18</v>
      </c>
      <c r="C36" s="14">
        <v>50203.04</v>
      </c>
      <c r="D36" s="3" t="s">
        <v>37</v>
      </c>
      <c r="E36" s="1">
        <f t="shared" si="1"/>
        <v>50.86000000000058</v>
      </c>
      <c r="F36" s="1">
        <v>5</v>
      </c>
      <c r="G36" s="1"/>
      <c r="H36" s="30"/>
      <c r="I36" s="30">
        <f t="shared" si="2"/>
        <v>254.3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>
        <f t="shared" si="4"/>
        <v>0.51</v>
      </c>
      <c r="U36" s="30"/>
      <c r="V36" s="30">
        <f t="shared" si="5"/>
        <v>1.569753086419753</v>
      </c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>
        <f t="shared" si="6"/>
        <v>50203.04</v>
      </c>
      <c r="C37" s="14">
        <v>50395.44</v>
      </c>
      <c r="D37" s="3" t="s">
        <v>37</v>
      </c>
      <c r="E37" s="1">
        <f t="shared" si="1"/>
        <v>192.40000000000146</v>
      </c>
      <c r="F37" s="1">
        <v>5</v>
      </c>
      <c r="G37" s="32">
        <f>ROUND(((2864.79-20-($F37/2))/2864.79+1)/2,4)</f>
        <v>0.9961</v>
      </c>
      <c r="H37" s="30"/>
      <c r="I37" s="30">
        <f t="shared" si="2"/>
        <v>958.25</v>
      </c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>
        <f t="shared" si="4"/>
        <v>1.92</v>
      </c>
      <c r="U37" s="30"/>
      <c r="V37" s="30">
        <f t="shared" si="5"/>
        <v>5.915123456790123</v>
      </c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27">
        <f t="shared" si="6"/>
        <v>50395.44</v>
      </c>
      <c r="C38" s="14">
        <v>50495.44</v>
      </c>
      <c r="D38" s="3" t="s">
        <v>37</v>
      </c>
      <c r="E38" s="1">
        <f t="shared" si="1"/>
        <v>100</v>
      </c>
      <c r="F38" s="1">
        <v>5</v>
      </c>
      <c r="G38" s="32">
        <f>ROUND(((2864.79-((20+10)/2)-($F38/2))/2864.79+1)/2,4)</f>
        <v>0.9969</v>
      </c>
      <c r="H38" s="30"/>
      <c r="I38" s="30">
        <f t="shared" si="2"/>
        <v>498.45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>
        <f t="shared" si="4"/>
        <v>1</v>
      </c>
      <c r="U38" s="30"/>
      <c r="V38" s="30">
        <f t="shared" si="5"/>
        <v>3.0768518518518517</v>
      </c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27">
        <f t="shared" si="6"/>
        <v>50495.44</v>
      </c>
      <c r="C39" s="14">
        <v>50603.04</v>
      </c>
      <c r="D39" s="3" t="s">
        <v>37</v>
      </c>
      <c r="E39" s="30">
        <f t="shared" si="1"/>
        <v>107.59999999999854</v>
      </c>
      <c r="F39" s="1">
        <v>5</v>
      </c>
      <c r="G39" s="32">
        <f>ROUND(((2864.79-10-($F39/2))/2864.79+1)/2,4)</f>
        <v>0.9978</v>
      </c>
      <c r="H39" s="30"/>
      <c r="I39" s="30">
        <f t="shared" si="2"/>
        <v>536.82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6">
        <f t="shared" si="4"/>
        <v>1.07</v>
      </c>
      <c r="U39" s="30"/>
      <c r="V39" s="30">
        <f t="shared" si="5"/>
        <v>3.313703703703704</v>
      </c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14">
        <f t="shared" si="6"/>
        <v>50603.04</v>
      </c>
      <c r="C40" s="14">
        <v>50775</v>
      </c>
      <c r="D40" s="3" t="s">
        <v>37</v>
      </c>
      <c r="E40" s="30">
        <f t="shared" si="1"/>
        <v>171.95999999999913</v>
      </c>
      <c r="F40" s="1">
        <v>5</v>
      </c>
      <c r="G40" s="32">
        <f>ROUND((2864.79-10-($F40/2))/2864.79,4)</f>
        <v>0.9956</v>
      </c>
      <c r="H40" s="30"/>
      <c r="I40" s="30">
        <f t="shared" si="2"/>
        <v>856.02</v>
      </c>
      <c r="J40" s="1"/>
      <c r="K40" s="30"/>
      <c r="L40" s="30"/>
      <c r="M40" s="30"/>
      <c r="N40" s="30"/>
      <c r="O40" s="30"/>
      <c r="P40" s="30"/>
      <c r="Q40" s="30"/>
      <c r="R40" s="30"/>
      <c r="S40" s="30"/>
      <c r="T40" s="6">
        <f t="shared" si="4"/>
        <v>1.71</v>
      </c>
      <c r="U40" s="30"/>
      <c r="V40" s="30">
        <f t="shared" si="5"/>
        <v>5.2840740740740735</v>
      </c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14">
        <f t="shared" si="6"/>
        <v>50775</v>
      </c>
      <c r="C41" s="14">
        <v>50794</v>
      </c>
      <c r="D41" s="3" t="s">
        <v>37</v>
      </c>
      <c r="E41" s="30">
        <f t="shared" si="1"/>
        <v>19</v>
      </c>
      <c r="F41" s="1">
        <v>5</v>
      </c>
      <c r="G41" s="32">
        <f>ROUND((2864.79-((10+7)/2)-($F41/2))/2864.79,4)</f>
        <v>0.9962</v>
      </c>
      <c r="H41" s="30"/>
      <c r="I41" s="30">
        <f t="shared" si="2"/>
        <v>94.64</v>
      </c>
      <c r="J41" s="1"/>
      <c r="K41" s="30"/>
      <c r="L41" s="30"/>
      <c r="M41" s="30"/>
      <c r="N41" s="30"/>
      <c r="O41" s="30"/>
      <c r="P41" s="30"/>
      <c r="Q41" s="30"/>
      <c r="R41" s="30"/>
      <c r="S41" s="30"/>
      <c r="T41" s="6">
        <f t="shared" si="4"/>
        <v>0.19</v>
      </c>
      <c r="U41" s="30"/>
      <c r="V41" s="30">
        <f t="shared" si="5"/>
        <v>0.5841975308641976</v>
      </c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14">
        <f t="shared" si="6"/>
        <v>50794</v>
      </c>
      <c r="C42" s="14">
        <v>50804.86</v>
      </c>
      <c r="D42" s="3" t="s">
        <v>37</v>
      </c>
      <c r="E42" s="30">
        <f t="shared" si="1"/>
        <v>10.860000000000582</v>
      </c>
      <c r="F42" s="1">
        <v>5</v>
      </c>
      <c r="G42" s="32">
        <f>ROUND((2864.79-7-($F42/2))/2864.79,4)</f>
        <v>0.9967</v>
      </c>
      <c r="H42" s="30"/>
      <c r="I42" s="30">
        <f t="shared" si="2"/>
        <v>54.12</v>
      </c>
      <c r="J42" s="1"/>
      <c r="K42" s="30"/>
      <c r="L42" s="30"/>
      <c r="M42" s="30"/>
      <c r="N42" s="30"/>
      <c r="O42" s="30"/>
      <c r="P42" s="30"/>
      <c r="Q42" s="30"/>
      <c r="R42" s="1"/>
      <c r="S42" s="30"/>
      <c r="T42" s="6">
        <f t="shared" si="4"/>
        <v>0.11</v>
      </c>
      <c r="U42" s="30"/>
      <c r="V42" s="30">
        <f t="shared" si="5"/>
        <v>0.334074074074074</v>
      </c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28"/>
      <c r="C43" s="28"/>
      <c r="D43" s="3"/>
      <c r="E43" s="30"/>
      <c r="F43" s="1"/>
      <c r="G43" s="32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14">
        <v>50873.02</v>
      </c>
      <c r="C44" s="14">
        <v>50891.21</v>
      </c>
      <c r="D44" s="3" t="s">
        <v>37</v>
      </c>
      <c r="E44" s="1">
        <f t="shared" si="1"/>
        <v>18.19000000000233</v>
      </c>
      <c r="F44" s="1">
        <v>4.5</v>
      </c>
      <c r="G44" s="32">
        <f>ROUND((2864.79-7-($F44/2))/2864.79,4)</f>
        <v>0.9968</v>
      </c>
      <c r="H44" s="30"/>
      <c r="I44" s="30">
        <f t="shared" si="2"/>
        <v>81.59</v>
      </c>
      <c r="J44" s="30"/>
      <c r="K44" s="54"/>
      <c r="L44" s="30"/>
      <c r="M44" s="30"/>
      <c r="N44" s="30"/>
      <c r="O44" s="30"/>
      <c r="P44" s="30"/>
      <c r="Q44" s="30"/>
      <c r="R44" s="30"/>
      <c r="S44" s="30"/>
      <c r="T44" s="6">
        <f>IF($G44=0,ROUND($E44/T$72,2),ROUND(($E44*$G44)/T$72,2))</f>
        <v>0.18</v>
      </c>
      <c r="U44" s="30"/>
      <c r="V44" s="30">
        <f>($I44/27)*(V$72/12)</f>
        <v>0.503641975308642</v>
      </c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>
        <f>C44</f>
        <v>50891.21</v>
      </c>
      <c r="C45" s="14">
        <v>50925</v>
      </c>
      <c r="D45" s="3" t="s">
        <v>37</v>
      </c>
      <c r="E45" s="1">
        <f t="shared" si="1"/>
        <v>33.79000000000087</v>
      </c>
      <c r="F45" s="1">
        <v>5</v>
      </c>
      <c r="G45" s="32">
        <f>ROUND((2864.79-7-($F45/2))/2864.79,4)</f>
        <v>0.9967</v>
      </c>
      <c r="H45" s="30"/>
      <c r="I45" s="30">
        <f t="shared" si="2"/>
        <v>168.39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>
        <f>IF($G45=0,ROUND($E45/T$72,2),ROUND(($E45*$G45)/T$72,2))</f>
        <v>0.34</v>
      </c>
      <c r="U45" s="30"/>
      <c r="V45" s="30">
        <f>($I45/27)*(V$72/12)</f>
        <v>1.0394444444444444</v>
      </c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14">
        <f>C45</f>
        <v>50925</v>
      </c>
      <c r="C46" s="14">
        <v>51000</v>
      </c>
      <c r="D46" s="3" t="s">
        <v>37</v>
      </c>
      <c r="E46" s="1">
        <f>C46-B46</f>
        <v>75</v>
      </c>
      <c r="F46" s="1">
        <v>5</v>
      </c>
      <c r="G46" s="32">
        <f>ROUND((2864.79-((10+7)/2)-($F46/2))/2864.79,4)</f>
        <v>0.9962</v>
      </c>
      <c r="H46" s="30"/>
      <c r="I46" s="30">
        <f>IF(G46=0,ROUND($E46*$F46,2),ROUND($E46*$F46*$G46,2))</f>
        <v>373.58</v>
      </c>
      <c r="J46" s="1"/>
      <c r="K46" s="56"/>
      <c r="L46" s="30"/>
      <c r="M46" s="30"/>
      <c r="N46" s="30"/>
      <c r="O46" s="30"/>
      <c r="P46" s="30"/>
      <c r="Q46" s="56"/>
      <c r="R46" s="30"/>
      <c r="S46" s="30"/>
      <c r="T46" s="6">
        <f>IF($G46=0,ROUND($E46/T$72,2),ROUND(($E46*$G46)/T$72,2))</f>
        <v>0.75</v>
      </c>
      <c r="U46" s="30"/>
      <c r="V46" s="30">
        <f>($I46/27)*(V$72/12)</f>
        <v>2.306049382716049</v>
      </c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14">
        <f>C46</f>
        <v>51000</v>
      </c>
      <c r="C47" s="14">
        <v>51495</v>
      </c>
      <c r="D47" s="3" t="s">
        <v>37</v>
      </c>
      <c r="E47" s="1">
        <f>C47-B47</f>
        <v>495</v>
      </c>
      <c r="F47" s="1">
        <v>5</v>
      </c>
      <c r="G47" s="32">
        <f>ROUND((2864.79-10-($F47/2))/2864.79,4)</f>
        <v>0.9956</v>
      </c>
      <c r="H47" s="30"/>
      <c r="I47" s="30">
        <f>IF(G47=0,ROUND($E47*$F47,2),ROUND($E47*$F47*$G47,2))</f>
        <v>2464.11</v>
      </c>
      <c r="J47" s="30"/>
      <c r="K47" s="56"/>
      <c r="L47" s="30"/>
      <c r="M47" s="30"/>
      <c r="N47" s="30"/>
      <c r="O47" s="30"/>
      <c r="P47" s="30"/>
      <c r="Q47" s="30"/>
      <c r="R47" s="30"/>
      <c r="S47" s="30"/>
      <c r="T47" s="6">
        <f>IF($G47=0,ROUND($E47/T$72,2),ROUND(($E47*$G47)/T$72,2))</f>
        <v>4.93</v>
      </c>
      <c r="U47" s="30"/>
      <c r="V47" s="30">
        <f>($I47/27)*(V$72/12)</f>
        <v>15.210555555555555</v>
      </c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27"/>
      <c r="C48" s="28"/>
      <c r="D48" s="3"/>
      <c r="E48" s="30"/>
      <c r="F48" s="1"/>
      <c r="G48" s="32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33" t="s">
        <v>52</v>
      </c>
      <c r="C49" s="35"/>
      <c r="D49" s="29"/>
      <c r="E49" s="30"/>
      <c r="F49" s="30"/>
      <c r="G49" s="30"/>
      <c r="H49" s="30"/>
      <c r="I49" s="30"/>
      <c r="J49" s="30"/>
      <c r="K49" s="30"/>
      <c r="L49" s="29"/>
      <c r="M49" s="29"/>
      <c r="N49" s="29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>
      <c r="A50" s="26">
        <f t="shared" si="0"/>
        <v>38</v>
      </c>
      <c r="B50" s="14">
        <v>25710.03</v>
      </c>
      <c r="C50" s="14">
        <v>26432.75</v>
      </c>
      <c r="D50" s="3" t="s">
        <v>41</v>
      </c>
      <c r="E50" s="1">
        <f>C50-B50</f>
        <v>722.7200000000012</v>
      </c>
      <c r="F50" s="1">
        <v>5</v>
      </c>
      <c r="G50" s="1"/>
      <c r="H50" s="30"/>
      <c r="I50" s="30">
        <f>IF(G50=0,ROUND($E50*$F50,2),ROUND($E50*$F50*$G50,2))</f>
        <v>3613.6</v>
      </c>
      <c r="J50" s="1"/>
      <c r="K50" s="30"/>
      <c r="L50" s="30"/>
      <c r="M50" s="30"/>
      <c r="N50" s="30"/>
      <c r="O50" s="30"/>
      <c r="P50" s="30"/>
      <c r="Q50" s="30"/>
      <c r="R50" s="30"/>
      <c r="S50" s="30"/>
      <c r="T50" s="6">
        <f>IF($G50=0,ROUND($E50/T$72,2),ROUND(($E50*$G50)/T$72,2))</f>
        <v>7.23</v>
      </c>
      <c r="U50" s="30"/>
      <c r="V50" s="30">
        <f>($I50/27)*(V$72/12)</f>
        <v>22.306172839506168</v>
      </c>
      <c r="W50" s="30"/>
      <c r="X50" s="30"/>
      <c r="Y50" s="30"/>
      <c r="Z50" s="30"/>
      <c r="AA50" s="30"/>
      <c r="AB50" s="30"/>
      <c r="AC50" s="30"/>
      <c r="AD50" s="30"/>
      <c r="AE50" s="30"/>
      <c r="AF50" s="110"/>
      <c r="AG50" s="111"/>
    </row>
    <row r="51" spans="1:33" s="19" customFormat="1" ht="21.75" customHeight="1">
      <c r="A51" s="26">
        <f t="shared" si="0"/>
        <v>39</v>
      </c>
      <c r="B51" s="14">
        <f>C50</f>
        <v>26432.75</v>
      </c>
      <c r="C51" s="14">
        <v>26470.74</v>
      </c>
      <c r="D51" s="3" t="s">
        <v>41</v>
      </c>
      <c r="E51" s="1">
        <f>C51-B51</f>
        <v>37.9900000000016</v>
      </c>
      <c r="F51" s="151" t="s">
        <v>40</v>
      </c>
      <c r="G51" s="152"/>
      <c r="H51" s="152"/>
      <c r="I51" s="153"/>
      <c r="J51" s="1">
        <v>301.674</v>
      </c>
      <c r="K51" s="30"/>
      <c r="L51" s="30"/>
      <c r="M51" s="30"/>
      <c r="N51" s="30"/>
      <c r="O51" s="30"/>
      <c r="P51" s="30"/>
      <c r="Q51" s="30"/>
      <c r="R51" s="30"/>
      <c r="S51" s="30"/>
      <c r="T51" s="6">
        <f>IF($G51=0,ROUND($E51/T$72,2),ROUND(($E51*$G51)/T$72,2))</f>
        <v>0.38</v>
      </c>
      <c r="U51" s="30"/>
      <c r="V51" s="30">
        <f>($I51/27)*(V$72/12)</f>
        <v>0</v>
      </c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/>
      <c r="C52" s="14"/>
      <c r="D52" s="3"/>
      <c r="E52" s="1"/>
      <c r="F52" s="1"/>
      <c r="G52" s="1"/>
      <c r="H52" s="30"/>
      <c r="I52" s="30"/>
      <c r="J52" s="1"/>
      <c r="K52" s="30"/>
      <c r="L52" s="30"/>
      <c r="M52" s="30"/>
      <c r="N52" s="30"/>
      <c r="O52" s="30"/>
      <c r="P52" s="30"/>
      <c r="Q52" s="30"/>
      <c r="R52" s="30"/>
      <c r="S52" s="30"/>
      <c r="T52" s="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14">
        <v>27845.1</v>
      </c>
      <c r="C53" s="14">
        <v>27981.23</v>
      </c>
      <c r="D53" s="3" t="s">
        <v>41</v>
      </c>
      <c r="E53" s="1">
        <f>C53-B53</f>
        <v>136.13000000000102</v>
      </c>
      <c r="F53" s="1">
        <v>5</v>
      </c>
      <c r="G53" s="92">
        <f>ROUND((5729.58+(AVERAGE(55.351,55.353,55.52,55.419,55.18))+($F53/2))/5729.58,4)</f>
        <v>1.0101</v>
      </c>
      <c r="H53" s="30"/>
      <c r="I53" s="30">
        <f>IF(G53=0,ROUND($E53*$F53,2),ROUND($E53*$F53*$G53,2))</f>
        <v>687.52</v>
      </c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6">
        <f>IF($G53=0,ROUND($E53/T$72,2),ROUND(($E53*$G53)/T$72,2))</f>
        <v>1.38</v>
      </c>
      <c r="U53" s="30"/>
      <c r="V53" s="30">
        <f>($I53/27)*(V$72/12)</f>
        <v>4.24395061728395</v>
      </c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27"/>
      <c r="C54" s="28"/>
      <c r="D54" s="29"/>
      <c r="E54" s="30"/>
      <c r="F54" s="31"/>
      <c r="G54" s="32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>
        <v>22325.02</v>
      </c>
      <c r="C55" s="14">
        <v>23112.5</v>
      </c>
      <c r="D55" s="3" t="s">
        <v>37</v>
      </c>
      <c r="E55" s="1">
        <f>C55-B55</f>
        <v>787.4799999999996</v>
      </c>
      <c r="F55" s="1">
        <v>5</v>
      </c>
      <c r="G55" s="1"/>
      <c r="H55" s="30"/>
      <c r="I55" s="30">
        <f>IF(G55=0,ROUND($E55*$F55,2),ROUND($E55*$F55*$G55,2))</f>
        <v>3937.4</v>
      </c>
      <c r="J55" s="1"/>
      <c r="K55" s="30"/>
      <c r="L55" s="30"/>
      <c r="M55" s="30"/>
      <c r="N55" s="30"/>
      <c r="O55" s="30"/>
      <c r="P55" s="30"/>
      <c r="Q55" s="30"/>
      <c r="R55" s="1"/>
      <c r="S55" s="30"/>
      <c r="T55" s="6">
        <f>IF($G55=0,ROUND($E55/T$72,2),ROUND(($E55*$G55)/T$72,2))</f>
        <v>7.87</v>
      </c>
      <c r="U55" s="30"/>
      <c r="V55" s="30">
        <f>($I55/27)*(V$72/12)</f>
        <v>24.30493827160494</v>
      </c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33"/>
      <c r="C56" s="14"/>
      <c r="D56" s="29"/>
      <c r="E56" s="30"/>
      <c r="F56" s="31"/>
      <c r="G56" s="3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14">
        <v>24878.78</v>
      </c>
      <c r="C57" s="14">
        <v>25085.44</v>
      </c>
      <c r="D57" s="3" t="s">
        <v>37</v>
      </c>
      <c r="E57" s="1">
        <f>C57-B57</f>
        <v>206.65999999999985</v>
      </c>
      <c r="F57" s="1">
        <v>5</v>
      </c>
      <c r="G57" s="1"/>
      <c r="H57" s="30"/>
      <c r="I57" s="30">
        <f>IF(G57=0,ROUND($E57*$F57,2),ROUND($E57*$F57*$G57,2))</f>
        <v>1033.3</v>
      </c>
      <c r="J57" s="1"/>
      <c r="K57" s="30"/>
      <c r="L57" s="30"/>
      <c r="M57" s="30"/>
      <c r="N57" s="30"/>
      <c r="O57" s="30"/>
      <c r="P57" s="30"/>
      <c r="Q57" s="30"/>
      <c r="R57" s="30"/>
      <c r="S57" s="30"/>
      <c r="T57" s="6">
        <f>IF($G57=0,ROUND($E57/T$72,2),ROUND(($E57*$G57)/T$72,2))</f>
        <v>2.07</v>
      </c>
      <c r="U57" s="30"/>
      <c r="V57" s="30">
        <f>($I57/27)*(V$72/12)</f>
        <v>6.378395061728394</v>
      </c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/>
      <c r="C58" s="14"/>
      <c r="D58" s="3"/>
      <c r="E58" s="1"/>
      <c r="F58" s="1"/>
      <c r="G58" s="3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14">
        <v>26132</v>
      </c>
      <c r="C59" s="14">
        <v>26196.5</v>
      </c>
      <c r="D59" s="3" t="s">
        <v>37</v>
      </c>
      <c r="E59" s="1">
        <f>C59-B59</f>
        <v>64.5</v>
      </c>
      <c r="F59" s="1">
        <v>8</v>
      </c>
      <c r="G59" s="1"/>
      <c r="H59" s="30"/>
      <c r="I59" s="30">
        <f>IF(G59=0,ROUND($E59*$F59,2),ROUND($E59*$F59*$G59,2))</f>
        <v>516</v>
      </c>
      <c r="J59" s="1"/>
      <c r="K59" s="30"/>
      <c r="L59" s="30"/>
      <c r="M59" s="30"/>
      <c r="N59" s="30"/>
      <c r="O59" s="30"/>
      <c r="P59" s="30"/>
      <c r="Q59" s="30"/>
      <c r="R59" s="30"/>
      <c r="S59" s="30"/>
      <c r="T59" s="6">
        <f>IF($G59=0,ROUND($E59/T$72,2),ROUND(($E59*$G59)/T$72,2))</f>
        <v>0.65</v>
      </c>
      <c r="U59" s="30"/>
      <c r="V59" s="30">
        <f>($I59/27)*(V$72/12)</f>
        <v>3.185185185185185</v>
      </c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27"/>
      <c r="C60" s="28"/>
      <c r="D60" s="29"/>
      <c r="E60" s="1"/>
      <c r="F60" s="1"/>
      <c r="G60" s="32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14">
        <v>27750</v>
      </c>
      <c r="C61" s="14">
        <v>27772.76</v>
      </c>
      <c r="D61" s="3" t="s">
        <v>37</v>
      </c>
      <c r="E61" s="1">
        <f>C61-B61</f>
        <v>22.7599999999984</v>
      </c>
      <c r="F61" s="1">
        <v>5</v>
      </c>
      <c r="G61" s="1"/>
      <c r="H61" s="30"/>
      <c r="I61" s="30">
        <f>IF(G61=0,ROUND($E61*$F61,2),ROUND($E61*$F61*$G61,2))</f>
        <v>113.8</v>
      </c>
      <c r="J61" s="32"/>
      <c r="K61" s="30"/>
      <c r="L61" s="30"/>
      <c r="M61" s="30"/>
      <c r="N61" s="30"/>
      <c r="O61" s="30"/>
      <c r="P61" s="30"/>
      <c r="Q61" s="30"/>
      <c r="R61" s="30"/>
      <c r="S61" s="30"/>
      <c r="T61" s="6">
        <f>IF($G61=0,ROUND($E61/T$72,2),ROUND(($E61*$G61)/T$72,2))</f>
        <v>0.23</v>
      </c>
      <c r="U61" s="30"/>
      <c r="V61" s="30">
        <f>($I61/27)*(V$72/12)</f>
        <v>0.7024691358024691</v>
      </c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27">
        <f>C61</f>
        <v>27772.76</v>
      </c>
      <c r="C62" s="14">
        <v>27780</v>
      </c>
      <c r="D62" s="3" t="s">
        <v>37</v>
      </c>
      <c r="E62" s="1">
        <f>C62-B62</f>
        <v>7.240000000001601</v>
      </c>
      <c r="F62" s="1">
        <v>5</v>
      </c>
      <c r="G62" s="32">
        <f>ROUND((5729.58-((55.546+55.402)/2)-($F62/2))/5729.58,4)</f>
        <v>0.9899</v>
      </c>
      <c r="H62" s="30"/>
      <c r="I62" s="30">
        <f>IF(G62=0,ROUND($E62*$F62,2),ROUND($E62*$F62*$G62,2))</f>
        <v>35.83</v>
      </c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6">
        <f>IF($G62=0,ROUND($E62/T$72,2),ROUND(($E62*$G62)/T$72,2))</f>
        <v>0.07</v>
      </c>
      <c r="U62" s="30"/>
      <c r="V62" s="30">
        <f>($I62/27)*(V$72/12)</f>
        <v>0.22117283950617284</v>
      </c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14">
        <f>C62</f>
        <v>27780</v>
      </c>
      <c r="C63" s="14">
        <v>27950</v>
      </c>
      <c r="D63" s="3" t="s">
        <v>37</v>
      </c>
      <c r="E63" s="1">
        <f>C63-B63</f>
        <v>170</v>
      </c>
      <c r="F63" s="1">
        <v>5</v>
      </c>
      <c r="G63" s="32">
        <f>ROUND((5729.58-55.4-($F63/2))/5729.58,4)</f>
        <v>0.9899</v>
      </c>
      <c r="H63" s="30"/>
      <c r="I63" s="30">
        <f>IF(G63=0,ROUND($E63*$F63,2),ROUND($E63*$F63*$G63,2))</f>
        <v>841.42</v>
      </c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6">
        <f>IF($G63=0,ROUND($E63/T$72,2),ROUND(($E63*$G63)/T$72,2))</f>
        <v>1.68</v>
      </c>
      <c r="U63" s="30"/>
      <c r="V63" s="30">
        <f>($I63/27)*(V$72/12)</f>
        <v>5.19395061728395</v>
      </c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14"/>
      <c r="C64" s="14"/>
      <c r="D64" s="3"/>
      <c r="E64" s="1"/>
      <c r="F64" s="1"/>
      <c r="G64" s="1"/>
      <c r="H64" s="30"/>
      <c r="I64" s="30"/>
      <c r="J64" s="1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14"/>
      <c r="C65" s="14"/>
      <c r="D65" s="3"/>
      <c r="E65" s="1"/>
      <c r="F65" s="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14"/>
      <c r="C66" s="14"/>
      <c r="D66" s="3"/>
      <c r="E66" s="1"/>
      <c r="F66" s="1"/>
      <c r="G66" s="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 aca="true" t="shared" si="7" ref="R67:AE67">IF(SUM(R13:R66)=0," ",ROUNDUP(SUM(R13:R66),0))</f>
        <v> </v>
      </c>
      <c r="S67" s="125" t="str">
        <f t="shared" si="7"/>
        <v> </v>
      </c>
      <c r="T67" s="125">
        <f t="shared" si="7"/>
        <v>59</v>
      </c>
      <c r="U67" s="125" t="str">
        <f t="shared" si="7"/>
        <v> </v>
      </c>
      <c r="V67" s="125">
        <f t="shared" si="7"/>
        <v>182</v>
      </c>
      <c r="W67" s="125" t="str">
        <f t="shared" si="7"/>
        <v> </v>
      </c>
      <c r="X67" s="125" t="str">
        <f t="shared" si="7"/>
        <v> </v>
      </c>
      <c r="Y67" s="125" t="str">
        <f t="shared" si="7"/>
        <v> </v>
      </c>
      <c r="Z67" s="125" t="str">
        <f t="shared" si="7"/>
        <v> </v>
      </c>
      <c r="AA67" s="125" t="str">
        <f t="shared" si="7"/>
        <v> </v>
      </c>
      <c r="AB67" s="125" t="str">
        <f t="shared" si="7"/>
        <v> </v>
      </c>
      <c r="AC67" s="125" t="str">
        <f t="shared" si="7"/>
        <v> </v>
      </c>
      <c r="AD67" s="125" t="str">
        <f t="shared" si="7"/>
        <v> </v>
      </c>
      <c r="AE67" s="125" t="str">
        <f t="shared" si="7"/>
        <v> </v>
      </c>
      <c r="AF67" s="145">
        <v>7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50"/>
      <c r="U68" s="126"/>
      <c r="V68" s="126"/>
      <c r="W68" s="150"/>
      <c r="X68" s="126"/>
      <c r="Y68" s="150"/>
      <c r="Z68" s="150"/>
      <c r="AA68" s="126"/>
      <c r="AB68" s="126"/>
      <c r="AC68" s="150"/>
      <c r="AD68" s="126"/>
      <c r="AE68" s="150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>
        <v>100</v>
      </c>
      <c r="U72" s="58"/>
      <c r="V72" s="79">
        <v>2</v>
      </c>
      <c r="W72" s="78"/>
      <c r="X72" s="59"/>
      <c r="Y72" s="58"/>
      <c r="Z72" s="58"/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3">
    <mergeCell ref="B3:C11"/>
    <mergeCell ref="D3:D11"/>
    <mergeCell ref="E3:E11"/>
    <mergeCell ref="F3:F11"/>
    <mergeCell ref="G3:G11"/>
    <mergeCell ref="H3:H11"/>
    <mergeCell ref="AA4:AA11"/>
    <mergeCell ref="AB4:AB11"/>
    <mergeCell ref="I3:I11"/>
    <mergeCell ref="J3:J11"/>
    <mergeCell ref="K3:K11"/>
    <mergeCell ref="L3:L11"/>
    <mergeCell ref="M3:M11"/>
    <mergeCell ref="N3:N11"/>
    <mergeCell ref="AC4:AC11"/>
    <mergeCell ref="AD4:AD11"/>
    <mergeCell ref="AE4:AE11"/>
    <mergeCell ref="AF6:AG50"/>
    <mergeCell ref="AG3:AG5"/>
    <mergeCell ref="R4:R11"/>
    <mergeCell ref="S4:S11"/>
    <mergeCell ref="T4:T11"/>
    <mergeCell ref="U4:U11"/>
    <mergeCell ref="V4:V11"/>
    <mergeCell ref="B14:I14"/>
    <mergeCell ref="AF51:AG66"/>
    <mergeCell ref="W4:W11"/>
    <mergeCell ref="X4:X11"/>
    <mergeCell ref="Y4:Y11"/>
    <mergeCell ref="Z4:Z11"/>
    <mergeCell ref="O3:O11"/>
    <mergeCell ref="P3:P11"/>
    <mergeCell ref="Q3:Q11"/>
    <mergeCell ref="AF3:AF5"/>
    <mergeCell ref="Z67:Z68"/>
    <mergeCell ref="AA67:AA68"/>
    <mergeCell ref="AB67:AB68"/>
    <mergeCell ref="B67:Q68"/>
    <mergeCell ref="R67:R68"/>
    <mergeCell ref="S67:S68"/>
    <mergeCell ref="T67:T68"/>
    <mergeCell ref="U67:U68"/>
    <mergeCell ref="V67:V68"/>
    <mergeCell ref="AC67:AC68"/>
    <mergeCell ref="AD67:AD68"/>
    <mergeCell ref="AE67:AE68"/>
    <mergeCell ref="AF67:AG67"/>
    <mergeCell ref="AF68:AG68"/>
    <mergeCell ref="F33:I33"/>
    <mergeCell ref="F51:I51"/>
    <mergeCell ref="W67:W68"/>
    <mergeCell ref="X67:X68"/>
    <mergeCell ref="Y67:Y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N42" sqref="N42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>
        <v>209</v>
      </c>
      <c r="U3" s="50"/>
      <c r="V3" s="76">
        <v>441</v>
      </c>
      <c r="W3" s="50"/>
      <c r="X3" s="50"/>
      <c r="Y3" s="50"/>
      <c r="Z3" s="50"/>
      <c r="AA3" s="50"/>
      <c r="AB3" s="50"/>
      <c r="AC3" s="50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 t="s">
        <v>72</v>
      </c>
      <c r="U4" s="99"/>
      <c r="V4" s="147" t="s">
        <v>73</v>
      </c>
      <c r="W4" s="99"/>
      <c r="X4" s="99"/>
      <c r="Y4" s="102"/>
      <c r="Z4" s="99"/>
      <c r="AA4" s="102"/>
      <c r="AB4" s="102"/>
      <c r="AC4" s="99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0"/>
      <c r="Y5" s="103"/>
      <c r="Z5" s="100"/>
      <c r="AA5" s="103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0"/>
      <c r="Y6" s="103"/>
      <c r="Z6" s="100"/>
      <c r="AA6" s="103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0"/>
      <c r="Y7" s="103"/>
      <c r="Z7" s="100"/>
      <c r="AA7" s="103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0"/>
      <c r="Y8" s="103"/>
      <c r="Z8" s="100"/>
      <c r="AA8" s="103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0"/>
      <c r="Y9" s="103"/>
      <c r="Z9" s="100"/>
      <c r="AA9" s="103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0"/>
      <c r="Y10" s="103"/>
      <c r="Z10" s="100"/>
      <c r="AA10" s="103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1"/>
      <c r="Y11" s="104"/>
      <c r="Z11" s="101"/>
      <c r="AA11" s="104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25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 t="s">
        <v>74</v>
      </c>
      <c r="U12" s="52"/>
      <c r="V12" s="77" t="s">
        <v>34</v>
      </c>
      <c r="W12" s="52"/>
      <c r="X12" s="52"/>
      <c r="Y12" s="52"/>
      <c r="Z12" s="52"/>
      <c r="AA12" s="52"/>
      <c r="AB12" s="52"/>
      <c r="AC12" s="52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86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103</v>
      </c>
      <c r="C15" s="28"/>
      <c r="D15" s="29"/>
      <c r="E15" s="30"/>
      <c r="F15" s="31"/>
      <c r="G15" s="3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27">
        <v>8712.69</v>
      </c>
      <c r="C16" s="28">
        <v>8818.25</v>
      </c>
      <c r="D16" s="29" t="s">
        <v>37</v>
      </c>
      <c r="E16" s="1">
        <f>C16-B16</f>
        <v>105.55999999999949</v>
      </c>
      <c r="F16" s="1">
        <v>5</v>
      </c>
      <c r="G16" s="32"/>
      <c r="H16" s="30"/>
      <c r="I16" s="30">
        <f aca="true" t="shared" si="1" ref="I16:I48">IF(G16=0,ROUND($E16*$F16,2),ROUND($E16*$F16*$G16,2))</f>
        <v>527.8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>
        <f>IF($G16=0,ROUND($E16/T$72,2),ROUND(($E16*$G16)/T$72,2))</f>
        <v>1.06</v>
      </c>
      <c r="U16" s="30"/>
      <c r="V16" s="30">
        <f>($I16/27)*(V$72/12)</f>
        <v>3.2580246913580244</v>
      </c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14"/>
      <c r="C17" s="14"/>
      <c r="D17" s="3"/>
      <c r="E17" s="1"/>
      <c r="F17" s="1"/>
      <c r="G17" s="1"/>
      <c r="H17" s="30"/>
      <c r="I17" s="30"/>
      <c r="J17" s="1"/>
      <c r="K17" s="30"/>
      <c r="L17" s="30"/>
      <c r="M17" s="30"/>
      <c r="N17" s="30"/>
      <c r="O17" s="30"/>
      <c r="P17" s="30"/>
      <c r="Q17" s="30"/>
      <c r="R17" s="30"/>
      <c r="S17" s="30"/>
      <c r="T17" s="6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33" t="s">
        <v>76</v>
      </c>
      <c r="C18" s="14"/>
      <c r="D18" s="3"/>
      <c r="E18" s="1"/>
      <c r="F18" s="1"/>
      <c r="G18" s="1"/>
      <c r="H18" s="30"/>
      <c r="I18" s="30"/>
      <c r="J18" s="1"/>
      <c r="K18" s="30"/>
      <c r="L18" s="30"/>
      <c r="M18" s="30"/>
      <c r="N18" s="30"/>
      <c r="O18" s="30"/>
      <c r="P18" s="30"/>
      <c r="Q18" s="30"/>
      <c r="R18" s="30"/>
      <c r="S18" s="30"/>
      <c r="T18" s="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>
        <v>8663.69</v>
      </c>
      <c r="C19" s="14">
        <v>9070</v>
      </c>
      <c r="D19" s="3" t="s">
        <v>41</v>
      </c>
      <c r="E19" s="1">
        <f>C19-B19</f>
        <v>406.3099999999995</v>
      </c>
      <c r="F19" s="1">
        <v>5</v>
      </c>
      <c r="G19" s="32">
        <f>ROUND((2864.789-10-($F19/2))/2864.789,4)</f>
        <v>0.9956</v>
      </c>
      <c r="H19" s="30"/>
      <c r="I19" s="30">
        <f t="shared" si="1"/>
        <v>2022.61</v>
      </c>
      <c r="J19" s="1"/>
      <c r="K19" s="30"/>
      <c r="L19" s="30"/>
      <c r="M19" s="30"/>
      <c r="N19" s="30"/>
      <c r="O19" s="30"/>
      <c r="P19" s="30"/>
      <c r="Q19" s="30"/>
      <c r="R19" s="30"/>
      <c r="S19" s="30"/>
      <c r="T19" s="6">
        <f>IF($G19=0,ROUND($E19/T$72,2),ROUND(($E19*$G19)/T$72,2))</f>
        <v>4.05</v>
      </c>
      <c r="U19" s="30"/>
      <c r="V19" s="30">
        <f>($I19/27)*(V$72/12)</f>
        <v>12.485246913580244</v>
      </c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f>C19</f>
        <v>9070</v>
      </c>
      <c r="C20" s="35">
        <v>9370</v>
      </c>
      <c r="D20" s="3" t="s">
        <v>41</v>
      </c>
      <c r="E20" s="1">
        <f>C20-B20</f>
        <v>300</v>
      </c>
      <c r="F20" s="1">
        <v>5</v>
      </c>
      <c r="G20" s="32">
        <f>ROUND((((2864.789-10-($F20/2))/2864.789)+((1527.888-10-($F20/2))/1527.888))/2,4)</f>
        <v>0.9937</v>
      </c>
      <c r="H20" s="30"/>
      <c r="I20" s="30">
        <f t="shared" si="1"/>
        <v>1490.55</v>
      </c>
      <c r="J20" s="30"/>
      <c r="K20" s="30"/>
      <c r="L20" s="29"/>
      <c r="M20" s="29"/>
      <c r="N20" s="29"/>
      <c r="O20" s="29"/>
      <c r="P20" s="30"/>
      <c r="Q20" s="30"/>
      <c r="R20" s="30"/>
      <c r="S20" s="30"/>
      <c r="T20" s="6">
        <f>IF($G20=0,ROUND($E20/T$72,2),ROUND(($E20*$G20)/T$72,2))</f>
        <v>2.98</v>
      </c>
      <c r="U20" s="30"/>
      <c r="V20" s="30">
        <f>($I20/27)*(V$72/12)</f>
        <v>9.200925925925926</v>
      </c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>
        <f>C20</f>
        <v>9370</v>
      </c>
      <c r="C21" s="14">
        <v>10455.37</v>
      </c>
      <c r="D21" s="3" t="s">
        <v>41</v>
      </c>
      <c r="E21" s="1">
        <f>C21-B21</f>
        <v>1085.3700000000008</v>
      </c>
      <c r="F21" s="1">
        <v>5</v>
      </c>
      <c r="G21" s="32">
        <f>ROUND((1527.888-10-($F21/2))/1527.888,4)</f>
        <v>0.9918</v>
      </c>
      <c r="H21" s="30"/>
      <c r="I21" s="30">
        <f t="shared" si="1"/>
        <v>5382.35</v>
      </c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>
        <f>IF($G21=0,ROUND($E21/T$72,2),ROUND(($E21*$G21)/T$72,2))</f>
        <v>10.76</v>
      </c>
      <c r="U21" s="30"/>
      <c r="V21" s="30">
        <f>($I21/27)*(V$72/12)</f>
        <v>33.224382716049384</v>
      </c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14">
        <f>C21</f>
        <v>10455.37</v>
      </c>
      <c r="C22" s="14">
        <v>10655.37</v>
      </c>
      <c r="D22" s="3" t="s">
        <v>41</v>
      </c>
      <c r="E22" s="1">
        <f>C22-B22</f>
        <v>200</v>
      </c>
      <c r="F22" s="1">
        <v>5</v>
      </c>
      <c r="G22" s="32">
        <f>ROUND((((9822.134-10-($F22/2))/9822.134)+((1527.888-10-($F22/2))/1527.888))/2,4)</f>
        <v>0.9953</v>
      </c>
      <c r="H22" s="30"/>
      <c r="I22" s="30">
        <f t="shared" si="1"/>
        <v>995.3</v>
      </c>
      <c r="J22" s="1"/>
      <c r="K22" s="30"/>
      <c r="L22" s="30"/>
      <c r="M22" s="30"/>
      <c r="N22" s="30"/>
      <c r="O22" s="30"/>
      <c r="P22" s="30"/>
      <c r="Q22" s="30"/>
      <c r="R22" s="30"/>
      <c r="S22" s="30"/>
      <c r="T22" s="6">
        <f>IF($G22=0,ROUND($E22/T$72,2),ROUND(($E22*$G22)/T$72,2))</f>
        <v>1.99</v>
      </c>
      <c r="U22" s="30"/>
      <c r="V22" s="30">
        <f>($I22/27)*(V$72/12)</f>
        <v>6.143827160493826</v>
      </c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27">
        <f>C22</f>
        <v>10655.37</v>
      </c>
      <c r="C23" s="28">
        <v>11139.67</v>
      </c>
      <c r="D23" s="3" t="s">
        <v>41</v>
      </c>
      <c r="E23" s="1">
        <f>C23-B23</f>
        <v>484.2999999999993</v>
      </c>
      <c r="F23" s="1">
        <v>5</v>
      </c>
      <c r="G23" s="32">
        <f>ROUND((9822.134-10-($F23/2))/9822.134,4)</f>
        <v>0.9987</v>
      </c>
      <c r="H23" s="30"/>
      <c r="I23" s="30">
        <f t="shared" si="1"/>
        <v>2418.35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>
        <f>IF($G23=0,ROUND($E23/T$72,2),ROUND(($E23*$G23)/T$72,2))</f>
        <v>4.84</v>
      </c>
      <c r="U23" s="30"/>
      <c r="V23" s="30">
        <f>($I23/27)*(V$72/12)</f>
        <v>14.928086419753086</v>
      </c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/>
      <c r="C24" s="14"/>
      <c r="D24" s="3"/>
      <c r="E24" s="1"/>
      <c r="F24" s="8"/>
      <c r="G24" s="1"/>
      <c r="H24" s="30"/>
      <c r="I24" s="30"/>
      <c r="J24" s="1"/>
      <c r="K24" s="30"/>
      <c r="L24" s="30"/>
      <c r="M24" s="30"/>
      <c r="N24" s="30"/>
      <c r="O24" s="30"/>
      <c r="P24" s="30"/>
      <c r="Q24" s="30"/>
      <c r="R24" s="30"/>
      <c r="S24" s="30"/>
      <c r="T24" s="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33" t="s">
        <v>77</v>
      </c>
      <c r="C25" s="14"/>
      <c r="D25" s="3"/>
      <c r="E25" s="1"/>
      <c r="F25" s="8"/>
      <c r="G25" s="1"/>
      <c r="H25" s="30"/>
      <c r="I25" s="30"/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14">
        <v>19705.36</v>
      </c>
      <c r="C26" s="14">
        <v>19805.36</v>
      </c>
      <c r="D26" s="3" t="s">
        <v>41</v>
      </c>
      <c r="E26" s="1">
        <f>C26-B26</f>
        <v>100</v>
      </c>
      <c r="F26" s="1">
        <v>5</v>
      </c>
      <c r="G26" s="32">
        <f>ROUND(((848.826-((10+8)/2)-($F26/2))/848.826+1)/2,4)</f>
        <v>0.9932</v>
      </c>
      <c r="H26" s="30"/>
      <c r="I26" s="30">
        <f t="shared" si="1"/>
        <v>496.6</v>
      </c>
      <c r="J26" s="1"/>
      <c r="K26" s="30"/>
      <c r="L26" s="30"/>
      <c r="M26" s="30"/>
      <c r="N26" s="30"/>
      <c r="O26" s="30"/>
      <c r="P26" s="30"/>
      <c r="Q26" s="30"/>
      <c r="R26" s="30"/>
      <c r="S26" s="30"/>
      <c r="T26" s="6">
        <f>IF($G26=0,ROUND($E26/T$72,2),ROUND(($E26*$G26)/T$72,2))</f>
        <v>0.99</v>
      </c>
      <c r="U26" s="30"/>
      <c r="V26" s="30">
        <f>($I26/27)*(V$72/12)</f>
        <v>3.0654320987654318</v>
      </c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14">
        <f>C26</f>
        <v>19805.36</v>
      </c>
      <c r="C27" s="14">
        <v>19905.36</v>
      </c>
      <c r="D27" s="3" t="s">
        <v>41</v>
      </c>
      <c r="E27" s="1">
        <f>C27-B27</f>
        <v>100</v>
      </c>
      <c r="F27" s="1">
        <v>5</v>
      </c>
      <c r="G27" s="32">
        <f>ROUND(((848.826-8-($F27/2))/848.826+1)/2,4)</f>
        <v>0.9938</v>
      </c>
      <c r="H27" s="30"/>
      <c r="I27" s="30">
        <f>IF(G27=0,ROUND($E27*$F27,2),ROUND($E27*$F27*$G27,2))</f>
        <v>496.9</v>
      </c>
      <c r="J27" s="1"/>
      <c r="K27" s="30"/>
      <c r="L27" s="30"/>
      <c r="M27" s="30"/>
      <c r="N27" s="30"/>
      <c r="O27" s="30"/>
      <c r="P27" s="30"/>
      <c r="Q27" s="30"/>
      <c r="R27" s="1"/>
      <c r="S27" s="30"/>
      <c r="T27" s="6">
        <f>IF($G27=0,ROUND($E27/T$72,2),ROUND(($E27*$G27)/T$72,2))</f>
        <v>0.99</v>
      </c>
      <c r="U27" s="30"/>
      <c r="V27" s="30">
        <f>($I27/27)*(V$72/12)</f>
        <v>3.0672839506172833</v>
      </c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14">
        <f>C27</f>
        <v>19905.36</v>
      </c>
      <c r="C28" s="14">
        <v>19959.22</v>
      </c>
      <c r="D28" s="3" t="s">
        <v>41</v>
      </c>
      <c r="E28" s="1">
        <f>C28-B28</f>
        <v>53.86000000000058</v>
      </c>
      <c r="F28" s="1">
        <v>5</v>
      </c>
      <c r="G28" s="32">
        <f>ROUND((848.826-8-($F28/2))/848.826,4)</f>
        <v>0.9876</v>
      </c>
      <c r="H28" s="30"/>
      <c r="I28" s="30">
        <f>IF(G28=0,ROUND($E28*$F28,2),ROUND($E28*$F28*$G28,2))</f>
        <v>265.96</v>
      </c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>
        <f>IF($G28=0,ROUND($E28/T$72,2),ROUND(($E28*$G28)/T$72,2))</f>
        <v>0.53</v>
      </c>
      <c r="U28" s="30"/>
      <c r="V28" s="30">
        <f>($I28/27)*(V$72/12)</f>
        <v>1.641728395061728</v>
      </c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/>
      <c r="C29" s="14"/>
      <c r="D29" s="3"/>
      <c r="E29" s="1"/>
      <c r="F29" s="1"/>
      <c r="G29" s="1"/>
      <c r="H29" s="30"/>
      <c r="I29" s="30"/>
      <c r="J29" s="1"/>
      <c r="K29" s="30"/>
      <c r="L29" s="30"/>
      <c r="M29" s="30"/>
      <c r="N29" s="30"/>
      <c r="O29" s="30"/>
      <c r="P29" s="30"/>
      <c r="Q29" s="30"/>
      <c r="R29" s="30"/>
      <c r="S29" s="30"/>
      <c r="T29" s="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v>20335.49</v>
      </c>
      <c r="C30" s="14">
        <v>20399.5</v>
      </c>
      <c r="D30" s="3" t="s">
        <v>41</v>
      </c>
      <c r="E30" s="1">
        <f aca="true" t="shared" si="2" ref="E30:E35">C30-B30</f>
        <v>64.0099999999984</v>
      </c>
      <c r="F30" s="1">
        <v>5</v>
      </c>
      <c r="G30" s="32">
        <f>ROUND((848.826-8-($F30/2))/848.826,4)</f>
        <v>0.9876</v>
      </c>
      <c r="H30" s="30"/>
      <c r="I30" s="30">
        <f t="shared" si="1"/>
        <v>316.08</v>
      </c>
      <c r="J30" s="1"/>
      <c r="K30" s="30"/>
      <c r="L30" s="30"/>
      <c r="M30" s="30"/>
      <c r="N30" s="30"/>
      <c r="O30" s="30"/>
      <c r="P30" s="30"/>
      <c r="Q30" s="30"/>
      <c r="R30" s="30"/>
      <c r="S30" s="30"/>
      <c r="T30" s="6">
        <f aca="true" t="shared" si="3" ref="T30:T35">IF($G30=0,ROUND($E30/T$72,2),ROUND(($E30*$G30)/T$72,2))</f>
        <v>0.63</v>
      </c>
      <c r="U30" s="30"/>
      <c r="V30" s="30">
        <f aca="true" t="shared" si="4" ref="V30:V35">($I30/27)*(V$72/12)</f>
        <v>1.9511111111111108</v>
      </c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27">
        <f>C30</f>
        <v>20399.5</v>
      </c>
      <c r="C31" s="14">
        <v>20599.5</v>
      </c>
      <c r="D31" s="3" t="s">
        <v>41</v>
      </c>
      <c r="E31" s="1">
        <f t="shared" si="2"/>
        <v>200</v>
      </c>
      <c r="F31" s="1">
        <v>5</v>
      </c>
      <c r="G31" s="32">
        <f>ROUND(((848.826-8-($F31/2))/848.826+1)/2,4)</f>
        <v>0.9938</v>
      </c>
      <c r="H31" s="30"/>
      <c r="I31" s="30">
        <f t="shared" si="1"/>
        <v>993.8</v>
      </c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6">
        <f t="shared" si="3"/>
        <v>1.99</v>
      </c>
      <c r="U31" s="30"/>
      <c r="V31" s="30">
        <f t="shared" si="4"/>
        <v>6.134567901234567</v>
      </c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27">
        <f>C31</f>
        <v>20599.5</v>
      </c>
      <c r="C32" s="28">
        <v>20773.39</v>
      </c>
      <c r="D32" s="3" t="s">
        <v>41</v>
      </c>
      <c r="E32" s="1">
        <f t="shared" si="2"/>
        <v>173.88999999999942</v>
      </c>
      <c r="F32" s="1">
        <v>5</v>
      </c>
      <c r="G32" s="32"/>
      <c r="H32" s="30"/>
      <c r="I32" s="30">
        <f t="shared" si="1"/>
        <v>869.45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>
        <f t="shared" si="3"/>
        <v>1.74</v>
      </c>
      <c r="U32" s="30"/>
      <c r="V32" s="30">
        <f t="shared" si="4"/>
        <v>5.366975308641976</v>
      </c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14">
        <f>C32</f>
        <v>20773.39</v>
      </c>
      <c r="C33" s="14">
        <v>20973.39</v>
      </c>
      <c r="D33" s="3" t="s">
        <v>41</v>
      </c>
      <c r="E33" s="1">
        <f t="shared" si="2"/>
        <v>200</v>
      </c>
      <c r="F33" s="1">
        <v>5</v>
      </c>
      <c r="G33" s="32">
        <f>ROUND(((716.197-8-($F33/2))/716.197+1)/2,4)</f>
        <v>0.9927</v>
      </c>
      <c r="H33" s="30"/>
      <c r="I33" s="30">
        <f t="shared" si="1"/>
        <v>992.7</v>
      </c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6">
        <f t="shared" si="3"/>
        <v>1.99</v>
      </c>
      <c r="U33" s="30"/>
      <c r="V33" s="30">
        <f t="shared" si="4"/>
        <v>6.127777777777777</v>
      </c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>
        <f>C33</f>
        <v>20973.39</v>
      </c>
      <c r="C34" s="14">
        <v>21358.8</v>
      </c>
      <c r="D34" s="3" t="s">
        <v>41</v>
      </c>
      <c r="E34" s="1">
        <f t="shared" si="2"/>
        <v>385.40999999999985</v>
      </c>
      <c r="F34" s="1">
        <v>5</v>
      </c>
      <c r="G34" s="32">
        <f>ROUND((716.197-8-($F34/2))/716.197,4)</f>
        <v>0.9853</v>
      </c>
      <c r="H34" s="30"/>
      <c r="I34" s="30">
        <f t="shared" si="1"/>
        <v>1898.72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>
        <f t="shared" si="3"/>
        <v>3.8</v>
      </c>
      <c r="U34" s="30"/>
      <c r="V34" s="30">
        <f t="shared" si="4"/>
        <v>11.720493827160492</v>
      </c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4">
        <f>C34</f>
        <v>21358.8</v>
      </c>
      <c r="C35" s="14">
        <v>21490</v>
      </c>
      <c r="D35" s="3" t="s">
        <v>41</v>
      </c>
      <c r="E35" s="1">
        <f t="shared" si="2"/>
        <v>131.20000000000073</v>
      </c>
      <c r="F35" s="1">
        <v>5</v>
      </c>
      <c r="G35" s="32">
        <f>ROUND(((716.197-8-($F35/2))/716.197+1)/2,4)</f>
        <v>0.9927</v>
      </c>
      <c r="H35" s="30"/>
      <c r="I35" s="30">
        <f t="shared" si="1"/>
        <v>651.21</v>
      </c>
      <c r="J35" s="30"/>
      <c r="K35" s="56"/>
      <c r="L35" s="30"/>
      <c r="M35" s="30"/>
      <c r="N35" s="30"/>
      <c r="O35" s="30"/>
      <c r="P35" s="30"/>
      <c r="Q35" s="30"/>
      <c r="R35" s="30"/>
      <c r="S35" s="30"/>
      <c r="T35" s="6">
        <f t="shared" si="3"/>
        <v>1.3</v>
      </c>
      <c r="U35" s="30"/>
      <c r="V35" s="30">
        <f t="shared" si="4"/>
        <v>4.019814814814815</v>
      </c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/>
      <c r="C36" s="14"/>
      <c r="D36" s="3"/>
      <c r="E36" s="1"/>
      <c r="F36" s="1"/>
      <c r="G36" s="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6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>
        <v>20726.23</v>
      </c>
      <c r="C37" s="14">
        <v>20773.39</v>
      </c>
      <c r="D37" s="3" t="s">
        <v>37</v>
      </c>
      <c r="E37" s="1">
        <f>C37-B37</f>
        <v>47.159999999999854</v>
      </c>
      <c r="F37" s="1">
        <v>5</v>
      </c>
      <c r="G37" s="1"/>
      <c r="H37" s="30"/>
      <c r="I37" s="30">
        <f t="shared" si="1"/>
        <v>235.8</v>
      </c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>
        <f>IF($G37=0,ROUND($E37/T$72,2),ROUND(($E37*$G37)/T$72,2))</f>
        <v>0.47</v>
      </c>
      <c r="U37" s="30"/>
      <c r="V37" s="30">
        <f>($I37/27)*(V$72/12)</f>
        <v>1.4555555555555557</v>
      </c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14">
        <v>20726.23</v>
      </c>
      <c r="C38" s="14">
        <v>20973.39</v>
      </c>
      <c r="D38" s="3" t="s">
        <v>37</v>
      </c>
      <c r="E38" s="1">
        <f>C38-B38</f>
        <v>247.15999999999985</v>
      </c>
      <c r="F38" s="1">
        <v>5</v>
      </c>
      <c r="G38" s="32">
        <f>ROUND(((716.197+20+($F38/2))/716.197+1)/2,4)</f>
        <v>1.0157</v>
      </c>
      <c r="H38" s="30"/>
      <c r="I38" s="30">
        <f t="shared" si="1"/>
        <v>1255.2</v>
      </c>
      <c r="J38" s="1"/>
      <c r="K38" s="30"/>
      <c r="L38" s="30"/>
      <c r="M38" s="30"/>
      <c r="N38" s="30"/>
      <c r="O38" s="30"/>
      <c r="P38" s="30"/>
      <c r="Q38" s="30"/>
      <c r="R38" s="30"/>
      <c r="S38" s="30"/>
      <c r="T38" s="6">
        <f>IF($G38=0,ROUND($E38/T$72,2),ROUND(($E38*$G38)/T$72,2))</f>
        <v>2.51</v>
      </c>
      <c r="U38" s="30"/>
      <c r="V38" s="30">
        <f>($I38/27)*(V$72/12)</f>
        <v>7.748148148148148</v>
      </c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14">
        <f>C38</f>
        <v>20973.39</v>
      </c>
      <c r="C39" s="14">
        <v>21307.52</v>
      </c>
      <c r="D39" s="3" t="s">
        <v>37</v>
      </c>
      <c r="E39" s="1">
        <f>C39-B39</f>
        <v>334.130000000001</v>
      </c>
      <c r="F39" s="1">
        <v>5</v>
      </c>
      <c r="G39" s="32">
        <f>ROUND((716.197+20+($F39/2))/716.197,4)</f>
        <v>1.0314</v>
      </c>
      <c r="H39" s="30"/>
      <c r="I39" s="30">
        <f t="shared" si="1"/>
        <v>1723.11</v>
      </c>
      <c r="J39" s="1"/>
      <c r="K39" s="56"/>
      <c r="L39" s="30"/>
      <c r="M39" s="30"/>
      <c r="N39" s="30"/>
      <c r="O39" s="30"/>
      <c r="P39" s="30"/>
      <c r="Q39" s="56"/>
      <c r="R39" s="30"/>
      <c r="S39" s="30"/>
      <c r="T39" s="6">
        <f>IF($G39=0,ROUND($E39/T$72,2),ROUND(($E39*$G39)/T$72,2))</f>
        <v>3.45</v>
      </c>
      <c r="U39" s="30"/>
      <c r="V39" s="30">
        <f>($I39/27)*(V$72/12)</f>
        <v>10.63648148148148</v>
      </c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14"/>
      <c r="C40" s="14"/>
      <c r="D40" s="10"/>
      <c r="E40" s="1"/>
      <c r="F40" s="1"/>
      <c r="G40" s="1"/>
      <c r="H40" s="30"/>
      <c r="I40" s="30"/>
      <c r="J40" s="1"/>
      <c r="K40" s="30"/>
      <c r="L40" s="30"/>
      <c r="M40" s="30"/>
      <c r="N40" s="30"/>
      <c r="O40" s="30"/>
      <c r="P40" s="30"/>
      <c r="Q40" s="30"/>
      <c r="R40" s="30"/>
      <c r="S40" s="30"/>
      <c r="T40" s="6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33" t="s">
        <v>50</v>
      </c>
      <c r="C41" s="14"/>
      <c r="D41" s="3"/>
      <c r="E41" s="1"/>
      <c r="F41" s="1"/>
      <c r="G41" s="1"/>
      <c r="H41" s="30"/>
      <c r="I41" s="30"/>
      <c r="J41" s="1"/>
      <c r="K41" s="30"/>
      <c r="L41" s="30"/>
      <c r="M41" s="30"/>
      <c r="N41" s="30"/>
      <c r="O41" s="30"/>
      <c r="P41" s="30"/>
      <c r="Q41" s="30"/>
      <c r="R41" s="30"/>
      <c r="S41" s="30"/>
      <c r="T41" s="6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14">
        <v>40243.78</v>
      </c>
      <c r="C42" s="14">
        <v>40419.09</v>
      </c>
      <c r="D42" s="3" t="s">
        <v>41</v>
      </c>
      <c r="E42" s="1">
        <f>C42-B42</f>
        <v>175.30999999999767</v>
      </c>
      <c r="F42" s="1">
        <v>5</v>
      </c>
      <c r="G42" s="1"/>
      <c r="H42" s="30"/>
      <c r="I42" s="30">
        <f t="shared" si="1"/>
        <v>876.55</v>
      </c>
      <c r="J42" s="1"/>
      <c r="K42" s="30"/>
      <c r="L42" s="30"/>
      <c r="M42" s="30"/>
      <c r="N42" s="30"/>
      <c r="O42" s="30"/>
      <c r="P42" s="30"/>
      <c r="Q42" s="30"/>
      <c r="R42" s="30"/>
      <c r="S42" s="30"/>
      <c r="T42" s="6">
        <f>IF($G42=0,ROUND($E42/T$72,2),ROUND(($E42*$G42)/T$72,2))</f>
        <v>1.75</v>
      </c>
      <c r="U42" s="30"/>
      <c r="V42" s="30">
        <f>($I42/27)*(V$72/12)</f>
        <v>5.4108024691358025</v>
      </c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14"/>
      <c r="C43" s="14"/>
      <c r="D43" s="3"/>
      <c r="E43" s="1"/>
      <c r="F43" s="37"/>
      <c r="G43" s="32"/>
      <c r="H43" s="30"/>
      <c r="I43" s="30"/>
      <c r="J43" s="1"/>
      <c r="K43" s="30"/>
      <c r="L43" s="30"/>
      <c r="M43" s="30"/>
      <c r="N43" s="30"/>
      <c r="O43" s="30"/>
      <c r="P43" s="30"/>
      <c r="Q43" s="30"/>
      <c r="R43" s="30"/>
      <c r="S43" s="30"/>
      <c r="T43" s="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14">
        <v>40932.36</v>
      </c>
      <c r="C44" s="14">
        <v>41562.45</v>
      </c>
      <c r="D44" s="3" t="s">
        <v>41</v>
      </c>
      <c r="E44" s="1">
        <f aca="true" t="shared" si="5" ref="E44:E49">C44-B44</f>
        <v>630.0899999999965</v>
      </c>
      <c r="F44" s="1">
        <v>5</v>
      </c>
      <c r="G44" s="32">
        <f>ROUND((238.732-6-($F44/2))/238.732,4)</f>
        <v>0.9644</v>
      </c>
      <c r="H44" s="30"/>
      <c r="I44" s="30">
        <f t="shared" si="1"/>
        <v>3038.29</v>
      </c>
      <c r="J44" s="1"/>
      <c r="K44" s="30"/>
      <c r="L44" s="30"/>
      <c r="M44" s="30"/>
      <c r="N44" s="30"/>
      <c r="O44" s="30"/>
      <c r="P44" s="30"/>
      <c r="Q44" s="30"/>
      <c r="R44" s="30"/>
      <c r="S44" s="30"/>
      <c r="T44" s="6">
        <f aca="true" t="shared" si="6" ref="T44:T49">IF($G44=0,ROUND($E44/T$72,2),ROUND(($E44*$G44)/T$72,2))</f>
        <v>6.08</v>
      </c>
      <c r="U44" s="30"/>
      <c r="V44" s="30">
        <f>($I44/27)*(V$72/12)</f>
        <v>18.754876543209875</v>
      </c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>
        <f>C44</f>
        <v>41562.45</v>
      </c>
      <c r="C45" s="14">
        <v>41755.68</v>
      </c>
      <c r="D45" s="3" t="s">
        <v>41</v>
      </c>
      <c r="E45" s="1">
        <f t="shared" si="5"/>
        <v>193.2300000000032</v>
      </c>
      <c r="F45" s="1">
        <v>5</v>
      </c>
      <c r="G45" s="32">
        <f>ROUND((((4583.662-6-($F45/2))/4583.662)+((238.732-6-($F45/2))/238.732))/2,4)</f>
        <v>0.9813</v>
      </c>
      <c r="H45" s="30"/>
      <c r="I45" s="30">
        <f t="shared" si="1"/>
        <v>948.08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>
        <f t="shared" si="6"/>
        <v>1.9</v>
      </c>
      <c r="U45" s="30"/>
      <c r="V45" s="30">
        <f>($I45/27)*(V$72/12)</f>
        <v>5.852345679012346</v>
      </c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14">
        <f>C45</f>
        <v>41755.68</v>
      </c>
      <c r="C46" s="14">
        <v>41762.45</v>
      </c>
      <c r="D46" s="3" t="s">
        <v>41</v>
      </c>
      <c r="E46" s="1">
        <f t="shared" si="5"/>
        <v>6.769999999996799</v>
      </c>
      <c r="F46" s="1">
        <v>5</v>
      </c>
      <c r="G46" s="32">
        <f>ROUND((((4583.662-((6+6.271)/2)-($F46/2))/4583.662)+((238.732-6-($F46/2))/238.732))/2,4)</f>
        <v>0.9813</v>
      </c>
      <c r="H46" s="30"/>
      <c r="I46" s="30">
        <f t="shared" si="1"/>
        <v>33.22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">
        <f t="shared" si="6"/>
        <v>0.07</v>
      </c>
      <c r="U46" s="30"/>
      <c r="V46" s="30">
        <f>($I46/27)*(V$72/12)</f>
        <v>0.2050617283950617</v>
      </c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14">
        <f>C46</f>
        <v>41762.45</v>
      </c>
      <c r="C47" s="14">
        <v>41855.68</v>
      </c>
      <c r="D47" s="3" t="s">
        <v>41</v>
      </c>
      <c r="E47" s="1">
        <f t="shared" si="5"/>
        <v>93.2300000000032</v>
      </c>
      <c r="F47" s="1">
        <v>5</v>
      </c>
      <c r="G47" s="32">
        <f>ROUND((4583.662-((10+6.271)/2)-($F47/2))/4583.662,4)</f>
        <v>0.9977</v>
      </c>
      <c r="H47" s="30"/>
      <c r="I47" s="30">
        <f t="shared" si="1"/>
        <v>465.08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>
        <f t="shared" si="6"/>
        <v>0.93</v>
      </c>
      <c r="U47" s="30"/>
      <c r="V47" s="30">
        <f>($I47/27)*(V$72/12)</f>
        <v>2.870864197530864</v>
      </c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14">
        <f>C47</f>
        <v>41855.68</v>
      </c>
      <c r="C48" s="14">
        <v>42052.92</v>
      </c>
      <c r="D48" s="3" t="s">
        <v>41</v>
      </c>
      <c r="E48" s="1">
        <f t="shared" si="5"/>
        <v>197.23999999999796</v>
      </c>
      <c r="F48" s="1">
        <v>5</v>
      </c>
      <c r="G48" s="32">
        <f>ROUND((4583.662-10-($F48/2))/4583.662,4)</f>
        <v>0.9973</v>
      </c>
      <c r="H48" s="30"/>
      <c r="I48" s="30">
        <f t="shared" si="1"/>
        <v>983.54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>
        <f t="shared" si="6"/>
        <v>1.97</v>
      </c>
      <c r="U48" s="30"/>
      <c r="V48" s="30">
        <f>($I48/27)*(V$72/12)</f>
        <v>6.071234567901234</v>
      </c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14">
        <f>C48</f>
        <v>42052.92</v>
      </c>
      <c r="C49" s="14">
        <v>42126.94</v>
      </c>
      <c r="D49" s="3" t="s">
        <v>41</v>
      </c>
      <c r="E49" s="1">
        <f t="shared" si="5"/>
        <v>74.02000000000407</v>
      </c>
      <c r="F49" s="151" t="s">
        <v>40</v>
      </c>
      <c r="G49" s="152"/>
      <c r="H49" s="152"/>
      <c r="I49" s="153"/>
      <c r="J49" s="1">
        <v>526.16</v>
      </c>
      <c r="K49" s="30"/>
      <c r="L49" s="30"/>
      <c r="M49" s="30"/>
      <c r="N49" s="30"/>
      <c r="O49" s="30"/>
      <c r="P49" s="30"/>
      <c r="Q49" s="30"/>
      <c r="R49" s="30"/>
      <c r="S49" s="30"/>
      <c r="T49" s="6">
        <f t="shared" si="6"/>
        <v>0.74</v>
      </c>
      <c r="U49" s="30"/>
      <c r="V49" s="30">
        <f>($J49/27)*(V$72/12)</f>
        <v>3.247901234567901</v>
      </c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>
      <c r="A50" s="26">
        <f t="shared" si="0"/>
        <v>38</v>
      </c>
      <c r="B50" s="33"/>
      <c r="C50" s="28"/>
      <c r="D50" s="29"/>
      <c r="E50" s="30"/>
      <c r="F50" s="37"/>
      <c r="G50" s="32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10"/>
      <c r="AG50" s="111"/>
    </row>
    <row r="51" spans="1:33" s="19" customFormat="1" ht="21.75" customHeight="1">
      <c r="A51" s="26">
        <f t="shared" si="0"/>
        <v>39</v>
      </c>
      <c r="B51" s="33"/>
      <c r="C51" s="14"/>
      <c r="D51" s="3"/>
      <c r="E51" s="1"/>
      <c r="F51" s="1"/>
      <c r="G51" s="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/>
      <c r="C52" s="14"/>
      <c r="D52" s="3"/>
      <c r="E52" s="1"/>
      <c r="F52" s="1"/>
      <c r="G52" s="3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14"/>
      <c r="C53" s="14"/>
      <c r="D53" s="3"/>
      <c r="E53" s="1"/>
      <c r="F53" s="1"/>
      <c r="G53" s="32"/>
      <c r="H53" s="30"/>
      <c r="I53" s="30"/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14"/>
      <c r="C54" s="14"/>
      <c r="D54" s="3"/>
      <c r="E54" s="1"/>
      <c r="F54" s="1"/>
      <c r="G54" s="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/>
      <c r="C55" s="14"/>
      <c r="D55" s="3"/>
      <c r="E55" s="1"/>
      <c r="F55" s="1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14"/>
      <c r="C56" s="14"/>
      <c r="D56" s="3"/>
      <c r="E56" s="1"/>
      <c r="F56" s="1"/>
      <c r="G56" s="3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6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14"/>
      <c r="C57" s="14"/>
      <c r="D57" s="3"/>
      <c r="E57" s="1"/>
      <c r="F57" s="1"/>
      <c r="G57" s="1"/>
      <c r="H57" s="30"/>
      <c r="I57" s="30"/>
      <c r="J57" s="1"/>
      <c r="K57" s="30"/>
      <c r="L57" s="30"/>
      <c r="M57" s="30"/>
      <c r="N57" s="30"/>
      <c r="O57" s="30"/>
      <c r="P57" s="30"/>
      <c r="Q57" s="30"/>
      <c r="R57" s="30"/>
      <c r="S57" s="30"/>
      <c r="T57" s="6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/>
      <c r="C58" s="14"/>
      <c r="D58" s="3"/>
      <c r="E58" s="1"/>
      <c r="F58" s="1"/>
      <c r="G58" s="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6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14"/>
      <c r="C59" s="14"/>
      <c r="D59" s="3"/>
      <c r="E59" s="1"/>
      <c r="F59" s="1"/>
      <c r="G59" s="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14"/>
      <c r="C60" s="14"/>
      <c r="D60" s="3"/>
      <c r="E60" s="1"/>
      <c r="F60" s="1"/>
      <c r="G60" s="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14"/>
      <c r="C61" s="14"/>
      <c r="D61" s="3"/>
      <c r="E61" s="1"/>
      <c r="F61" s="1"/>
      <c r="G61" s="1"/>
      <c r="H61" s="30"/>
      <c r="I61" s="30"/>
      <c r="J61" s="30"/>
      <c r="K61" s="54"/>
      <c r="L61" s="30"/>
      <c r="M61" s="30"/>
      <c r="N61" s="30"/>
      <c r="O61" s="30"/>
      <c r="P61" s="30"/>
      <c r="Q61" s="30"/>
      <c r="R61" s="30"/>
      <c r="S61" s="30"/>
      <c r="T61" s="6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/>
      <c r="C62" s="14"/>
      <c r="D62" s="3"/>
      <c r="E62" s="1"/>
      <c r="F62" s="1"/>
      <c r="G62" s="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14"/>
      <c r="C63" s="14"/>
      <c r="D63" s="3"/>
      <c r="E63" s="1"/>
      <c r="F63" s="1"/>
      <c r="G63" s="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14"/>
      <c r="C64" s="14"/>
      <c r="D64" s="3"/>
      <c r="E64" s="1"/>
      <c r="F64" s="1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14"/>
      <c r="C65" s="14"/>
      <c r="D65" s="10"/>
      <c r="E65" s="1"/>
      <c r="F65" s="1"/>
      <c r="G65" s="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>IF(SUM(R13:R66)=0," ",ROUNDUP(SUM(R13:R66),0))</f>
        <v> </v>
      </c>
      <c r="S67" s="125" t="str">
        <f aca="true" t="shared" si="7" ref="S67:AE67">IF(SUM(S13:S66)=0," ",ROUNDUP(SUM(S13:S66),0))</f>
        <v> </v>
      </c>
      <c r="T67" s="125">
        <f t="shared" si="7"/>
        <v>60</v>
      </c>
      <c r="U67" s="125" t="str">
        <f t="shared" si="7"/>
        <v> </v>
      </c>
      <c r="V67" s="125">
        <f t="shared" si="7"/>
        <v>185</v>
      </c>
      <c r="W67" s="125" t="str">
        <f t="shared" si="7"/>
        <v> </v>
      </c>
      <c r="X67" s="125" t="str">
        <f t="shared" si="7"/>
        <v> </v>
      </c>
      <c r="Y67" s="125" t="str">
        <f t="shared" si="7"/>
        <v> </v>
      </c>
      <c r="Z67" s="125" t="str">
        <f t="shared" si="7"/>
        <v> </v>
      </c>
      <c r="AA67" s="125" t="str">
        <f t="shared" si="7"/>
        <v> </v>
      </c>
      <c r="AB67" s="125" t="str">
        <f t="shared" si="7"/>
        <v> </v>
      </c>
      <c r="AC67" s="125" t="str">
        <f t="shared" si="7"/>
        <v> </v>
      </c>
      <c r="AD67" s="125" t="str">
        <f t="shared" si="7"/>
        <v> </v>
      </c>
      <c r="AE67" s="125" t="str">
        <f t="shared" si="7"/>
        <v> </v>
      </c>
      <c r="AF67" s="145">
        <v>8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>
        <v>100</v>
      </c>
      <c r="U72" s="58"/>
      <c r="V72" s="79">
        <v>2</v>
      </c>
      <c r="W72" s="78"/>
      <c r="X72" s="59"/>
      <c r="Y72" s="58"/>
      <c r="Z72" s="58"/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2">
    <mergeCell ref="F49:I49"/>
    <mergeCell ref="Y67:Y68"/>
    <mergeCell ref="U67:U68"/>
    <mergeCell ref="V67:V68"/>
    <mergeCell ref="W67:W68"/>
    <mergeCell ref="X67:X68"/>
    <mergeCell ref="AF51:AG66"/>
    <mergeCell ref="AE67:AE68"/>
    <mergeCell ref="AF67:AG67"/>
    <mergeCell ref="AF68:AG68"/>
    <mergeCell ref="B67:Q68"/>
    <mergeCell ref="R67:R68"/>
    <mergeCell ref="S67:S68"/>
    <mergeCell ref="T67:T68"/>
    <mergeCell ref="AC4:AC11"/>
    <mergeCell ref="AD4:AD11"/>
    <mergeCell ref="AE4:AE11"/>
    <mergeCell ref="Z67:Z68"/>
    <mergeCell ref="AA67:AA68"/>
    <mergeCell ref="AB67:AB68"/>
    <mergeCell ref="AC67:AC68"/>
    <mergeCell ref="AD67:AD68"/>
    <mergeCell ref="B14:I14"/>
    <mergeCell ref="X4:X11"/>
    <mergeCell ref="Y4:Y11"/>
    <mergeCell ref="Z4:Z11"/>
    <mergeCell ref="AA4:AA11"/>
    <mergeCell ref="P3:P11"/>
    <mergeCell ref="Q3:Q11"/>
    <mergeCell ref="J3:J11"/>
    <mergeCell ref="K3:K11"/>
    <mergeCell ref="L3:L11"/>
    <mergeCell ref="AF3:AF5"/>
    <mergeCell ref="AG3:AG5"/>
    <mergeCell ref="R4:R11"/>
    <mergeCell ref="S4:S11"/>
    <mergeCell ref="T4:T11"/>
    <mergeCell ref="U4:U11"/>
    <mergeCell ref="V4:V11"/>
    <mergeCell ref="W4:W11"/>
    <mergeCell ref="AF6:AG50"/>
    <mergeCell ref="AB4:AB11"/>
    <mergeCell ref="M3:M11"/>
    <mergeCell ref="N3:N11"/>
    <mergeCell ref="O3:O11"/>
    <mergeCell ref="B3:C11"/>
    <mergeCell ref="D3:D11"/>
    <mergeCell ref="E3:E11"/>
    <mergeCell ref="F3:F11"/>
    <mergeCell ref="G3:G11"/>
    <mergeCell ref="I3:I11"/>
    <mergeCell ref="H3:H11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P58" sqref="P58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>
        <v>209</v>
      </c>
      <c r="U3" s="50"/>
      <c r="V3" s="76">
        <v>441</v>
      </c>
      <c r="W3" s="50"/>
      <c r="X3" s="50"/>
      <c r="Y3" s="50"/>
      <c r="Z3" s="50"/>
      <c r="AA3" s="50"/>
      <c r="AB3" s="50"/>
      <c r="AC3" s="50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 t="s">
        <v>72</v>
      </c>
      <c r="U4" s="99"/>
      <c r="V4" s="147" t="s">
        <v>73</v>
      </c>
      <c r="W4" s="99"/>
      <c r="X4" s="99"/>
      <c r="Y4" s="102"/>
      <c r="Z4" s="99"/>
      <c r="AA4" s="102"/>
      <c r="AB4" s="102"/>
      <c r="AC4" s="99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0"/>
      <c r="Y5" s="103"/>
      <c r="Z5" s="100"/>
      <c r="AA5" s="103"/>
      <c r="AB5" s="103"/>
      <c r="AC5" s="100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0"/>
      <c r="Y6" s="103"/>
      <c r="Z6" s="100"/>
      <c r="AA6" s="103"/>
      <c r="AB6" s="103"/>
      <c r="AC6" s="100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0"/>
      <c r="Y7" s="103"/>
      <c r="Z7" s="100"/>
      <c r="AA7" s="103"/>
      <c r="AB7" s="103"/>
      <c r="AC7" s="100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0"/>
      <c r="Y8" s="103"/>
      <c r="Z8" s="100"/>
      <c r="AA8" s="103"/>
      <c r="AB8" s="103"/>
      <c r="AC8" s="100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0"/>
      <c r="Y9" s="103"/>
      <c r="Z9" s="100"/>
      <c r="AA9" s="103"/>
      <c r="AB9" s="103"/>
      <c r="AC9" s="100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0"/>
      <c r="Y10" s="103"/>
      <c r="Z10" s="100"/>
      <c r="AA10" s="103"/>
      <c r="AB10" s="103"/>
      <c r="AC10" s="100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1"/>
      <c r="Y11" s="104"/>
      <c r="Z11" s="101"/>
      <c r="AA11" s="104"/>
      <c r="AB11" s="104"/>
      <c r="AC11" s="101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25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 t="s">
        <v>74</v>
      </c>
      <c r="U12" s="52"/>
      <c r="V12" s="77" t="s">
        <v>34</v>
      </c>
      <c r="W12" s="52"/>
      <c r="X12" s="52"/>
      <c r="Y12" s="52"/>
      <c r="Z12" s="52"/>
      <c r="AA12" s="52"/>
      <c r="AB12" s="52"/>
      <c r="AC12" s="52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86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87</v>
      </c>
      <c r="C15" s="28"/>
      <c r="D15" s="29"/>
      <c r="E15" s="30"/>
      <c r="F15" s="31"/>
      <c r="G15" s="3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14">
        <v>28811.17</v>
      </c>
      <c r="C16" s="14">
        <v>29213.63</v>
      </c>
      <c r="D16" s="3" t="s">
        <v>41</v>
      </c>
      <c r="E16" s="1">
        <f aca="true" t="shared" si="1" ref="E16:E32">C16-B16</f>
        <v>402.46000000000276</v>
      </c>
      <c r="F16" s="1">
        <v>5</v>
      </c>
      <c r="G16" s="32">
        <f>ROUND((2911.977-10-($F16/2))/2911.977,4)</f>
        <v>0.9957</v>
      </c>
      <c r="H16" s="30"/>
      <c r="I16" s="30">
        <f>IF(G16=0,ROUND($E16*$F16,2),ROUND($E16*$F16*$G16,2))</f>
        <v>2003.65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>
        <f>IF($G16=0,ROUND($E16/T$72,2),ROUND(($E16*$G16)/T$72,2))</f>
        <v>4.01</v>
      </c>
      <c r="U16" s="30"/>
      <c r="V16" s="30">
        <f>($I16/27)*(V$72/12)</f>
        <v>12.368209876543212</v>
      </c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14">
        <f>C16</f>
        <v>29213.63</v>
      </c>
      <c r="C17" s="14">
        <v>29231.83</v>
      </c>
      <c r="D17" s="3" t="s">
        <v>41</v>
      </c>
      <c r="E17" s="1">
        <f t="shared" si="1"/>
        <v>18.200000000000728</v>
      </c>
      <c r="F17" s="1">
        <v>4.5</v>
      </c>
      <c r="G17" s="32">
        <f>ROUND((2911.977-10-($F17/2))/2911.977,4)</f>
        <v>0.9958</v>
      </c>
      <c r="H17" s="30"/>
      <c r="I17" s="30">
        <f>IF(G17=0,ROUND($E17*$F17,2),ROUND($E17*$F17*$G17,2))</f>
        <v>81.56</v>
      </c>
      <c r="J17" s="1"/>
      <c r="K17" s="30"/>
      <c r="L17" s="30"/>
      <c r="M17" s="30"/>
      <c r="N17" s="30"/>
      <c r="O17" s="30"/>
      <c r="P17" s="30"/>
      <c r="Q17" s="30"/>
      <c r="R17" s="30"/>
      <c r="S17" s="30"/>
      <c r="T17" s="6">
        <f>IF($G17=0,ROUND($E17/T$72,2),ROUND(($E17*$G17)/T$72,2))</f>
        <v>0.18</v>
      </c>
      <c r="U17" s="30"/>
      <c r="V17" s="30">
        <f>($I17/27)*(V$72/12)</f>
        <v>0.5034567901234568</v>
      </c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14"/>
      <c r="C18" s="14"/>
      <c r="D18" s="3"/>
      <c r="E18" s="1"/>
      <c r="F18" s="1"/>
      <c r="G18" s="1"/>
      <c r="H18" s="30"/>
      <c r="I18" s="30"/>
      <c r="J18" s="1"/>
      <c r="K18" s="30"/>
      <c r="L18" s="30"/>
      <c r="M18" s="30"/>
      <c r="N18" s="30"/>
      <c r="O18" s="30"/>
      <c r="P18" s="30"/>
      <c r="Q18" s="30"/>
      <c r="R18" s="30"/>
      <c r="S18" s="30"/>
      <c r="T18" s="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>
        <v>29280</v>
      </c>
      <c r="C19" s="14">
        <v>29290</v>
      </c>
      <c r="D19" s="3" t="s">
        <v>41</v>
      </c>
      <c r="E19" s="1">
        <f t="shared" si="1"/>
        <v>10</v>
      </c>
      <c r="F19" s="1">
        <v>4.5</v>
      </c>
      <c r="G19" s="32">
        <f>ROUND((2911.977-((10+12)/2)-($F19/2))/2911.977,4)</f>
        <v>0.9954</v>
      </c>
      <c r="H19" s="30"/>
      <c r="I19" s="30">
        <f aca="true" t="shared" si="2" ref="I19:I24">IF(G19=0,ROUND($E19*$F19,2),ROUND($E19*$F19*$G19,2))</f>
        <v>44.79</v>
      </c>
      <c r="J19" s="1"/>
      <c r="K19" s="30"/>
      <c r="L19" s="30"/>
      <c r="M19" s="30"/>
      <c r="N19" s="30"/>
      <c r="O19" s="30"/>
      <c r="P19" s="30"/>
      <c r="Q19" s="30"/>
      <c r="R19" s="30"/>
      <c r="S19" s="30"/>
      <c r="T19" s="6">
        <f aca="true" t="shared" si="3" ref="T19:T24">IF($G19=0,ROUND($E19/T$72,2),ROUND(($E19*$G19)/T$72,2))</f>
        <v>0.1</v>
      </c>
      <c r="U19" s="30"/>
      <c r="V19" s="30">
        <f aca="true" t="shared" si="4" ref="V19:V24">($I19/27)*(V$72/12)</f>
        <v>0.27648148148148144</v>
      </c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f>C19</f>
        <v>29290</v>
      </c>
      <c r="C20" s="14">
        <v>29428.29</v>
      </c>
      <c r="D20" s="3" t="s">
        <v>41</v>
      </c>
      <c r="E20" s="1">
        <f t="shared" si="1"/>
        <v>138.29000000000087</v>
      </c>
      <c r="F20" s="1">
        <v>5</v>
      </c>
      <c r="G20" s="32">
        <f>ROUND((2911.977-12-($F20/2))/2911.977,4)</f>
        <v>0.995</v>
      </c>
      <c r="H20" s="30"/>
      <c r="I20" s="30">
        <f t="shared" si="2"/>
        <v>687.99</v>
      </c>
      <c r="J20" s="30"/>
      <c r="K20" s="30"/>
      <c r="L20" s="29"/>
      <c r="M20" s="29"/>
      <c r="N20" s="29"/>
      <c r="O20" s="29"/>
      <c r="P20" s="30"/>
      <c r="Q20" s="30"/>
      <c r="R20" s="30"/>
      <c r="S20" s="30"/>
      <c r="T20" s="6">
        <f t="shared" si="3"/>
        <v>1.38</v>
      </c>
      <c r="U20" s="30"/>
      <c r="V20" s="30">
        <f t="shared" si="4"/>
        <v>4.246851851851852</v>
      </c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>
        <f>C20</f>
        <v>29428.29</v>
      </c>
      <c r="C21" s="14">
        <v>29471.25</v>
      </c>
      <c r="D21" s="3" t="s">
        <v>41</v>
      </c>
      <c r="E21" s="1">
        <f t="shared" si="1"/>
        <v>42.95999999999913</v>
      </c>
      <c r="F21" s="1">
        <v>5</v>
      </c>
      <c r="G21" s="32">
        <f>ROUND((2911.977-((12+10.282)/2)-($F21/2))/2911.977,4)</f>
        <v>0.9953</v>
      </c>
      <c r="H21" s="30"/>
      <c r="I21" s="30">
        <f t="shared" si="2"/>
        <v>213.79</v>
      </c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>
        <f t="shared" si="3"/>
        <v>0.43</v>
      </c>
      <c r="U21" s="30"/>
      <c r="V21" s="30">
        <f t="shared" si="4"/>
        <v>1.3196913580246912</v>
      </c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14">
        <f>C21</f>
        <v>29471.25</v>
      </c>
      <c r="C22" s="14">
        <v>29794.13</v>
      </c>
      <c r="D22" s="3" t="s">
        <v>41</v>
      </c>
      <c r="E22" s="1">
        <f t="shared" si="1"/>
        <v>322.880000000001</v>
      </c>
      <c r="F22" s="1">
        <v>5</v>
      </c>
      <c r="G22" s="1"/>
      <c r="H22" s="30"/>
      <c r="I22" s="30">
        <f t="shared" si="2"/>
        <v>1614.4</v>
      </c>
      <c r="J22" s="1"/>
      <c r="K22" s="30"/>
      <c r="L22" s="30"/>
      <c r="M22" s="30"/>
      <c r="N22" s="30"/>
      <c r="O22" s="30"/>
      <c r="P22" s="30"/>
      <c r="Q22" s="30"/>
      <c r="R22" s="30"/>
      <c r="S22" s="30"/>
      <c r="T22" s="6">
        <f t="shared" si="3"/>
        <v>3.23</v>
      </c>
      <c r="U22" s="30"/>
      <c r="V22" s="30">
        <f t="shared" si="4"/>
        <v>9.965432098765433</v>
      </c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27">
        <f>C22</f>
        <v>29794.13</v>
      </c>
      <c r="C23" s="28">
        <v>30094.13</v>
      </c>
      <c r="D23" s="3" t="s">
        <v>41</v>
      </c>
      <c r="E23" s="1">
        <f t="shared" si="1"/>
        <v>300</v>
      </c>
      <c r="F23" s="1">
        <v>5</v>
      </c>
      <c r="G23" s="32">
        <f>ROUND((5729.578+4+($F23/2))/5729.578,4)</f>
        <v>1.0011</v>
      </c>
      <c r="H23" s="30"/>
      <c r="I23" s="30">
        <f t="shared" si="2"/>
        <v>1501.65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6">
        <f t="shared" si="3"/>
        <v>3</v>
      </c>
      <c r="U23" s="30"/>
      <c r="V23" s="30">
        <f t="shared" si="4"/>
        <v>9.269444444444444</v>
      </c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>
        <f>C23</f>
        <v>30094.13</v>
      </c>
      <c r="C24" s="14">
        <v>30140.65</v>
      </c>
      <c r="D24" s="3" t="s">
        <v>41</v>
      </c>
      <c r="E24" s="1">
        <f t="shared" si="1"/>
        <v>46.52000000000044</v>
      </c>
      <c r="F24" s="1">
        <v>5</v>
      </c>
      <c r="G24" s="1"/>
      <c r="H24" s="30"/>
      <c r="I24" s="30">
        <f t="shared" si="2"/>
        <v>232.6</v>
      </c>
      <c r="J24" s="1"/>
      <c r="K24" s="30"/>
      <c r="L24" s="30"/>
      <c r="M24" s="30"/>
      <c r="N24" s="30"/>
      <c r="O24" s="30"/>
      <c r="P24" s="30"/>
      <c r="Q24" s="30"/>
      <c r="R24" s="30"/>
      <c r="S24" s="30"/>
      <c r="T24" s="6">
        <f t="shared" si="3"/>
        <v>0.47</v>
      </c>
      <c r="U24" s="30"/>
      <c r="V24" s="30">
        <f t="shared" si="4"/>
        <v>1.4358024691358022</v>
      </c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33"/>
      <c r="C25" s="14"/>
      <c r="D25" s="3"/>
      <c r="E25" s="1"/>
      <c r="F25" s="8"/>
      <c r="G25" s="1"/>
      <c r="H25" s="30"/>
      <c r="I25" s="30"/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14">
        <v>30545.16</v>
      </c>
      <c r="C26" s="14">
        <v>30730.56</v>
      </c>
      <c r="D26" s="3" t="s">
        <v>41</v>
      </c>
      <c r="E26" s="1">
        <f t="shared" si="1"/>
        <v>185.40000000000146</v>
      </c>
      <c r="F26" s="1">
        <v>5</v>
      </c>
      <c r="G26" s="32">
        <f>ROUND(((477.458-((3.963+3.5)/2)-($F26/2))/477.458+1)/2,4)</f>
        <v>0.9935</v>
      </c>
      <c r="H26" s="30"/>
      <c r="I26" s="30">
        <f aca="true" t="shared" si="5" ref="I26:I46">IF(G26=0,ROUND($E26*$F26,2),ROUND($E26*$F26*$G26,2))</f>
        <v>920.97</v>
      </c>
      <c r="J26" s="1"/>
      <c r="K26" s="30"/>
      <c r="L26" s="30"/>
      <c r="M26" s="30"/>
      <c r="N26" s="30"/>
      <c r="O26" s="30"/>
      <c r="P26" s="30"/>
      <c r="Q26" s="30"/>
      <c r="R26" s="30"/>
      <c r="S26" s="30"/>
      <c r="T26" s="6">
        <f>IF($G26=0,ROUND($E26/T$72,2),ROUND(($E26*$G26)/T$72,2))</f>
        <v>1.84</v>
      </c>
      <c r="U26" s="30"/>
      <c r="V26" s="30">
        <f>($I26/27)*(V$72/12)</f>
        <v>5.685</v>
      </c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14">
        <f>C26</f>
        <v>30730.56</v>
      </c>
      <c r="C27" s="14">
        <v>30749.11</v>
      </c>
      <c r="D27" s="3" t="s">
        <v>41</v>
      </c>
      <c r="E27" s="1">
        <f t="shared" si="1"/>
        <v>18.549999999999272</v>
      </c>
      <c r="F27" s="1">
        <v>5</v>
      </c>
      <c r="G27" s="32">
        <f>ROUND((477.458-3.5-($F27/2))/477.458,4)</f>
        <v>0.9874</v>
      </c>
      <c r="H27" s="30"/>
      <c r="I27" s="30">
        <f t="shared" si="5"/>
        <v>91.58</v>
      </c>
      <c r="J27" s="1"/>
      <c r="K27" s="30"/>
      <c r="L27" s="30"/>
      <c r="M27" s="30"/>
      <c r="N27" s="30"/>
      <c r="O27" s="30"/>
      <c r="P27" s="30"/>
      <c r="Q27" s="30"/>
      <c r="R27" s="1"/>
      <c r="S27" s="30"/>
      <c r="T27" s="6">
        <f>IF($G27=0,ROUND($E27/T$72,2),ROUND(($E27*$G27)/T$72,2))</f>
        <v>0.18</v>
      </c>
      <c r="U27" s="30"/>
      <c r="V27" s="30">
        <f>($I27/27)*(V$72/12)</f>
        <v>0.5653086419753086</v>
      </c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14">
        <f>C27</f>
        <v>30749.11</v>
      </c>
      <c r="C28" s="14">
        <v>30788.67</v>
      </c>
      <c r="D28" s="3" t="s">
        <v>41</v>
      </c>
      <c r="E28" s="1">
        <f t="shared" si="1"/>
        <v>39.55999999999767</v>
      </c>
      <c r="F28" s="1">
        <v>4.5</v>
      </c>
      <c r="G28" s="32">
        <f>ROUND((477.458-3.5-($F28/2))/477.458,4)</f>
        <v>0.988</v>
      </c>
      <c r="H28" s="30"/>
      <c r="I28" s="30">
        <f t="shared" si="5"/>
        <v>175.88</v>
      </c>
      <c r="J28" s="1"/>
      <c r="K28" s="30"/>
      <c r="L28" s="30"/>
      <c r="M28" s="30"/>
      <c r="N28" s="30"/>
      <c r="O28" s="30"/>
      <c r="P28" s="30"/>
      <c r="Q28" s="30"/>
      <c r="R28" s="30"/>
      <c r="S28" s="30"/>
      <c r="T28" s="6">
        <f>IF($G28=0,ROUND($E28/T$72,2),ROUND(($E28*$G28)/T$72,2))</f>
        <v>0.39</v>
      </c>
      <c r="U28" s="30"/>
      <c r="V28" s="30">
        <f>($I28/27)*(V$72/12)</f>
        <v>1.085679012345679</v>
      </c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/>
      <c r="C29" s="14"/>
      <c r="D29" s="3"/>
      <c r="E29" s="1"/>
      <c r="F29" s="1"/>
      <c r="G29" s="1"/>
      <c r="H29" s="30"/>
      <c r="I29" s="30"/>
      <c r="J29" s="1"/>
      <c r="K29" s="30"/>
      <c r="L29" s="30"/>
      <c r="M29" s="30"/>
      <c r="N29" s="30"/>
      <c r="O29" s="30"/>
      <c r="P29" s="30"/>
      <c r="Q29" s="30"/>
      <c r="R29" s="30"/>
      <c r="S29" s="30"/>
      <c r="T29" s="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v>981.21</v>
      </c>
      <c r="C30" s="14">
        <v>1100</v>
      </c>
      <c r="D30" s="3" t="s">
        <v>41</v>
      </c>
      <c r="E30" s="1">
        <f t="shared" si="1"/>
        <v>118.78999999999996</v>
      </c>
      <c r="F30" s="1">
        <v>5</v>
      </c>
      <c r="G30" s="32">
        <f>ROUND((477.458-((4+3.5)/2)-($F30/2))/477.458,4)</f>
        <v>0.9869</v>
      </c>
      <c r="H30" s="30"/>
      <c r="I30" s="30">
        <f t="shared" si="5"/>
        <v>586.17</v>
      </c>
      <c r="J30" s="1"/>
      <c r="K30" s="30"/>
      <c r="L30" s="30"/>
      <c r="M30" s="30"/>
      <c r="N30" s="30"/>
      <c r="O30" s="30"/>
      <c r="P30" s="30"/>
      <c r="Q30" s="30"/>
      <c r="R30" s="30"/>
      <c r="S30" s="30"/>
      <c r="T30" s="6">
        <f>IF($G30=0,ROUND($E30/T$72,2),ROUND(($E30*$G30)/T$72,2))</f>
        <v>1.17</v>
      </c>
      <c r="U30" s="30"/>
      <c r="V30" s="30">
        <f>($I30/27)*(V$72/12)</f>
        <v>3.6183333333333327</v>
      </c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27">
        <f>C30</f>
        <v>1100</v>
      </c>
      <c r="C31" s="14">
        <v>1387.73</v>
      </c>
      <c r="D31" s="3" t="s">
        <v>41</v>
      </c>
      <c r="E31" s="1">
        <f t="shared" si="1"/>
        <v>287.73</v>
      </c>
      <c r="F31" s="1">
        <v>5</v>
      </c>
      <c r="G31" s="32">
        <f>ROUND((477.458-4-($F31/2))/477.458,4)</f>
        <v>0.9864</v>
      </c>
      <c r="H31" s="30"/>
      <c r="I31" s="30">
        <f t="shared" si="5"/>
        <v>1419.08</v>
      </c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6">
        <f>IF($G31=0,ROUND($E31/T$72,2),ROUND(($E31*$G31)/T$72,2))</f>
        <v>2.84</v>
      </c>
      <c r="U31" s="30"/>
      <c r="V31" s="30">
        <f>($I31/27)*(V$72/12)</f>
        <v>8.759753086419753</v>
      </c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27">
        <f>C31</f>
        <v>1387.73</v>
      </c>
      <c r="C32" s="28">
        <v>1516.41</v>
      </c>
      <c r="D32" s="29" t="s">
        <v>41</v>
      </c>
      <c r="E32" s="1">
        <f t="shared" si="1"/>
        <v>128.68000000000006</v>
      </c>
      <c r="F32" s="91">
        <v>5</v>
      </c>
      <c r="G32" s="32">
        <f>ROUND(((477.458-4-($F32/2))/477.458+1)/2,4)</f>
        <v>0.9932</v>
      </c>
      <c r="H32" s="30"/>
      <c r="I32" s="30">
        <f t="shared" si="5"/>
        <v>639.02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">
        <f>IF($G32=0,ROUND($E32/T$72,2),ROUND(($E32*$G32)/T$72,2))</f>
        <v>1.28</v>
      </c>
      <c r="U32" s="30"/>
      <c r="V32" s="30">
        <f>($I32/27)*(V$72/12)</f>
        <v>3.9445679012345676</v>
      </c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14"/>
      <c r="C33" s="14"/>
      <c r="D33" s="3"/>
      <c r="E33" s="1"/>
      <c r="F33" s="1"/>
      <c r="G33" s="1"/>
      <c r="H33" s="30"/>
      <c r="I33" s="30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>
        <v>29750</v>
      </c>
      <c r="C34" s="14">
        <v>29794.13</v>
      </c>
      <c r="D34" s="3" t="s">
        <v>37</v>
      </c>
      <c r="E34" s="1">
        <f>C34-B34</f>
        <v>44.13000000000102</v>
      </c>
      <c r="F34" s="1">
        <v>5</v>
      </c>
      <c r="G34" s="1"/>
      <c r="H34" s="30"/>
      <c r="I34" s="30">
        <f t="shared" si="5"/>
        <v>220.65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>
        <f>IF($G34=0,ROUND($E34/T$72,2),ROUND(($E34*$G34)/T$72,2))</f>
        <v>0.44</v>
      </c>
      <c r="U34" s="30"/>
      <c r="V34" s="30">
        <f>($I34/27)*(V$72/12)</f>
        <v>1.362037037037037</v>
      </c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4">
        <f>C34</f>
        <v>29794.13</v>
      </c>
      <c r="C35" s="14">
        <v>30094.13</v>
      </c>
      <c r="D35" s="3" t="s">
        <v>37</v>
      </c>
      <c r="E35" s="1">
        <f>C35-B35</f>
        <v>300</v>
      </c>
      <c r="F35" s="1">
        <v>5</v>
      </c>
      <c r="G35" s="32">
        <f>ROUND((5729.578-34-($F35/2))/5729.578,4)</f>
        <v>0.9936</v>
      </c>
      <c r="H35" s="30"/>
      <c r="I35" s="30">
        <f t="shared" si="5"/>
        <v>1490.4</v>
      </c>
      <c r="J35" s="1"/>
      <c r="K35" s="30"/>
      <c r="L35" s="30"/>
      <c r="M35" s="30"/>
      <c r="N35" s="30"/>
      <c r="O35" s="30"/>
      <c r="P35" s="30"/>
      <c r="Q35" s="30"/>
      <c r="R35" s="30"/>
      <c r="S35" s="30"/>
      <c r="T35" s="6">
        <f>IF($G35=0,ROUND($E35/T$72,2),ROUND(($E35*$G35)/T$72,2))</f>
        <v>2.98</v>
      </c>
      <c r="U35" s="30"/>
      <c r="V35" s="30">
        <f>($I35/27)*(V$72/12)</f>
        <v>9.2</v>
      </c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>
        <f>C35</f>
        <v>30094.13</v>
      </c>
      <c r="C36" s="14">
        <v>30099.84</v>
      </c>
      <c r="D36" s="29" t="s">
        <v>37</v>
      </c>
      <c r="E36" s="1">
        <f>C36-B36</f>
        <v>5.709999999999127</v>
      </c>
      <c r="F36" s="91">
        <v>5</v>
      </c>
      <c r="G36" s="1"/>
      <c r="H36" s="30"/>
      <c r="I36" s="30">
        <f t="shared" si="5"/>
        <v>28.55</v>
      </c>
      <c r="J36" s="1"/>
      <c r="K36" s="30"/>
      <c r="L36" s="30"/>
      <c r="M36" s="30"/>
      <c r="N36" s="30"/>
      <c r="O36" s="30"/>
      <c r="P36" s="30"/>
      <c r="Q36" s="30"/>
      <c r="R36" s="30"/>
      <c r="S36" s="30"/>
      <c r="T36" s="6">
        <f>IF($G36=0,ROUND($E36/T$72,2),ROUND(($E36*$G36)/T$72,2))</f>
        <v>0.06</v>
      </c>
      <c r="U36" s="30"/>
      <c r="V36" s="30">
        <f>($I36/27)*(V$72/12)</f>
        <v>0.17623456790123454</v>
      </c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/>
      <c r="C37" s="14"/>
      <c r="D37" s="10"/>
      <c r="E37" s="1"/>
      <c r="F37" s="1"/>
      <c r="G37" s="1"/>
      <c r="H37" s="30"/>
      <c r="I37" s="30"/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27">
        <v>30431.85</v>
      </c>
      <c r="C38" s="14">
        <v>30530.56</v>
      </c>
      <c r="D38" s="3" t="s">
        <v>37</v>
      </c>
      <c r="E38" s="1">
        <f aca="true" t="shared" si="6" ref="E38:E44">C38-B38</f>
        <v>98.71000000000276</v>
      </c>
      <c r="F38" s="1">
        <v>5</v>
      </c>
      <c r="G38" s="1"/>
      <c r="H38" s="30"/>
      <c r="I38" s="30">
        <f t="shared" si="5"/>
        <v>493.55</v>
      </c>
      <c r="J38" s="1"/>
      <c r="K38" s="30"/>
      <c r="L38" s="30"/>
      <c r="M38" s="30"/>
      <c r="N38" s="30"/>
      <c r="O38" s="30"/>
      <c r="P38" s="30"/>
      <c r="Q38" s="30"/>
      <c r="R38" s="30"/>
      <c r="S38" s="30"/>
      <c r="T38" s="6">
        <f>IF($G38=0,ROUND($E38/T$72,2),ROUND(($E38*$G38)/T$72,2))</f>
        <v>0.99</v>
      </c>
      <c r="U38" s="30"/>
      <c r="V38" s="30">
        <f aca="true" t="shared" si="7" ref="V38:V44">($I38/27)*(V$72/12)</f>
        <v>3.0466049382716047</v>
      </c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14">
        <f>C38</f>
        <v>30530.56</v>
      </c>
      <c r="C39" s="14">
        <v>30650</v>
      </c>
      <c r="D39" s="3" t="s">
        <v>37</v>
      </c>
      <c r="E39" s="1">
        <f t="shared" si="6"/>
        <v>119.43999999999869</v>
      </c>
      <c r="F39" s="1">
        <v>5</v>
      </c>
      <c r="G39" s="32">
        <f>ROUND(((477.458+((34+36.281)/2)+($F39/2))/477.458+1)/2,4)</f>
        <v>1.0394</v>
      </c>
      <c r="H39" s="30"/>
      <c r="I39" s="30">
        <f t="shared" si="5"/>
        <v>620.73</v>
      </c>
      <c r="J39" s="1"/>
      <c r="K39" s="30"/>
      <c r="L39" s="30"/>
      <c r="M39" s="30"/>
      <c r="N39" s="30"/>
      <c r="O39" s="30"/>
      <c r="P39" s="30"/>
      <c r="Q39" s="30"/>
      <c r="R39" s="30"/>
      <c r="S39" s="30"/>
      <c r="T39" s="6">
        <f aca="true" t="shared" si="8" ref="T39:T46">IF($G39=0,ROUND($E39/T$72,2),ROUND(($E39*$G39)/T$72,2))</f>
        <v>1.24</v>
      </c>
      <c r="U39" s="30"/>
      <c r="V39" s="30">
        <f t="shared" si="7"/>
        <v>3.831666666666667</v>
      </c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27">
        <f>C39</f>
        <v>30650</v>
      </c>
      <c r="C40" s="14">
        <v>30730.56</v>
      </c>
      <c r="D40" s="3" t="s">
        <v>37</v>
      </c>
      <c r="E40" s="1">
        <f t="shared" si="6"/>
        <v>80.56000000000131</v>
      </c>
      <c r="F40" s="1">
        <v>5</v>
      </c>
      <c r="G40" s="32">
        <f>ROUND(((477.458+((36.281+33.636)/2)+($F40/2))/477.458+1)/2,4)</f>
        <v>1.0392</v>
      </c>
      <c r="H40" s="30"/>
      <c r="I40" s="30">
        <f t="shared" si="5"/>
        <v>418.59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">
        <f t="shared" si="8"/>
        <v>0.84</v>
      </c>
      <c r="U40" s="30"/>
      <c r="V40" s="30">
        <f t="shared" si="7"/>
        <v>2.5838888888888887</v>
      </c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14">
        <f>C40</f>
        <v>30730.56</v>
      </c>
      <c r="C41" s="14">
        <v>30800</v>
      </c>
      <c r="D41" s="3" t="s">
        <v>37</v>
      </c>
      <c r="E41" s="1">
        <f t="shared" si="6"/>
        <v>69.43999999999869</v>
      </c>
      <c r="F41" s="91">
        <v>5</v>
      </c>
      <c r="G41" s="32">
        <f>ROUND((477.458+((33.636+31.5)/2)+($F41/2))/477.458,4)</f>
        <v>1.0734</v>
      </c>
      <c r="H41" s="30"/>
      <c r="I41" s="30">
        <f t="shared" si="5"/>
        <v>372.68</v>
      </c>
      <c r="J41" s="1"/>
      <c r="K41" s="30"/>
      <c r="L41" s="30"/>
      <c r="M41" s="30"/>
      <c r="N41" s="30"/>
      <c r="O41" s="30"/>
      <c r="P41" s="30"/>
      <c r="Q41" s="30"/>
      <c r="R41" s="30"/>
      <c r="S41" s="30"/>
      <c r="T41" s="6">
        <f t="shared" si="8"/>
        <v>0.75</v>
      </c>
      <c r="U41" s="30"/>
      <c r="V41" s="30">
        <f t="shared" si="7"/>
        <v>2.3004938271604938</v>
      </c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14">
        <f>C41</f>
        <v>30800</v>
      </c>
      <c r="C42" s="14">
        <v>30815.76</v>
      </c>
      <c r="D42" s="3" t="s">
        <v>37</v>
      </c>
      <c r="E42" s="1">
        <f t="shared" si="6"/>
        <v>15.7599999999984</v>
      </c>
      <c r="F42" s="1">
        <v>5</v>
      </c>
      <c r="G42" s="32">
        <f>ROUND((477.458+31.5+($F42/2))/477.458,4)</f>
        <v>1.0712</v>
      </c>
      <c r="H42" s="30"/>
      <c r="I42" s="30">
        <f t="shared" si="5"/>
        <v>84.41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>
        <f t="shared" si="8"/>
        <v>0.17</v>
      </c>
      <c r="U42" s="30"/>
      <c r="V42" s="30">
        <f t="shared" si="7"/>
        <v>0.5210493827160494</v>
      </c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14">
        <v>736.18</v>
      </c>
      <c r="C43" s="14">
        <v>748.73</v>
      </c>
      <c r="D43" s="3" t="s">
        <v>37</v>
      </c>
      <c r="E43" s="1">
        <f t="shared" si="6"/>
        <v>12.550000000000068</v>
      </c>
      <c r="F43" s="91">
        <v>5</v>
      </c>
      <c r="G43" s="32">
        <f>ROUND((477.458+31.5+($F43/2))/477.458,4)</f>
        <v>1.0712</v>
      </c>
      <c r="H43" s="30"/>
      <c r="I43" s="30">
        <f t="shared" si="5"/>
        <v>67.22</v>
      </c>
      <c r="J43" s="1"/>
      <c r="K43" s="30"/>
      <c r="L43" s="30"/>
      <c r="M43" s="30"/>
      <c r="N43" s="30"/>
      <c r="O43" s="30"/>
      <c r="P43" s="30"/>
      <c r="Q43" s="30"/>
      <c r="R43" s="30"/>
      <c r="S43" s="30"/>
      <c r="T43" s="6">
        <f t="shared" si="8"/>
        <v>0.13</v>
      </c>
      <c r="U43" s="30"/>
      <c r="V43" s="30">
        <f t="shared" si="7"/>
        <v>0.41493827160493824</v>
      </c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27">
        <f>C43</f>
        <v>748.73</v>
      </c>
      <c r="C44" s="28">
        <v>765.76</v>
      </c>
      <c r="D44" s="3" t="s">
        <v>37</v>
      </c>
      <c r="E44" s="1">
        <f t="shared" si="6"/>
        <v>17.029999999999973</v>
      </c>
      <c r="F44" s="91">
        <v>4.5</v>
      </c>
      <c r="G44" s="32">
        <f>ROUND((477.458+31.5+($F44/2))/477.458,4)</f>
        <v>1.0707</v>
      </c>
      <c r="H44" s="30"/>
      <c r="I44" s="30">
        <f t="shared" si="5"/>
        <v>82.05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>
        <f t="shared" si="8"/>
        <v>0.18</v>
      </c>
      <c r="U44" s="30"/>
      <c r="V44" s="30">
        <f t="shared" si="7"/>
        <v>0.5064814814814814</v>
      </c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/>
      <c r="C45" s="14"/>
      <c r="D45" s="3"/>
      <c r="E45" s="1"/>
      <c r="F45" s="1"/>
      <c r="G45" s="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14">
        <v>2464.81</v>
      </c>
      <c r="C46" s="14">
        <v>3382</v>
      </c>
      <c r="D46" s="3" t="s">
        <v>37</v>
      </c>
      <c r="E46" s="1">
        <f>C46-B46</f>
        <v>917.19</v>
      </c>
      <c r="F46" s="91">
        <v>5</v>
      </c>
      <c r="G46" s="1"/>
      <c r="H46" s="30"/>
      <c r="I46" s="30">
        <f t="shared" si="5"/>
        <v>4585.95</v>
      </c>
      <c r="J46" s="1"/>
      <c r="K46" s="30"/>
      <c r="L46" s="30"/>
      <c r="M46" s="30"/>
      <c r="N46" s="30"/>
      <c r="O46" s="30"/>
      <c r="P46" s="30"/>
      <c r="Q46" s="30"/>
      <c r="R46" s="30"/>
      <c r="S46" s="30"/>
      <c r="T46" s="6">
        <f t="shared" si="8"/>
        <v>9.17</v>
      </c>
      <c r="U46" s="30"/>
      <c r="V46" s="30">
        <f>($I46/27)*(V$72/12)</f>
        <v>28.30833333333333</v>
      </c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14"/>
      <c r="C47" s="14"/>
      <c r="D47" s="3"/>
      <c r="E47" s="1"/>
      <c r="F47" s="1"/>
      <c r="G47" s="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33" t="s">
        <v>78</v>
      </c>
      <c r="C48" s="14"/>
      <c r="D48" s="3"/>
      <c r="E48" s="1"/>
      <c r="F48" s="1"/>
      <c r="G48" s="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6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14">
        <v>58364.85</v>
      </c>
      <c r="C49" s="14">
        <v>58516.4</v>
      </c>
      <c r="D49" s="3" t="s">
        <v>41</v>
      </c>
      <c r="E49" s="1">
        <f>C49-B49</f>
        <v>151.5500000000029</v>
      </c>
      <c r="F49" s="1">
        <v>5</v>
      </c>
      <c r="G49" s="32">
        <f>ROUND(((1432.394+20+($F49/2))/1432.394+1)/2,4)</f>
        <v>1.0079</v>
      </c>
      <c r="H49" s="30"/>
      <c r="I49" s="30">
        <f>IF(G49=0,ROUND($E49*$F49,2),ROUND($E49*$F49*$G49,2))</f>
        <v>763.74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>
        <f>IF($G49=0,ROUND($E49/T$72,2),ROUND(($E49*$G49)/T$72,2))</f>
        <v>1.53</v>
      </c>
      <c r="U49" s="30"/>
      <c r="V49" s="30">
        <f>($I49/27)*(V$72/12)</f>
        <v>4.714444444444444</v>
      </c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>
      <c r="A50" s="26">
        <f t="shared" si="0"/>
        <v>38</v>
      </c>
      <c r="B50" s="14">
        <f>C49</f>
        <v>58516.4</v>
      </c>
      <c r="C50" s="14">
        <v>59172.95</v>
      </c>
      <c r="D50" s="3" t="s">
        <v>41</v>
      </c>
      <c r="E50" s="1">
        <f>C50-B50</f>
        <v>656.5499999999956</v>
      </c>
      <c r="F50" s="1">
        <v>5</v>
      </c>
      <c r="G50" s="32">
        <f>ROUND((1432.394+20+($F50/2))/1432.394,4)</f>
        <v>1.0157</v>
      </c>
      <c r="H50" s="30"/>
      <c r="I50" s="30">
        <f>IF(G50=0,ROUND($E50*$F50,2),ROUND($E50*$F50*$G50,2))</f>
        <v>3334.29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>
        <f>IF($G50=0,ROUND($E50/T$72,2),ROUND(($E50*$G50)/T$72,2))</f>
        <v>6.67</v>
      </c>
      <c r="U50" s="30"/>
      <c r="V50" s="30">
        <f>($I50/27)*(V$72/12)</f>
        <v>20.582037037037036</v>
      </c>
      <c r="W50" s="30"/>
      <c r="X50" s="30"/>
      <c r="Y50" s="30"/>
      <c r="Z50" s="30"/>
      <c r="AA50" s="30"/>
      <c r="AB50" s="30"/>
      <c r="AC50" s="30"/>
      <c r="AD50" s="30"/>
      <c r="AE50" s="30"/>
      <c r="AF50" s="110"/>
      <c r="AG50" s="111"/>
    </row>
    <row r="51" spans="1:33" s="19" customFormat="1" ht="21.75" customHeight="1">
      <c r="A51" s="26">
        <f t="shared" si="0"/>
        <v>39</v>
      </c>
      <c r="B51" s="14"/>
      <c r="C51" s="14"/>
      <c r="D51" s="3"/>
      <c r="E51" s="1"/>
      <c r="F51" s="1"/>
      <c r="G51" s="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>
        <v>59640.16</v>
      </c>
      <c r="C52" s="14">
        <v>59640.56</v>
      </c>
      <c r="D52" s="3" t="s">
        <v>41</v>
      </c>
      <c r="E52" s="1">
        <f>C52-B52</f>
        <v>0.39999999999417923</v>
      </c>
      <c r="F52" s="1">
        <v>5</v>
      </c>
      <c r="G52" s="32">
        <f>ROUND((716.197+32+($F52/2))/716.197,4)</f>
        <v>1.0482</v>
      </c>
      <c r="H52" s="30"/>
      <c r="I52" s="30">
        <f>IF(G52=0,ROUND($E52*$F52,2),ROUND($E52*$F52*$G52,2))</f>
        <v>2.1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">
        <f>IF($G52=0,ROUND($E52/T$72,2),ROUND(($E52*$G52)/T$72,2))</f>
        <v>0</v>
      </c>
      <c r="U52" s="30"/>
      <c r="V52" s="30">
        <f>($I52/27)*(V$72/12)</f>
        <v>0.012962962962962963</v>
      </c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14"/>
      <c r="C53" s="14"/>
      <c r="D53" s="3"/>
      <c r="E53" s="1"/>
      <c r="F53" s="1"/>
      <c r="G53" s="1"/>
      <c r="H53" s="30"/>
      <c r="I53" s="30"/>
      <c r="J53" s="30"/>
      <c r="K53" s="54"/>
      <c r="L53" s="30"/>
      <c r="M53" s="30"/>
      <c r="N53" s="30"/>
      <c r="O53" s="30"/>
      <c r="P53" s="30"/>
      <c r="Q53" s="30"/>
      <c r="R53" s="30"/>
      <c r="S53" s="30"/>
      <c r="T53" s="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14">
        <v>58207.62</v>
      </c>
      <c r="C54" s="14">
        <v>58316.4</v>
      </c>
      <c r="D54" s="3" t="s">
        <v>37</v>
      </c>
      <c r="E54" s="1">
        <f aca="true" t="shared" si="9" ref="E54:E61">C54-B54</f>
        <v>108.77999999999884</v>
      </c>
      <c r="F54" s="1">
        <v>5</v>
      </c>
      <c r="G54" s="1"/>
      <c r="H54" s="30"/>
      <c r="I54" s="30">
        <f aca="true" t="shared" si="10" ref="I54:I61">IF(G54=0,ROUND($E54*$F54,2),ROUND($E54*$F54*$G54,2))</f>
        <v>543.9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">
        <f aca="true" t="shared" si="11" ref="T54:T61">IF($G54=0,ROUND($E54/T$72,2),ROUND(($E54*$G54)/T$72,2))</f>
        <v>1.09</v>
      </c>
      <c r="U54" s="30"/>
      <c r="V54" s="30">
        <f aca="true" t="shared" si="12" ref="V54:V61">($I54/27)*(V$72/12)</f>
        <v>3.3574074074074067</v>
      </c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>
        <f aca="true" t="shared" si="13" ref="B55:B61">C54</f>
        <v>58316.4</v>
      </c>
      <c r="C55" s="14">
        <v>58516.4</v>
      </c>
      <c r="D55" s="3" t="s">
        <v>37</v>
      </c>
      <c r="E55" s="1">
        <f t="shared" si="9"/>
        <v>200</v>
      </c>
      <c r="F55" s="1">
        <v>5</v>
      </c>
      <c r="G55" s="32">
        <f>ROUND(((1432.394-6-($F55/2))/1432.394+1)/2,4)</f>
        <v>0.997</v>
      </c>
      <c r="H55" s="30"/>
      <c r="I55" s="30">
        <f t="shared" si="10"/>
        <v>997</v>
      </c>
      <c r="J55" s="1"/>
      <c r="K55" s="56"/>
      <c r="L55" s="30"/>
      <c r="M55" s="30"/>
      <c r="N55" s="30"/>
      <c r="O55" s="30"/>
      <c r="P55" s="30"/>
      <c r="Q55" s="56"/>
      <c r="R55" s="30"/>
      <c r="S55" s="30"/>
      <c r="T55" s="6">
        <f t="shared" si="11"/>
        <v>1.99</v>
      </c>
      <c r="U55" s="30"/>
      <c r="V55" s="30">
        <f t="shared" si="12"/>
        <v>6.15432098765432</v>
      </c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27">
        <f t="shared" si="13"/>
        <v>58516.4</v>
      </c>
      <c r="C56" s="14">
        <v>59303.36</v>
      </c>
      <c r="D56" s="3" t="s">
        <v>37</v>
      </c>
      <c r="E56" s="1">
        <f t="shared" si="9"/>
        <v>786.9599999999991</v>
      </c>
      <c r="F56" s="1">
        <v>5</v>
      </c>
      <c r="G56" s="32">
        <f>ROUND((1432.394-6-($F56/2))/1432.394,4)</f>
        <v>0.9941</v>
      </c>
      <c r="H56" s="30"/>
      <c r="I56" s="30">
        <f t="shared" si="10"/>
        <v>3911.58</v>
      </c>
      <c r="J56" s="30"/>
      <c r="K56" s="56"/>
      <c r="L56" s="30"/>
      <c r="M56" s="30"/>
      <c r="N56" s="30"/>
      <c r="O56" s="30"/>
      <c r="P56" s="30"/>
      <c r="Q56" s="30"/>
      <c r="R56" s="30"/>
      <c r="S56" s="30"/>
      <c r="T56" s="6">
        <f t="shared" si="11"/>
        <v>7.82</v>
      </c>
      <c r="U56" s="30"/>
      <c r="V56" s="30">
        <f t="shared" si="12"/>
        <v>24.145555555555553</v>
      </c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14">
        <f t="shared" si="13"/>
        <v>59303.36</v>
      </c>
      <c r="C57" s="14">
        <v>59938.22</v>
      </c>
      <c r="D57" s="3" t="s">
        <v>37</v>
      </c>
      <c r="E57" s="1">
        <f t="shared" si="9"/>
        <v>634.8600000000006</v>
      </c>
      <c r="F57" s="1">
        <v>5</v>
      </c>
      <c r="G57" s="32">
        <f>ROUND((716.197-6-($F57/2))/716.197,4)</f>
        <v>0.9881</v>
      </c>
      <c r="H57" s="30"/>
      <c r="I57" s="30">
        <f t="shared" si="10"/>
        <v>3136.53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6">
        <f t="shared" si="11"/>
        <v>6.27</v>
      </c>
      <c r="U57" s="30"/>
      <c r="V57" s="30">
        <f t="shared" si="12"/>
        <v>19.361296296296295</v>
      </c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>
        <f t="shared" si="13"/>
        <v>59938.22</v>
      </c>
      <c r="C58" s="14">
        <v>60137.81</v>
      </c>
      <c r="D58" s="3" t="s">
        <v>37</v>
      </c>
      <c r="E58" s="1">
        <f t="shared" si="9"/>
        <v>199.5899999999965</v>
      </c>
      <c r="F58" s="1">
        <v>5</v>
      </c>
      <c r="G58" s="32">
        <f>ROUND((1432.394-6-($F58/2))/1432.394,4)</f>
        <v>0.9941</v>
      </c>
      <c r="H58" s="30"/>
      <c r="I58" s="30">
        <f t="shared" si="10"/>
        <v>992.06</v>
      </c>
      <c r="J58" s="1"/>
      <c r="K58" s="30"/>
      <c r="L58" s="30"/>
      <c r="M58" s="30"/>
      <c r="N58" s="30"/>
      <c r="O58" s="30"/>
      <c r="P58" s="30"/>
      <c r="Q58" s="30"/>
      <c r="R58" s="30"/>
      <c r="S58" s="30"/>
      <c r="T58" s="6">
        <f t="shared" si="11"/>
        <v>1.98</v>
      </c>
      <c r="U58" s="30"/>
      <c r="V58" s="30">
        <f t="shared" si="12"/>
        <v>6.123827160493827</v>
      </c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14">
        <f t="shared" si="13"/>
        <v>60137.81</v>
      </c>
      <c r="C59" s="14">
        <v>60287.81</v>
      </c>
      <c r="D59" s="3" t="s">
        <v>37</v>
      </c>
      <c r="E59" s="1">
        <f t="shared" si="9"/>
        <v>150</v>
      </c>
      <c r="F59" s="1">
        <v>5</v>
      </c>
      <c r="G59" s="32">
        <f>ROUND(((1432.394-6-($F59/2))/1432.394+1)/2,4)</f>
        <v>0.997</v>
      </c>
      <c r="H59" s="30"/>
      <c r="I59" s="30">
        <f t="shared" si="10"/>
        <v>747.75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6">
        <f t="shared" si="11"/>
        <v>1.5</v>
      </c>
      <c r="U59" s="30"/>
      <c r="V59" s="30">
        <f t="shared" si="12"/>
        <v>4.6157407407407405</v>
      </c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19" customFormat="1" ht="21.75" customHeight="1">
      <c r="A60" s="26">
        <f t="shared" si="0"/>
        <v>48</v>
      </c>
      <c r="B60" s="14">
        <f t="shared" si="13"/>
        <v>60287.81</v>
      </c>
      <c r="C60" s="14">
        <v>60337.81</v>
      </c>
      <c r="D60" s="3" t="s">
        <v>37</v>
      </c>
      <c r="E60" s="1">
        <f t="shared" si="9"/>
        <v>50</v>
      </c>
      <c r="F60" s="1">
        <v>5</v>
      </c>
      <c r="G60" s="32">
        <f>ROUND(((1432.394-((6+8)/2)-($F60/2))/1432.394+1)/2,4)</f>
        <v>0.9967</v>
      </c>
      <c r="H60" s="30"/>
      <c r="I60" s="30">
        <f t="shared" si="10"/>
        <v>249.18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6">
        <f t="shared" si="11"/>
        <v>0.5</v>
      </c>
      <c r="U60" s="30"/>
      <c r="V60" s="30">
        <f t="shared" si="12"/>
        <v>1.538148148148148</v>
      </c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19" customFormat="1" ht="21.75" customHeight="1">
      <c r="A61" s="26">
        <f t="shared" si="0"/>
        <v>49</v>
      </c>
      <c r="B61" s="14">
        <f t="shared" si="13"/>
        <v>60337.81</v>
      </c>
      <c r="C61" s="14">
        <v>60667.88</v>
      </c>
      <c r="D61" s="3" t="s">
        <v>37</v>
      </c>
      <c r="E61" s="1">
        <f t="shared" si="9"/>
        <v>330.0699999999997</v>
      </c>
      <c r="F61" s="1">
        <v>5</v>
      </c>
      <c r="G61" s="1"/>
      <c r="H61" s="30"/>
      <c r="I61" s="30">
        <f t="shared" si="10"/>
        <v>1650.35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6">
        <f t="shared" si="11"/>
        <v>3.3</v>
      </c>
      <c r="U61" s="30"/>
      <c r="V61" s="30">
        <f t="shared" si="12"/>
        <v>10.187345679012346</v>
      </c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33"/>
      <c r="C62" s="14"/>
      <c r="D62" s="3"/>
      <c r="E62" s="1"/>
      <c r="F62" s="1"/>
      <c r="G62" s="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6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14"/>
      <c r="C63" s="14"/>
      <c r="D63" s="3"/>
      <c r="E63" s="1"/>
      <c r="F63" s="1"/>
      <c r="G63" s="1"/>
      <c r="H63" s="30"/>
      <c r="I63" s="30"/>
      <c r="J63" s="1"/>
      <c r="K63" s="30"/>
      <c r="L63" s="30"/>
      <c r="M63" s="30"/>
      <c r="N63" s="30"/>
      <c r="O63" s="30"/>
      <c r="P63" s="30"/>
      <c r="Q63" s="30"/>
      <c r="R63" s="30"/>
      <c r="S63" s="30"/>
      <c r="T63" s="6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14"/>
      <c r="C64" s="14"/>
      <c r="D64" s="3"/>
      <c r="E64" s="1"/>
      <c r="F64" s="1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14"/>
      <c r="C65" s="14"/>
      <c r="D65" s="3"/>
      <c r="E65" s="1"/>
      <c r="F65" s="1"/>
      <c r="G65" s="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>IF(SUM(R13:R66)=0," ",ROUNDUP(SUM(R13:R66),0))</f>
        <v> </v>
      </c>
      <c r="S67" s="125" t="str">
        <f aca="true" t="shared" si="14" ref="S67:AE67">IF(SUM(S13:S66)=0," ",ROUNDUP(SUM(S13:S66),0))</f>
        <v> </v>
      </c>
      <c r="T67" s="125">
        <f t="shared" si="14"/>
        <v>71</v>
      </c>
      <c r="U67" s="125" t="str">
        <f t="shared" si="14"/>
        <v> </v>
      </c>
      <c r="V67" s="125">
        <f t="shared" si="14"/>
        <v>217</v>
      </c>
      <c r="W67" s="125" t="str">
        <f t="shared" si="14"/>
        <v> </v>
      </c>
      <c r="X67" s="125" t="str">
        <f t="shared" si="14"/>
        <v> </v>
      </c>
      <c r="Y67" s="125" t="str">
        <f t="shared" si="14"/>
        <v> </v>
      </c>
      <c r="Z67" s="125" t="str">
        <f t="shared" si="14"/>
        <v> </v>
      </c>
      <c r="AA67" s="125" t="str">
        <f t="shared" si="14"/>
        <v> </v>
      </c>
      <c r="AB67" s="125" t="str">
        <f t="shared" si="14"/>
        <v> </v>
      </c>
      <c r="AC67" s="125" t="str">
        <f t="shared" si="14"/>
        <v> </v>
      </c>
      <c r="AD67" s="125" t="str">
        <f t="shared" si="14"/>
        <v> </v>
      </c>
      <c r="AE67" s="125" t="str">
        <f t="shared" si="14"/>
        <v> </v>
      </c>
      <c r="AF67" s="145">
        <v>9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>
        <v>100</v>
      </c>
      <c r="U72" s="58"/>
      <c r="V72" s="79">
        <v>2</v>
      </c>
      <c r="W72" s="78"/>
      <c r="X72" s="59"/>
      <c r="Y72" s="58"/>
      <c r="Z72" s="58"/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60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1">
    <mergeCell ref="B3:C11"/>
    <mergeCell ref="D3:D11"/>
    <mergeCell ref="E3:E11"/>
    <mergeCell ref="F3:F11"/>
    <mergeCell ref="G3:G11"/>
    <mergeCell ref="H3:H11"/>
    <mergeCell ref="V4:V11"/>
    <mergeCell ref="I3:I11"/>
    <mergeCell ref="J3:J11"/>
    <mergeCell ref="K3:K11"/>
    <mergeCell ref="L3:L11"/>
    <mergeCell ref="M3:M11"/>
    <mergeCell ref="N3:N11"/>
    <mergeCell ref="AB4:AB11"/>
    <mergeCell ref="O3:O11"/>
    <mergeCell ref="P3:P11"/>
    <mergeCell ref="Q3:Q11"/>
    <mergeCell ref="AF3:AF5"/>
    <mergeCell ref="AG3:AG5"/>
    <mergeCell ref="R4:R11"/>
    <mergeCell ref="S4:S11"/>
    <mergeCell ref="T4:T11"/>
    <mergeCell ref="U4:U11"/>
    <mergeCell ref="AC4:AC11"/>
    <mergeCell ref="AD4:AD11"/>
    <mergeCell ref="AE4:AE11"/>
    <mergeCell ref="AF6:AG50"/>
    <mergeCell ref="B14:I14"/>
    <mergeCell ref="W4:W11"/>
    <mergeCell ref="X4:X11"/>
    <mergeCell ref="Y4:Y11"/>
    <mergeCell ref="Z4:Z11"/>
    <mergeCell ref="AA4:AA11"/>
    <mergeCell ref="AF51:AG66"/>
    <mergeCell ref="B67:Q68"/>
    <mergeCell ref="R67:R68"/>
    <mergeCell ref="S67:S68"/>
    <mergeCell ref="T67:T68"/>
    <mergeCell ref="U67:U68"/>
    <mergeCell ref="V67:V68"/>
    <mergeCell ref="W67:W68"/>
    <mergeCell ref="X67:X68"/>
    <mergeCell ref="AE67:AE68"/>
    <mergeCell ref="AF67:AG67"/>
    <mergeCell ref="AF68:AG68"/>
    <mergeCell ref="Y67:Y68"/>
    <mergeCell ref="Z67:Z68"/>
    <mergeCell ref="AA67:AA68"/>
    <mergeCell ref="AB67:AB68"/>
    <mergeCell ref="AC67:AC68"/>
    <mergeCell ref="AD67:AD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view="pageBreakPreview" zoomScale="50" zoomScaleNormal="25" zoomScaleSheetLayoutView="50" workbookViewId="0" topLeftCell="A1">
      <selection activeCell="K47" sqref="K47"/>
    </sheetView>
  </sheetViews>
  <sheetFormatPr defaultColWidth="9.140625" defaultRowHeight="12.75"/>
  <cols>
    <col min="1" max="3" width="24.7109375" style="15" customWidth="1"/>
    <col min="4" max="22" width="15.7109375" style="15" customWidth="1"/>
    <col min="23" max="23" width="15.7109375" style="61" customWidth="1"/>
    <col min="24" max="31" width="15.7109375" style="15" customWidth="1"/>
    <col min="32" max="34" width="6.7109375" style="15" customWidth="1"/>
    <col min="35" max="16384" width="9.140625" style="15" customWidth="1"/>
  </cols>
  <sheetData>
    <row r="1" spans="8:27" ht="12.75">
      <c r="H1" s="63"/>
      <c r="S1" s="63"/>
      <c r="T1" s="63"/>
      <c r="U1" s="63"/>
      <c r="V1" s="63"/>
      <c r="W1" s="64"/>
      <c r="X1" s="63"/>
      <c r="Z1" s="63"/>
      <c r="AA1" s="63"/>
    </row>
    <row r="2" spans="1:34" s="18" customFormat="1" ht="36" customHeight="1" thickBot="1">
      <c r="A2" s="16"/>
      <c r="B2" s="46" t="s">
        <v>24</v>
      </c>
      <c r="C2" s="47"/>
      <c r="D2" s="48"/>
      <c r="E2" s="48"/>
      <c r="F2" s="48"/>
      <c r="G2" s="48"/>
      <c r="H2" s="65"/>
      <c r="I2" s="49"/>
      <c r="J2" s="48"/>
      <c r="K2" s="48"/>
      <c r="L2" s="48"/>
      <c r="M2" s="48"/>
      <c r="N2" s="48"/>
      <c r="O2" s="48"/>
      <c r="P2" s="48"/>
      <c r="Q2" s="4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  <c r="AD2" s="62"/>
      <c r="AH2" s="17"/>
    </row>
    <row r="3" spans="2:34" s="19" customFormat="1" ht="21.75" customHeight="1">
      <c r="B3" s="114" t="s">
        <v>0</v>
      </c>
      <c r="C3" s="115"/>
      <c r="D3" s="120" t="s">
        <v>3</v>
      </c>
      <c r="E3" s="120" t="s">
        <v>4</v>
      </c>
      <c r="F3" s="120" t="s">
        <v>5</v>
      </c>
      <c r="G3" s="127" t="s">
        <v>13</v>
      </c>
      <c r="H3" s="127" t="s">
        <v>104</v>
      </c>
      <c r="I3" s="120" t="s">
        <v>6</v>
      </c>
      <c r="J3" s="127" t="s">
        <v>11</v>
      </c>
      <c r="K3" s="127"/>
      <c r="L3" s="127"/>
      <c r="M3" s="127"/>
      <c r="N3" s="127"/>
      <c r="O3" s="127"/>
      <c r="P3" s="127"/>
      <c r="Q3" s="127"/>
      <c r="R3" s="50"/>
      <c r="S3" s="50"/>
      <c r="T3" s="76">
        <v>209</v>
      </c>
      <c r="U3" s="50"/>
      <c r="V3" s="76">
        <v>441</v>
      </c>
      <c r="W3" s="50"/>
      <c r="X3" s="51"/>
      <c r="Y3" s="80"/>
      <c r="Z3" s="80"/>
      <c r="AA3" s="80"/>
      <c r="AB3" s="51"/>
      <c r="AC3" s="51"/>
      <c r="AD3" s="51"/>
      <c r="AE3" s="51"/>
      <c r="AF3" s="97" t="s">
        <v>22</v>
      </c>
      <c r="AG3" s="97" t="s">
        <v>23</v>
      </c>
      <c r="AH3" s="20"/>
    </row>
    <row r="4" spans="2:34" s="19" customFormat="1" ht="27.75" customHeight="1">
      <c r="B4" s="116"/>
      <c r="C4" s="117"/>
      <c r="D4" s="121"/>
      <c r="E4" s="121"/>
      <c r="F4" s="121"/>
      <c r="G4" s="103"/>
      <c r="H4" s="103"/>
      <c r="I4" s="121"/>
      <c r="J4" s="103"/>
      <c r="K4" s="103"/>
      <c r="L4" s="103"/>
      <c r="M4" s="103"/>
      <c r="N4" s="103"/>
      <c r="O4" s="103"/>
      <c r="P4" s="103"/>
      <c r="Q4" s="103"/>
      <c r="R4" s="99"/>
      <c r="S4" s="99"/>
      <c r="T4" s="147" t="s">
        <v>72</v>
      </c>
      <c r="U4" s="99"/>
      <c r="V4" s="147" t="s">
        <v>73</v>
      </c>
      <c r="W4" s="99"/>
      <c r="X4" s="102"/>
      <c r="Y4" s="147"/>
      <c r="Z4" s="147"/>
      <c r="AA4" s="147"/>
      <c r="AB4" s="102"/>
      <c r="AC4" s="102"/>
      <c r="AD4" s="102"/>
      <c r="AE4" s="102"/>
      <c r="AF4" s="123"/>
      <c r="AG4" s="98"/>
      <c r="AH4" s="21"/>
    </row>
    <row r="5" spans="2:33" s="19" customFormat="1" ht="27.75" customHeight="1" thickBot="1">
      <c r="B5" s="116"/>
      <c r="C5" s="117"/>
      <c r="D5" s="121"/>
      <c r="E5" s="121"/>
      <c r="F5" s="121"/>
      <c r="G5" s="103"/>
      <c r="H5" s="103"/>
      <c r="I5" s="121"/>
      <c r="J5" s="103"/>
      <c r="K5" s="103"/>
      <c r="L5" s="103"/>
      <c r="M5" s="103"/>
      <c r="N5" s="103"/>
      <c r="O5" s="103"/>
      <c r="P5" s="103"/>
      <c r="Q5" s="103"/>
      <c r="R5" s="100"/>
      <c r="S5" s="100"/>
      <c r="T5" s="148"/>
      <c r="U5" s="100"/>
      <c r="V5" s="148"/>
      <c r="W5" s="100"/>
      <c r="X5" s="103"/>
      <c r="Y5" s="148"/>
      <c r="Z5" s="148"/>
      <c r="AA5" s="148"/>
      <c r="AB5" s="103"/>
      <c r="AC5" s="103"/>
      <c r="AD5" s="103"/>
      <c r="AE5" s="103"/>
      <c r="AF5" s="124"/>
      <c r="AG5" s="98"/>
    </row>
    <row r="6" spans="2:33" s="19" customFormat="1" ht="27.75" customHeight="1">
      <c r="B6" s="116"/>
      <c r="C6" s="117"/>
      <c r="D6" s="121"/>
      <c r="E6" s="121"/>
      <c r="F6" s="121"/>
      <c r="G6" s="103"/>
      <c r="H6" s="103"/>
      <c r="I6" s="121"/>
      <c r="J6" s="103"/>
      <c r="K6" s="103"/>
      <c r="L6" s="103"/>
      <c r="M6" s="103"/>
      <c r="N6" s="103"/>
      <c r="O6" s="103"/>
      <c r="P6" s="103"/>
      <c r="Q6" s="103"/>
      <c r="R6" s="100"/>
      <c r="S6" s="100"/>
      <c r="T6" s="148"/>
      <c r="U6" s="100"/>
      <c r="V6" s="148"/>
      <c r="W6" s="100"/>
      <c r="X6" s="103"/>
      <c r="Y6" s="148"/>
      <c r="Z6" s="148"/>
      <c r="AA6" s="148"/>
      <c r="AB6" s="103"/>
      <c r="AC6" s="103"/>
      <c r="AD6" s="103"/>
      <c r="AE6" s="103"/>
      <c r="AF6" s="108" t="s">
        <v>7</v>
      </c>
      <c r="AG6" s="109"/>
    </row>
    <row r="7" spans="2:33" s="19" customFormat="1" ht="27.75" customHeight="1">
      <c r="B7" s="116"/>
      <c r="C7" s="117"/>
      <c r="D7" s="121"/>
      <c r="E7" s="121"/>
      <c r="F7" s="121"/>
      <c r="G7" s="103"/>
      <c r="H7" s="103"/>
      <c r="I7" s="121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48"/>
      <c r="U7" s="100"/>
      <c r="V7" s="148"/>
      <c r="W7" s="100"/>
      <c r="X7" s="103"/>
      <c r="Y7" s="148"/>
      <c r="Z7" s="148"/>
      <c r="AA7" s="148"/>
      <c r="AB7" s="103"/>
      <c r="AC7" s="103"/>
      <c r="AD7" s="103"/>
      <c r="AE7" s="103"/>
      <c r="AF7" s="110"/>
      <c r="AG7" s="111"/>
    </row>
    <row r="8" spans="2:33" s="19" customFormat="1" ht="27.75" customHeight="1">
      <c r="B8" s="116"/>
      <c r="C8" s="117"/>
      <c r="D8" s="121"/>
      <c r="E8" s="121"/>
      <c r="F8" s="121"/>
      <c r="G8" s="103"/>
      <c r="H8" s="103"/>
      <c r="I8" s="121"/>
      <c r="J8" s="103"/>
      <c r="K8" s="103"/>
      <c r="L8" s="103"/>
      <c r="M8" s="103"/>
      <c r="N8" s="103"/>
      <c r="O8" s="103"/>
      <c r="P8" s="103"/>
      <c r="Q8" s="103"/>
      <c r="R8" s="100"/>
      <c r="S8" s="100"/>
      <c r="T8" s="148"/>
      <c r="U8" s="100"/>
      <c r="V8" s="148"/>
      <c r="W8" s="100"/>
      <c r="X8" s="103"/>
      <c r="Y8" s="148"/>
      <c r="Z8" s="148"/>
      <c r="AA8" s="148"/>
      <c r="AB8" s="103"/>
      <c r="AC8" s="103"/>
      <c r="AD8" s="103"/>
      <c r="AE8" s="103"/>
      <c r="AF8" s="110"/>
      <c r="AG8" s="111"/>
    </row>
    <row r="9" spans="2:33" s="19" customFormat="1" ht="27.75" customHeight="1">
      <c r="B9" s="116"/>
      <c r="C9" s="117"/>
      <c r="D9" s="121"/>
      <c r="E9" s="121"/>
      <c r="F9" s="121"/>
      <c r="G9" s="103"/>
      <c r="H9" s="103"/>
      <c r="I9" s="121"/>
      <c r="J9" s="103"/>
      <c r="K9" s="103"/>
      <c r="L9" s="103"/>
      <c r="M9" s="103"/>
      <c r="N9" s="103"/>
      <c r="O9" s="103"/>
      <c r="P9" s="103"/>
      <c r="Q9" s="103"/>
      <c r="R9" s="100"/>
      <c r="S9" s="100"/>
      <c r="T9" s="148"/>
      <c r="U9" s="100"/>
      <c r="V9" s="148"/>
      <c r="W9" s="100"/>
      <c r="X9" s="103"/>
      <c r="Y9" s="148"/>
      <c r="Z9" s="148"/>
      <c r="AA9" s="148"/>
      <c r="AB9" s="103"/>
      <c r="AC9" s="103"/>
      <c r="AD9" s="103"/>
      <c r="AE9" s="103"/>
      <c r="AF9" s="110"/>
      <c r="AG9" s="111"/>
    </row>
    <row r="10" spans="2:33" s="19" customFormat="1" ht="27.75" customHeight="1">
      <c r="B10" s="116"/>
      <c r="C10" s="117"/>
      <c r="D10" s="121"/>
      <c r="E10" s="121"/>
      <c r="F10" s="121"/>
      <c r="G10" s="103"/>
      <c r="H10" s="103"/>
      <c r="I10" s="121"/>
      <c r="J10" s="103"/>
      <c r="K10" s="103"/>
      <c r="L10" s="103"/>
      <c r="M10" s="103"/>
      <c r="N10" s="103"/>
      <c r="O10" s="103"/>
      <c r="P10" s="103"/>
      <c r="Q10" s="103"/>
      <c r="R10" s="100"/>
      <c r="S10" s="100"/>
      <c r="T10" s="148"/>
      <c r="U10" s="100"/>
      <c r="V10" s="148"/>
      <c r="W10" s="100"/>
      <c r="X10" s="103"/>
      <c r="Y10" s="148"/>
      <c r="Z10" s="148"/>
      <c r="AA10" s="148"/>
      <c r="AB10" s="103"/>
      <c r="AC10" s="103"/>
      <c r="AD10" s="103"/>
      <c r="AE10" s="103"/>
      <c r="AF10" s="110"/>
      <c r="AG10" s="111"/>
    </row>
    <row r="11" spans="2:33" s="22" customFormat="1" ht="27.75" customHeight="1">
      <c r="B11" s="118"/>
      <c r="C11" s="119"/>
      <c r="D11" s="122"/>
      <c r="E11" s="122"/>
      <c r="F11" s="122"/>
      <c r="G11" s="104"/>
      <c r="H11" s="104"/>
      <c r="I11" s="122"/>
      <c r="J11" s="104"/>
      <c r="K11" s="104"/>
      <c r="L11" s="104"/>
      <c r="M11" s="104"/>
      <c r="N11" s="104"/>
      <c r="O11" s="104"/>
      <c r="P11" s="104"/>
      <c r="Q11" s="104"/>
      <c r="R11" s="101"/>
      <c r="S11" s="101"/>
      <c r="T11" s="149"/>
      <c r="U11" s="101"/>
      <c r="V11" s="149"/>
      <c r="W11" s="101"/>
      <c r="X11" s="104"/>
      <c r="Y11" s="149"/>
      <c r="Z11" s="149"/>
      <c r="AA11" s="149"/>
      <c r="AB11" s="104"/>
      <c r="AC11" s="104"/>
      <c r="AD11" s="104"/>
      <c r="AE11" s="104"/>
      <c r="AF11" s="110"/>
      <c r="AG11" s="111"/>
    </row>
    <row r="12" spans="2:33" s="23" customFormat="1" ht="21.75" customHeight="1" thickBot="1">
      <c r="B12" s="24" t="s">
        <v>1</v>
      </c>
      <c r="C12" s="24" t="s">
        <v>2</v>
      </c>
      <c r="D12" s="25"/>
      <c r="E12" s="25" t="s">
        <v>8</v>
      </c>
      <c r="F12" s="25" t="s">
        <v>8</v>
      </c>
      <c r="G12" s="25"/>
      <c r="H12" s="52"/>
      <c r="I12" s="25" t="s">
        <v>10</v>
      </c>
      <c r="J12" s="25" t="s">
        <v>10</v>
      </c>
      <c r="K12" s="25"/>
      <c r="L12" s="25"/>
      <c r="M12" s="25"/>
      <c r="N12" s="25"/>
      <c r="O12" s="25"/>
      <c r="P12" s="25"/>
      <c r="Q12" s="25"/>
      <c r="R12" s="52"/>
      <c r="S12" s="52"/>
      <c r="T12" s="77" t="s">
        <v>74</v>
      </c>
      <c r="U12" s="52"/>
      <c r="V12" s="77" t="s">
        <v>34</v>
      </c>
      <c r="W12" s="52"/>
      <c r="X12" s="25"/>
      <c r="Y12" s="12"/>
      <c r="Z12" s="12"/>
      <c r="AA12" s="12"/>
      <c r="AB12" s="25"/>
      <c r="AC12" s="25"/>
      <c r="AD12" s="25"/>
      <c r="AE12" s="25"/>
      <c r="AF12" s="110"/>
      <c r="AG12" s="111"/>
    </row>
    <row r="13" spans="1:33" s="19" customFormat="1" ht="21.75" customHeight="1">
      <c r="A13" s="26">
        <v>1</v>
      </c>
      <c r="B13" s="27"/>
      <c r="C13" s="28"/>
      <c r="D13" s="29"/>
      <c r="E13" s="30"/>
      <c r="F13" s="31"/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0"/>
      <c r="AG13" s="111"/>
    </row>
    <row r="14" spans="1:33" s="19" customFormat="1" ht="21.75" customHeight="1">
      <c r="A14" s="26">
        <f>A13+1</f>
        <v>2</v>
      </c>
      <c r="B14" s="105" t="s">
        <v>86</v>
      </c>
      <c r="C14" s="106"/>
      <c r="D14" s="106"/>
      <c r="E14" s="106"/>
      <c r="F14" s="106"/>
      <c r="G14" s="106"/>
      <c r="H14" s="106"/>
      <c r="I14" s="107"/>
      <c r="J14" s="30"/>
      <c r="K14" s="30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0"/>
      <c r="AG14" s="111"/>
    </row>
    <row r="15" spans="1:33" s="19" customFormat="1" ht="21.75" customHeight="1">
      <c r="A15" s="26">
        <f>A14+1</f>
        <v>3</v>
      </c>
      <c r="B15" s="33" t="s">
        <v>88</v>
      </c>
      <c r="C15" s="14"/>
      <c r="D15" s="3"/>
      <c r="E15" s="1"/>
      <c r="F15" s="1"/>
      <c r="G15" s="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6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0"/>
      <c r="AG15" s="111"/>
    </row>
    <row r="16" spans="1:33" s="19" customFormat="1" ht="21.75" customHeight="1">
      <c r="A16" s="26">
        <f aca="true" t="shared" si="0" ref="A16:A66">A15+1</f>
        <v>4</v>
      </c>
      <c r="B16" s="14">
        <v>67960.74</v>
      </c>
      <c r="C16" s="14">
        <v>68000</v>
      </c>
      <c r="D16" s="3" t="s">
        <v>37</v>
      </c>
      <c r="E16" s="1">
        <f>C16-B16</f>
        <v>39.25999999999476</v>
      </c>
      <c r="F16" s="1">
        <v>5</v>
      </c>
      <c r="G16" s="32">
        <f>ROUND((2989.345-6.76-($F16/2))/2989.345,4)</f>
        <v>0.9969</v>
      </c>
      <c r="H16" s="30"/>
      <c r="I16" s="30">
        <f aca="true" t="shared" si="1" ref="I16:I24">IF(G16=0,ROUND($E16*$F16,2),ROUND($E16*$F16*$G16,2))</f>
        <v>195.69</v>
      </c>
      <c r="J16" s="1"/>
      <c r="K16" s="30"/>
      <c r="L16" s="30"/>
      <c r="M16" s="30"/>
      <c r="N16" s="30"/>
      <c r="O16" s="30"/>
      <c r="P16" s="30"/>
      <c r="Q16" s="30"/>
      <c r="R16" s="30"/>
      <c r="S16" s="30"/>
      <c r="T16" s="6">
        <f aca="true" t="shared" si="2" ref="T16:T21">IF($G16=0,ROUND($E16/T$72,2),ROUND(($E16*$G16)/T$72,2))</f>
        <v>0.39</v>
      </c>
      <c r="U16" s="30"/>
      <c r="V16" s="30">
        <f aca="true" t="shared" si="3" ref="V16:V21">($I16/27)*(V$72/12)</f>
        <v>1.207962962962963</v>
      </c>
      <c r="W16" s="30"/>
      <c r="X16" s="30"/>
      <c r="Y16" s="30"/>
      <c r="Z16" s="30"/>
      <c r="AA16" s="30"/>
      <c r="AB16" s="30"/>
      <c r="AC16" s="30"/>
      <c r="AD16" s="30"/>
      <c r="AE16" s="30"/>
      <c r="AF16" s="110"/>
      <c r="AG16" s="111"/>
    </row>
    <row r="17" spans="1:33" s="19" customFormat="1" ht="21.75" customHeight="1">
      <c r="A17" s="26">
        <f t="shared" si="0"/>
        <v>5</v>
      </c>
      <c r="B17" s="14">
        <f>C16</f>
        <v>68000</v>
      </c>
      <c r="C17" s="14">
        <v>68032</v>
      </c>
      <c r="D17" s="3" t="s">
        <v>37</v>
      </c>
      <c r="E17" s="1">
        <f>C17-B17</f>
        <v>32</v>
      </c>
      <c r="F17" s="1">
        <v>5</v>
      </c>
      <c r="G17" s="32">
        <f>ROUND((2989.345-((8+6.76)/2)-($F17/2))/2989.345,4)</f>
        <v>0.9967</v>
      </c>
      <c r="H17" s="30"/>
      <c r="I17" s="30">
        <f t="shared" si="1"/>
        <v>159.47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>
        <f t="shared" si="2"/>
        <v>0.32</v>
      </c>
      <c r="U17" s="30"/>
      <c r="V17" s="30">
        <f t="shared" si="3"/>
        <v>0.9843827160493827</v>
      </c>
      <c r="W17" s="30"/>
      <c r="X17" s="30"/>
      <c r="Y17" s="30"/>
      <c r="Z17" s="30"/>
      <c r="AA17" s="30"/>
      <c r="AB17" s="30"/>
      <c r="AC17" s="30"/>
      <c r="AD17" s="30"/>
      <c r="AE17" s="30"/>
      <c r="AF17" s="110"/>
      <c r="AG17" s="111"/>
    </row>
    <row r="18" spans="1:33" s="19" customFormat="1" ht="21.75" customHeight="1">
      <c r="A18" s="26">
        <f t="shared" si="0"/>
        <v>6</v>
      </c>
      <c r="B18" s="14">
        <f>C17</f>
        <v>68032</v>
      </c>
      <c r="C18" s="14">
        <v>68295.5</v>
      </c>
      <c r="D18" s="3" t="s">
        <v>37</v>
      </c>
      <c r="E18" s="1">
        <f>C18-B18</f>
        <v>263.5</v>
      </c>
      <c r="F18" s="1">
        <v>5</v>
      </c>
      <c r="G18" s="32">
        <f>ROUND((2989.345-8-($F18/2))/2989.345,4)</f>
        <v>0.9965</v>
      </c>
      <c r="H18" s="30"/>
      <c r="I18" s="30">
        <f t="shared" si="1"/>
        <v>1312.89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">
        <f t="shared" si="2"/>
        <v>2.63</v>
      </c>
      <c r="U18" s="30"/>
      <c r="V18" s="30">
        <f t="shared" si="3"/>
        <v>8.104259259259258</v>
      </c>
      <c r="W18" s="30"/>
      <c r="X18" s="30"/>
      <c r="Y18" s="30"/>
      <c r="Z18" s="30"/>
      <c r="AA18" s="30"/>
      <c r="AB18" s="30"/>
      <c r="AC18" s="30"/>
      <c r="AD18" s="30"/>
      <c r="AE18" s="30"/>
      <c r="AF18" s="110"/>
      <c r="AG18" s="111"/>
    </row>
    <row r="19" spans="1:33" s="19" customFormat="1" ht="21.75" customHeight="1">
      <c r="A19" s="26">
        <f t="shared" si="0"/>
        <v>7</v>
      </c>
      <c r="B19" s="14">
        <f>C18</f>
        <v>68295.5</v>
      </c>
      <c r="C19" s="14">
        <v>68318.39</v>
      </c>
      <c r="D19" s="3" t="s">
        <v>37</v>
      </c>
      <c r="E19" s="1">
        <f aca="true" t="shared" si="4" ref="E19:E24">C19-B19</f>
        <v>22.889999999999418</v>
      </c>
      <c r="F19" s="1">
        <v>5</v>
      </c>
      <c r="G19" s="32">
        <f>ROUND((2989.345-((8+7.085)/2)-($F19/2))/2989.345,4)</f>
        <v>0.9966</v>
      </c>
      <c r="H19" s="30"/>
      <c r="I19" s="30">
        <f t="shared" si="1"/>
        <v>114.06</v>
      </c>
      <c r="J19" s="1"/>
      <c r="K19" s="56"/>
      <c r="L19" s="30"/>
      <c r="M19" s="30"/>
      <c r="N19" s="30"/>
      <c r="O19" s="30"/>
      <c r="P19" s="30"/>
      <c r="Q19" s="30"/>
      <c r="R19" s="30"/>
      <c r="S19" s="30"/>
      <c r="T19" s="6">
        <f t="shared" si="2"/>
        <v>0.23</v>
      </c>
      <c r="U19" s="30"/>
      <c r="V19" s="30">
        <f t="shared" si="3"/>
        <v>0.7040740740740741</v>
      </c>
      <c r="W19" s="30"/>
      <c r="X19" s="30"/>
      <c r="Y19" s="30"/>
      <c r="Z19" s="30"/>
      <c r="AA19" s="30"/>
      <c r="AB19" s="30"/>
      <c r="AC19" s="30"/>
      <c r="AD19" s="30"/>
      <c r="AE19" s="30"/>
      <c r="AF19" s="110"/>
      <c r="AG19" s="111"/>
    </row>
    <row r="20" spans="1:33" s="19" customFormat="1" ht="21.75" customHeight="1">
      <c r="A20" s="26">
        <f t="shared" si="0"/>
        <v>8</v>
      </c>
      <c r="B20" s="14">
        <f>C19</f>
        <v>68318.39</v>
      </c>
      <c r="C20" s="14">
        <v>68345.5</v>
      </c>
      <c r="D20" s="3" t="s">
        <v>37</v>
      </c>
      <c r="E20" s="1">
        <f t="shared" si="4"/>
        <v>27.110000000000582</v>
      </c>
      <c r="F20" s="1">
        <v>5</v>
      </c>
      <c r="G20" s="32">
        <f>ROUND((((2989.345-((7.085+6)/2)-($F20/2))/2989.345)+((238.732-((7.085+6)/2)-($F20/2))/238.732))/2,4)</f>
        <v>0.9795</v>
      </c>
      <c r="H20" s="30"/>
      <c r="I20" s="30">
        <f t="shared" si="1"/>
        <v>132.77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>
        <f t="shared" si="2"/>
        <v>0.27</v>
      </c>
      <c r="U20" s="30"/>
      <c r="V20" s="30">
        <f t="shared" si="3"/>
        <v>0.819567901234568</v>
      </c>
      <c r="W20" s="30"/>
      <c r="X20" s="30"/>
      <c r="Y20" s="30"/>
      <c r="Z20" s="30"/>
      <c r="AA20" s="30"/>
      <c r="AB20" s="30"/>
      <c r="AC20" s="30"/>
      <c r="AD20" s="30"/>
      <c r="AE20" s="30"/>
      <c r="AF20" s="110"/>
      <c r="AG20" s="111"/>
    </row>
    <row r="21" spans="1:33" s="19" customFormat="1" ht="21.75" customHeight="1">
      <c r="A21" s="26">
        <f t="shared" si="0"/>
        <v>9</v>
      </c>
      <c r="B21" s="14">
        <f>C20</f>
        <v>68345.5</v>
      </c>
      <c r="C21" s="14">
        <v>68421.24</v>
      </c>
      <c r="D21" s="3" t="s">
        <v>37</v>
      </c>
      <c r="E21" s="1">
        <f t="shared" si="4"/>
        <v>75.74000000000524</v>
      </c>
      <c r="F21" s="1">
        <v>5</v>
      </c>
      <c r="G21" s="32">
        <f>ROUND((((2989.345-6-($F21/2))/2989.345)+((238.732-6-($F21/2))/238.732))/2,4)</f>
        <v>0.9808</v>
      </c>
      <c r="H21" s="30"/>
      <c r="I21" s="30">
        <f t="shared" si="1"/>
        <v>371.43</v>
      </c>
      <c r="J21" s="1"/>
      <c r="K21" s="30"/>
      <c r="L21" s="30"/>
      <c r="M21" s="30"/>
      <c r="N21" s="30"/>
      <c r="O21" s="30"/>
      <c r="P21" s="30"/>
      <c r="Q21" s="30"/>
      <c r="R21" s="30"/>
      <c r="S21" s="30"/>
      <c r="T21" s="6">
        <f t="shared" si="2"/>
        <v>0.74</v>
      </c>
      <c r="U21" s="30"/>
      <c r="V21" s="30">
        <f t="shared" si="3"/>
        <v>2.292777777777778</v>
      </c>
      <c r="W21" s="30"/>
      <c r="X21" s="30"/>
      <c r="Y21" s="30"/>
      <c r="Z21" s="30"/>
      <c r="AA21" s="30"/>
      <c r="AB21" s="30"/>
      <c r="AC21" s="30"/>
      <c r="AD21" s="30"/>
      <c r="AE21" s="30"/>
      <c r="AF21" s="110"/>
      <c r="AG21" s="111"/>
    </row>
    <row r="22" spans="1:33" s="19" customFormat="1" ht="21.75" customHeight="1">
      <c r="A22" s="26">
        <f t="shared" si="0"/>
        <v>10</v>
      </c>
      <c r="B22" s="33"/>
      <c r="C22" s="14"/>
      <c r="D22" s="3"/>
      <c r="E22" s="1"/>
      <c r="F22" s="1"/>
      <c r="G22" s="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10"/>
      <c r="AG22" s="111"/>
    </row>
    <row r="23" spans="1:33" s="19" customFormat="1" ht="21.75" customHeight="1">
      <c r="A23" s="26">
        <f t="shared" si="0"/>
        <v>11</v>
      </c>
      <c r="B23" s="14">
        <v>69570.21</v>
      </c>
      <c r="C23" s="14">
        <v>69846.04</v>
      </c>
      <c r="D23" s="3" t="s">
        <v>37</v>
      </c>
      <c r="E23" s="1">
        <f t="shared" si="4"/>
        <v>275.8299999999872</v>
      </c>
      <c r="F23" s="1">
        <v>5</v>
      </c>
      <c r="G23" s="1"/>
      <c r="H23" s="30"/>
      <c r="I23" s="30">
        <f t="shared" si="1"/>
        <v>1379.15</v>
      </c>
      <c r="J23" s="1"/>
      <c r="K23" s="30"/>
      <c r="L23" s="30"/>
      <c r="M23" s="30"/>
      <c r="N23" s="30"/>
      <c r="O23" s="30"/>
      <c r="P23" s="30"/>
      <c r="Q23" s="30"/>
      <c r="R23" s="30"/>
      <c r="S23" s="30"/>
      <c r="T23" s="6">
        <f>IF($G23=0,ROUND($E23/T$72,2),ROUND(($E23*$G23)/T$72,2))</f>
        <v>2.76</v>
      </c>
      <c r="U23" s="30"/>
      <c r="V23" s="30">
        <f>($I23/27)*(V$72/12)</f>
        <v>8.513271604938272</v>
      </c>
      <c r="W23" s="30"/>
      <c r="X23" s="30"/>
      <c r="Y23" s="30"/>
      <c r="Z23" s="30"/>
      <c r="AA23" s="30"/>
      <c r="AB23" s="30"/>
      <c r="AC23" s="30"/>
      <c r="AD23" s="30"/>
      <c r="AE23" s="30"/>
      <c r="AF23" s="110"/>
      <c r="AG23" s="111"/>
    </row>
    <row r="24" spans="1:33" s="19" customFormat="1" ht="21.75" customHeight="1">
      <c r="A24" s="26">
        <f t="shared" si="0"/>
        <v>12</v>
      </c>
      <c r="B24" s="14">
        <f>C23</f>
        <v>69846.04</v>
      </c>
      <c r="C24" s="14">
        <v>69864.18</v>
      </c>
      <c r="D24" s="3" t="s">
        <v>37</v>
      </c>
      <c r="E24" s="1">
        <f t="shared" si="4"/>
        <v>18.139999999999418</v>
      </c>
      <c r="F24" s="1">
        <v>4.5</v>
      </c>
      <c r="G24" s="1"/>
      <c r="H24" s="30"/>
      <c r="I24" s="30">
        <f t="shared" si="1"/>
        <v>81.63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>
        <f>IF($G24=0,ROUND($E24/T$72,2),ROUND(($E24*$G24)/T$72,2))</f>
        <v>0.18</v>
      </c>
      <c r="U24" s="30"/>
      <c r="V24" s="30">
        <f>($I24/27)*(V$72/12)</f>
        <v>0.5038888888888888</v>
      </c>
      <c r="W24" s="30"/>
      <c r="X24" s="30"/>
      <c r="Y24" s="30"/>
      <c r="Z24" s="30"/>
      <c r="AA24" s="30"/>
      <c r="AB24" s="30"/>
      <c r="AC24" s="30"/>
      <c r="AD24" s="30"/>
      <c r="AE24" s="30"/>
      <c r="AF24" s="110"/>
      <c r="AG24" s="111"/>
    </row>
    <row r="25" spans="1:33" s="19" customFormat="1" ht="21.75" customHeight="1">
      <c r="A25" s="26">
        <f t="shared" si="0"/>
        <v>13</v>
      </c>
      <c r="B25" s="14"/>
      <c r="C25" s="14"/>
      <c r="D25" s="3"/>
      <c r="E25" s="1"/>
      <c r="F25" s="1"/>
      <c r="G25" s="1"/>
      <c r="H25" s="30"/>
      <c r="I25" s="30"/>
      <c r="J25" s="1"/>
      <c r="K25" s="30"/>
      <c r="L25" s="30"/>
      <c r="M25" s="30"/>
      <c r="N25" s="30"/>
      <c r="O25" s="30"/>
      <c r="P25" s="30"/>
      <c r="Q25" s="30"/>
      <c r="R25" s="30"/>
      <c r="S25" s="30"/>
      <c r="T25" s="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10"/>
      <c r="AG25" s="111"/>
    </row>
    <row r="26" spans="1:33" s="19" customFormat="1" ht="21.75" customHeight="1">
      <c r="A26" s="26">
        <f t="shared" si="0"/>
        <v>14</v>
      </c>
      <c r="B26" s="33" t="s">
        <v>51</v>
      </c>
      <c r="C26" s="35"/>
      <c r="D26" s="29"/>
      <c r="E26" s="30"/>
      <c r="F26" s="30"/>
      <c r="G26" s="30"/>
      <c r="H26" s="30"/>
      <c r="I26" s="30"/>
      <c r="J26" s="30"/>
      <c r="K26" s="30"/>
      <c r="L26" s="29"/>
      <c r="M26" s="29"/>
      <c r="N26" s="29"/>
      <c r="O26" s="29"/>
      <c r="P26" s="30"/>
      <c r="Q26" s="30"/>
      <c r="R26" s="30"/>
      <c r="S26" s="30"/>
      <c r="T26" s="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10"/>
      <c r="AG26" s="111"/>
    </row>
    <row r="27" spans="1:33" s="19" customFormat="1" ht="21.75" customHeight="1">
      <c r="A27" s="26">
        <f t="shared" si="0"/>
        <v>15</v>
      </c>
      <c r="B27" s="14">
        <v>78626.05</v>
      </c>
      <c r="C27" s="14">
        <v>78732.53</v>
      </c>
      <c r="D27" s="3" t="s">
        <v>41</v>
      </c>
      <c r="E27" s="1">
        <f aca="true" t="shared" si="5" ref="E27:E44">C27-B27</f>
        <v>106.47999999999593</v>
      </c>
      <c r="F27" s="1">
        <v>5</v>
      </c>
      <c r="G27" s="32">
        <f>ROUND(((381.972+22+($F27/2))/381.972+1)/2,4)</f>
        <v>1.0321</v>
      </c>
      <c r="H27" s="30"/>
      <c r="I27" s="30">
        <f aca="true" t="shared" si="6" ref="I27:I51">IF(G27=0,ROUND($E27*$F27,2),ROUND($E27*$F27*$G27,2))</f>
        <v>549.49</v>
      </c>
      <c r="J27" s="1"/>
      <c r="K27" s="30"/>
      <c r="L27" s="30"/>
      <c r="M27" s="30"/>
      <c r="N27" s="30"/>
      <c r="O27" s="30"/>
      <c r="P27" s="30"/>
      <c r="Q27" s="30"/>
      <c r="R27" s="30"/>
      <c r="S27" s="30"/>
      <c r="T27" s="6">
        <f>IF($G27=0,ROUND($E27/T$72,2),ROUND(($E27*$G27)/T$72,2))</f>
        <v>1.1</v>
      </c>
      <c r="U27" s="30"/>
      <c r="V27" s="30">
        <f>($I27/27)*(V$72/12)</f>
        <v>3.3919135802469134</v>
      </c>
      <c r="W27" s="30"/>
      <c r="X27" s="30"/>
      <c r="Y27" s="30"/>
      <c r="Z27" s="30"/>
      <c r="AA27" s="30"/>
      <c r="AB27" s="30"/>
      <c r="AC27" s="30"/>
      <c r="AD27" s="30"/>
      <c r="AE27" s="30"/>
      <c r="AF27" s="110"/>
      <c r="AG27" s="111"/>
    </row>
    <row r="28" spans="1:33" s="19" customFormat="1" ht="21.75" customHeight="1">
      <c r="A28" s="26">
        <f t="shared" si="0"/>
        <v>16</v>
      </c>
      <c r="B28" s="27">
        <f>C27</f>
        <v>78732.53</v>
      </c>
      <c r="C28" s="14">
        <v>78907.95</v>
      </c>
      <c r="D28" s="3" t="s">
        <v>41</v>
      </c>
      <c r="E28" s="1">
        <f>C28-B28</f>
        <v>175.41999999999825</v>
      </c>
      <c r="F28" s="1">
        <v>5</v>
      </c>
      <c r="G28" s="32">
        <f>ROUND((381.972+22+($F28/2))/381.972,4)</f>
        <v>1.0641</v>
      </c>
      <c r="H28" s="30"/>
      <c r="I28" s="30">
        <f t="shared" si="6"/>
        <v>933.32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6">
        <f>IF($G28=0,ROUND($E28/T$72,2),ROUND(($E28*$G28)/T$72,2))</f>
        <v>1.87</v>
      </c>
      <c r="U28" s="30"/>
      <c r="V28" s="30">
        <f>($I28/27)*(V$72/12)</f>
        <v>5.7612345679012344</v>
      </c>
      <c r="W28" s="30"/>
      <c r="X28" s="30"/>
      <c r="Y28" s="30"/>
      <c r="Z28" s="30"/>
      <c r="AA28" s="30"/>
      <c r="AB28" s="30"/>
      <c r="AC28" s="30"/>
      <c r="AD28" s="30"/>
      <c r="AE28" s="30"/>
      <c r="AF28" s="110"/>
      <c r="AG28" s="111"/>
    </row>
    <row r="29" spans="1:33" s="19" customFormat="1" ht="21.75" customHeight="1">
      <c r="A29" s="26">
        <f t="shared" si="0"/>
        <v>17</v>
      </c>
      <c r="B29" s="14"/>
      <c r="C29" s="14"/>
      <c r="D29" s="3"/>
      <c r="E29" s="1"/>
      <c r="F29" s="1"/>
      <c r="G29" s="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10"/>
      <c r="AG29" s="111"/>
    </row>
    <row r="30" spans="1:33" s="19" customFormat="1" ht="21.75" customHeight="1">
      <c r="A30" s="26">
        <f t="shared" si="0"/>
        <v>18</v>
      </c>
      <c r="B30" s="14">
        <v>79351.56</v>
      </c>
      <c r="C30" s="14">
        <v>79369.6</v>
      </c>
      <c r="D30" s="3" t="s">
        <v>41</v>
      </c>
      <c r="E30" s="1">
        <f t="shared" si="5"/>
        <v>18.04000000000815</v>
      </c>
      <c r="F30" s="1">
        <v>4.5</v>
      </c>
      <c r="G30" s="32">
        <f>ROUND((3819.719+22+($F30/2))/3819.719,4)</f>
        <v>1.0063</v>
      </c>
      <c r="H30" s="30"/>
      <c r="I30" s="30">
        <f t="shared" si="6"/>
        <v>81.69</v>
      </c>
      <c r="J30" s="1"/>
      <c r="K30" s="30"/>
      <c r="L30" s="30"/>
      <c r="M30" s="30"/>
      <c r="N30" s="30"/>
      <c r="O30" s="30"/>
      <c r="P30" s="30"/>
      <c r="Q30" s="30"/>
      <c r="R30" s="30"/>
      <c r="S30" s="30"/>
      <c r="T30" s="6">
        <f>IF($G30=0,ROUND($E30/T$72,2),ROUND(($E30*$G30)/T$72,2))</f>
        <v>0.18</v>
      </c>
      <c r="U30" s="30"/>
      <c r="V30" s="30">
        <f>($I30/27)*(V$72/12)</f>
        <v>0.5042592592592592</v>
      </c>
      <c r="W30" s="30"/>
      <c r="X30" s="30"/>
      <c r="Y30" s="30"/>
      <c r="Z30" s="30"/>
      <c r="AA30" s="30"/>
      <c r="AB30" s="30"/>
      <c r="AC30" s="30"/>
      <c r="AD30" s="30"/>
      <c r="AE30" s="30"/>
      <c r="AF30" s="110"/>
      <c r="AG30" s="111"/>
    </row>
    <row r="31" spans="1:33" s="19" customFormat="1" ht="21.75" customHeight="1">
      <c r="A31" s="26">
        <f t="shared" si="0"/>
        <v>19</v>
      </c>
      <c r="B31" s="14">
        <f>C30</f>
        <v>79369.6</v>
      </c>
      <c r="C31" s="14">
        <v>79659.71</v>
      </c>
      <c r="D31" s="3" t="s">
        <v>41</v>
      </c>
      <c r="E31" s="1">
        <f t="shared" si="5"/>
        <v>290.1100000000006</v>
      </c>
      <c r="F31" s="1">
        <v>5</v>
      </c>
      <c r="G31" s="32">
        <f>ROUND((3819.719+22+($F31/2))/3819.719,4)</f>
        <v>1.0064</v>
      </c>
      <c r="H31" s="30"/>
      <c r="I31" s="30">
        <f t="shared" si="6"/>
        <v>1459.83</v>
      </c>
      <c r="J31" s="1"/>
      <c r="K31" s="30"/>
      <c r="L31" s="30"/>
      <c r="M31" s="30"/>
      <c r="N31" s="30"/>
      <c r="O31" s="30"/>
      <c r="P31" s="30"/>
      <c r="Q31" s="30"/>
      <c r="R31" s="30"/>
      <c r="S31" s="30"/>
      <c r="T31" s="6">
        <f>IF($G31=0,ROUND($E31/T$72,2),ROUND(($E31*$G31)/T$72,2))</f>
        <v>2.92</v>
      </c>
      <c r="U31" s="30"/>
      <c r="V31" s="30">
        <f>($I31/27)*(V$72/12)</f>
        <v>9.011296296296296</v>
      </c>
      <c r="W31" s="30"/>
      <c r="X31" s="30"/>
      <c r="Y31" s="30"/>
      <c r="Z31" s="30"/>
      <c r="AA31" s="30"/>
      <c r="AB31" s="30"/>
      <c r="AC31" s="30"/>
      <c r="AD31" s="30"/>
      <c r="AE31" s="30"/>
      <c r="AF31" s="110"/>
      <c r="AG31" s="111"/>
    </row>
    <row r="32" spans="1:33" s="19" customFormat="1" ht="21.75" customHeight="1">
      <c r="A32" s="26">
        <f t="shared" si="0"/>
        <v>20</v>
      </c>
      <c r="B32" s="14"/>
      <c r="C32" s="14"/>
      <c r="D32" s="3"/>
      <c r="E32" s="1"/>
      <c r="F32" s="1"/>
      <c r="G32" s="1"/>
      <c r="H32" s="30"/>
      <c r="I32" s="30"/>
      <c r="J32" s="1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10"/>
      <c r="AG32" s="111"/>
    </row>
    <row r="33" spans="1:33" s="19" customFormat="1" ht="21.75" customHeight="1">
      <c r="A33" s="26">
        <f t="shared" si="0"/>
        <v>21</v>
      </c>
      <c r="B33" s="14">
        <v>78145.3</v>
      </c>
      <c r="C33" s="14">
        <v>78293.84</v>
      </c>
      <c r="D33" s="3" t="s">
        <v>37</v>
      </c>
      <c r="E33" s="1">
        <f>C33-B33</f>
        <v>148.5399999999936</v>
      </c>
      <c r="F33" s="1">
        <v>5</v>
      </c>
      <c r="G33" s="32">
        <f>ROUND((747.92+4+($F33/2))/747.92,4)</f>
        <v>1.0087</v>
      </c>
      <c r="H33" s="30"/>
      <c r="I33" s="30">
        <f>IF(G33=0,ROUND($E33*$F33,2),ROUND($E33*$F33*$G33,2))</f>
        <v>749.16</v>
      </c>
      <c r="J33" s="1"/>
      <c r="K33" s="30"/>
      <c r="L33" s="30"/>
      <c r="M33" s="30"/>
      <c r="N33" s="30"/>
      <c r="O33" s="30"/>
      <c r="P33" s="30"/>
      <c r="Q33" s="30"/>
      <c r="R33" s="1"/>
      <c r="S33" s="30"/>
      <c r="T33" s="6">
        <f>IF($G33=0,ROUND($E33/T$72,2),ROUND(($E33*$G33)/T$72,2))</f>
        <v>1.5</v>
      </c>
      <c r="U33" s="30"/>
      <c r="V33" s="30">
        <f>($I33/27)*(V$72/12)</f>
        <v>4.624444444444444</v>
      </c>
      <c r="W33" s="30"/>
      <c r="X33" s="30"/>
      <c r="Y33" s="30"/>
      <c r="Z33" s="30"/>
      <c r="AA33" s="30"/>
      <c r="AB33" s="30"/>
      <c r="AC33" s="30"/>
      <c r="AD33" s="30"/>
      <c r="AE33" s="30"/>
      <c r="AF33" s="110"/>
      <c r="AG33" s="111"/>
    </row>
    <row r="34" spans="1:33" s="19" customFormat="1" ht="21.75" customHeight="1">
      <c r="A34" s="26">
        <f t="shared" si="0"/>
        <v>22</v>
      </c>
      <c r="B34" s="14">
        <f>C33</f>
        <v>78293.84</v>
      </c>
      <c r="C34" s="14">
        <v>78443.84</v>
      </c>
      <c r="D34" s="3" t="s">
        <v>37</v>
      </c>
      <c r="E34" s="1">
        <f>C34-B34</f>
        <v>150</v>
      </c>
      <c r="F34" s="1">
        <v>5</v>
      </c>
      <c r="G34" s="32">
        <f>ROUND(((747.92+4+($F34/2))/747.92+1)/2,4)</f>
        <v>1.0043</v>
      </c>
      <c r="H34" s="30"/>
      <c r="I34" s="30">
        <f>IF(G34=0,ROUND($E34*$F34,2),ROUND($E34*$F34*$G34,2))</f>
        <v>753.23</v>
      </c>
      <c r="J34" s="1"/>
      <c r="K34" s="30"/>
      <c r="L34" s="30"/>
      <c r="M34" s="30"/>
      <c r="N34" s="30"/>
      <c r="O34" s="30"/>
      <c r="P34" s="30"/>
      <c r="Q34" s="30"/>
      <c r="R34" s="30"/>
      <c r="S34" s="30"/>
      <c r="T34" s="6">
        <f>IF($G34=0,ROUND($E34/T$72,2),ROUND(($E34*$G34)/T$72,2))</f>
        <v>1.51</v>
      </c>
      <c r="U34" s="30"/>
      <c r="V34" s="30">
        <f>($I34/27)*(V$72/12)</f>
        <v>4.649567901234567</v>
      </c>
      <c r="W34" s="30"/>
      <c r="X34" s="30"/>
      <c r="Y34" s="30"/>
      <c r="Z34" s="30"/>
      <c r="AA34" s="30"/>
      <c r="AB34" s="30"/>
      <c r="AC34" s="30"/>
      <c r="AD34" s="30"/>
      <c r="AE34" s="30"/>
      <c r="AF34" s="110"/>
      <c r="AG34" s="111"/>
    </row>
    <row r="35" spans="1:33" s="19" customFormat="1" ht="21.75" customHeight="1">
      <c r="A35" s="26">
        <f t="shared" si="0"/>
        <v>23</v>
      </c>
      <c r="B35" s="14">
        <f>C34</f>
        <v>78443.84</v>
      </c>
      <c r="C35" s="35">
        <v>78482.53</v>
      </c>
      <c r="D35" s="3" t="s">
        <v>37</v>
      </c>
      <c r="E35" s="30">
        <f>C35-B35</f>
        <v>38.69000000000233</v>
      </c>
      <c r="F35" s="1">
        <v>5</v>
      </c>
      <c r="G35" s="1"/>
      <c r="H35" s="30"/>
      <c r="I35" s="30">
        <f>IF(G35=0,ROUND($E35*$F35,2),ROUND($E35*$F35*$G35,2))</f>
        <v>193.45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6">
        <f>IF($G35=0,ROUND($E35/T$72,2),ROUND(($E35*$G35)/T$72,2))</f>
        <v>0.39</v>
      </c>
      <c r="U35" s="30"/>
      <c r="V35" s="30">
        <f>($I35/27)*(V$72/12)</f>
        <v>1.1941358024691358</v>
      </c>
      <c r="W35" s="30"/>
      <c r="X35" s="30"/>
      <c r="Y35" s="30"/>
      <c r="Z35" s="30"/>
      <c r="AA35" s="30"/>
      <c r="AB35" s="30"/>
      <c r="AC35" s="30"/>
      <c r="AD35" s="30"/>
      <c r="AE35" s="30"/>
      <c r="AF35" s="110"/>
      <c r="AG35" s="111"/>
    </row>
    <row r="36" spans="1:33" s="19" customFormat="1" ht="21.75" customHeight="1">
      <c r="A36" s="26">
        <f t="shared" si="0"/>
        <v>24</v>
      </c>
      <c r="B36" s="14">
        <f>C35</f>
        <v>78482.53</v>
      </c>
      <c r="C36" s="14">
        <v>78732.53</v>
      </c>
      <c r="D36" s="3" t="s">
        <v>37</v>
      </c>
      <c r="E36" s="1">
        <f>C36-B36</f>
        <v>250</v>
      </c>
      <c r="F36" s="1">
        <v>5</v>
      </c>
      <c r="G36" s="32">
        <f>ROUND(((381.972-4-($F36/2))/381.972+1)/2,4)</f>
        <v>0.9915</v>
      </c>
      <c r="H36" s="30"/>
      <c r="I36" s="30">
        <f>IF(G36=0,ROUND($E36*$F36,2),ROUND($E36*$F36*$G36,2))</f>
        <v>1239.38</v>
      </c>
      <c r="J36" s="1"/>
      <c r="K36" s="30"/>
      <c r="L36" s="30"/>
      <c r="M36" s="30"/>
      <c r="N36" s="30"/>
      <c r="O36" s="30"/>
      <c r="P36" s="30"/>
      <c r="Q36" s="30"/>
      <c r="R36" s="30"/>
      <c r="S36" s="30"/>
      <c r="T36" s="6">
        <f>IF($G36=0,ROUND($E36/T$72,2),ROUND(($E36*$G36)/T$72,2))</f>
        <v>2.48</v>
      </c>
      <c r="U36" s="30"/>
      <c r="V36" s="30">
        <f>($I36/27)*(V$72/12)</f>
        <v>7.650493827160494</v>
      </c>
      <c r="W36" s="30"/>
      <c r="X36" s="30"/>
      <c r="Y36" s="30"/>
      <c r="Z36" s="30"/>
      <c r="AA36" s="30"/>
      <c r="AB36" s="30"/>
      <c r="AC36" s="30"/>
      <c r="AD36" s="30"/>
      <c r="AE36" s="30"/>
      <c r="AF36" s="110"/>
      <c r="AG36" s="111"/>
    </row>
    <row r="37" spans="1:33" s="19" customFormat="1" ht="21.75" customHeight="1">
      <c r="A37" s="26">
        <f t="shared" si="0"/>
        <v>25</v>
      </c>
      <c r="B37" s="14">
        <f>C36</f>
        <v>78732.53</v>
      </c>
      <c r="C37" s="14">
        <v>78907.95</v>
      </c>
      <c r="D37" s="3" t="s">
        <v>37</v>
      </c>
      <c r="E37" s="1">
        <f t="shared" si="5"/>
        <v>175.41999999999825</v>
      </c>
      <c r="F37" s="1">
        <v>5</v>
      </c>
      <c r="G37" s="32">
        <f>ROUND((381.972-4-($F37/2))/381.972,4)</f>
        <v>0.983</v>
      </c>
      <c r="H37" s="30"/>
      <c r="I37" s="30">
        <f t="shared" si="6"/>
        <v>862.19</v>
      </c>
      <c r="J37" s="1"/>
      <c r="K37" s="30"/>
      <c r="L37" s="30"/>
      <c r="M37" s="30"/>
      <c r="N37" s="30"/>
      <c r="O37" s="30"/>
      <c r="P37" s="30"/>
      <c r="Q37" s="30"/>
      <c r="R37" s="30"/>
      <c r="S37" s="30"/>
      <c r="T37" s="6">
        <f>IF($G37=0,ROUND($E37/T$72,2),ROUND(($E37*$G37)/T$72,2))</f>
        <v>1.72</v>
      </c>
      <c r="U37" s="30"/>
      <c r="V37" s="30">
        <f>($I37/27)*(V$72/12)</f>
        <v>5.322160493827161</v>
      </c>
      <c r="W37" s="30"/>
      <c r="X37" s="30"/>
      <c r="Y37" s="30"/>
      <c r="Z37" s="30"/>
      <c r="AA37" s="30"/>
      <c r="AB37" s="30"/>
      <c r="AC37" s="30"/>
      <c r="AD37" s="30"/>
      <c r="AE37" s="30"/>
      <c r="AF37" s="110"/>
      <c r="AG37" s="111"/>
    </row>
    <row r="38" spans="1:33" s="19" customFormat="1" ht="21.75" customHeight="1">
      <c r="A38" s="26">
        <f t="shared" si="0"/>
        <v>26</v>
      </c>
      <c r="B38" s="14"/>
      <c r="C38" s="14"/>
      <c r="D38" s="3"/>
      <c r="E38" s="1"/>
      <c r="F38" s="1"/>
      <c r="G38" s="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10"/>
      <c r="AG38" s="111"/>
    </row>
    <row r="39" spans="1:33" s="19" customFormat="1" ht="21.75" customHeight="1">
      <c r="A39" s="26">
        <f t="shared" si="0"/>
        <v>27</v>
      </c>
      <c r="B39" s="14">
        <v>79519.05</v>
      </c>
      <c r="C39" s="14">
        <v>79537.22</v>
      </c>
      <c r="D39" s="3" t="s">
        <v>37</v>
      </c>
      <c r="E39" s="1">
        <f t="shared" si="5"/>
        <v>18.169999999998254</v>
      </c>
      <c r="F39" s="1">
        <v>4.5</v>
      </c>
      <c r="G39" s="32">
        <f>ROUND((3819.719-4-($F39/2))/3819.719,4)</f>
        <v>0.9984</v>
      </c>
      <c r="H39" s="30"/>
      <c r="I39" s="30">
        <f t="shared" si="6"/>
        <v>81.63</v>
      </c>
      <c r="J39" s="1"/>
      <c r="K39" s="30"/>
      <c r="L39" s="30"/>
      <c r="M39" s="30"/>
      <c r="N39" s="30"/>
      <c r="O39" s="30"/>
      <c r="P39" s="30"/>
      <c r="Q39" s="30"/>
      <c r="R39" s="30"/>
      <c r="S39" s="30"/>
      <c r="T39" s="6">
        <f>IF($G39=0,ROUND($E39/T$72,2),ROUND(($E39*$G39)/T$72,2))</f>
        <v>0.18</v>
      </c>
      <c r="U39" s="30"/>
      <c r="V39" s="30">
        <f>($I39/27)*(V$72/12)</f>
        <v>0.5038888888888888</v>
      </c>
      <c r="W39" s="30"/>
      <c r="X39" s="30"/>
      <c r="Y39" s="30"/>
      <c r="Z39" s="30"/>
      <c r="AA39" s="30"/>
      <c r="AB39" s="30"/>
      <c r="AC39" s="30"/>
      <c r="AD39" s="30"/>
      <c r="AE39" s="30"/>
      <c r="AF39" s="110"/>
      <c r="AG39" s="111"/>
    </row>
    <row r="40" spans="1:33" s="19" customFormat="1" ht="21.75" customHeight="1">
      <c r="A40" s="26">
        <f t="shared" si="0"/>
        <v>28</v>
      </c>
      <c r="B40" s="14">
        <f>C39</f>
        <v>79537.22</v>
      </c>
      <c r="C40" s="14">
        <v>79595.44</v>
      </c>
      <c r="D40" s="3" t="s">
        <v>37</v>
      </c>
      <c r="E40" s="1">
        <f t="shared" si="5"/>
        <v>58.220000000001164</v>
      </c>
      <c r="F40" s="1">
        <v>5</v>
      </c>
      <c r="G40" s="32">
        <f>ROUND((3819.719-4-($F40/2))/3819.719,4)</f>
        <v>0.9983</v>
      </c>
      <c r="H40" s="30"/>
      <c r="I40" s="30">
        <f t="shared" si="6"/>
        <v>290.61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">
        <f>IF($G40=0,ROUND($E40/T$72,2),ROUND(($E40*$G40)/T$72,2))</f>
        <v>0.58</v>
      </c>
      <c r="U40" s="30"/>
      <c r="V40" s="30">
        <f>($I40/27)*(V$72/12)</f>
        <v>1.7938888888888889</v>
      </c>
      <c r="W40" s="30"/>
      <c r="X40" s="30"/>
      <c r="Y40" s="30"/>
      <c r="Z40" s="30"/>
      <c r="AA40" s="30"/>
      <c r="AB40" s="30"/>
      <c r="AC40" s="30"/>
      <c r="AD40" s="30"/>
      <c r="AE40" s="30"/>
      <c r="AF40" s="110"/>
      <c r="AG40" s="111"/>
    </row>
    <row r="41" spans="1:33" s="19" customFormat="1" ht="21.75" customHeight="1">
      <c r="A41" s="26">
        <f t="shared" si="0"/>
        <v>29</v>
      </c>
      <c r="B41" s="27">
        <f>C40</f>
        <v>79595.44</v>
      </c>
      <c r="C41" s="28">
        <v>79695.44</v>
      </c>
      <c r="D41" s="3" t="s">
        <v>37</v>
      </c>
      <c r="E41" s="1">
        <f t="shared" si="5"/>
        <v>100</v>
      </c>
      <c r="F41" s="1">
        <v>5</v>
      </c>
      <c r="G41" s="32">
        <f>ROUND((3819.719-((8+4)/2)-($F41/2))/3819.719,4)</f>
        <v>0.9978</v>
      </c>
      <c r="H41" s="30"/>
      <c r="I41" s="30">
        <f t="shared" si="6"/>
        <v>498.9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>
        <f>IF($G41=0,ROUND($E41/T$72,2),ROUND(($E41*$G41)/T$72,2))</f>
        <v>1</v>
      </c>
      <c r="U41" s="30"/>
      <c r="V41" s="30">
        <f>($I41/27)*(V$72/12)</f>
        <v>3.0796296296296295</v>
      </c>
      <c r="W41" s="30"/>
      <c r="X41" s="30"/>
      <c r="Y41" s="30"/>
      <c r="Z41" s="30"/>
      <c r="AA41" s="30"/>
      <c r="AB41" s="30"/>
      <c r="AC41" s="30"/>
      <c r="AD41" s="30"/>
      <c r="AE41" s="30"/>
      <c r="AF41" s="110"/>
      <c r="AG41" s="111"/>
    </row>
    <row r="42" spans="1:33" s="19" customFormat="1" ht="21.75" customHeight="1">
      <c r="A42" s="26">
        <f t="shared" si="0"/>
        <v>30</v>
      </c>
      <c r="B42" s="27">
        <f>C41</f>
        <v>79695.44</v>
      </c>
      <c r="C42" s="28">
        <v>79978</v>
      </c>
      <c r="D42" s="3" t="s">
        <v>37</v>
      </c>
      <c r="E42" s="1">
        <f t="shared" si="5"/>
        <v>282.5599999999977</v>
      </c>
      <c r="F42" s="1">
        <v>5</v>
      </c>
      <c r="G42" s="32">
        <f>ROUND((3819.719-8-($F42/2))/3819.719,4)</f>
        <v>0.9973</v>
      </c>
      <c r="H42" s="30"/>
      <c r="I42" s="30">
        <f t="shared" si="6"/>
        <v>1408.99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>
        <f>IF($G42=0,ROUND($E42/T$72,2),ROUND(($E42*$G42)/T$72,2))</f>
        <v>2.82</v>
      </c>
      <c r="U42" s="30"/>
      <c r="V42" s="30">
        <f>($I42/27)*(V$72/12)</f>
        <v>8.697469135802468</v>
      </c>
      <c r="W42" s="30"/>
      <c r="X42" s="30"/>
      <c r="Y42" s="30"/>
      <c r="Z42" s="30"/>
      <c r="AA42" s="30"/>
      <c r="AB42" s="30"/>
      <c r="AC42" s="30"/>
      <c r="AD42" s="30"/>
      <c r="AE42" s="30"/>
      <c r="AF42" s="110"/>
      <c r="AG42" s="111"/>
    </row>
    <row r="43" spans="1:33" s="19" customFormat="1" ht="21.75" customHeight="1">
      <c r="A43" s="26">
        <f t="shared" si="0"/>
        <v>31</v>
      </c>
      <c r="B43" s="75"/>
      <c r="C43" s="75"/>
      <c r="D43" s="3"/>
      <c r="E43" s="1"/>
      <c r="F43" s="74"/>
      <c r="G43" s="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10"/>
      <c r="AG43" s="111"/>
    </row>
    <row r="44" spans="1:33" s="19" customFormat="1" ht="21.75" customHeight="1">
      <c r="A44" s="26">
        <f t="shared" si="0"/>
        <v>32</v>
      </c>
      <c r="B44" s="14">
        <v>80134</v>
      </c>
      <c r="C44" s="14">
        <v>80148.92</v>
      </c>
      <c r="D44" s="3" t="s">
        <v>37</v>
      </c>
      <c r="E44" s="1">
        <f t="shared" si="5"/>
        <v>14.919999999998254</v>
      </c>
      <c r="F44" s="1">
        <v>4.5</v>
      </c>
      <c r="G44" s="32">
        <f>ROUND((3819.719-8-($F44/2))/3819.719,4)</f>
        <v>0.9973</v>
      </c>
      <c r="H44" s="30"/>
      <c r="I44" s="30">
        <f t="shared" si="6"/>
        <v>66.96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">
        <f>IF($G44=0,ROUND($E44/T$72,2),ROUND(($E44*$G44)/T$72,2))</f>
        <v>0.15</v>
      </c>
      <c r="U44" s="30"/>
      <c r="V44" s="30">
        <f>($I44/27)*(V$72/12)</f>
        <v>0.41333333333333333</v>
      </c>
      <c r="W44" s="30"/>
      <c r="X44" s="30"/>
      <c r="Y44" s="30"/>
      <c r="Z44" s="30"/>
      <c r="AA44" s="30"/>
      <c r="AB44" s="30"/>
      <c r="AC44" s="30"/>
      <c r="AD44" s="30"/>
      <c r="AE44" s="30"/>
      <c r="AF44" s="110"/>
      <c r="AG44" s="111"/>
    </row>
    <row r="45" spans="1:33" s="19" customFormat="1" ht="21.75" customHeight="1">
      <c r="A45" s="26">
        <f t="shared" si="0"/>
        <v>33</v>
      </c>
      <c r="B45" s="14"/>
      <c r="C45" s="14"/>
      <c r="D45" s="3"/>
      <c r="E45" s="1"/>
      <c r="F45" s="1"/>
      <c r="G45" s="1"/>
      <c r="H45" s="30"/>
      <c r="I45" s="30"/>
      <c r="J45" s="1"/>
      <c r="K45" s="30"/>
      <c r="L45" s="30"/>
      <c r="M45" s="30"/>
      <c r="N45" s="30"/>
      <c r="O45" s="30"/>
      <c r="P45" s="30"/>
      <c r="Q45" s="30"/>
      <c r="R45" s="30"/>
      <c r="S45" s="30"/>
      <c r="T45" s="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10"/>
      <c r="AG45" s="111"/>
    </row>
    <row r="46" spans="1:33" s="19" customFormat="1" ht="21.75" customHeight="1">
      <c r="A46" s="26">
        <f t="shared" si="0"/>
        <v>34</v>
      </c>
      <c r="B46" s="33" t="s">
        <v>79</v>
      </c>
      <c r="C46" s="14"/>
      <c r="D46" s="3"/>
      <c r="E46" s="1"/>
      <c r="F46" s="8"/>
      <c r="G46" s="1"/>
      <c r="H46" s="30"/>
      <c r="I46" s="30"/>
      <c r="J46" s="1"/>
      <c r="K46" s="30"/>
      <c r="L46" s="30"/>
      <c r="M46" s="30"/>
      <c r="N46" s="30"/>
      <c r="O46" s="30"/>
      <c r="P46" s="30"/>
      <c r="Q46" s="30"/>
      <c r="R46" s="30"/>
      <c r="S46" s="30"/>
      <c r="T46" s="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10"/>
      <c r="AG46" s="111"/>
    </row>
    <row r="47" spans="1:33" s="19" customFormat="1" ht="21.75" customHeight="1">
      <c r="A47" s="26">
        <f t="shared" si="0"/>
        <v>35</v>
      </c>
      <c r="B47" s="14">
        <v>89301.77</v>
      </c>
      <c r="C47" s="14">
        <v>89517.13</v>
      </c>
      <c r="D47" s="3" t="s">
        <v>41</v>
      </c>
      <c r="E47" s="1">
        <f>C47-B47</f>
        <v>215.36000000000058</v>
      </c>
      <c r="F47" s="1">
        <v>5</v>
      </c>
      <c r="G47" s="32">
        <f>ROUND((4583.662+20+($F47/2))/4583.662,4)</f>
        <v>1.0049</v>
      </c>
      <c r="H47" s="30"/>
      <c r="I47" s="30">
        <f t="shared" si="6"/>
        <v>1082.08</v>
      </c>
      <c r="J47" s="1"/>
      <c r="K47" s="30"/>
      <c r="L47" s="30"/>
      <c r="M47" s="30"/>
      <c r="N47" s="30"/>
      <c r="O47" s="30"/>
      <c r="P47" s="30"/>
      <c r="Q47" s="30"/>
      <c r="R47" s="30"/>
      <c r="S47" s="30"/>
      <c r="T47" s="6">
        <f>IF($G47=0,ROUND($E47/T$72,2),ROUND(($E47*$G47)/T$72,2))</f>
        <v>2.16</v>
      </c>
      <c r="U47" s="30"/>
      <c r="V47" s="30">
        <f>($I47/27)*(V$72/12)</f>
        <v>6.679506172839506</v>
      </c>
      <c r="W47" s="30"/>
      <c r="X47" s="30"/>
      <c r="Y47" s="30"/>
      <c r="Z47" s="30"/>
      <c r="AA47" s="30"/>
      <c r="AB47" s="30"/>
      <c r="AC47" s="30"/>
      <c r="AD47" s="30"/>
      <c r="AE47" s="30"/>
      <c r="AF47" s="110"/>
      <c r="AG47" s="111"/>
    </row>
    <row r="48" spans="1:33" s="19" customFormat="1" ht="21.75" customHeight="1">
      <c r="A48" s="26">
        <f t="shared" si="0"/>
        <v>36</v>
      </c>
      <c r="B48" s="27">
        <f>C47</f>
        <v>89517.13</v>
      </c>
      <c r="C48" s="14">
        <v>89717.13</v>
      </c>
      <c r="D48" s="3" t="s">
        <v>41</v>
      </c>
      <c r="E48" s="1">
        <f>C48-B48</f>
        <v>200</v>
      </c>
      <c r="F48" s="1">
        <v>5</v>
      </c>
      <c r="G48" s="32">
        <f>ROUND((((4583.662+20+($F48/2))/4583.662)+((2083.483+20+($F49/2))/2083.483))/2,4)</f>
        <v>1.0079</v>
      </c>
      <c r="H48" s="30"/>
      <c r="I48" s="30">
        <f t="shared" si="6"/>
        <v>1007.9</v>
      </c>
      <c r="J48" s="1"/>
      <c r="K48" s="30"/>
      <c r="L48" s="30"/>
      <c r="M48" s="30"/>
      <c r="N48" s="30"/>
      <c r="O48" s="30"/>
      <c r="P48" s="30"/>
      <c r="Q48" s="30"/>
      <c r="R48" s="30"/>
      <c r="S48" s="30"/>
      <c r="T48" s="6">
        <f>IF($G48=0,ROUND($E48/T$72,2),ROUND(($E48*$G48)/T$72,2))</f>
        <v>2.02</v>
      </c>
      <c r="U48" s="30"/>
      <c r="V48" s="30">
        <f>($I48/27)*(V$72/12)</f>
        <v>6.2216049382716045</v>
      </c>
      <c r="W48" s="30"/>
      <c r="X48" s="30"/>
      <c r="Y48" s="30"/>
      <c r="Z48" s="30"/>
      <c r="AA48" s="30"/>
      <c r="AB48" s="30"/>
      <c r="AC48" s="30"/>
      <c r="AD48" s="30"/>
      <c r="AE48" s="30"/>
      <c r="AF48" s="110"/>
      <c r="AG48" s="111"/>
    </row>
    <row r="49" spans="1:33" s="19" customFormat="1" ht="21.75" customHeight="1">
      <c r="A49" s="26">
        <f t="shared" si="0"/>
        <v>37</v>
      </c>
      <c r="B49" s="75">
        <f>C48</f>
        <v>89717.13</v>
      </c>
      <c r="C49" s="75">
        <v>89901.12</v>
      </c>
      <c r="D49" s="3" t="s">
        <v>41</v>
      </c>
      <c r="E49" s="1">
        <f>C49-B49</f>
        <v>183.9899999999907</v>
      </c>
      <c r="F49" s="1">
        <v>5</v>
      </c>
      <c r="G49" s="32">
        <f>ROUND((2083.483+20+($F49/2))/2083.483,4)</f>
        <v>1.0108</v>
      </c>
      <c r="H49" s="30"/>
      <c r="I49" s="30">
        <f t="shared" si="6"/>
        <v>929.89</v>
      </c>
      <c r="J49" s="1"/>
      <c r="K49" s="30"/>
      <c r="L49" s="30"/>
      <c r="M49" s="30"/>
      <c r="N49" s="30"/>
      <c r="O49" s="30"/>
      <c r="P49" s="30"/>
      <c r="Q49" s="30"/>
      <c r="R49" s="30"/>
      <c r="S49" s="30"/>
      <c r="T49" s="6">
        <f>IF($G49=0,ROUND($E49/T$72,2),ROUND(($E49*$G49)/T$72,2))</f>
        <v>1.86</v>
      </c>
      <c r="U49" s="30"/>
      <c r="V49" s="30">
        <f>($I49/27)*(V$72/12)</f>
        <v>5.740061728395061</v>
      </c>
      <c r="W49" s="30"/>
      <c r="X49" s="30"/>
      <c r="Y49" s="30"/>
      <c r="Z49" s="30"/>
      <c r="AA49" s="30"/>
      <c r="AB49" s="30"/>
      <c r="AC49" s="30"/>
      <c r="AD49" s="30"/>
      <c r="AE49" s="30"/>
      <c r="AF49" s="110"/>
      <c r="AG49" s="111"/>
    </row>
    <row r="50" spans="1:33" s="19" customFormat="1" ht="21.75" customHeight="1" thickBot="1">
      <c r="A50" s="26">
        <f t="shared" si="0"/>
        <v>38</v>
      </c>
      <c r="B50" s="75">
        <f>C49</f>
        <v>89901.12</v>
      </c>
      <c r="C50" s="75">
        <v>90101.12</v>
      </c>
      <c r="D50" s="3" t="s">
        <v>41</v>
      </c>
      <c r="E50" s="1">
        <f>C50-B50</f>
        <v>200</v>
      </c>
      <c r="F50" s="1">
        <v>5</v>
      </c>
      <c r="G50" s="32">
        <f>ROUND((((1637.022+20+($F50/2))/1637.022)+((2083.483+20+($F51/2))/2083.483))/2,4)</f>
        <v>1.0123</v>
      </c>
      <c r="H50" s="30"/>
      <c r="I50" s="30">
        <f t="shared" si="6"/>
        <v>1012.3</v>
      </c>
      <c r="J50" s="1"/>
      <c r="K50" s="30"/>
      <c r="L50" s="30"/>
      <c r="M50" s="30"/>
      <c r="N50" s="30"/>
      <c r="O50" s="30"/>
      <c r="P50" s="30"/>
      <c r="Q50" s="30"/>
      <c r="R50" s="30"/>
      <c r="S50" s="30"/>
      <c r="T50" s="6">
        <f>IF($G50=0,ROUND($E50/T$72,2),ROUND(($E50*$G50)/T$72,2))</f>
        <v>2.02</v>
      </c>
      <c r="U50" s="30"/>
      <c r="V50" s="30">
        <f>($I50/27)*(V$72/12)</f>
        <v>6.248765432098765</v>
      </c>
      <c r="W50" s="30"/>
      <c r="X50" s="30"/>
      <c r="Y50" s="30"/>
      <c r="Z50" s="30"/>
      <c r="AA50" s="30"/>
      <c r="AB50" s="30"/>
      <c r="AC50" s="30"/>
      <c r="AD50" s="30"/>
      <c r="AE50" s="30"/>
      <c r="AF50" s="112"/>
      <c r="AG50" s="113"/>
    </row>
    <row r="51" spans="1:33" s="19" customFormat="1" ht="21.75" customHeight="1">
      <c r="A51" s="26">
        <f t="shared" si="0"/>
        <v>39</v>
      </c>
      <c r="B51" s="75">
        <f>C50</f>
        <v>90101.12</v>
      </c>
      <c r="C51" s="75">
        <v>90464.95</v>
      </c>
      <c r="D51" s="3" t="s">
        <v>41</v>
      </c>
      <c r="E51" s="1">
        <f>C51-B51</f>
        <v>363.83000000000175</v>
      </c>
      <c r="F51" s="1">
        <v>5</v>
      </c>
      <c r="G51" s="32">
        <f>ROUND((1637.022+20+($F51/2))/1637.022,4)</f>
        <v>1.0137</v>
      </c>
      <c r="H51" s="30"/>
      <c r="I51" s="30">
        <f t="shared" si="6"/>
        <v>1844.07</v>
      </c>
      <c r="J51" s="1"/>
      <c r="K51" s="30"/>
      <c r="L51" s="30"/>
      <c r="M51" s="30"/>
      <c r="N51" s="30"/>
      <c r="O51" s="30"/>
      <c r="P51" s="30"/>
      <c r="Q51" s="30"/>
      <c r="R51" s="30"/>
      <c r="S51" s="30"/>
      <c r="T51" s="6">
        <f>IF($G51=0,ROUND($E51/T$72,2),ROUND(($E51*$G51)/T$72,2))</f>
        <v>3.69</v>
      </c>
      <c r="U51" s="30"/>
      <c r="V51" s="30">
        <f>($I51/27)*(V$72/12)</f>
        <v>11.383148148148146</v>
      </c>
      <c r="W51" s="30"/>
      <c r="X51" s="30"/>
      <c r="Y51" s="30"/>
      <c r="Z51" s="30"/>
      <c r="AA51" s="30"/>
      <c r="AB51" s="30"/>
      <c r="AC51" s="30"/>
      <c r="AD51" s="30"/>
      <c r="AE51" s="30"/>
      <c r="AF51" s="110" t="s">
        <v>102</v>
      </c>
      <c r="AG51" s="111"/>
    </row>
    <row r="52" spans="1:33" s="19" customFormat="1" ht="21.75" customHeight="1">
      <c r="A52" s="26">
        <f t="shared" si="0"/>
        <v>40</v>
      </c>
      <c r="B52" s="14"/>
      <c r="C52" s="14"/>
      <c r="D52" s="3"/>
      <c r="E52" s="1"/>
      <c r="F52" s="1"/>
      <c r="G52" s="1"/>
      <c r="H52" s="30"/>
      <c r="I52" s="30"/>
      <c r="J52" s="1"/>
      <c r="K52" s="30"/>
      <c r="L52" s="30"/>
      <c r="M52" s="30"/>
      <c r="N52" s="30"/>
      <c r="O52" s="30"/>
      <c r="P52" s="30"/>
      <c r="Q52" s="30"/>
      <c r="R52" s="30"/>
      <c r="S52" s="30"/>
      <c r="T52" s="6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10"/>
      <c r="AG52" s="111"/>
    </row>
    <row r="53" spans="1:33" s="19" customFormat="1" ht="21.75" customHeight="1">
      <c r="A53" s="26">
        <f t="shared" si="0"/>
        <v>41</v>
      </c>
      <c r="B53" s="14">
        <v>88867.17</v>
      </c>
      <c r="C53" s="14">
        <v>89266.83</v>
      </c>
      <c r="D53" s="3" t="s">
        <v>37</v>
      </c>
      <c r="E53" s="1">
        <f aca="true" t="shared" si="7" ref="E53:E63">C53-B53</f>
        <v>399.6600000000035</v>
      </c>
      <c r="F53" s="1">
        <v>5</v>
      </c>
      <c r="G53" s="32">
        <f>ROUND((4583.662-10-($F53/2))/4583.662,4)</f>
        <v>0.9973</v>
      </c>
      <c r="H53" s="30"/>
      <c r="I53" s="30">
        <f aca="true" t="shared" si="8" ref="I53:I63">IF(G53=0,ROUND($E53*$F53,2),ROUND($E53*$F53*$G53,2))</f>
        <v>1992.9</v>
      </c>
      <c r="J53" s="1"/>
      <c r="K53" s="30"/>
      <c r="L53" s="30"/>
      <c r="M53" s="30"/>
      <c r="N53" s="30"/>
      <c r="O53" s="30"/>
      <c r="P53" s="30"/>
      <c r="Q53" s="30"/>
      <c r="R53" s="30"/>
      <c r="S53" s="30"/>
      <c r="T53" s="6">
        <f aca="true" t="shared" si="9" ref="T53:T63">IF($G53=0,ROUND($E53/T$72,2),ROUND(($E53*$G53)/T$72,2))</f>
        <v>3.99</v>
      </c>
      <c r="U53" s="30"/>
      <c r="V53" s="30">
        <f aca="true" t="shared" si="10" ref="V53:V62">($I53/27)*(V$72/12)</f>
        <v>12.301851851851852</v>
      </c>
      <c r="W53" s="30"/>
      <c r="X53" s="30"/>
      <c r="Y53" s="30"/>
      <c r="Z53" s="30"/>
      <c r="AA53" s="30"/>
      <c r="AB53" s="30"/>
      <c r="AC53" s="30"/>
      <c r="AD53" s="30"/>
      <c r="AE53" s="30"/>
      <c r="AF53" s="110"/>
      <c r="AG53" s="111"/>
    </row>
    <row r="54" spans="1:33" s="19" customFormat="1" ht="21.75" customHeight="1">
      <c r="A54" s="26">
        <f t="shared" si="0"/>
        <v>42</v>
      </c>
      <c r="B54" s="27">
        <f aca="true" t="shared" si="11" ref="B54:B63">C53</f>
        <v>89266.83</v>
      </c>
      <c r="C54" s="14">
        <v>89366.83</v>
      </c>
      <c r="D54" s="3" t="s">
        <v>37</v>
      </c>
      <c r="E54" s="1">
        <f t="shared" si="7"/>
        <v>100</v>
      </c>
      <c r="F54" s="1">
        <v>5</v>
      </c>
      <c r="G54" s="32">
        <f>ROUND((4583.662-((10+6)/2)-($F54/2))/4583.662,4)</f>
        <v>0.9977</v>
      </c>
      <c r="H54" s="30"/>
      <c r="I54" s="30">
        <f t="shared" si="8"/>
        <v>498.85</v>
      </c>
      <c r="J54" s="1"/>
      <c r="K54" s="30"/>
      <c r="L54" s="30"/>
      <c r="M54" s="30"/>
      <c r="N54" s="30"/>
      <c r="O54" s="30"/>
      <c r="P54" s="30"/>
      <c r="Q54" s="30"/>
      <c r="R54" s="30"/>
      <c r="S54" s="30"/>
      <c r="T54" s="6">
        <f t="shared" si="9"/>
        <v>1</v>
      </c>
      <c r="U54" s="30"/>
      <c r="V54" s="30">
        <f t="shared" si="10"/>
        <v>3.079320987654321</v>
      </c>
      <c r="W54" s="30"/>
      <c r="X54" s="30"/>
      <c r="Y54" s="30"/>
      <c r="Z54" s="30"/>
      <c r="AA54" s="30"/>
      <c r="AB54" s="30"/>
      <c r="AC54" s="30"/>
      <c r="AD54" s="30"/>
      <c r="AE54" s="30"/>
      <c r="AF54" s="110"/>
      <c r="AG54" s="111"/>
    </row>
    <row r="55" spans="1:33" s="19" customFormat="1" ht="21.75" customHeight="1">
      <c r="A55" s="26">
        <f t="shared" si="0"/>
        <v>43</v>
      </c>
      <c r="B55" s="14">
        <f t="shared" si="11"/>
        <v>89366.83</v>
      </c>
      <c r="C55" s="14">
        <v>89517.13</v>
      </c>
      <c r="D55" s="3" t="s">
        <v>37</v>
      </c>
      <c r="E55" s="1">
        <f t="shared" si="7"/>
        <v>150.3000000000029</v>
      </c>
      <c r="F55" s="1">
        <v>5</v>
      </c>
      <c r="G55" s="32">
        <f>ROUND((4583.662-6-($F55/2))/4583.662,4)</f>
        <v>0.9981</v>
      </c>
      <c r="H55" s="30"/>
      <c r="I55" s="30">
        <f t="shared" si="8"/>
        <v>750.07</v>
      </c>
      <c r="J55" s="1"/>
      <c r="K55" s="30"/>
      <c r="L55" s="30"/>
      <c r="M55" s="30"/>
      <c r="N55" s="30"/>
      <c r="O55" s="30"/>
      <c r="P55" s="30"/>
      <c r="Q55" s="30"/>
      <c r="R55" s="30"/>
      <c r="S55" s="30"/>
      <c r="T55" s="6">
        <f t="shared" si="9"/>
        <v>1.5</v>
      </c>
      <c r="U55" s="30"/>
      <c r="V55" s="30">
        <f t="shared" si="10"/>
        <v>4.630061728395062</v>
      </c>
      <c r="W55" s="30"/>
      <c r="X55" s="30"/>
      <c r="Y55" s="30"/>
      <c r="Z55" s="30"/>
      <c r="AA55" s="30"/>
      <c r="AB55" s="30"/>
      <c r="AC55" s="30"/>
      <c r="AD55" s="30"/>
      <c r="AE55" s="30"/>
      <c r="AF55" s="110"/>
      <c r="AG55" s="111"/>
    </row>
    <row r="56" spans="1:33" s="19" customFormat="1" ht="21.75" customHeight="1">
      <c r="A56" s="26">
        <f t="shared" si="0"/>
        <v>44</v>
      </c>
      <c r="B56" s="14">
        <f t="shared" si="11"/>
        <v>89517.13</v>
      </c>
      <c r="C56" s="14">
        <v>89717.13</v>
      </c>
      <c r="D56" s="3" t="s">
        <v>37</v>
      </c>
      <c r="E56" s="1">
        <f t="shared" si="7"/>
        <v>200</v>
      </c>
      <c r="F56" s="1">
        <v>5</v>
      </c>
      <c r="G56" s="32">
        <f>ROUND((((4583.662-6-($F56/2))/4583.662)+((2083.483-6-($F57/2))/2083.483))/2,4)</f>
        <v>0.997</v>
      </c>
      <c r="H56" s="30"/>
      <c r="I56" s="30">
        <f t="shared" si="8"/>
        <v>997</v>
      </c>
      <c r="J56" s="1"/>
      <c r="K56" s="30"/>
      <c r="L56" s="30"/>
      <c r="M56" s="30"/>
      <c r="N56" s="30"/>
      <c r="O56" s="30"/>
      <c r="P56" s="30"/>
      <c r="Q56" s="30"/>
      <c r="R56" s="30"/>
      <c r="S56" s="30"/>
      <c r="T56" s="6">
        <f t="shared" si="9"/>
        <v>1.99</v>
      </c>
      <c r="U56" s="30"/>
      <c r="V56" s="30">
        <f t="shared" si="10"/>
        <v>6.15432098765432</v>
      </c>
      <c r="W56" s="30"/>
      <c r="X56" s="30"/>
      <c r="Y56" s="30"/>
      <c r="Z56" s="30"/>
      <c r="AA56" s="30"/>
      <c r="AB56" s="30"/>
      <c r="AC56" s="30"/>
      <c r="AD56" s="30"/>
      <c r="AE56" s="30"/>
      <c r="AF56" s="110"/>
      <c r="AG56" s="111"/>
    </row>
    <row r="57" spans="1:33" s="19" customFormat="1" ht="21.75" customHeight="1">
      <c r="A57" s="26">
        <f t="shared" si="0"/>
        <v>45</v>
      </c>
      <c r="B57" s="14">
        <f t="shared" si="11"/>
        <v>89717.13</v>
      </c>
      <c r="C57" s="14">
        <v>89901.12</v>
      </c>
      <c r="D57" s="3" t="s">
        <v>37</v>
      </c>
      <c r="E57" s="1">
        <f t="shared" si="7"/>
        <v>183.9899999999907</v>
      </c>
      <c r="F57" s="1">
        <v>5</v>
      </c>
      <c r="G57" s="32">
        <f>ROUND((2083.483-6-($F57/2))/2083.483,4)</f>
        <v>0.9959</v>
      </c>
      <c r="H57" s="30"/>
      <c r="I57" s="30">
        <f t="shared" si="8"/>
        <v>916.18</v>
      </c>
      <c r="J57" s="1"/>
      <c r="K57" s="30"/>
      <c r="L57" s="30"/>
      <c r="M57" s="30"/>
      <c r="N57" s="30"/>
      <c r="O57" s="30"/>
      <c r="P57" s="30"/>
      <c r="Q57" s="30"/>
      <c r="R57" s="30"/>
      <c r="S57" s="30"/>
      <c r="T57" s="6">
        <f t="shared" si="9"/>
        <v>1.83</v>
      </c>
      <c r="U57" s="30"/>
      <c r="V57" s="30">
        <f t="shared" si="10"/>
        <v>5.655432098765432</v>
      </c>
      <c r="W57" s="30"/>
      <c r="X57" s="30"/>
      <c r="Y57" s="30"/>
      <c r="Z57" s="30"/>
      <c r="AA57" s="30"/>
      <c r="AB57" s="30"/>
      <c r="AC57" s="30"/>
      <c r="AD57" s="30"/>
      <c r="AE57" s="30"/>
      <c r="AF57" s="110"/>
      <c r="AG57" s="111"/>
    </row>
    <row r="58" spans="1:33" s="19" customFormat="1" ht="21.75" customHeight="1">
      <c r="A58" s="26">
        <f t="shared" si="0"/>
        <v>46</v>
      </c>
      <c r="B58" s="14">
        <f t="shared" si="11"/>
        <v>89901.12</v>
      </c>
      <c r="C58" s="14">
        <v>90101.12</v>
      </c>
      <c r="D58" s="3" t="s">
        <v>37</v>
      </c>
      <c r="E58" s="1">
        <f t="shared" si="7"/>
        <v>200</v>
      </c>
      <c r="F58" s="1">
        <v>5</v>
      </c>
      <c r="G58" s="32">
        <f>ROUND((((1637.0226-6-($F58/2))/1637.022)+((2083.483-6-($F59/2))/2083.483))/2,4)</f>
        <v>0.9954</v>
      </c>
      <c r="H58" s="30"/>
      <c r="I58" s="30">
        <f t="shared" si="8"/>
        <v>995.4</v>
      </c>
      <c r="J58" s="1"/>
      <c r="K58" s="30"/>
      <c r="L58" s="30"/>
      <c r="M58" s="30"/>
      <c r="N58" s="30"/>
      <c r="O58" s="30"/>
      <c r="P58" s="30"/>
      <c r="Q58" s="30"/>
      <c r="R58" s="30"/>
      <c r="S58" s="30"/>
      <c r="T58" s="6">
        <f t="shared" si="9"/>
        <v>1.99</v>
      </c>
      <c r="U58" s="30"/>
      <c r="V58" s="30">
        <f t="shared" si="10"/>
        <v>6.144444444444444</v>
      </c>
      <c r="W58" s="30"/>
      <c r="X58" s="30"/>
      <c r="Y58" s="30"/>
      <c r="Z58" s="30"/>
      <c r="AA58" s="30"/>
      <c r="AB58" s="30"/>
      <c r="AC58" s="30"/>
      <c r="AD58" s="30"/>
      <c r="AE58" s="30"/>
      <c r="AF58" s="110"/>
      <c r="AG58" s="111"/>
    </row>
    <row r="59" spans="1:33" s="19" customFormat="1" ht="21.75" customHeight="1">
      <c r="A59" s="26">
        <f t="shared" si="0"/>
        <v>47</v>
      </c>
      <c r="B59" s="75">
        <f t="shared" si="11"/>
        <v>90101.12</v>
      </c>
      <c r="C59" s="75">
        <v>90855.05</v>
      </c>
      <c r="D59" s="3" t="s">
        <v>37</v>
      </c>
      <c r="E59" s="1">
        <f t="shared" si="7"/>
        <v>753.9300000000076</v>
      </c>
      <c r="F59" s="1">
        <v>5</v>
      </c>
      <c r="G59" s="32">
        <f>ROUND((1637.022-6-($F59/2))/1637.022,4)</f>
        <v>0.9948</v>
      </c>
      <c r="H59" s="30"/>
      <c r="I59" s="30">
        <f t="shared" si="8"/>
        <v>3750.05</v>
      </c>
      <c r="J59" s="1"/>
      <c r="K59" s="30"/>
      <c r="L59" s="30"/>
      <c r="M59" s="30"/>
      <c r="N59" s="30"/>
      <c r="O59" s="30"/>
      <c r="P59" s="30"/>
      <c r="Q59" s="30"/>
      <c r="R59" s="30"/>
      <c r="S59" s="30"/>
      <c r="T59" s="6">
        <f t="shared" si="9"/>
        <v>7.5</v>
      </c>
      <c r="U59" s="30"/>
      <c r="V59" s="30">
        <f t="shared" si="10"/>
        <v>23.148456790123454</v>
      </c>
      <c r="W59" s="30"/>
      <c r="X59" s="30"/>
      <c r="Y59" s="30"/>
      <c r="Z59" s="30"/>
      <c r="AA59" s="30"/>
      <c r="AB59" s="30"/>
      <c r="AC59" s="30"/>
      <c r="AD59" s="30"/>
      <c r="AE59" s="30"/>
      <c r="AF59" s="110"/>
      <c r="AG59" s="111"/>
    </row>
    <row r="60" spans="1:33" s="39" customFormat="1" ht="21.75" customHeight="1">
      <c r="A60" s="26">
        <f t="shared" si="0"/>
        <v>48</v>
      </c>
      <c r="B60" s="14">
        <f t="shared" si="11"/>
        <v>90855.05</v>
      </c>
      <c r="C60" s="14">
        <v>91005.05</v>
      </c>
      <c r="D60" s="3" t="s">
        <v>37</v>
      </c>
      <c r="E60" s="1">
        <f t="shared" si="7"/>
        <v>150</v>
      </c>
      <c r="F60" s="1">
        <v>5</v>
      </c>
      <c r="G60" s="32">
        <f>ROUND((((1637.0226-6-($F60/2))/1637.022)+((2237.045-6-($F61/2))/2237.045))/2,4)</f>
        <v>0.9955</v>
      </c>
      <c r="H60" s="30"/>
      <c r="I60" s="30">
        <f t="shared" si="8"/>
        <v>746.63</v>
      </c>
      <c r="J60" s="1"/>
      <c r="K60" s="30"/>
      <c r="L60" s="30"/>
      <c r="M60" s="30"/>
      <c r="N60" s="30"/>
      <c r="O60" s="30"/>
      <c r="P60" s="30"/>
      <c r="Q60" s="30"/>
      <c r="R60" s="30"/>
      <c r="S60" s="30"/>
      <c r="T60" s="6">
        <f t="shared" si="9"/>
        <v>1.49</v>
      </c>
      <c r="U60" s="30"/>
      <c r="V60" s="30">
        <f t="shared" si="10"/>
        <v>4.608827160493827</v>
      </c>
      <c r="W60" s="30"/>
      <c r="X60" s="30"/>
      <c r="Y60" s="30"/>
      <c r="Z60" s="30"/>
      <c r="AA60" s="30"/>
      <c r="AB60" s="30"/>
      <c r="AC60" s="30"/>
      <c r="AD60" s="30"/>
      <c r="AE60" s="30"/>
      <c r="AF60" s="110"/>
      <c r="AG60" s="111"/>
    </row>
    <row r="61" spans="1:33" s="39" customFormat="1" ht="21.75" customHeight="1">
      <c r="A61" s="26">
        <f t="shared" si="0"/>
        <v>49</v>
      </c>
      <c r="B61" s="14">
        <f t="shared" si="11"/>
        <v>91005.05</v>
      </c>
      <c r="C61" s="14">
        <v>91055.05</v>
      </c>
      <c r="D61" s="3" t="s">
        <v>37</v>
      </c>
      <c r="E61" s="1">
        <f t="shared" si="7"/>
        <v>50</v>
      </c>
      <c r="F61" s="1">
        <v>5</v>
      </c>
      <c r="G61" s="32">
        <f>ROUND((((1637.0226-((6+8)/2)-($F61/2))/1637.022)+((2237.045-((6+8)/2)-($F62/2))/2237.045))/2,4)</f>
        <v>0.995</v>
      </c>
      <c r="H61" s="30"/>
      <c r="I61" s="30">
        <f t="shared" si="8"/>
        <v>248.75</v>
      </c>
      <c r="J61" s="1"/>
      <c r="K61" s="30"/>
      <c r="L61" s="30"/>
      <c r="M61" s="30"/>
      <c r="N61" s="30"/>
      <c r="O61" s="30"/>
      <c r="P61" s="30"/>
      <c r="Q61" s="30"/>
      <c r="R61" s="30"/>
      <c r="S61" s="30"/>
      <c r="T61" s="6">
        <f t="shared" si="9"/>
        <v>0.5</v>
      </c>
      <c r="U61" s="30"/>
      <c r="V61" s="30">
        <f t="shared" si="10"/>
        <v>1.5354938271604939</v>
      </c>
      <c r="W61" s="30"/>
      <c r="X61" s="30"/>
      <c r="Y61" s="30"/>
      <c r="Z61" s="30"/>
      <c r="AA61" s="30"/>
      <c r="AB61" s="30"/>
      <c r="AC61" s="30"/>
      <c r="AD61" s="30"/>
      <c r="AE61" s="30"/>
      <c r="AF61" s="110"/>
      <c r="AG61" s="111"/>
    </row>
    <row r="62" spans="1:33" s="39" customFormat="1" ht="21.75" customHeight="1">
      <c r="A62" s="26">
        <f t="shared" si="0"/>
        <v>50</v>
      </c>
      <c r="B62" s="14">
        <f t="shared" si="11"/>
        <v>91055.05</v>
      </c>
      <c r="C62" s="14">
        <v>91475</v>
      </c>
      <c r="D62" s="3" t="s">
        <v>37</v>
      </c>
      <c r="E62" s="1">
        <f t="shared" si="7"/>
        <v>419.9499999999971</v>
      </c>
      <c r="F62" s="1">
        <v>5</v>
      </c>
      <c r="G62" s="32">
        <f>ROUND((2237.045-8-($F62/2))/2237.045,4)</f>
        <v>0.9953</v>
      </c>
      <c r="H62" s="30"/>
      <c r="I62" s="30">
        <f t="shared" si="8"/>
        <v>2089.88</v>
      </c>
      <c r="J62" s="1"/>
      <c r="K62" s="30"/>
      <c r="L62" s="30"/>
      <c r="M62" s="30"/>
      <c r="N62" s="30"/>
      <c r="O62" s="30"/>
      <c r="P62" s="30"/>
      <c r="Q62" s="30"/>
      <c r="R62" s="30"/>
      <c r="S62" s="30"/>
      <c r="T62" s="6">
        <f t="shared" si="9"/>
        <v>4.18</v>
      </c>
      <c r="U62" s="30"/>
      <c r="V62" s="30">
        <f t="shared" si="10"/>
        <v>12.900493827160496</v>
      </c>
      <c r="W62" s="30"/>
      <c r="X62" s="30"/>
      <c r="Y62" s="30"/>
      <c r="Z62" s="30"/>
      <c r="AA62" s="30"/>
      <c r="AB62" s="30"/>
      <c r="AC62" s="30"/>
      <c r="AD62" s="30"/>
      <c r="AE62" s="30"/>
      <c r="AF62" s="110"/>
      <c r="AG62" s="111"/>
    </row>
    <row r="63" spans="1:33" s="39" customFormat="1" ht="21.75" customHeight="1">
      <c r="A63" s="26">
        <f t="shared" si="0"/>
        <v>51</v>
      </c>
      <c r="B63" s="14">
        <f t="shared" si="11"/>
        <v>91475</v>
      </c>
      <c r="C63" s="14">
        <v>91489.28</v>
      </c>
      <c r="D63" s="3" t="s">
        <v>37</v>
      </c>
      <c r="E63" s="1">
        <f t="shared" si="7"/>
        <v>14.279999999998836</v>
      </c>
      <c r="F63" s="1">
        <v>5</v>
      </c>
      <c r="G63" s="32">
        <f>ROUND((2237.045-((8+7.43)/2)-($F63/2))/2237.045,4)</f>
        <v>0.9954</v>
      </c>
      <c r="H63" s="30"/>
      <c r="I63" s="30">
        <f t="shared" si="8"/>
        <v>71.07</v>
      </c>
      <c r="J63" s="1"/>
      <c r="K63" s="30"/>
      <c r="L63" s="30"/>
      <c r="M63" s="30"/>
      <c r="N63" s="30"/>
      <c r="O63" s="30"/>
      <c r="P63" s="30"/>
      <c r="Q63" s="30"/>
      <c r="R63" s="30"/>
      <c r="S63" s="30"/>
      <c r="T63" s="6">
        <f t="shared" si="9"/>
        <v>0.14</v>
      </c>
      <c r="U63" s="30"/>
      <c r="V63" s="30">
        <f>($I63/27)*(V$72/12)</f>
        <v>0.43870370370370365</v>
      </c>
      <c r="W63" s="30"/>
      <c r="X63" s="30"/>
      <c r="Y63" s="30"/>
      <c r="Z63" s="30"/>
      <c r="AA63" s="30"/>
      <c r="AB63" s="30"/>
      <c r="AC63" s="30"/>
      <c r="AD63" s="30"/>
      <c r="AE63" s="30"/>
      <c r="AF63" s="110"/>
      <c r="AG63" s="111"/>
    </row>
    <row r="64" spans="1:33" s="39" customFormat="1" ht="21.75" customHeight="1">
      <c r="A64" s="26">
        <f t="shared" si="0"/>
        <v>52</v>
      </c>
      <c r="B64" s="14"/>
      <c r="C64" s="14"/>
      <c r="D64" s="3"/>
      <c r="E64" s="1"/>
      <c r="F64" s="1"/>
      <c r="G64" s="1"/>
      <c r="H64" s="30"/>
      <c r="I64" s="30"/>
      <c r="J64" s="1"/>
      <c r="K64" s="30"/>
      <c r="L64" s="30"/>
      <c r="M64" s="30"/>
      <c r="N64" s="30"/>
      <c r="O64" s="30"/>
      <c r="P64" s="30"/>
      <c r="Q64" s="30"/>
      <c r="R64" s="30"/>
      <c r="S64" s="30"/>
      <c r="T64" s="6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10"/>
      <c r="AG64" s="111"/>
    </row>
    <row r="65" spans="1:33" s="39" customFormat="1" ht="21.75" customHeight="1">
      <c r="A65" s="26">
        <f t="shared" si="0"/>
        <v>53</v>
      </c>
      <c r="B65" s="14"/>
      <c r="C65" s="14"/>
      <c r="D65" s="3"/>
      <c r="E65" s="1"/>
      <c r="F65" s="1"/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6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10"/>
      <c r="AG65" s="111"/>
    </row>
    <row r="66" spans="1:33" s="39" customFormat="1" ht="21.75" customHeight="1" thickBot="1">
      <c r="A66" s="26">
        <f t="shared" si="0"/>
        <v>54</v>
      </c>
      <c r="B66" s="27"/>
      <c r="C66" s="28"/>
      <c r="D66" s="29"/>
      <c r="E66" s="30"/>
      <c r="F66" s="31"/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12"/>
      <c r="AG66" s="113"/>
    </row>
    <row r="67" spans="2:33" s="40" customFormat="1" ht="46.5" customHeight="1">
      <c r="B67" s="114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15"/>
      <c r="R67" s="125" t="str">
        <f>IF(SUM(R13:R66)=0," ",ROUNDUP(SUM(R13:R66),0))</f>
        <v> </v>
      </c>
      <c r="S67" s="125" t="str">
        <f aca="true" t="shared" si="12" ref="S67:AE67">IF(SUM(S13:S66)=0," ",ROUNDUP(SUM(S13:S66),0))</f>
        <v> </v>
      </c>
      <c r="T67" s="125">
        <f t="shared" si="12"/>
        <v>64</v>
      </c>
      <c r="U67" s="125" t="str">
        <f t="shared" si="12"/>
        <v> </v>
      </c>
      <c r="V67" s="125">
        <f t="shared" si="12"/>
        <v>197</v>
      </c>
      <c r="W67" s="125" t="str">
        <f t="shared" si="12"/>
        <v> </v>
      </c>
      <c r="X67" s="125" t="str">
        <f t="shared" si="12"/>
        <v> </v>
      </c>
      <c r="Y67" s="125" t="str">
        <f t="shared" si="12"/>
        <v> </v>
      </c>
      <c r="Z67" s="125" t="str">
        <f t="shared" si="12"/>
        <v> </v>
      </c>
      <c r="AA67" s="125" t="str">
        <f t="shared" si="12"/>
        <v> </v>
      </c>
      <c r="AB67" s="125" t="str">
        <f t="shared" si="12"/>
        <v> </v>
      </c>
      <c r="AC67" s="125" t="str">
        <f t="shared" si="12"/>
        <v> </v>
      </c>
      <c r="AD67" s="125" t="str">
        <f t="shared" si="12"/>
        <v> </v>
      </c>
      <c r="AE67" s="125" t="str">
        <f t="shared" si="12"/>
        <v> </v>
      </c>
      <c r="AF67" s="145">
        <v>10</v>
      </c>
      <c r="AG67" s="146"/>
    </row>
    <row r="68" spans="2:33" s="40" customFormat="1" ht="46.5" customHeight="1" thickBot="1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5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43">
        <v>15</v>
      </c>
      <c r="AG68" s="144"/>
    </row>
    <row r="69" spans="1:34" ht="36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U69" s="42"/>
      <c r="V69" s="42"/>
      <c r="W69" s="15"/>
      <c r="X69" s="42"/>
      <c r="Y69" s="42"/>
      <c r="Z69" s="42"/>
      <c r="AA69" s="42"/>
      <c r="AB69" s="42"/>
      <c r="AF69" s="42"/>
      <c r="AG69" s="42"/>
      <c r="AH69" s="43"/>
    </row>
    <row r="70" spans="2:33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U70" s="42"/>
      <c r="V70" s="42"/>
      <c r="W70" s="15"/>
      <c r="X70" s="42"/>
      <c r="Y70" s="42"/>
      <c r="Z70" s="42"/>
      <c r="AA70" s="42"/>
      <c r="AB70" s="42"/>
      <c r="AF70" s="42"/>
      <c r="AG70" s="42"/>
    </row>
    <row r="71" spans="2:33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U71" s="42"/>
      <c r="V71" s="42"/>
      <c r="W71" s="15"/>
      <c r="X71" s="42"/>
      <c r="Y71" s="42"/>
      <c r="Z71" s="42"/>
      <c r="AA71" s="42"/>
      <c r="AB71" s="42"/>
      <c r="AF71" s="42"/>
      <c r="AG71" s="42"/>
    </row>
    <row r="72" spans="2:33" ht="15.75">
      <c r="B72" s="84" t="s">
        <v>42</v>
      </c>
      <c r="C72" s="85"/>
      <c r="D72" s="85"/>
      <c r="E72" s="85"/>
      <c r="F72" s="85"/>
      <c r="G72" s="86"/>
      <c r="H72" s="5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>
        <v>100</v>
      </c>
      <c r="U72" s="79">
        <v>0.4</v>
      </c>
      <c r="V72" s="79">
        <v>2</v>
      </c>
      <c r="W72" s="78"/>
      <c r="X72" s="59"/>
      <c r="Y72" s="58">
        <v>0.3</v>
      </c>
      <c r="Z72" s="58">
        <v>2</v>
      </c>
      <c r="AA72" s="58"/>
      <c r="AB72" s="58"/>
      <c r="AC72" s="58"/>
      <c r="AD72" s="58"/>
      <c r="AF72" s="42"/>
      <c r="AG72" s="42"/>
    </row>
    <row r="73" spans="2:33" ht="15">
      <c r="B73" s="42"/>
      <c r="C73" s="42"/>
      <c r="D73" s="42"/>
      <c r="E73" s="42"/>
      <c r="F73" s="42"/>
      <c r="G73" s="42"/>
      <c r="H73" s="60"/>
      <c r="I73" s="42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57"/>
      <c r="V73" s="57"/>
      <c r="W73" s="15"/>
      <c r="X73" s="42"/>
      <c r="Y73" s="42"/>
      <c r="Z73" s="42"/>
      <c r="AA73" s="42"/>
      <c r="AB73" s="42"/>
      <c r="AF73" s="42"/>
      <c r="AG73" s="42"/>
    </row>
    <row r="74" spans="2:33" ht="15">
      <c r="B74" s="42"/>
      <c r="C74" s="44"/>
      <c r="D74" s="42"/>
      <c r="E74" s="42"/>
      <c r="F74" s="42"/>
      <c r="G74" s="42"/>
      <c r="H74" s="45"/>
      <c r="I74" s="42"/>
      <c r="J74" s="42"/>
      <c r="K74" s="87"/>
      <c r="L74" s="88"/>
      <c r="M74" s="88"/>
      <c r="N74" s="88"/>
      <c r="O74" s="88"/>
      <c r="P74" s="88"/>
      <c r="Q74" s="88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2"/>
      <c r="AG74" s="42"/>
    </row>
  </sheetData>
  <sheetProtection/>
  <mergeCells count="51">
    <mergeCell ref="B3:C11"/>
    <mergeCell ref="D3:D11"/>
    <mergeCell ref="E3:E11"/>
    <mergeCell ref="F3:F11"/>
    <mergeCell ref="G3:G11"/>
    <mergeCell ref="H3:H11"/>
    <mergeCell ref="V4:V11"/>
    <mergeCell ref="I3:I11"/>
    <mergeCell ref="J3:J11"/>
    <mergeCell ref="K3:K11"/>
    <mergeCell ref="L3:L11"/>
    <mergeCell ref="M3:M11"/>
    <mergeCell ref="N3:N11"/>
    <mergeCell ref="AB4:AB11"/>
    <mergeCell ref="O3:O11"/>
    <mergeCell ref="P3:P11"/>
    <mergeCell ref="Q3:Q11"/>
    <mergeCell ref="AF3:AF5"/>
    <mergeCell ref="AG3:AG5"/>
    <mergeCell ref="R4:R11"/>
    <mergeCell ref="S4:S11"/>
    <mergeCell ref="T4:T11"/>
    <mergeCell ref="U4:U11"/>
    <mergeCell ref="AC4:AC11"/>
    <mergeCell ref="AD4:AD11"/>
    <mergeCell ref="AE4:AE11"/>
    <mergeCell ref="AF6:AG50"/>
    <mergeCell ref="B14:I14"/>
    <mergeCell ref="W4:W11"/>
    <mergeCell ref="X4:X11"/>
    <mergeCell ref="Y4:Y11"/>
    <mergeCell ref="Z4:Z11"/>
    <mergeCell ref="AA4:AA11"/>
    <mergeCell ref="AF51:AG66"/>
    <mergeCell ref="B67:Q68"/>
    <mergeCell ref="R67:R68"/>
    <mergeCell ref="S67:S68"/>
    <mergeCell ref="T67:T68"/>
    <mergeCell ref="U67:U68"/>
    <mergeCell ref="V67:V68"/>
    <mergeCell ref="W67:W68"/>
    <mergeCell ref="X67:X68"/>
    <mergeCell ref="AE67:AE68"/>
    <mergeCell ref="AF67:AG67"/>
    <mergeCell ref="AF68:AG68"/>
    <mergeCell ref="Y67:Y68"/>
    <mergeCell ref="Z67:Z68"/>
    <mergeCell ref="AA67:AA68"/>
    <mergeCell ref="AB67:AB68"/>
    <mergeCell ref="AC67:AC68"/>
    <mergeCell ref="AD67:AD68"/>
  </mergeCells>
  <printOptions horizontalCentered="1" verticalCentered="1"/>
  <pageMargins left="0.8" right="0" top="0" bottom="0" header="0" footer="0"/>
  <pageSetup fitToHeight="1" fitToWidth="1" horizontalDpi="600" verticalDpi="600" orientation="landscape" paperSize="17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(PAVEMENT) CALCS.</dc:title>
  <dc:subject/>
  <dc:creator>ATR</dc:creator>
  <cp:keywords/>
  <dc:description/>
  <cp:lastModifiedBy>Kirkland, Laura</cp:lastModifiedBy>
  <cp:lastPrinted>2019-07-01T15:41:06Z</cp:lastPrinted>
  <dcterms:created xsi:type="dcterms:W3CDTF">2000-02-18T16:47:28Z</dcterms:created>
  <dcterms:modified xsi:type="dcterms:W3CDTF">2021-03-03T21:13:53Z</dcterms:modified>
  <cp:category/>
  <cp:version/>
  <cp:contentType/>
  <cp:contentStatus/>
</cp:coreProperties>
</file>