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8579C76A-877D-4E4A-BCA1-C81A2BEB8432}" xr6:coauthVersionLast="47" xr6:coauthVersionMax="47" xr10:uidLastSave="{00000000-0000-0000-0000-000000000000}"/>
  <bookViews>
    <workbookView xWindow="-120" yWindow="-120" windowWidth="29040" windowHeight="15720" activeTab="2" xr2:uid="{197B2A10-FF43-4DA3-A718-A5943E479EFB}"/>
  </bookViews>
  <sheets>
    <sheet name="GC001" sheetId="4" r:id="rId1"/>
    <sheet name="GC002" sheetId="2" r:id="rId2"/>
    <sheet name="GC003" sheetId="3" r:id="rId3"/>
  </sheets>
  <definedNames>
    <definedName name="_xlnm.Print_Area" localSheetId="0">'GC001'!$A$1:$Z$75</definedName>
    <definedName name="_xlnm.Print_Area" localSheetId="1">'GC002'!$A$1:$Z$75</definedName>
    <definedName name="_xlnm.Print_Area" localSheetId="2">'GC003'!$A$1:$Z$75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2" l="1"/>
  <c r="O68" i="3"/>
  <c r="P68" i="3"/>
  <c r="Q68" i="3"/>
  <c r="R68" i="3"/>
  <c r="S68" i="3"/>
  <c r="T68" i="3"/>
  <c r="U68" i="3"/>
  <c r="V68" i="3"/>
  <c r="W68" i="3"/>
  <c r="X68" i="3"/>
  <c r="O70" i="3"/>
  <c r="P70" i="3"/>
  <c r="Q70" i="3"/>
  <c r="R70" i="3"/>
  <c r="R74" i="3" s="1"/>
  <c r="S70" i="3"/>
  <c r="T70" i="3"/>
  <c r="U70" i="3"/>
  <c r="V70" i="3"/>
  <c r="V74" i="3" s="1"/>
  <c r="W70" i="3"/>
  <c r="X70" i="3"/>
  <c r="R72" i="3"/>
  <c r="V72" i="3"/>
  <c r="V56" i="2" l="1"/>
  <c r="J16" i="2"/>
  <c r="Y77" i="3"/>
  <c r="Y74" i="2"/>
  <c r="Y77" i="2"/>
  <c r="Y74" i="4"/>
  <c r="U16" i="4"/>
  <c r="R67" i="4"/>
  <c r="Q16" i="4"/>
  <c r="P16" i="4"/>
  <c r="O16" i="4"/>
  <c r="U42" i="3"/>
  <c r="U40" i="3"/>
  <c r="E40" i="3"/>
  <c r="U37" i="3"/>
  <c r="U35" i="3"/>
  <c r="U32" i="3"/>
  <c r="U30" i="3"/>
  <c r="U27" i="3"/>
  <c r="X27" i="3"/>
  <c r="W27" i="3"/>
  <c r="T27" i="3"/>
  <c r="S27" i="3"/>
  <c r="O27" i="3"/>
  <c r="U25" i="3"/>
  <c r="X25" i="3"/>
  <c r="W25" i="3"/>
  <c r="T25" i="3"/>
  <c r="S25" i="3"/>
  <c r="O25" i="3"/>
  <c r="U22" i="3"/>
  <c r="U20" i="3"/>
  <c r="U17" i="3"/>
  <c r="U15" i="3"/>
  <c r="U57" i="2"/>
  <c r="U54" i="2"/>
  <c r="U50" i="2"/>
  <c r="U46" i="2"/>
  <c r="U42" i="2"/>
  <c r="X39" i="2"/>
  <c r="W39" i="2"/>
  <c r="V39" i="2"/>
  <c r="U39" i="2"/>
  <c r="R39" i="2"/>
  <c r="U34" i="2"/>
  <c r="U30" i="2"/>
  <c r="U26" i="2"/>
  <c r="U22" i="2"/>
  <c r="U18" i="2"/>
  <c r="U16" i="2"/>
  <c r="U64" i="4"/>
  <c r="U62" i="4"/>
  <c r="U60" i="4"/>
  <c r="U58" i="4"/>
  <c r="U56" i="4"/>
  <c r="U54" i="4"/>
  <c r="U52" i="4"/>
  <c r="X49" i="4"/>
  <c r="W49" i="4"/>
  <c r="V49" i="4"/>
  <c r="U49" i="4"/>
  <c r="R49" i="4"/>
  <c r="U46" i="4"/>
  <c r="U38" i="4"/>
  <c r="U34" i="4"/>
  <c r="U42" i="4"/>
  <c r="U30" i="4"/>
  <c r="U26" i="4"/>
  <c r="U22" i="4"/>
  <c r="U20" i="4"/>
  <c r="U18" i="4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1" i="3"/>
  <c r="Q39" i="3"/>
  <c r="Q38" i="3"/>
  <c r="Q36" i="3"/>
  <c r="Q34" i="3"/>
  <c r="Q33" i="3"/>
  <c r="Q31" i="3"/>
  <c r="Q29" i="3"/>
  <c r="Q28" i="3"/>
  <c r="Q26" i="3"/>
  <c r="Q24" i="3"/>
  <c r="Q23" i="3"/>
  <c r="Q21" i="3"/>
  <c r="Q19" i="3"/>
  <c r="Q18" i="3"/>
  <c r="Q16" i="3"/>
  <c r="Q14" i="3"/>
  <c r="Q73" i="4"/>
  <c r="Q72" i="4"/>
  <c r="Q71" i="4"/>
  <c r="Q70" i="4"/>
  <c r="Q69" i="4"/>
  <c r="Q68" i="4"/>
  <c r="Q67" i="4"/>
  <c r="Q66" i="4"/>
  <c r="Q65" i="4"/>
  <c r="Q63" i="4"/>
  <c r="Q61" i="4"/>
  <c r="Q59" i="4"/>
  <c r="Q57" i="4"/>
  <c r="Q55" i="4"/>
  <c r="Q53" i="4"/>
  <c r="Q51" i="4"/>
  <c r="Q50" i="4"/>
  <c r="Q49" i="4"/>
  <c r="Q48" i="4"/>
  <c r="Q47" i="4"/>
  <c r="Q45" i="4"/>
  <c r="Q44" i="4"/>
  <c r="Q43" i="4"/>
  <c r="Q41" i="4"/>
  <c r="Q40" i="4"/>
  <c r="Q39" i="4"/>
  <c r="Q37" i="4"/>
  <c r="Q36" i="4"/>
  <c r="Q35" i="4"/>
  <c r="Q33" i="4"/>
  <c r="Q32" i="4"/>
  <c r="Q31" i="4"/>
  <c r="Q29" i="4"/>
  <c r="Q28" i="4"/>
  <c r="Q27" i="4"/>
  <c r="Q25" i="4"/>
  <c r="Q24" i="4"/>
  <c r="Q23" i="4"/>
  <c r="Q21" i="4"/>
  <c r="Q19" i="4"/>
  <c r="Q17" i="4"/>
  <c r="Q15" i="4"/>
  <c r="Q14" i="4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49" i="2"/>
  <c r="Q48" i="2"/>
  <c r="Q47" i="2"/>
  <c r="Q45" i="2"/>
  <c r="Q44" i="2"/>
  <c r="Q43" i="2"/>
  <c r="Q41" i="2"/>
  <c r="Q40" i="2"/>
  <c r="Q39" i="2"/>
  <c r="Q38" i="2"/>
  <c r="Q37" i="2"/>
  <c r="Q35" i="2"/>
  <c r="Q33" i="2"/>
  <c r="Q32" i="2"/>
  <c r="Q31" i="2"/>
  <c r="Q29" i="2"/>
  <c r="Q28" i="2"/>
  <c r="Q27" i="2"/>
  <c r="Q25" i="2"/>
  <c r="Q24" i="2"/>
  <c r="Q23" i="2"/>
  <c r="Q21" i="2"/>
  <c r="Q20" i="2"/>
  <c r="Q19" i="2"/>
  <c r="Q17" i="2"/>
  <c r="Q15" i="2"/>
  <c r="Q14" i="2"/>
  <c r="J90" i="3"/>
  <c r="S46" i="2"/>
  <c r="S30" i="2"/>
  <c r="S22" i="2"/>
  <c r="O46" i="2" l="1"/>
  <c r="O77" i="4"/>
  <c r="O77" i="2"/>
  <c r="O77" i="3"/>
  <c r="I78" i="3"/>
  <c r="J78" i="3"/>
  <c r="I78" i="2"/>
  <c r="J78" i="2"/>
  <c r="J78" i="4"/>
  <c r="I78" i="4"/>
  <c r="S42" i="4"/>
  <c r="S34" i="4"/>
  <c r="S26" i="4"/>
  <c r="S16" i="4"/>
  <c r="H78" i="3"/>
  <c r="X77" i="3"/>
  <c r="W77" i="3"/>
  <c r="H78" i="2"/>
  <c r="X77" i="2"/>
  <c r="W77" i="2"/>
  <c r="W30" i="2" s="1"/>
  <c r="D57" i="2"/>
  <c r="F57" i="2" s="1"/>
  <c r="D54" i="2"/>
  <c r="F54" i="2" s="1"/>
  <c r="D53" i="2"/>
  <c r="F53" i="2" s="1"/>
  <c r="W77" i="4"/>
  <c r="W42" i="4" s="1"/>
  <c r="X77" i="4"/>
  <c r="X34" i="4" s="1"/>
  <c r="E42" i="3"/>
  <c r="D42" i="3"/>
  <c r="K42" i="3" s="1"/>
  <c r="D40" i="3"/>
  <c r="K40" i="3" s="1"/>
  <c r="E37" i="3"/>
  <c r="E35" i="3"/>
  <c r="D37" i="3"/>
  <c r="D35" i="3"/>
  <c r="E32" i="3"/>
  <c r="E30" i="3"/>
  <c r="D25" i="3"/>
  <c r="E22" i="3"/>
  <c r="E20" i="3"/>
  <c r="E17" i="3"/>
  <c r="E15" i="3"/>
  <c r="D15" i="3"/>
  <c r="D17" i="3"/>
  <c r="D46" i="2"/>
  <c r="K46" i="2" s="1"/>
  <c r="D42" i="2"/>
  <c r="F42" i="2" s="1"/>
  <c r="D39" i="2"/>
  <c r="D18" i="2"/>
  <c r="F18" i="2" s="1"/>
  <c r="D69" i="4"/>
  <c r="F69" i="4" s="1"/>
  <c r="D67" i="4"/>
  <c r="D64" i="4"/>
  <c r="E64" i="4" s="1"/>
  <c r="D62" i="4"/>
  <c r="F62" i="4" s="1"/>
  <c r="D60" i="4"/>
  <c r="F60" i="4" s="1"/>
  <c r="E58" i="4"/>
  <c r="D58" i="4"/>
  <c r="K58" i="4" s="1"/>
  <c r="D49" i="4"/>
  <c r="D46" i="4"/>
  <c r="K46" i="4" s="1"/>
  <c r="D42" i="4"/>
  <c r="D38" i="4"/>
  <c r="D26" i="4"/>
  <c r="K26" i="4" s="1"/>
  <c r="O26" i="4" s="1"/>
  <c r="D18" i="4"/>
  <c r="F18" i="4" s="1"/>
  <c r="H78" i="4"/>
  <c r="D56" i="4"/>
  <c r="F56" i="4" s="1"/>
  <c r="D54" i="4"/>
  <c r="F54" i="4" s="1"/>
  <c r="D52" i="4"/>
  <c r="F52" i="4" s="1"/>
  <c r="D34" i="4"/>
  <c r="K34" i="4" s="1"/>
  <c r="O34" i="4" s="1"/>
  <c r="D30" i="4"/>
  <c r="F30" i="4" s="1"/>
  <c r="D22" i="4"/>
  <c r="D20" i="4"/>
  <c r="K20" i="4" s="1"/>
  <c r="D16" i="4"/>
  <c r="K16" i="4" s="1"/>
  <c r="D32" i="3"/>
  <c r="K32" i="3" s="1"/>
  <c r="D30" i="3"/>
  <c r="K30" i="3" s="1"/>
  <c r="D27" i="3"/>
  <c r="K27" i="3" s="1"/>
  <c r="D22" i="3"/>
  <c r="K22" i="3" s="1"/>
  <c r="D20" i="3"/>
  <c r="D16" i="2"/>
  <c r="D22" i="2"/>
  <c r="K22" i="2" s="1"/>
  <c r="O22" i="2" s="1"/>
  <c r="D26" i="2"/>
  <c r="K26" i="2" s="1"/>
  <c r="D30" i="2"/>
  <c r="K30" i="2" s="1"/>
  <c r="O30" i="2" s="1"/>
  <c r="D34" i="2"/>
  <c r="F34" i="2" s="1"/>
  <c r="D36" i="2"/>
  <c r="F36" i="2" s="1"/>
  <c r="U36" i="2" s="1"/>
  <c r="D50" i="2"/>
  <c r="F50" i="2" s="1"/>
  <c r="D56" i="2"/>
  <c r="F56" i="2" s="1"/>
  <c r="R56" i="2" s="1"/>
  <c r="K25" i="3" l="1"/>
  <c r="F35" i="3"/>
  <c r="K35" i="3"/>
  <c r="F37" i="3"/>
  <c r="K37" i="3"/>
  <c r="J20" i="3"/>
  <c r="K20" i="3"/>
  <c r="F17" i="3"/>
  <c r="K17" i="3"/>
  <c r="J15" i="3"/>
  <c r="K15" i="3"/>
  <c r="P22" i="2"/>
  <c r="Q22" i="2"/>
  <c r="N22" i="2"/>
  <c r="Q30" i="2"/>
  <c r="P30" i="2"/>
  <c r="N30" i="2"/>
  <c r="S42" i="2"/>
  <c r="S34" i="2"/>
  <c r="F16" i="2"/>
  <c r="K16" i="2"/>
  <c r="Q46" i="2"/>
  <c r="N46" i="2"/>
  <c r="P46" i="2"/>
  <c r="M57" i="2"/>
  <c r="N57" i="2" s="1"/>
  <c r="S57" i="2"/>
  <c r="S18" i="2"/>
  <c r="S54" i="2"/>
  <c r="M54" i="2"/>
  <c r="N54" i="2" s="1"/>
  <c r="O34" i="2"/>
  <c r="O50" i="2"/>
  <c r="S50" i="2"/>
  <c r="S36" i="2"/>
  <c r="N16" i="4"/>
  <c r="P34" i="4"/>
  <c r="N34" i="4"/>
  <c r="Q34" i="4"/>
  <c r="Q26" i="4"/>
  <c r="P26" i="4"/>
  <c r="N26" i="4"/>
  <c r="X18" i="4"/>
  <c r="S60" i="4"/>
  <c r="U67" i="4"/>
  <c r="E67" i="4"/>
  <c r="O18" i="4"/>
  <c r="X30" i="4"/>
  <c r="S52" i="4"/>
  <c r="S54" i="4"/>
  <c r="O30" i="4"/>
  <c r="S56" i="4"/>
  <c r="J22" i="3"/>
  <c r="F40" i="3"/>
  <c r="W40" i="3" s="1"/>
  <c r="F42" i="3"/>
  <c r="S17" i="3"/>
  <c r="J25" i="3"/>
  <c r="T16" i="2"/>
  <c r="F32" i="3"/>
  <c r="J17" i="3"/>
  <c r="J40" i="3"/>
  <c r="J42" i="3"/>
  <c r="J27" i="3"/>
  <c r="F15" i="3"/>
  <c r="W32" i="3"/>
  <c r="J50" i="2"/>
  <c r="T50" i="2" s="1"/>
  <c r="J54" i="2"/>
  <c r="J42" i="4"/>
  <c r="T42" i="4" s="1"/>
  <c r="X69" i="4"/>
  <c r="J22" i="4"/>
  <c r="X16" i="4"/>
  <c r="J20" i="4"/>
  <c r="J16" i="4"/>
  <c r="T16" i="4" s="1"/>
  <c r="J46" i="4"/>
  <c r="J26" i="4"/>
  <c r="T26" i="4" s="1"/>
  <c r="J64" i="4"/>
  <c r="J38" i="4"/>
  <c r="S64" i="4"/>
  <c r="X42" i="4"/>
  <c r="S18" i="4"/>
  <c r="S62" i="4"/>
  <c r="V67" i="4"/>
  <c r="K62" i="4"/>
  <c r="O62" i="4" s="1"/>
  <c r="U69" i="4"/>
  <c r="W18" i="4"/>
  <c r="V69" i="4"/>
  <c r="W52" i="4"/>
  <c r="R69" i="4"/>
  <c r="J62" i="4"/>
  <c r="T62" i="4" s="1"/>
  <c r="X54" i="4"/>
  <c r="J60" i="4"/>
  <c r="T60" i="4" s="1"/>
  <c r="J58" i="4"/>
  <c r="J52" i="4"/>
  <c r="T52" i="4" s="1"/>
  <c r="X60" i="4"/>
  <c r="W62" i="4"/>
  <c r="K18" i="4"/>
  <c r="J56" i="4"/>
  <c r="T56" i="4" s="1"/>
  <c r="X62" i="4"/>
  <c r="K38" i="4"/>
  <c r="J54" i="4"/>
  <c r="T54" i="4" s="1"/>
  <c r="K42" i="4"/>
  <c r="O42" i="4" s="1"/>
  <c r="X52" i="4"/>
  <c r="J34" i="4"/>
  <c r="T34" i="4" s="1"/>
  <c r="J30" i="4"/>
  <c r="T30" i="4" s="1"/>
  <c r="W54" i="4"/>
  <c r="W16" i="4"/>
  <c r="W26" i="4"/>
  <c r="W67" i="4"/>
  <c r="W56" i="4"/>
  <c r="J18" i="4"/>
  <c r="T18" i="4" s="1"/>
  <c r="X56" i="4"/>
  <c r="X26" i="4"/>
  <c r="S30" i="4"/>
  <c r="X67" i="4"/>
  <c r="W30" i="4"/>
  <c r="W34" i="4"/>
  <c r="W69" i="4"/>
  <c r="K60" i="4"/>
  <c r="O60" i="4" s="1"/>
  <c r="W60" i="4"/>
  <c r="J57" i="2"/>
  <c r="K50" i="2"/>
  <c r="X16" i="2"/>
  <c r="J26" i="2"/>
  <c r="W34" i="2"/>
  <c r="K36" i="2"/>
  <c r="O36" i="2" s="1"/>
  <c r="J42" i="2"/>
  <c r="T42" i="2" s="1"/>
  <c r="K42" i="2"/>
  <c r="O42" i="2" s="1"/>
  <c r="J46" i="2"/>
  <c r="T46" i="2" s="1"/>
  <c r="X34" i="2"/>
  <c r="U56" i="2"/>
  <c r="J36" i="2"/>
  <c r="T36" i="2" s="1"/>
  <c r="W22" i="2"/>
  <c r="W56" i="2"/>
  <c r="X56" i="2"/>
  <c r="W42" i="2"/>
  <c r="J30" i="2"/>
  <c r="T30" i="2" s="1"/>
  <c r="J34" i="2"/>
  <c r="T34" i="2" s="1"/>
  <c r="W36" i="2"/>
  <c r="X36" i="2"/>
  <c r="K34" i="2"/>
  <c r="X53" i="2"/>
  <c r="V53" i="2"/>
  <c r="W53" i="2"/>
  <c r="U53" i="2"/>
  <c r="R53" i="2"/>
  <c r="X54" i="2"/>
  <c r="W54" i="2"/>
  <c r="V54" i="2"/>
  <c r="X57" i="2"/>
  <c r="W57" i="2"/>
  <c r="X22" i="2"/>
  <c r="W16" i="2"/>
  <c r="X42" i="2"/>
  <c r="X30" i="2"/>
  <c r="W18" i="2"/>
  <c r="W50" i="2"/>
  <c r="X18" i="2"/>
  <c r="X50" i="2"/>
  <c r="W46" i="2"/>
  <c r="J18" i="2"/>
  <c r="T18" i="2" s="1"/>
  <c r="X46" i="2"/>
  <c r="K18" i="2"/>
  <c r="O18" i="2" s="1"/>
  <c r="J22" i="2"/>
  <c r="T22" i="2" s="1"/>
  <c r="X17" i="3"/>
  <c r="W17" i="3"/>
  <c r="W35" i="3"/>
  <c r="X37" i="3"/>
  <c r="W37" i="3"/>
  <c r="H30" i="3"/>
  <c r="I32" i="3"/>
  <c r="T32" i="3" s="1"/>
  <c r="H32" i="3"/>
  <c r="S32" i="3" s="1"/>
  <c r="I30" i="3"/>
  <c r="H35" i="3"/>
  <c r="S35" i="3" s="1"/>
  <c r="H37" i="3"/>
  <c r="S37" i="3" s="1"/>
  <c r="I35" i="3"/>
  <c r="I37" i="3"/>
  <c r="T37" i="3" s="1"/>
  <c r="AA19" i="2"/>
  <c r="I90" i="3" s="1"/>
  <c r="K22" i="4"/>
  <c r="K30" i="4"/>
  <c r="K52" i="4"/>
  <c r="O52" i="4" s="1"/>
  <c r="K54" i="4"/>
  <c r="O54" i="4" s="1"/>
  <c r="K56" i="4"/>
  <c r="O56" i="4" s="1"/>
  <c r="K64" i="4"/>
  <c r="O64" i="4" s="1"/>
  <c r="F30" i="3"/>
  <c r="F20" i="3"/>
  <c r="F38" i="4"/>
  <c r="F46" i="4"/>
  <c r="F58" i="4"/>
  <c r="F26" i="2"/>
  <c r="F20" i="4"/>
  <c r="F22" i="4"/>
  <c r="F22" i="3"/>
  <c r="O22" i="3" s="1"/>
  <c r="O42" i="3" l="1"/>
  <c r="P22" i="3"/>
  <c r="Q22" i="3"/>
  <c r="N22" i="3"/>
  <c r="X42" i="3"/>
  <c r="O40" i="3"/>
  <c r="X40" i="3"/>
  <c r="W42" i="3"/>
  <c r="S42" i="3"/>
  <c r="O37" i="3"/>
  <c r="O30" i="3"/>
  <c r="S40" i="3"/>
  <c r="T40" i="3"/>
  <c r="O17" i="3"/>
  <c r="T17" i="3"/>
  <c r="X15" i="3"/>
  <c r="AB17" i="3"/>
  <c r="F90" i="3" s="1"/>
  <c r="O15" i="3"/>
  <c r="T42" i="3"/>
  <c r="O32" i="3"/>
  <c r="O35" i="3"/>
  <c r="X35" i="3"/>
  <c r="O20" i="3"/>
  <c r="P18" i="2"/>
  <c r="Q18" i="2"/>
  <c r="N18" i="2"/>
  <c r="N42" i="2"/>
  <c r="P42" i="2"/>
  <c r="Q42" i="2"/>
  <c r="AA16" i="2"/>
  <c r="E90" i="3" s="1"/>
  <c r="S16" i="2"/>
  <c r="O16" i="2"/>
  <c r="P34" i="2"/>
  <c r="N34" i="2"/>
  <c r="Q34" i="2"/>
  <c r="P36" i="2"/>
  <c r="N36" i="2"/>
  <c r="Q36" i="2"/>
  <c r="S26" i="2"/>
  <c r="O26" i="2"/>
  <c r="Q50" i="2"/>
  <c r="N50" i="2"/>
  <c r="P50" i="2"/>
  <c r="O20" i="4"/>
  <c r="P18" i="4"/>
  <c r="Q18" i="4"/>
  <c r="N18" i="4"/>
  <c r="O38" i="4"/>
  <c r="AA15" i="4"/>
  <c r="D90" i="3" s="1"/>
  <c r="P62" i="4"/>
  <c r="Q62" i="4"/>
  <c r="N62" i="4"/>
  <c r="O58" i="4"/>
  <c r="AA18" i="4"/>
  <c r="H90" i="3" s="1"/>
  <c r="I92" i="3" s="1"/>
  <c r="I93" i="3" s="1"/>
  <c r="I95" i="3" s="1"/>
  <c r="I96" i="3" s="1"/>
  <c r="N56" i="4"/>
  <c r="P56" i="4"/>
  <c r="Q56" i="4"/>
  <c r="N52" i="4"/>
  <c r="Q52" i="4"/>
  <c r="P52" i="4"/>
  <c r="P60" i="4"/>
  <c r="N60" i="4"/>
  <c r="Q60" i="4"/>
  <c r="P30" i="4"/>
  <c r="N30" i="4"/>
  <c r="Q30" i="4"/>
  <c r="O22" i="4"/>
  <c r="N42" i="4"/>
  <c r="P42" i="4"/>
  <c r="Q42" i="4"/>
  <c r="Q64" i="4"/>
  <c r="N64" i="4"/>
  <c r="P64" i="4"/>
  <c r="N54" i="4"/>
  <c r="Q54" i="4"/>
  <c r="P54" i="4"/>
  <c r="R74" i="2"/>
  <c r="O46" i="4"/>
  <c r="X64" i="4"/>
  <c r="T57" i="2"/>
  <c r="T54" i="2"/>
  <c r="T35" i="3"/>
  <c r="X32" i="3"/>
  <c r="W15" i="3"/>
  <c r="T30" i="3"/>
  <c r="S30" i="3"/>
  <c r="T22" i="3"/>
  <c r="S22" i="3"/>
  <c r="T15" i="3"/>
  <c r="S15" i="3"/>
  <c r="T20" i="3"/>
  <c r="S20" i="3"/>
  <c r="T38" i="4"/>
  <c r="T46" i="4"/>
  <c r="T64" i="4"/>
  <c r="W64" i="4"/>
  <c r="X22" i="4"/>
  <c r="W22" i="4"/>
  <c r="S22" i="4"/>
  <c r="T22" i="4"/>
  <c r="S20" i="4"/>
  <c r="W20" i="4"/>
  <c r="T20" i="4"/>
  <c r="X20" i="4"/>
  <c r="S58" i="4"/>
  <c r="X58" i="4"/>
  <c r="W58" i="4"/>
  <c r="S46" i="4"/>
  <c r="X46" i="4"/>
  <c r="W46" i="4"/>
  <c r="W38" i="4"/>
  <c r="S38" i="4"/>
  <c r="X38" i="4"/>
  <c r="T58" i="4"/>
  <c r="T26" i="2"/>
  <c r="V74" i="2"/>
  <c r="X26" i="2"/>
  <c r="W26" i="2"/>
  <c r="W74" i="2" s="1"/>
  <c r="W72" i="3" s="1"/>
  <c r="W74" i="3" s="1"/>
  <c r="X20" i="3"/>
  <c r="W20" i="3"/>
  <c r="X30" i="3"/>
  <c r="W30" i="3"/>
  <c r="X22" i="3"/>
  <c r="W22" i="3"/>
  <c r="P15" i="3" l="1"/>
  <c r="Q15" i="3"/>
  <c r="N15" i="3"/>
  <c r="N30" i="3"/>
  <c r="Q30" i="3"/>
  <c r="P30" i="3"/>
  <c r="P37" i="3"/>
  <c r="Q37" i="3"/>
  <c r="N37" i="3"/>
  <c r="P17" i="3"/>
  <c r="Q17" i="3"/>
  <c r="N17" i="3"/>
  <c r="N20" i="3"/>
  <c r="Q20" i="3"/>
  <c r="P20" i="3"/>
  <c r="P42" i="3"/>
  <c r="Q42" i="3"/>
  <c r="N42" i="3"/>
  <c r="P40" i="3"/>
  <c r="N40" i="3"/>
  <c r="Q40" i="3"/>
  <c r="P25" i="3"/>
  <c r="N25" i="3"/>
  <c r="Q25" i="3"/>
  <c r="P35" i="3"/>
  <c r="Q35" i="3"/>
  <c r="N35" i="3"/>
  <c r="P32" i="3"/>
  <c r="Q32" i="3"/>
  <c r="N32" i="3"/>
  <c r="P27" i="3"/>
  <c r="N27" i="3"/>
  <c r="Q27" i="3"/>
  <c r="P16" i="2"/>
  <c r="N16" i="2"/>
  <c r="Q16" i="2"/>
  <c r="Q26" i="2"/>
  <c r="P26" i="2"/>
  <c r="N26" i="2"/>
  <c r="O74" i="2"/>
  <c r="O72" i="3" s="1"/>
  <c r="O74" i="3" s="1"/>
  <c r="N58" i="4"/>
  <c r="P58" i="4"/>
  <c r="Q58" i="4"/>
  <c r="P22" i="4"/>
  <c r="N22" i="4"/>
  <c r="Q22" i="4"/>
  <c r="O74" i="4"/>
  <c r="Q46" i="4"/>
  <c r="P46" i="4"/>
  <c r="N46" i="4"/>
  <c r="P20" i="4"/>
  <c r="Q20" i="4"/>
  <c r="Q74" i="4" s="1"/>
  <c r="N20" i="4"/>
  <c r="Q38" i="4"/>
  <c r="N38" i="4"/>
  <c r="P38" i="4"/>
  <c r="E92" i="3"/>
  <c r="E93" i="3" s="1"/>
  <c r="E95" i="3" s="1"/>
  <c r="E96" i="3" s="1"/>
  <c r="U74" i="2"/>
  <c r="U72" i="3" s="1"/>
  <c r="U74" i="3" s="1"/>
  <c r="U74" i="4"/>
  <c r="X74" i="2"/>
  <c r="X72" i="3" s="1"/>
  <c r="X74" i="3" s="1"/>
  <c r="S74" i="2"/>
  <c r="S72" i="3" s="1"/>
  <c r="S74" i="3" s="1"/>
  <c r="M74" i="2"/>
  <c r="M72" i="3" s="1"/>
  <c r="T74" i="2"/>
  <c r="T72" i="3" s="1"/>
  <c r="T74" i="3" s="1"/>
  <c r="T74" i="4"/>
  <c r="M74" i="4"/>
  <c r="M70" i="3" s="1"/>
  <c r="M74" i="3" s="1"/>
  <c r="S74" i="4"/>
  <c r="V74" i="4"/>
  <c r="X74" i="4"/>
  <c r="W74" i="4"/>
  <c r="R74" i="4"/>
  <c r="N68" i="3" l="1"/>
  <c r="Q74" i="2"/>
  <c r="Q72" i="3" s="1"/>
  <c r="Q74" i="3" s="1"/>
  <c r="N74" i="2"/>
  <c r="N72" i="3" s="1"/>
  <c r="P74" i="2"/>
  <c r="P72" i="3" s="1"/>
  <c r="P74" i="3" s="1"/>
  <c r="N74" i="4"/>
  <c r="N70" i="3" s="1"/>
  <c r="P74" i="4"/>
  <c r="N74" i="3" l="1"/>
</calcChain>
</file>

<file path=xl/sharedStrings.xml><?xml version="1.0" encoding="utf-8"?>
<sst xmlns="http://schemas.openxmlformats.org/spreadsheetml/2006/main" count="269" uniqueCount="66">
  <si>
    <t>EXT</t>
  </si>
  <si>
    <t>UNITS</t>
  </si>
  <si>
    <t>FACTOR</t>
  </si>
  <si>
    <t>TOTALS CARRIED TO GENERAL SUMMARY</t>
  </si>
  <si>
    <t>EAST AVE</t>
  </si>
  <si>
    <t>CY</t>
  </si>
  <si>
    <t>GAL</t>
  </si>
  <si>
    <t>SY</t>
  </si>
  <si>
    <t>FT</t>
  </si>
  <si>
    <t>HOUR</t>
  </si>
  <si>
    <t>SF</t>
  </si>
  <si>
    <t>PAVEMENT PLANNING, ASPHALT CONCRETE, (DEPTH VARIES, 3" NOMINAL)</t>
  </si>
  <si>
    <t>PROOF ROLLING</t>
  </si>
  <si>
    <t>SUBGRADE COMPACTION</t>
  </si>
  <si>
    <t>AREA FOR 10" 
COURSE WIDENING</t>
  </si>
  <si>
    <t>AREA FOR 4" 
COURSE WIDENING</t>
  </si>
  <si>
    <t>SURFACE AREA
CADD</t>
  </si>
  <si>
    <t>SURFACE AREA
(A=LxW)</t>
  </si>
  <si>
    <t>AVERAGE WIDTH
(W)</t>
  </si>
  <si>
    <t>LENGTH
(L)</t>
  </si>
  <si>
    <t>SIDE</t>
  </si>
  <si>
    <t>STATION TO STATION</t>
  </si>
  <si>
    <t>FULL DEPTH REPLACEMENT AREA</t>
  </si>
  <si>
    <t>LT</t>
  </si>
  <si>
    <t>CADD</t>
  </si>
  <si>
    <t>RESURFACING AREA</t>
  </si>
  <si>
    <t>RT</t>
  </si>
  <si>
    <t>EAST AVE &amp; INDIAN HILLS DR INT.</t>
  </si>
  <si>
    <t>EAST AVE &amp; MILTON DR INT.</t>
  </si>
  <si>
    <t>EAST AVE &amp; ERNEST DR INT.</t>
  </si>
  <si>
    <t>EAST AVE &amp; PARKER LN INT.</t>
  </si>
  <si>
    <t>EAST AVE &amp; MACA DR INT.</t>
  </si>
  <si>
    <t>EAST AVE &amp; EASTPOINT DR INT.</t>
  </si>
  <si>
    <t>INDIAN HILLS DR</t>
  </si>
  <si>
    <t>MILTON DR</t>
  </si>
  <si>
    <t>MACA DR</t>
  </si>
  <si>
    <t>ERNEST DR</t>
  </si>
  <si>
    <t>PARKER LN</t>
  </si>
  <si>
    <t>EASTPOINT DR</t>
  </si>
  <si>
    <t>SAWCUT AREA</t>
  </si>
  <si>
    <t>AREA FOR 18" 
COURSE WIDENING</t>
  </si>
  <si>
    <t>AREA FOR 18"
COURSE WIDENING</t>
  </si>
  <si>
    <t>CEMENT STABALIZED SUBGRADE, 14"DEEP</t>
  </si>
  <si>
    <t>AREA FOR 18" 
STABILIZATION</t>
  </si>
  <si>
    <t>10% PVMT REPAIR</t>
  </si>
  <si>
    <t>TOTALS CARRIED FROM SHEET 122</t>
  </si>
  <si>
    <t>TOTALS CARRIED TO SHEET 124</t>
  </si>
  <si>
    <t>TOTALS CARRIED FROM SHEET 123</t>
  </si>
  <si>
    <t>total area</t>
  </si>
  <si>
    <t>resurfacing area</t>
  </si>
  <si>
    <t>10% PARTIAL DEPTH PVMT REPAIR</t>
  </si>
  <si>
    <t>RESURFACING AREAS</t>
  </si>
  <si>
    <t>SUM RESURF AREA</t>
  </si>
  <si>
    <t>SUM AREA</t>
  </si>
  <si>
    <t>TOTAL AREAS</t>
  </si>
  <si>
    <t>TOTALS THIS SHEET</t>
  </si>
  <si>
    <t>CURING COAT</t>
  </si>
  <si>
    <t>NON-TRACKING TACK COAT (0.055 GAL/SY)</t>
  </si>
  <si>
    <t>NON-TRACKING TACK COAT (0.085 GAL/SY)</t>
  </si>
  <si>
    <t>CEMENT</t>
  </si>
  <si>
    <t>TON</t>
  </si>
  <si>
    <t>1.75" ASPHALT CONCRETE INTERMEDIATE COURSE, (448), TYPE 2</t>
  </si>
  <si>
    <t>6" ASPHALT CONCRETE BASE, PG64-22, (449)</t>
  </si>
  <si>
    <t>6" AGGREGATE BASE</t>
  </si>
  <si>
    <t>CAAD</t>
  </si>
  <si>
    <t>1.5" ASPHALT CONCRETE SURFACE COURSE, (448), TYPE 1, PG70-22M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</si>
</sst>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0\+00.00"/>
    <numFmt numFmtId="166" formatCode="[$-F400]h:mm:ss\ AM/PM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4"/>
      <name val="Verdana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2" fillId="0" borderId="0" xfId="1" applyFont="1"/>
    <xf numFmtId="0" fontId="3" fillId="2" borderId="0" xfId="1" applyFont="1" applyFill="1"/>
    <xf numFmtId="0" fontId="4" fillId="2" borderId="0" xfId="1" applyFont="1" applyFill="1"/>
    <xf numFmtId="164" fontId="4" fillId="2" borderId="0" xfId="1" applyNumberFormat="1" applyFont="1" applyFill="1"/>
    <xf numFmtId="164" fontId="3" fillId="2" borderId="0" xfId="1" applyNumberFormat="1" applyFont="1" applyFill="1" applyAlignment="1">
      <alignment horizontal="right" vertical="center"/>
    </xf>
    <xf numFmtId="0" fontId="5" fillId="2" borderId="0" xfId="1" applyFont="1" applyFill="1"/>
    <xf numFmtId="0" fontId="3" fillId="2" borderId="0" xfId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2" fontId="3" fillId="2" borderId="0" xfId="1" applyNumberFormat="1" applyFont="1" applyFill="1"/>
    <xf numFmtId="2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6" fillId="0" borderId="0" xfId="1" applyFont="1"/>
    <xf numFmtId="2" fontId="6" fillId="0" borderId="7" xfId="1" applyNumberFormat="1" applyFont="1" applyBorder="1" applyAlignment="1">
      <alignment horizontal="center" vertical="center"/>
    </xf>
    <xf numFmtId="2" fontId="6" fillId="0" borderId="8" xfId="1" applyNumberFormat="1" applyFont="1" applyBorder="1" applyAlignment="1">
      <alignment horizontal="center" vertical="center"/>
    </xf>
    <xf numFmtId="2" fontId="6" fillId="0" borderId="9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65" fontId="6" fillId="0" borderId="11" xfId="1" applyNumberFormat="1" applyFont="1" applyBorder="1" applyAlignment="1">
      <alignment horizontal="center" vertical="center"/>
    </xf>
    <xf numFmtId="165" fontId="6" fillId="0" borderId="12" xfId="1" applyNumberFormat="1" applyFont="1" applyBorder="1" applyAlignment="1">
      <alignment horizontal="center" vertical="center"/>
    </xf>
    <xf numFmtId="2" fontId="6" fillId="0" borderId="13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2" fontId="6" fillId="0" borderId="15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165" fontId="6" fillId="3" borderId="11" xfId="1" applyNumberFormat="1" applyFont="1" applyFill="1" applyBorder="1" applyAlignment="1">
      <alignment horizontal="center" vertical="center"/>
    </xf>
    <xf numFmtId="165" fontId="6" fillId="3" borderId="12" xfId="1" applyNumberFormat="1" applyFont="1" applyFill="1" applyBorder="1" applyAlignment="1">
      <alignment horizontal="center" vertical="center"/>
    </xf>
    <xf numFmtId="2" fontId="6" fillId="3" borderId="13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2" fontId="6" fillId="0" borderId="0" xfId="1" applyNumberFormat="1" applyFont="1"/>
    <xf numFmtId="0" fontId="1" fillId="4" borderId="0" xfId="1" applyFill="1"/>
    <xf numFmtId="0" fontId="1" fillId="4" borderId="23" xfId="1" applyFill="1" applyBorder="1"/>
    <xf numFmtId="0" fontId="1" fillId="4" borderId="2" xfId="1" applyFill="1" applyBorder="1"/>
    <xf numFmtId="0" fontId="1" fillId="4" borderId="20" xfId="1" applyFill="1" applyBorder="1"/>
    <xf numFmtId="0" fontId="1" fillId="5" borderId="6" xfId="1" applyFill="1" applyBorder="1"/>
    <xf numFmtId="0" fontId="1" fillId="5" borderId="24" xfId="1" applyFill="1" applyBorder="1"/>
    <xf numFmtId="2" fontId="1" fillId="5" borderId="0" xfId="1" applyNumberFormat="1" applyFill="1"/>
    <xf numFmtId="2" fontId="1" fillId="5" borderId="23" xfId="1" applyNumberFormat="1" applyFill="1" applyBorder="1"/>
    <xf numFmtId="0" fontId="1" fillId="5" borderId="0" xfId="1" applyFill="1"/>
    <xf numFmtId="0" fontId="1" fillId="5" borderId="23" xfId="1" applyFill="1" applyBorder="1"/>
    <xf numFmtId="2" fontId="9" fillId="5" borderId="0" xfId="1" applyNumberFormat="1" applyFont="1" applyFill="1"/>
    <xf numFmtId="165" fontId="2" fillId="0" borderId="12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165" fontId="2" fillId="0" borderId="18" xfId="1" applyNumberFormat="1" applyFont="1" applyBorder="1" applyAlignment="1">
      <alignment horizontal="center" vertical="center"/>
    </xf>
    <xf numFmtId="165" fontId="6" fillId="0" borderId="18" xfId="1" applyNumberFormat="1" applyFon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67" fontId="6" fillId="0" borderId="4" xfId="1" applyNumberFormat="1" applyFont="1" applyBorder="1" applyAlignment="1">
      <alignment horizontal="center" vertical="center"/>
    </xf>
    <xf numFmtId="167" fontId="6" fillId="0" borderId="1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6" fillId="6" borderId="4" xfId="1" applyNumberFormat="1" applyFont="1" applyFill="1" applyBorder="1" applyAlignment="1">
      <alignment horizontal="center" vertical="center"/>
    </xf>
    <xf numFmtId="1" fontId="6" fillId="6" borderId="1" xfId="1" applyNumberFormat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textRotation="90" wrapText="1"/>
    </xf>
    <xf numFmtId="0" fontId="6" fillId="0" borderId="13" xfId="1" applyFont="1" applyBorder="1" applyAlignment="1">
      <alignment horizontal="center" vertical="center" textRotation="90"/>
    </xf>
    <xf numFmtId="0" fontId="6" fillId="0" borderId="25" xfId="1" applyFont="1" applyBorder="1" applyAlignment="1">
      <alignment horizontal="center" vertical="center" textRotation="90" wrapText="1"/>
    </xf>
    <xf numFmtId="0" fontId="6" fillId="0" borderId="21" xfId="1" applyFont="1" applyBorder="1" applyAlignment="1">
      <alignment horizontal="center" vertical="center" textRotation="90" wrapText="1"/>
    </xf>
    <xf numFmtId="0" fontId="6" fillId="0" borderId="15" xfId="1" applyFont="1" applyBorder="1" applyAlignment="1">
      <alignment horizontal="center" vertical="center" textRotation="90" wrapText="1"/>
    </xf>
    <xf numFmtId="0" fontId="1" fillId="0" borderId="28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166" fontId="7" fillId="0" borderId="27" xfId="1" applyNumberFormat="1" applyFont="1" applyBorder="1" applyAlignment="1">
      <alignment horizontal="center" vertical="center" textRotation="90"/>
    </xf>
    <xf numFmtId="166" fontId="7" fillId="0" borderId="22" xfId="1" applyNumberFormat="1" applyFont="1" applyBorder="1" applyAlignment="1">
      <alignment horizontal="center" vertical="center" textRotation="90"/>
    </xf>
    <xf numFmtId="166" fontId="7" fillId="0" borderId="19" xfId="1" applyNumberFormat="1" applyFont="1" applyBorder="1" applyAlignment="1">
      <alignment horizontal="center" vertical="center" textRotation="90"/>
    </xf>
    <xf numFmtId="0" fontId="7" fillId="0" borderId="4" xfId="1" applyFont="1" applyBorder="1" applyAlignment="1">
      <alignment horizontal="center" vertical="center" textRotation="90" wrapText="1"/>
    </xf>
    <xf numFmtId="0" fontId="7" fillId="0" borderId="21" xfId="1" applyFont="1" applyBorder="1" applyAlignment="1">
      <alignment horizontal="center" vertical="center" textRotation="90" wrapText="1"/>
    </xf>
    <xf numFmtId="0" fontId="7" fillId="0" borderId="15" xfId="1" applyFont="1" applyBorder="1" applyAlignment="1">
      <alignment horizontal="center" vertical="center" textRotation="90" wrapText="1"/>
    </xf>
    <xf numFmtId="0" fontId="6" fillId="0" borderId="0" xfId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1" fillId="5" borderId="5" xfId="1" applyFill="1" applyBorder="1" applyAlignment="1">
      <alignment horizontal="center"/>
    </xf>
    <xf numFmtId="0" fontId="1" fillId="5" borderId="28" xfId="1" applyFill="1" applyBorder="1" applyAlignment="1">
      <alignment horizontal="center"/>
    </xf>
    <xf numFmtId="0" fontId="1" fillId="4" borderId="24" xfId="1" applyFill="1" applyBorder="1" applyAlignment="1">
      <alignment horizontal="center" wrapText="1"/>
    </xf>
    <xf numFmtId="0" fontId="1" fillId="4" borderId="0" xfId="1" applyFill="1" applyAlignment="1">
      <alignment horizontal="center" wrapText="1"/>
    </xf>
    <xf numFmtId="0" fontId="1" fillId="4" borderId="3" xfId="1" applyFill="1" applyBorder="1" applyAlignment="1">
      <alignment horizontal="center" wrapText="1"/>
    </xf>
    <xf numFmtId="0" fontId="1" fillId="4" borderId="2" xfId="1" applyFill="1" applyBorder="1" applyAlignment="1">
      <alignment horizontal="center" wrapText="1"/>
    </xf>
    <xf numFmtId="0" fontId="1" fillId="4" borderId="24" xfId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5" borderId="24" xfId="1" applyFill="1" applyBorder="1" applyAlignment="1">
      <alignment horizontal="center"/>
    </xf>
    <xf numFmtId="0" fontId="1" fillId="5" borderId="0" xfId="1" applyFill="1" applyAlignment="1">
      <alignment horizontal="center"/>
    </xf>
    <xf numFmtId="165" fontId="2" fillId="0" borderId="9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/>
    </xf>
    <xf numFmtId="165" fontId="6" fillId="0" borderId="11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 textRotation="90"/>
    </xf>
    <xf numFmtId="166" fontId="7" fillId="0" borderId="21" xfId="1" applyNumberFormat="1" applyFont="1" applyBorder="1" applyAlignment="1">
      <alignment horizontal="center" vertical="center" textRotation="90"/>
    </xf>
    <xf numFmtId="166" fontId="7" fillId="0" borderId="1" xfId="1" applyNumberFormat="1" applyFont="1" applyBorder="1" applyAlignment="1">
      <alignment horizontal="center" vertical="center" textRotation="90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</cellXfs>
  <cellStyles count="2">
    <cellStyle name="Normal" xfId="0" builtinId="0"/>
    <cellStyle name="Normal 2" xfId="1" xr:uid="{00D9F875-8A29-41E2-AC5F-8031BD727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19050"/>
    <xdr:ext cx="17745075" cy="11777382"/>
    <xdr:grpSp>
      <xdr:nvGrpSpPr>
        <xdr:cNvPr id="2" name="InnerSheetBorder">
          <a:extLst>
            <a:ext uri="{FF2B5EF4-FFF2-40B4-BE49-F238E27FC236}">
              <a16:creationId xmlns:a16="http://schemas.microsoft.com/office/drawing/2014/main" id="{A8A9E427-F459-44E7-A4E1-CED74A4724DB}"/>
            </a:ext>
          </a:extLst>
        </xdr:cNvPr>
        <xdr:cNvGrpSpPr>
          <a:grpSpLocks/>
        </xdr:cNvGrpSpPr>
      </xdr:nvGrpSpPr>
      <xdr:grpSpPr bwMode="auto">
        <a:xfrm>
          <a:off x="0" y="19050"/>
          <a:ext cx="17745075" cy="11777382"/>
          <a:chOff x="256" y="102"/>
          <a:chExt cx="1852" cy="1275"/>
        </a:xfrm>
      </xdr:grpSpPr>
      <xdr:sp macro="" textlink="">
        <xdr:nvSpPr>
          <xdr:cNvPr id="3" name="OB2">
            <a:extLst>
              <a:ext uri="{FF2B5EF4-FFF2-40B4-BE49-F238E27FC236}">
                <a16:creationId xmlns:a16="http://schemas.microsoft.com/office/drawing/2014/main" id="{408084A3-C323-41D2-B786-D899776C6D8C}"/>
              </a:ext>
            </a:extLst>
          </xdr:cNvPr>
          <xdr:cNvSpPr>
            <a:spLocks noChangeShapeType="1"/>
          </xdr:cNvSpPr>
        </xdr:nvSpPr>
        <xdr:spPr bwMode="auto">
          <a:xfrm>
            <a:off x="256" y="102"/>
            <a:ext cx="1852" cy="0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OB1">
            <a:extLst>
              <a:ext uri="{FF2B5EF4-FFF2-40B4-BE49-F238E27FC236}">
                <a16:creationId xmlns:a16="http://schemas.microsoft.com/office/drawing/2014/main" id="{C6C1E644-08DA-42B4-A0D8-057AE0A28295}"/>
              </a:ext>
            </a:extLst>
          </xdr:cNvPr>
          <xdr:cNvSpPr>
            <a:spLocks noChangeShapeType="1"/>
          </xdr:cNvSpPr>
        </xdr:nvSpPr>
        <xdr:spPr bwMode="auto">
          <a:xfrm flipV="1">
            <a:off x="256" y="102"/>
            <a:ext cx="0" cy="1275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OB3">
            <a:extLst>
              <a:ext uri="{FF2B5EF4-FFF2-40B4-BE49-F238E27FC236}">
                <a16:creationId xmlns:a16="http://schemas.microsoft.com/office/drawing/2014/main" id="{F397B12B-EC29-4591-AD70-D30C0712AACD}"/>
              </a:ext>
            </a:extLst>
          </xdr:cNvPr>
          <xdr:cNvSpPr>
            <a:spLocks noChangeShapeType="1"/>
          </xdr:cNvSpPr>
        </xdr:nvSpPr>
        <xdr:spPr bwMode="auto">
          <a:xfrm flipV="1">
            <a:off x="2108" y="102"/>
            <a:ext cx="0" cy="1275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OB4">
            <a:extLst>
              <a:ext uri="{FF2B5EF4-FFF2-40B4-BE49-F238E27FC236}">
                <a16:creationId xmlns:a16="http://schemas.microsoft.com/office/drawing/2014/main" id="{B22C6AF5-CB99-45C2-A8B3-4E454745EF36}"/>
              </a:ext>
            </a:extLst>
          </xdr:cNvPr>
          <xdr:cNvSpPr>
            <a:spLocks noChangeShapeType="1"/>
          </xdr:cNvSpPr>
        </xdr:nvSpPr>
        <xdr:spPr bwMode="auto">
          <a:xfrm>
            <a:off x="256" y="1377"/>
            <a:ext cx="1852" cy="0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 fPrintsWithSheet="0"/>
  </xdr:absoluteAnchor>
  <xdr:twoCellAnchor editAs="oneCell">
    <xdr:from>
      <xdr:col>0</xdr:col>
      <xdr:colOff>0</xdr:colOff>
      <xdr:row>81</xdr:row>
      <xdr:rowOff>0</xdr:rowOff>
    </xdr:from>
    <xdr:to>
      <xdr:col>11</xdr:col>
      <xdr:colOff>418098</xdr:colOff>
      <xdr:row>100</xdr:row>
      <xdr:rowOff>124818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70302CC-19EB-60E0-AD2A-AE1C3A93F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18676"/>
          <a:ext cx="8878539" cy="310558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186498</xdr:colOff>
      <xdr:row>115</xdr:row>
      <xdr:rowOff>744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F39E1E-0EB2-5CB7-ACD0-812A37D28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1588" y="12718676"/>
          <a:ext cx="7459116" cy="533474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81</xdr:row>
      <xdr:rowOff>0</xdr:rowOff>
    </xdr:from>
    <xdr:to>
      <xdr:col>34</xdr:col>
      <xdr:colOff>410589</xdr:colOff>
      <xdr:row>118</xdr:row>
      <xdr:rowOff>15939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60B0750-8DA3-C8AD-444F-C87F6268E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94206" y="12718676"/>
          <a:ext cx="7268589" cy="5820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1206" y="19050"/>
    <xdr:ext cx="17745075" cy="11777382"/>
    <xdr:grpSp>
      <xdr:nvGrpSpPr>
        <xdr:cNvPr id="2" name="InnerSheetBorder">
          <a:extLst>
            <a:ext uri="{FF2B5EF4-FFF2-40B4-BE49-F238E27FC236}">
              <a16:creationId xmlns:a16="http://schemas.microsoft.com/office/drawing/2014/main" id="{F42FA7E9-23F4-46CE-B681-E032E9680B5E}"/>
            </a:ext>
          </a:extLst>
        </xdr:cNvPr>
        <xdr:cNvGrpSpPr>
          <a:grpSpLocks/>
        </xdr:cNvGrpSpPr>
      </xdr:nvGrpSpPr>
      <xdr:grpSpPr bwMode="auto">
        <a:xfrm>
          <a:off x="11206" y="19050"/>
          <a:ext cx="17745075" cy="11777382"/>
          <a:chOff x="256" y="102"/>
          <a:chExt cx="1852" cy="1275"/>
        </a:xfrm>
      </xdr:grpSpPr>
      <xdr:sp macro="" textlink="">
        <xdr:nvSpPr>
          <xdr:cNvPr id="3" name="OB2">
            <a:extLst>
              <a:ext uri="{FF2B5EF4-FFF2-40B4-BE49-F238E27FC236}">
                <a16:creationId xmlns:a16="http://schemas.microsoft.com/office/drawing/2014/main" id="{949C4539-A89B-4737-9006-F0E570EDA7E5}"/>
              </a:ext>
            </a:extLst>
          </xdr:cNvPr>
          <xdr:cNvSpPr>
            <a:spLocks noChangeShapeType="1"/>
          </xdr:cNvSpPr>
        </xdr:nvSpPr>
        <xdr:spPr bwMode="auto">
          <a:xfrm>
            <a:off x="256" y="102"/>
            <a:ext cx="1852" cy="0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OB1">
            <a:extLst>
              <a:ext uri="{FF2B5EF4-FFF2-40B4-BE49-F238E27FC236}">
                <a16:creationId xmlns:a16="http://schemas.microsoft.com/office/drawing/2014/main" id="{A8E783EA-315D-4663-A1DB-EDE63897660E}"/>
              </a:ext>
            </a:extLst>
          </xdr:cNvPr>
          <xdr:cNvSpPr>
            <a:spLocks noChangeShapeType="1"/>
          </xdr:cNvSpPr>
        </xdr:nvSpPr>
        <xdr:spPr bwMode="auto">
          <a:xfrm flipV="1">
            <a:off x="256" y="102"/>
            <a:ext cx="0" cy="1275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OB3">
            <a:extLst>
              <a:ext uri="{FF2B5EF4-FFF2-40B4-BE49-F238E27FC236}">
                <a16:creationId xmlns:a16="http://schemas.microsoft.com/office/drawing/2014/main" id="{B48AE0B1-D74C-4D65-BF49-C125318AB34C}"/>
              </a:ext>
            </a:extLst>
          </xdr:cNvPr>
          <xdr:cNvSpPr>
            <a:spLocks noChangeShapeType="1"/>
          </xdr:cNvSpPr>
        </xdr:nvSpPr>
        <xdr:spPr bwMode="auto">
          <a:xfrm flipV="1">
            <a:off x="2108" y="102"/>
            <a:ext cx="0" cy="1275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OB4">
            <a:extLst>
              <a:ext uri="{FF2B5EF4-FFF2-40B4-BE49-F238E27FC236}">
                <a16:creationId xmlns:a16="http://schemas.microsoft.com/office/drawing/2014/main" id="{A759C398-ADE1-4427-9B70-8FAFFF4D5EC2}"/>
              </a:ext>
            </a:extLst>
          </xdr:cNvPr>
          <xdr:cNvSpPr>
            <a:spLocks noChangeShapeType="1"/>
          </xdr:cNvSpPr>
        </xdr:nvSpPr>
        <xdr:spPr bwMode="auto">
          <a:xfrm>
            <a:off x="256" y="1377"/>
            <a:ext cx="1852" cy="0"/>
          </a:xfrm>
          <a:prstGeom prst="line">
            <a:avLst/>
          </a:prstGeom>
          <a:noFill/>
          <a:ln w="9525">
            <a:solidFill>
              <a:srgbClr val="33996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 fPrintsWithSheet="0"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8089-1F68-4C32-B3B0-53C6725BDEEF}">
  <sheetPr>
    <pageSetUpPr fitToPage="1"/>
  </sheetPr>
  <dimension ref="A1:AD79"/>
  <sheetViews>
    <sheetView zoomScale="85" zoomScaleNormal="85" workbookViewId="0">
      <pane ySplit="13" topLeftCell="A35" activePane="bottomLeft" state="frozen"/>
      <selection activeCell="D1" sqref="D1"/>
      <selection pane="bottomLeft" activeCell="U74" sqref="U74:U75"/>
    </sheetView>
  </sheetViews>
  <sheetFormatPr defaultRowHeight="12.75" x14ac:dyDescent="0.2"/>
  <cols>
    <col min="1" max="1" width="18.7109375" style="1" customWidth="1"/>
    <col min="2" max="2" width="19" style="1" customWidth="1"/>
    <col min="3" max="12" width="9.85546875" style="1" customWidth="1"/>
    <col min="13" max="25" width="9.85546875" style="2" customWidth="1"/>
    <col min="26" max="26" width="9.140625" style="1"/>
    <col min="27" max="27" width="10.42578125" style="1" bestFit="1" customWidth="1"/>
    <col min="28" max="16384" width="9.140625" style="1"/>
  </cols>
  <sheetData>
    <row r="1" spans="1:27" ht="12.75" customHeight="1" x14ac:dyDescent="0.2">
      <c r="A1" s="56" t="s">
        <v>21</v>
      </c>
      <c r="B1" s="58"/>
      <c r="C1" s="102" t="s">
        <v>20</v>
      </c>
      <c r="D1" s="81" t="s">
        <v>19</v>
      </c>
      <c r="E1" s="81" t="s">
        <v>18</v>
      </c>
      <c r="F1" s="81" t="s">
        <v>17</v>
      </c>
      <c r="G1" s="81" t="s">
        <v>16</v>
      </c>
      <c r="H1" s="81" t="s">
        <v>15</v>
      </c>
      <c r="I1" s="81" t="s">
        <v>14</v>
      </c>
      <c r="J1" s="81" t="s">
        <v>40</v>
      </c>
      <c r="K1" s="81" t="s">
        <v>43</v>
      </c>
      <c r="L1" s="81"/>
      <c r="M1" s="34">
        <v>204</v>
      </c>
      <c r="N1" s="34">
        <v>204</v>
      </c>
      <c r="O1" s="34">
        <v>206</v>
      </c>
      <c r="P1" s="34">
        <v>206</v>
      </c>
      <c r="Q1" s="34">
        <v>206</v>
      </c>
      <c r="R1" s="34">
        <v>254</v>
      </c>
      <c r="S1" s="34">
        <v>301</v>
      </c>
      <c r="T1" s="34">
        <v>304</v>
      </c>
      <c r="U1" s="34">
        <v>407</v>
      </c>
      <c r="V1" s="34">
        <v>407</v>
      </c>
      <c r="W1" s="34">
        <v>441</v>
      </c>
      <c r="X1" s="34">
        <v>441</v>
      </c>
      <c r="Y1" s="34"/>
    </row>
    <row r="2" spans="1:27" ht="12.75" customHeight="1" x14ac:dyDescent="0.2">
      <c r="A2" s="107"/>
      <c r="B2" s="108"/>
      <c r="C2" s="103"/>
      <c r="D2" s="82"/>
      <c r="E2" s="82"/>
      <c r="F2" s="82"/>
      <c r="G2" s="82"/>
      <c r="H2" s="82"/>
      <c r="I2" s="82"/>
      <c r="J2" s="82"/>
      <c r="K2" s="82"/>
      <c r="L2" s="82"/>
      <c r="M2" s="69" t="s">
        <v>13</v>
      </c>
      <c r="N2" s="69" t="s">
        <v>12</v>
      </c>
      <c r="O2" s="68" t="s">
        <v>42</v>
      </c>
      <c r="P2" s="68" t="s">
        <v>56</v>
      </c>
      <c r="Q2" s="68" t="s">
        <v>59</v>
      </c>
      <c r="R2" s="68" t="s">
        <v>11</v>
      </c>
      <c r="S2" s="68" t="s">
        <v>62</v>
      </c>
      <c r="T2" s="70" t="s">
        <v>63</v>
      </c>
      <c r="U2" s="68" t="s">
        <v>57</v>
      </c>
      <c r="V2" s="68" t="s">
        <v>58</v>
      </c>
      <c r="W2" s="70" t="s">
        <v>65</v>
      </c>
      <c r="X2" s="68" t="s">
        <v>61</v>
      </c>
      <c r="Y2" s="68"/>
    </row>
    <row r="3" spans="1:27" ht="12.75" customHeight="1" x14ac:dyDescent="0.2">
      <c r="A3" s="107"/>
      <c r="B3" s="108"/>
      <c r="C3" s="103"/>
      <c r="D3" s="82"/>
      <c r="E3" s="82"/>
      <c r="F3" s="82"/>
      <c r="G3" s="82"/>
      <c r="H3" s="82"/>
      <c r="I3" s="82"/>
      <c r="J3" s="82"/>
      <c r="K3" s="82"/>
      <c r="L3" s="82"/>
      <c r="M3" s="69"/>
      <c r="N3" s="69"/>
      <c r="O3" s="69"/>
      <c r="P3" s="69"/>
      <c r="Q3" s="69"/>
      <c r="R3" s="69"/>
      <c r="S3" s="69"/>
      <c r="T3" s="71"/>
      <c r="U3" s="69"/>
      <c r="V3" s="69"/>
      <c r="W3" s="71"/>
      <c r="X3" s="69"/>
      <c r="Y3" s="69"/>
    </row>
    <row r="4" spans="1:27" ht="12.75" customHeight="1" x14ac:dyDescent="0.2">
      <c r="A4" s="107"/>
      <c r="B4" s="108"/>
      <c r="C4" s="103"/>
      <c r="D4" s="82"/>
      <c r="E4" s="82"/>
      <c r="F4" s="82"/>
      <c r="G4" s="82"/>
      <c r="H4" s="82"/>
      <c r="I4" s="82"/>
      <c r="J4" s="82"/>
      <c r="K4" s="82"/>
      <c r="L4" s="82"/>
      <c r="M4" s="69"/>
      <c r="N4" s="69"/>
      <c r="O4" s="69"/>
      <c r="P4" s="69"/>
      <c r="Q4" s="69"/>
      <c r="R4" s="69"/>
      <c r="S4" s="69"/>
      <c r="T4" s="71"/>
      <c r="U4" s="69"/>
      <c r="V4" s="69"/>
      <c r="W4" s="71"/>
      <c r="X4" s="69"/>
      <c r="Y4" s="69"/>
    </row>
    <row r="5" spans="1:27" ht="12.75" customHeight="1" x14ac:dyDescent="0.2">
      <c r="A5" s="107"/>
      <c r="B5" s="108"/>
      <c r="C5" s="103"/>
      <c r="D5" s="82"/>
      <c r="E5" s="82"/>
      <c r="F5" s="82"/>
      <c r="G5" s="82"/>
      <c r="H5" s="82"/>
      <c r="I5" s="82"/>
      <c r="J5" s="82"/>
      <c r="K5" s="82"/>
      <c r="L5" s="82"/>
      <c r="M5" s="69"/>
      <c r="N5" s="69"/>
      <c r="O5" s="69"/>
      <c r="P5" s="69"/>
      <c r="Q5" s="69"/>
      <c r="R5" s="69"/>
      <c r="S5" s="69"/>
      <c r="T5" s="71"/>
      <c r="U5" s="69"/>
      <c r="V5" s="69"/>
      <c r="W5" s="71"/>
      <c r="X5" s="69"/>
      <c r="Y5" s="69"/>
    </row>
    <row r="6" spans="1:27" ht="12.75" customHeight="1" x14ac:dyDescent="0.2">
      <c r="A6" s="107"/>
      <c r="B6" s="108"/>
      <c r="C6" s="103"/>
      <c r="D6" s="82"/>
      <c r="E6" s="82"/>
      <c r="F6" s="82"/>
      <c r="G6" s="82"/>
      <c r="H6" s="82"/>
      <c r="I6" s="82"/>
      <c r="J6" s="82"/>
      <c r="K6" s="82"/>
      <c r="L6" s="82"/>
      <c r="M6" s="69"/>
      <c r="N6" s="69"/>
      <c r="O6" s="69"/>
      <c r="P6" s="69"/>
      <c r="Q6" s="69"/>
      <c r="R6" s="69"/>
      <c r="S6" s="69"/>
      <c r="T6" s="71"/>
      <c r="U6" s="69"/>
      <c r="V6" s="69"/>
      <c r="W6" s="71"/>
      <c r="X6" s="69"/>
      <c r="Y6" s="69"/>
    </row>
    <row r="7" spans="1:27" ht="12.75" customHeight="1" x14ac:dyDescent="0.2">
      <c r="A7" s="107"/>
      <c r="B7" s="108"/>
      <c r="C7" s="103"/>
      <c r="D7" s="82"/>
      <c r="E7" s="82"/>
      <c r="F7" s="82"/>
      <c r="G7" s="82"/>
      <c r="H7" s="82"/>
      <c r="I7" s="82"/>
      <c r="J7" s="82"/>
      <c r="K7" s="82"/>
      <c r="L7" s="82"/>
      <c r="M7" s="69"/>
      <c r="N7" s="69"/>
      <c r="O7" s="69"/>
      <c r="P7" s="69"/>
      <c r="Q7" s="69"/>
      <c r="R7" s="69"/>
      <c r="S7" s="69"/>
      <c r="T7" s="71"/>
      <c r="U7" s="69"/>
      <c r="V7" s="69"/>
      <c r="W7" s="71"/>
      <c r="X7" s="69"/>
      <c r="Y7" s="69"/>
    </row>
    <row r="8" spans="1:27" ht="12.75" customHeight="1" x14ac:dyDescent="0.2">
      <c r="A8" s="107"/>
      <c r="B8" s="108"/>
      <c r="C8" s="103"/>
      <c r="D8" s="82"/>
      <c r="E8" s="82"/>
      <c r="F8" s="82"/>
      <c r="G8" s="82"/>
      <c r="H8" s="82"/>
      <c r="I8" s="82"/>
      <c r="J8" s="82"/>
      <c r="K8" s="82"/>
      <c r="L8" s="82"/>
      <c r="M8" s="69"/>
      <c r="N8" s="69"/>
      <c r="O8" s="69"/>
      <c r="P8" s="69"/>
      <c r="Q8" s="69"/>
      <c r="R8" s="69"/>
      <c r="S8" s="69"/>
      <c r="T8" s="71"/>
      <c r="U8" s="69"/>
      <c r="V8" s="69"/>
      <c r="W8" s="71"/>
      <c r="X8" s="69"/>
      <c r="Y8" s="69"/>
    </row>
    <row r="9" spans="1:27" ht="12.75" customHeight="1" x14ac:dyDescent="0.2">
      <c r="A9" s="107"/>
      <c r="B9" s="108"/>
      <c r="C9" s="103"/>
      <c r="D9" s="82"/>
      <c r="E9" s="82"/>
      <c r="F9" s="82"/>
      <c r="G9" s="82"/>
      <c r="H9" s="82"/>
      <c r="I9" s="82"/>
      <c r="J9" s="82"/>
      <c r="K9" s="82"/>
      <c r="L9" s="82"/>
      <c r="M9" s="69"/>
      <c r="N9" s="69"/>
      <c r="O9" s="69"/>
      <c r="P9" s="69"/>
      <c r="Q9" s="69"/>
      <c r="R9" s="69"/>
      <c r="S9" s="69"/>
      <c r="T9" s="71"/>
      <c r="U9" s="69"/>
      <c r="V9" s="69"/>
      <c r="W9" s="71"/>
      <c r="X9" s="69"/>
      <c r="Y9" s="69"/>
    </row>
    <row r="10" spans="1:27" ht="12.75" customHeight="1" x14ac:dyDescent="0.2">
      <c r="A10" s="107"/>
      <c r="B10" s="108"/>
      <c r="C10" s="103"/>
      <c r="D10" s="82"/>
      <c r="E10" s="82"/>
      <c r="F10" s="82"/>
      <c r="G10" s="82"/>
      <c r="H10" s="82"/>
      <c r="I10" s="82"/>
      <c r="J10" s="82"/>
      <c r="K10" s="82"/>
      <c r="L10" s="82"/>
      <c r="M10" s="69"/>
      <c r="N10" s="69"/>
      <c r="O10" s="69"/>
      <c r="P10" s="69"/>
      <c r="Q10" s="69"/>
      <c r="R10" s="69"/>
      <c r="S10" s="69"/>
      <c r="T10" s="71"/>
      <c r="U10" s="69"/>
      <c r="V10" s="69"/>
      <c r="W10" s="71"/>
      <c r="X10" s="69"/>
      <c r="Y10" s="69"/>
    </row>
    <row r="11" spans="1:27" ht="12.75" customHeight="1" x14ac:dyDescent="0.2">
      <c r="A11" s="107"/>
      <c r="B11" s="108"/>
      <c r="C11" s="103"/>
      <c r="D11" s="82"/>
      <c r="E11" s="82"/>
      <c r="F11" s="82"/>
      <c r="G11" s="82"/>
      <c r="H11" s="82"/>
      <c r="I11" s="82"/>
      <c r="J11" s="82"/>
      <c r="K11" s="82"/>
      <c r="L11" s="82"/>
      <c r="M11" s="69"/>
      <c r="N11" s="69"/>
      <c r="O11" s="69"/>
      <c r="P11" s="69"/>
      <c r="Q11" s="69"/>
      <c r="R11" s="69"/>
      <c r="S11" s="69"/>
      <c r="T11" s="71"/>
      <c r="U11" s="69"/>
      <c r="V11" s="69"/>
      <c r="W11" s="71"/>
      <c r="X11" s="69"/>
      <c r="Y11" s="69"/>
    </row>
    <row r="12" spans="1:27" ht="13.5" customHeight="1" x14ac:dyDescent="0.2">
      <c r="A12" s="107"/>
      <c r="B12" s="108"/>
      <c r="C12" s="103"/>
      <c r="D12" s="83"/>
      <c r="E12" s="83"/>
      <c r="F12" s="83"/>
      <c r="G12" s="83"/>
      <c r="H12" s="83"/>
      <c r="I12" s="83"/>
      <c r="J12" s="83"/>
      <c r="K12" s="83"/>
      <c r="L12" s="83"/>
      <c r="M12" s="69"/>
      <c r="N12" s="69"/>
      <c r="O12" s="69"/>
      <c r="P12" s="69"/>
      <c r="Q12" s="69"/>
      <c r="R12" s="69"/>
      <c r="S12" s="69"/>
      <c r="T12" s="72"/>
      <c r="U12" s="69"/>
      <c r="V12" s="69"/>
      <c r="W12" s="72"/>
      <c r="X12" s="69"/>
      <c r="Y12" s="69"/>
    </row>
    <row r="13" spans="1:27" ht="12.75" customHeight="1" thickBot="1" x14ac:dyDescent="0.25">
      <c r="A13" s="59"/>
      <c r="B13" s="61"/>
      <c r="C13" s="104"/>
      <c r="D13" s="33" t="s">
        <v>8</v>
      </c>
      <c r="E13" s="33" t="s">
        <v>8</v>
      </c>
      <c r="F13" s="33" t="s">
        <v>10</v>
      </c>
      <c r="G13" s="33" t="s">
        <v>10</v>
      </c>
      <c r="H13" s="33" t="s">
        <v>10</v>
      </c>
      <c r="I13" s="33" t="s">
        <v>10</v>
      </c>
      <c r="J13" s="33" t="s">
        <v>10</v>
      </c>
      <c r="K13" s="33" t="s">
        <v>10</v>
      </c>
      <c r="L13" s="33"/>
      <c r="M13" s="32" t="s">
        <v>7</v>
      </c>
      <c r="N13" s="32" t="s">
        <v>9</v>
      </c>
      <c r="O13" s="32" t="s">
        <v>7</v>
      </c>
      <c r="P13" s="32" t="s">
        <v>7</v>
      </c>
      <c r="Q13" s="32" t="s">
        <v>60</v>
      </c>
      <c r="R13" s="32" t="s">
        <v>7</v>
      </c>
      <c r="S13" s="32" t="s">
        <v>5</v>
      </c>
      <c r="T13" s="32" t="s">
        <v>5</v>
      </c>
      <c r="U13" s="32" t="s">
        <v>6</v>
      </c>
      <c r="V13" s="32" t="s">
        <v>6</v>
      </c>
      <c r="W13" s="32" t="s">
        <v>5</v>
      </c>
      <c r="X13" s="32" t="s">
        <v>5</v>
      </c>
      <c r="Y13" s="32"/>
    </row>
    <row r="14" spans="1:27" s="14" customFormat="1" ht="12.75" customHeight="1" x14ac:dyDescent="0.2">
      <c r="A14" s="105" t="s">
        <v>4</v>
      </c>
      <c r="B14" s="106"/>
      <c r="C14" s="22"/>
      <c r="D14" s="25"/>
      <c r="E14" s="25"/>
      <c r="F14" s="25"/>
      <c r="G14" s="25"/>
      <c r="H14" s="23"/>
      <c r="I14" s="23"/>
      <c r="J14" s="23"/>
      <c r="K14" s="23"/>
      <c r="L14" s="23"/>
      <c r="M14" s="23"/>
      <c r="N14" s="23"/>
      <c r="O14" s="23"/>
      <c r="P14" s="23"/>
      <c r="Q14" s="21" t="str">
        <f t="shared" ref="Q14:Q45" si="0">IF($O14="","",(0.75*$Q$77*115*0.05)*$O14/$Q$78)</f>
        <v/>
      </c>
      <c r="R14" s="23"/>
      <c r="S14" s="23"/>
      <c r="T14" s="23"/>
      <c r="U14" s="23"/>
      <c r="V14" s="23"/>
      <c r="W14" s="23"/>
      <c r="X14" s="23"/>
      <c r="Y14" s="23"/>
      <c r="AA14" s="14" t="s">
        <v>48</v>
      </c>
    </row>
    <row r="15" spans="1:27" s="14" customFormat="1" ht="12.75" customHeight="1" x14ac:dyDescent="0.2">
      <c r="A15" s="98" t="s">
        <v>22</v>
      </c>
      <c r="B15" s="99"/>
      <c r="C15" s="22"/>
      <c r="D15" s="25"/>
      <c r="E15" s="25"/>
      <c r="F15" s="25"/>
      <c r="G15" s="25"/>
      <c r="H15" s="23"/>
      <c r="I15" s="23"/>
      <c r="J15" s="23"/>
      <c r="K15" s="23"/>
      <c r="L15" s="23"/>
      <c r="M15" s="23"/>
      <c r="N15" s="23"/>
      <c r="O15" s="23"/>
      <c r="P15" s="23"/>
      <c r="Q15" s="21" t="str">
        <f t="shared" si="0"/>
        <v/>
      </c>
      <c r="R15" s="23"/>
      <c r="S15" s="23"/>
      <c r="T15" s="23"/>
      <c r="U15" s="23"/>
      <c r="V15" s="23"/>
      <c r="W15" s="23"/>
      <c r="X15" s="23"/>
      <c r="Y15" s="23"/>
      <c r="AA15" s="35">
        <f>SUM(G16,F18,F20,F22,G26,F30,G34,F38,G42,F46,F49,F52,F54,F56,F58,F60,F62,F64,F67,F69)</f>
        <v>114139.3383511344</v>
      </c>
    </row>
    <row r="16" spans="1:27" s="14" customFormat="1" ht="12.75" customHeight="1" x14ac:dyDescent="0.2">
      <c r="A16" s="47">
        <v>15449.74</v>
      </c>
      <c r="B16" s="48">
        <v>15475</v>
      </c>
      <c r="C16" s="22" t="s">
        <v>23</v>
      </c>
      <c r="D16" s="17">
        <f>B16-A16</f>
        <v>25.260000000000218</v>
      </c>
      <c r="E16" s="17" t="s">
        <v>24</v>
      </c>
      <c r="F16" s="17" t="s">
        <v>24</v>
      </c>
      <c r="G16" s="17">
        <v>34.64</v>
      </c>
      <c r="H16" s="21"/>
      <c r="I16" s="21"/>
      <c r="J16" s="21">
        <f>(D16*$J$78)</f>
        <v>37.890000000000327</v>
      </c>
      <c r="K16" s="21">
        <f>(D16*$K$78)</f>
        <v>37.890000000000327</v>
      </c>
      <c r="L16" s="21"/>
      <c r="M16" s="21"/>
      <c r="N16" s="21">
        <f>ROUNDUP(O16/N$77,2)</f>
        <v>0.01</v>
      </c>
      <c r="O16" s="21">
        <f>(G16+K16)/9</f>
        <v>8.0588888888889247</v>
      </c>
      <c r="P16" s="21">
        <f>O16</f>
        <v>8.0588888888889247</v>
      </c>
      <c r="Q16" s="21">
        <f>IF($O16="","",(0.75*$Q$77*115*0.05)*$O16/$Q$78)</f>
        <v>0.22069778672665066</v>
      </c>
      <c r="R16" s="21"/>
      <c r="S16" s="21">
        <f>((G16)*$S$77)/$S$78</f>
        <v>0.64148148148148154</v>
      </c>
      <c r="T16" s="21">
        <f>((G16+J16)*$T$77)/$T$78</f>
        <v>1.3431481481481542</v>
      </c>
      <c r="U16" s="21">
        <f>((G16/$U$78)*$U$77)*2</f>
        <v>0.4233777777777778</v>
      </c>
      <c r="V16" s="21"/>
      <c r="W16" s="21">
        <f>(G16*$W$77)/$W$78</f>
        <v>0.16037037037037039</v>
      </c>
      <c r="X16" s="21">
        <f>(G16*$X$77)/$X$78</f>
        <v>0.18709876543209877</v>
      </c>
      <c r="Y16" s="21"/>
    </row>
    <row r="17" spans="1:28" s="14" customFormat="1" ht="12.75" customHeight="1" x14ac:dyDescent="0.2">
      <c r="A17" s="47"/>
      <c r="B17" s="48"/>
      <c r="C17" s="22"/>
      <c r="D17" s="17"/>
      <c r="E17" s="17"/>
      <c r="F17" s="17"/>
      <c r="G17" s="17"/>
      <c r="H17" s="21"/>
      <c r="I17" s="21"/>
      <c r="J17" s="21"/>
      <c r="K17" s="21"/>
      <c r="L17" s="21"/>
      <c r="M17" s="21"/>
      <c r="N17" s="21"/>
      <c r="O17" s="21"/>
      <c r="P17" s="21"/>
      <c r="Q17" s="21" t="str">
        <f t="shared" si="0"/>
        <v/>
      </c>
      <c r="R17" s="21"/>
      <c r="S17" s="21"/>
      <c r="T17" s="21"/>
      <c r="U17" s="21"/>
      <c r="V17" s="21"/>
      <c r="W17" s="21"/>
      <c r="X17" s="21"/>
      <c r="Y17" s="21"/>
      <c r="AA17" s="84" t="s">
        <v>49</v>
      </c>
      <c r="AB17" s="84"/>
    </row>
    <row r="18" spans="1:28" s="14" customFormat="1" ht="12.75" customHeight="1" x14ac:dyDescent="0.2">
      <c r="A18" s="47">
        <v>15475</v>
      </c>
      <c r="B18" s="48">
        <v>15552.26</v>
      </c>
      <c r="C18" s="22" t="s">
        <v>23</v>
      </c>
      <c r="D18" s="17">
        <f t="shared" ref="D18:D22" si="1">B18-A18</f>
        <v>77.260000000000218</v>
      </c>
      <c r="E18" s="17">
        <v>20.804851150000001</v>
      </c>
      <c r="F18" s="17">
        <f t="shared" ref="F18:F22" si="2">D18*E18</f>
        <v>1607.3827998490046</v>
      </c>
      <c r="G18" s="17"/>
      <c r="H18" s="21"/>
      <c r="I18" s="21"/>
      <c r="J18" s="21">
        <f>(D18*$J$78)</f>
        <v>115.89000000000033</v>
      </c>
      <c r="K18" s="21">
        <f>(D18*$K$78)</f>
        <v>115.89000000000033</v>
      </c>
      <c r="L18" s="21"/>
      <c r="M18" s="21"/>
      <c r="N18" s="21">
        <f>ROUNDUP(O18/N$77,2)</f>
        <v>9.9999999999999992E-2</v>
      </c>
      <c r="O18" s="21">
        <f>(F18+K18)/9</f>
        <v>191.47475553877834</v>
      </c>
      <c r="P18" s="21">
        <f>O18</f>
        <v>191.47475553877834</v>
      </c>
      <c r="Q18" s="21">
        <f t="shared" si="0"/>
        <v>5.2436576982340029</v>
      </c>
      <c r="R18" s="21"/>
      <c r="S18" s="21">
        <f>((F18)*$S$77)/$S$78</f>
        <v>29.766348145351937</v>
      </c>
      <c r="T18" s="21">
        <f>((F18+J18)*$T$77)/$T$78</f>
        <v>31.912459256463055</v>
      </c>
      <c r="U18" s="21">
        <f>((F18/$U$78)*$U$77)*2</f>
        <v>19.645789775932279</v>
      </c>
      <c r="V18" s="21"/>
      <c r="W18" s="21">
        <f>(F18*$W$77)/$W$78</f>
        <v>7.4415870363379844</v>
      </c>
      <c r="X18" s="21">
        <f>(F18*$X$77)/$X$78</f>
        <v>8.6818515423943161</v>
      </c>
      <c r="Y18" s="21"/>
      <c r="AA18" s="85">
        <f>SUM(F49,F67,F69)</f>
        <v>8800.3538000000008</v>
      </c>
      <c r="AB18" s="84"/>
    </row>
    <row r="19" spans="1:28" s="14" customFormat="1" ht="12.75" customHeight="1" x14ac:dyDescent="0.2">
      <c r="A19" s="47"/>
      <c r="B19" s="48"/>
      <c r="C19" s="22"/>
      <c r="D19" s="17"/>
      <c r="E19" s="17"/>
      <c r="F19" s="17"/>
      <c r="G19" s="17"/>
      <c r="H19" s="21"/>
      <c r="I19" s="21"/>
      <c r="J19" s="21"/>
      <c r="K19" s="21"/>
      <c r="L19" s="21"/>
      <c r="M19" s="21"/>
      <c r="N19" s="21"/>
      <c r="O19" s="21"/>
      <c r="P19" s="21"/>
      <c r="Q19" s="21" t="str">
        <f t="shared" si="0"/>
        <v/>
      </c>
      <c r="R19" s="21"/>
      <c r="S19" s="21"/>
      <c r="T19" s="21"/>
      <c r="U19" s="21"/>
      <c r="V19" s="21"/>
      <c r="W19" s="21"/>
      <c r="X19" s="21"/>
      <c r="Y19" s="21"/>
    </row>
    <row r="20" spans="1:28" s="14" customFormat="1" ht="12.75" customHeight="1" x14ac:dyDescent="0.2">
      <c r="A20" s="47">
        <v>15552.26</v>
      </c>
      <c r="B20" s="48">
        <v>15700</v>
      </c>
      <c r="C20" s="22" t="s">
        <v>23</v>
      </c>
      <c r="D20" s="17">
        <f t="shared" si="1"/>
        <v>147.73999999999978</v>
      </c>
      <c r="E20" s="17">
        <v>18.21105726</v>
      </c>
      <c r="F20" s="17">
        <f t="shared" si="2"/>
        <v>2690.5015995923959</v>
      </c>
      <c r="G20" s="17"/>
      <c r="H20" s="21"/>
      <c r="I20" s="21"/>
      <c r="J20" s="21">
        <f>(D20*$J$78)</f>
        <v>221.60999999999967</v>
      </c>
      <c r="K20" s="21">
        <f>(D20*$K$78)</f>
        <v>221.60999999999967</v>
      </c>
      <c r="L20" s="21"/>
      <c r="M20" s="21"/>
      <c r="N20" s="21">
        <f>ROUNDUP(O20/N$77,2)</f>
        <v>0.17</v>
      </c>
      <c r="O20" s="21">
        <f>(F20+K20)/9</f>
        <v>323.56795551026619</v>
      </c>
      <c r="P20" s="21">
        <f>O20</f>
        <v>323.56795551026619</v>
      </c>
      <c r="Q20" s="21">
        <f t="shared" si="0"/>
        <v>8.8611138112649286</v>
      </c>
      <c r="R20" s="21"/>
      <c r="S20" s="21">
        <f>((F20)*$S$77)/$S$78</f>
        <v>49.824103696155483</v>
      </c>
      <c r="T20" s="21">
        <f>((F20+J20)*$T$77)/$T$78</f>
        <v>53.927992585044365</v>
      </c>
      <c r="U20" s="21">
        <f>((F20/$U$78)*$U$77)*2</f>
        <v>32.883908439462616</v>
      </c>
      <c r="V20" s="21"/>
      <c r="W20" s="21">
        <f>(F20*$W$77)/$W$78</f>
        <v>12.456025924038871</v>
      </c>
      <c r="X20" s="21">
        <f>(F20*$X$77)/$X$78</f>
        <v>14.532030244712017</v>
      </c>
      <c r="Y20" s="21"/>
    </row>
    <row r="21" spans="1:28" s="14" customFormat="1" ht="12.75" customHeight="1" x14ac:dyDescent="0.2">
      <c r="A21" s="47"/>
      <c r="B21" s="48"/>
      <c r="C21" s="22"/>
      <c r="D21" s="17"/>
      <c r="E21" s="17"/>
      <c r="F21" s="17"/>
      <c r="G21" s="17"/>
      <c r="H21" s="21"/>
      <c r="I21" s="21"/>
      <c r="J21" s="21"/>
      <c r="K21" s="21"/>
      <c r="L21" s="21"/>
      <c r="M21" s="21"/>
      <c r="N21" s="21"/>
      <c r="O21" s="21"/>
      <c r="P21" s="21"/>
      <c r="Q21" s="21" t="str">
        <f t="shared" si="0"/>
        <v/>
      </c>
      <c r="R21" s="21"/>
      <c r="S21" s="24"/>
      <c r="T21" s="24"/>
      <c r="U21" s="21"/>
      <c r="V21" s="21"/>
      <c r="W21" s="21"/>
      <c r="X21" s="21"/>
      <c r="Y21" s="23"/>
    </row>
    <row r="22" spans="1:28" s="14" customFormat="1" ht="12.75" customHeight="1" x14ac:dyDescent="0.2">
      <c r="A22" s="47">
        <v>15700</v>
      </c>
      <c r="B22" s="48">
        <v>17062.48</v>
      </c>
      <c r="C22" s="22" t="s">
        <v>23</v>
      </c>
      <c r="D22" s="17">
        <f t="shared" si="1"/>
        <v>1362.4799999999996</v>
      </c>
      <c r="E22" s="17">
        <v>17.5</v>
      </c>
      <c r="F22" s="17">
        <f t="shared" si="2"/>
        <v>23843.399999999994</v>
      </c>
      <c r="G22" s="17"/>
      <c r="H22" s="21"/>
      <c r="I22" s="21"/>
      <c r="J22" s="21">
        <f>(D22*$J$78)</f>
        <v>2043.7199999999993</v>
      </c>
      <c r="K22" s="21">
        <f>(D22*$K$78)</f>
        <v>2043.7199999999993</v>
      </c>
      <c r="L22" s="21"/>
      <c r="M22" s="21"/>
      <c r="N22" s="21">
        <f>ROUNDUP(O22/N$77,2)</f>
        <v>1.44</v>
      </c>
      <c r="O22" s="21">
        <f>(F22+K22)/9</f>
        <v>2876.3466666666664</v>
      </c>
      <c r="P22" s="21">
        <f>O22</f>
        <v>2876.3466666666664</v>
      </c>
      <c r="Q22" s="21">
        <f t="shared" si="0"/>
        <v>78.770578915306601</v>
      </c>
      <c r="R22" s="21"/>
      <c r="S22" s="21">
        <f>((F22)*$S$77)/$S$78</f>
        <v>441.54444444444431</v>
      </c>
      <c r="T22" s="21">
        <f>((F22+J22)*$T$77)/$T$78</f>
        <v>479.391111111111</v>
      </c>
      <c r="U22" s="21">
        <f>((F22/$U$78)*$U$77)*2</f>
        <v>291.41933333333327</v>
      </c>
      <c r="V22" s="21"/>
      <c r="W22" s="21">
        <f>(F22*$W$77)/$W$78</f>
        <v>110.38611111111108</v>
      </c>
      <c r="X22" s="21">
        <f>(F22*$X$77)/$X$78</f>
        <v>128.78379629629629</v>
      </c>
      <c r="Y22" s="21"/>
    </row>
    <row r="23" spans="1:28" s="14" customFormat="1" ht="12.75" customHeight="1" x14ac:dyDescent="0.2">
      <c r="A23" s="20"/>
      <c r="B23" s="19"/>
      <c r="C23" s="22"/>
      <c r="D23" s="17"/>
      <c r="E23" s="17"/>
      <c r="F23" s="17"/>
      <c r="G23" s="17"/>
      <c r="H23" s="21"/>
      <c r="I23" s="21"/>
      <c r="J23" s="21"/>
      <c r="K23" s="21"/>
      <c r="L23" s="21"/>
      <c r="M23" s="21"/>
      <c r="N23" s="21"/>
      <c r="O23" s="21"/>
      <c r="P23" s="21"/>
      <c r="Q23" s="21" t="str">
        <f t="shared" si="0"/>
        <v/>
      </c>
      <c r="R23" s="21"/>
      <c r="S23" s="21"/>
      <c r="T23" s="21"/>
      <c r="U23" s="21"/>
      <c r="V23" s="21"/>
      <c r="W23" s="21"/>
      <c r="X23" s="21"/>
      <c r="Y23" s="21"/>
    </row>
    <row r="24" spans="1:28" s="14" customFormat="1" ht="12.75" customHeight="1" x14ac:dyDescent="0.2">
      <c r="A24" s="100" t="s">
        <v>28</v>
      </c>
      <c r="B24" s="101"/>
      <c r="C24" s="22"/>
      <c r="D24" s="17"/>
      <c r="E24" s="17"/>
      <c r="F24" s="17"/>
      <c r="G24" s="17"/>
      <c r="H24" s="21"/>
      <c r="I24" s="21"/>
      <c r="J24" s="21"/>
      <c r="K24" s="21"/>
      <c r="L24" s="21"/>
      <c r="M24" s="21"/>
      <c r="N24" s="21"/>
      <c r="O24" s="21"/>
      <c r="P24" s="21"/>
      <c r="Q24" s="21" t="str">
        <f t="shared" si="0"/>
        <v/>
      </c>
      <c r="R24" s="21"/>
      <c r="S24" s="21"/>
      <c r="T24" s="21"/>
      <c r="U24" s="21"/>
      <c r="V24" s="21"/>
      <c r="W24" s="21"/>
      <c r="X24" s="21"/>
      <c r="Y24" s="21"/>
    </row>
    <row r="25" spans="1:28" s="14" customFormat="1" ht="12.75" customHeight="1" x14ac:dyDescent="0.2">
      <c r="A25" s="98" t="s">
        <v>22</v>
      </c>
      <c r="B25" s="99"/>
      <c r="C25" s="28"/>
      <c r="D25" s="17"/>
      <c r="E25" s="17"/>
      <c r="F25" s="17"/>
      <c r="G25" s="17"/>
      <c r="H25" s="21"/>
      <c r="I25" s="21"/>
      <c r="J25" s="21"/>
      <c r="K25" s="21"/>
      <c r="L25" s="21"/>
      <c r="M25" s="21"/>
      <c r="N25" s="21"/>
      <c r="O25" s="26"/>
      <c r="P25" s="21"/>
      <c r="Q25" s="21" t="str">
        <f t="shared" si="0"/>
        <v/>
      </c>
      <c r="R25" s="21"/>
      <c r="S25" s="24"/>
      <c r="T25" s="24"/>
      <c r="U25" s="21"/>
      <c r="V25" s="21"/>
      <c r="W25" s="21"/>
      <c r="X25" s="21"/>
      <c r="Y25" s="21"/>
    </row>
    <row r="26" spans="1:28" s="14" customFormat="1" ht="12.75" customHeight="1" x14ac:dyDescent="0.2">
      <c r="A26" s="49">
        <v>17062.48</v>
      </c>
      <c r="B26" s="48">
        <v>17160.48</v>
      </c>
      <c r="C26" s="22" t="s">
        <v>23</v>
      </c>
      <c r="D26" s="17">
        <f>B26-A26</f>
        <v>98</v>
      </c>
      <c r="E26" s="17" t="s">
        <v>24</v>
      </c>
      <c r="F26" s="17" t="s">
        <v>24</v>
      </c>
      <c r="G26" s="17">
        <v>3220.8735999999999</v>
      </c>
      <c r="H26" s="21"/>
      <c r="I26" s="21"/>
      <c r="J26" s="21">
        <f>(D26*$J$78)</f>
        <v>147</v>
      </c>
      <c r="K26" s="21">
        <f>(D26*$K$78)</f>
        <v>147</v>
      </c>
      <c r="L26" s="21"/>
      <c r="M26" s="21"/>
      <c r="N26" s="21">
        <f>ROUNDUP(O26/N$77,2)</f>
        <v>0.19</v>
      </c>
      <c r="O26" s="21">
        <f>(G26+K26)/9</f>
        <v>374.20817777777779</v>
      </c>
      <c r="P26" s="21">
        <f>O26</f>
        <v>374.20817777777779</v>
      </c>
      <c r="Q26" s="21">
        <f t="shared" si="0"/>
        <v>10.247928436441665</v>
      </c>
      <c r="R26" s="21"/>
      <c r="S26" s="21">
        <f>((G26)*$S$77)/$S$78</f>
        <v>59.645807407407403</v>
      </c>
      <c r="T26" s="21">
        <f>((G26+J26)*$T$77)/$T$78</f>
        <v>62.368029629629625</v>
      </c>
      <c r="U26" s="21">
        <f>((G26/$U$78)*$U$77)*2</f>
        <v>39.366232888888888</v>
      </c>
      <c r="V26" s="21"/>
      <c r="W26" s="21">
        <f>(G26*$W$77)/$W$78</f>
        <v>14.911451851851851</v>
      </c>
      <c r="X26" s="21">
        <f>(G26*$X$77)/$X$78</f>
        <v>17.396693827160494</v>
      </c>
      <c r="Y26" s="21"/>
    </row>
    <row r="27" spans="1:28" s="14" customFormat="1" ht="12.75" customHeight="1" x14ac:dyDescent="0.2">
      <c r="A27" s="50"/>
      <c r="B27" s="19"/>
      <c r="C27" s="28"/>
      <c r="D27" s="17"/>
      <c r="E27" s="17"/>
      <c r="F27" s="17"/>
      <c r="G27" s="17"/>
      <c r="H27" s="21"/>
      <c r="I27" s="21"/>
      <c r="J27" s="21"/>
      <c r="K27" s="21"/>
      <c r="L27" s="21"/>
      <c r="M27" s="21"/>
      <c r="N27" s="21"/>
      <c r="O27" s="26"/>
      <c r="P27" s="21"/>
      <c r="Q27" s="21" t="str">
        <f t="shared" si="0"/>
        <v/>
      </c>
      <c r="R27" s="21"/>
      <c r="S27" s="24"/>
      <c r="T27" s="24"/>
      <c r="U27" s="21"/>
      <c r="V27" s="21"/>
      <c r="W27" s="21"/>
      <c r="X27" s="21"/>
      <c r="Y27" s="21"/>
    </row>
    <row r="28" spans="1:28" s="14" customFormat="1" ht="12.75" customHeight="1" x14ac:dyDescent="0.2">
      <c r="A28" s="66" t="s">
        <v>4</v>
      </c>
      <c r="B28" s="67"/>
      <c r="C28" s="22"/>
      <c r="D28" s="17"/>
      <c r="E28" s="17"/>
      <c r="F28" s="17"/>
      <c r="G28" s="17"/>
      <c r="H28" s="21"/>
      <c r="I28" s="21"/>
      <c r="J28" s="21"/>
      <c r="K28" s="21"/>
      <c r="L28" s="21"/>
      <c r="M28" s="21"/>
      <c r="N28" s="21"/>
      <c r="O28" s="21"/>
      <c r="P28" s="21"/>
      <c r="Q28" s="21" t="str">
        <f t="shared" si="0"/>
        <v/>
      </c>
      <c r="R28" s="21"/>
      <c r="S28" s="24"/>
      <c r="T28" s="24"/>
      <c r="U28" s="21"/>
      <c r="V28" s="21"/>
      <c r="W28" s="21"/>
      <c r="X28" s="21"/>
      <c r="Y28" s="21"/>
    </row>
    <row r="29" spans="1:28" s="14" customFormat="1" ht="12.75" customHeight="1" x14ac:dyDescent="0.2">
      <c r="A29" s="98" t="s">
        <v>22</v>
      </c>
      <c r="B29" s="99"/>
      <c r="C29" s="22"/>
      <c r="D29" s="17"/>
      <c r="E29" s="17"/>
      <c r="F29" s="17"/>
      <c r="G29" s="17"/>
      <c r="H29" s="21"/>
      <c r="I29" s="21"/>
      <c r="J29" s="21"/>
      <c r="K29" s="21"/>
      <c r="L29" s="21"/>
      <c r="M29" s="21"/>
      <c r="N29" s="21"/>
      <c r="O29" s="21"/>
      <c r="P29" s="21"/>
      <c r="Q29" s="21" t="str">
        <f t="shared" si="0"/>
        <v/>
      </c>
      <c r="R29" s="21"/>
      <c r="S29" s="24"/>
      <c r="T29" s="24"/>
      <c r="U29" s="21"/>
      <c r="V29" s="21"/>
      <c r="W29" s="21"/>
      <c r="X29" s="21"/>
      <c r="Y29" s="21"/>
    </row>
    <row r="30" spans="1:28" s="14" customFormat="1" ht="12.75" customHeight="1" x14ac:dyDescent="0.2">
      <c r="A30" s="47">
        <v>17160.48</v>
      </c>
      <c r="B30" s="48">
        <v>18402.59</v>
      </c>
      <c r="C30" s="22" t="s">
        <v>23</v>
      </c>
      <c r="D30" s="17">
        <f>B30-A30</f>
        <v>1242.1100000000006</v>
      </c>
      <c r="E30" s="17">
        <v>17.5</v>
      </c>
      <c r="F30" s="17">
        <f>D30*E30</f>
        <v>21736.92500000001</v>
      </c>
      <c r="G30" s="17"/>
      <c r="H30" s="21"/>
      <c r="I30" s="21"/>
      <c r="J30" s="21">
        <f>(D30*$J$78)</f>
        <v>1863.1650000000009</v>
      </c>
      <c r="K30" s="21">
        <f>(D30*$K$78)</f>
        <v>1863.1650000000009</v>
      </c>
      <c r="L30" s="21"/>
      <c r="M30" s="21"/>
      <c r="N30" s="21">
        <f>ROUNDUP(O30/N$77,2)</f>
        <v>1.32</v>
      </c>
      <c r="O30" s="21">
        <f>(F30+K30)/9</f>
        <v>2622.2322222222233</v>
      </c>
      <c r="P30" s="21">
        <f>O30</f>
        <v>2622.2322222222233</v>
      </c>
      <c r="Q30" s="21">
        <f t="shared" si="0"/>
        <v>71.811493582651877</v>
      </c>
      <c r="R30" s="21"/>
      <c r="S30" s="21">
        <f>((F30)*$S$77)/$S$78</f>
        <v>402.53564814814831</v>
      </c>
      <c r="T30" s="21">
        <f>((F30+J30)*$T$77)/$T$78</f>
        <v>437.0387037037039</v>
      </c>
      <c r="U30" s="21">
        <f>((F30/$U$78)*$U$77)*2</f>
        <v>265.67352777777791</v>
      </c>
      <c r="V30" s="21"/>
      <c r="W30" s="21">
        <f>(F30*$W$77)/$W$78</f>
        <v>100.63391203703708</v>
      </c>
      <c r="X30" s="21">
        <f>(F30*$X$77)/$X$78</f>
        <v>117.4062307098766</v>
      </c>
      <c r="Y30" s="21"/>
    </row>
    <row r="31" spans="1:28" s="14" customFormat="1" ht="12.75" customHeight="1" x14ac:dyDescent="0.2">
      <c r="A31" s="50"/>
      <c r="B31" s="19"/>
      <c r="C31" s="22"/>
      <c r="D31" s="17"/>
      <c r="E31" s="17"/>
      <c r="F31" s="17"/>
      <c r="G31" s="17"/>
      <c r="H31" s="21"/>
      <c r="I31" s="21"/>
      <c r="J31" s="21"/>
      <c r="K31" s="21"/>
      <c r="L31" s="21"/>
      <c r="M31" s="24"/>
      <c r="N31" s="21"/>
      <c r="O31" s="21"/>
      <c r="P31" s="21"/>
      <c r="Q31" s="21" t="str">
        <f t="shared" si="0"/>
        <v/>
      </c>
      <c r="R31" s="21"/>
      <c r="S31" s="24"/>
      <c r="T31" s="24"/>
      <c r="U31" s="21"/>
      <c r="V31" s="21"/>
      <c r="W31" s="21"/>
      <c r="X31" s="23"/>
      <c r="Y31" s="21"/>
    </row>
    <row r="32" spans="1:28" s="14" customFormat="1" ht="12.75" customHeight="1" x14ac:dyDescent="0.2">
      <c r="A32" s="100" t="s">
        <v>29</v>
      </c>
      <c r="B32" s="101"/>
      <c r="C32" s="22"/>
      <c r="D32" s="17"/>
      <c r="E32" s="17"/>
      <c r="F32" s="17"/>
      <c r="G32" s="17"/>
      <c r="H32" s="21"/>
      <c r="I32" s="21"/>
      <c r="J32" s="21"/>
      <c r="K32" s="21"/>
      <c r="L32" s="21"/>
      <c r="M32" s="21"/>
      <c r="N32" s="21"/>
      <c r="O32" s="21"/>
      <c r="P32" s="21"/>
      <c r="Q32" s="21" t="str">
        <f t="shared" si="0"/>
        <v/>
      </c>
      <c r="R32" s="21"/>
      <c r="S32" s="24"/>
      <c r="T32" s="24"/>
      <c r="U32" s="21"/>
      <c r="V32" s="21"/>
      <c r="W32" s="21"/>
      <c r="X32" s="21"/>
      <c r="Y32" s="21"/>
    </row>
    <row r="33" spans="1:25" s="14" customFormat="1" ht="12.75" customHeight="1" x14ac:dyDescent="0.2">
      <c r="A33" s="98" t="s">
        <v>22</v>
      </c>
      <c r="B33" s="99"/>
      <c r="C33" s="28"/>
      <c r="D33" s="17"/>
      <c r="E33" s="17"/>
      <c r="F33" s="17"/>
      <c r="G33" s="17"/>
      <c r="H33" s="21"/>
      <c r="I33" s="21"/>
      <c r="J33" s="21"/>
      <c r="K33" s="21"/>
      <c r="L33" s="21"/>
      <c r="M33" s="21"/>
      <c r="N33" s="21"/>
      <c r="O33" s="26"/>
      <c r="P33" s="21"/>
      <c r="Q33" s="21" t="str">
        <f t="shared" si="0"/>
        <v/>
      </c>
      <c r="R33" s="21"/>
      <c r="S33" s="24"/>
      <c r="T33" s="24"/>
      <c r="U33" s="21"/>
      <c r="V33" s="21"/>
      <c r="W33" s="21"/>
      <c r="X33" s="21"/>
      <c r="Y33" s="21"/>
    </row>
    <row r="34" spans="1:25" s="14" customFormat="1" ht="12.75" customHeight="1" x14ac:dyDescent="0.2">
      <c r="A34" s="49">
        <v>18402.59</v>
      </c>
      <c r="B34" s="48">
        <v>18480.59</v>
      </c>
      <c r="C34" s="22" t="s">
        <v>23</v>
      </c>
      <c r="D34" s="17">
        <f>B34-A34</f>
        <v>78</v>
      </c>
      <c r="E34" s="17" t="s">
        <v>24</v>
      </c>
      <c r="F34" s="17" t="s">
        <v>24</v>
      </c>
      <c r="G34" s="17">
        <v>2342.2248</v>
      </c>
      <c r="H34" s="21"/>
      <c r="I34" s="21"/>
      <c r="J34" s="21">
        <f>(D34*$J$78)</f>
        <v>117</v>
      </c>
      <c r="K34" s="21">
        <f>(D34*$K$78)</f>
        <v>117</v>
      </c>
      <c r="L34" s="21"/>
      <c r="M34" s="21"/>
      <c r="N34" s="21">
        <f>ROUNDUP(O34/N$77,2)</f>
        <v>0.14000000000000001</v>
      </c>
      <c r="O34" s="21">
        <f>(G34+K34)/9</f>
        <v>273.24720000000002</v>
      </c>
      <c r="P34" s="21">
        <f>O34</f>
        <v>273.24720000000002</v>
      </c>
      <c r="Q34" s="21">
        <f t="shared" si="0"/>
        <v>7.483047985982183</v>
      </c>
      <c r="R34" s="21"/>
      <c r="S34" s="21">
        <f>((G34)*$S$77)/$S$78</f>
        <v>43.374533333333332</v>
      </c>
      <c r="T34" s="21">
        <f>((G34+J34)*$T$77)/$T$78</f>
        <v>45.541199999999996</v>
      </c>
      <c r="U34" s="21">
        <f>((G34/$U$78)*$U$77)*2</f>
        <v>28.627192000000001</v>
      </c>
      <c r="V34" s="21"/>
      <c r="W34" s="21">
        <f>(G34*$W$77)/$W$78</f>
        <v>10.843633333333333</v>
      </c>
      <c r="X34" s="21">
        <f>(G34*$X$77)/$X$78</f>
        <v>12.650905555555555</v>
      </c>
      <c r="Y34" s="21"/>
    </row>
    <row r="35" spans="1:25" s="14" customFormat="1" ht="12.75" customHeight="1" x14ac:dyDescent="0.2">
      <c r="A35" s="20"/>
      <c r="B35" s="19"/>
      <c r="C35" s="22"/>
      <c r="D35" s="17"/>
      <c r="E35" s="17"/>
      <c r="F35" s="17"/>
      <c r="G35" s="17"/>
      <c r="H35" s="21"/>
      <c r="I35" s="21"/>
      <c r="J35" s="21"/>
      <c r="K35" s="21"/>
      <c r="L35" s="21"/>
      <c r="M35" s="21"/>
      <c r="N35" s="21"/>
      <c r="O35" s="21"/>
      <c r="P35" s="21"/>
      <c r="Q35" s="21" t="str">
        <f t="shared" si="0"/>
        <v/>
      </c>
      <c r="R35" s="21"/>
      <c r="S35" s="24"/>
      <c r="T35" s="24"/>
      <c r="U35" s="21"/>
      <c r="V35" s="21"/>
      <c r="W35" s="21"/>
      <c r="X35" s="21"/>
      <c r="Y35" s="21"/>
    </row>
    <row r="36" spans="1:25" s="14" customFormat="1" ht="12.75" customHeight="1" x14ac:dyDescent="0.2">
      <c r="A36" s="66" t="s">
        <v>4</v>
      </c>
      <c r="B36" s="67"/>
      <c r="C36" s="22"/>
      <c r="D36" s="17"/>
      <c r="E36" s="17"/>
      <c r="F36" s="17"/>
      <c r="G36" s="17"/>
      <c r="H36" s="21"/>
      <c r="I36" s="21"/>
      <c r="J36" s="21"/>
      <c r="K36" s="21"/>
      <c r="L36" s="21"/>
      <c r="M36" s="24"/>
      <c r="N36" s="21"/>
      <c r="O36" s="21"/>
      <c r="P36" s="21"/>
      <c r="Q36" s="21" t="str">
        <f t="shared" si="0"/>
        <v/>
      </c>
      <c r="R36" s="21"/>
      <c r="S36" s="24"/>
      <c r="T36" s="24"/>
      <c r="U36" s="21"/>
      <c r="V36" s="21"/>
      <c r="W36" s="21"/>
      <c r="X36" s="21"/>
      <c r="Y36" s="21"/>
    </row>
    <row r="37" spans="1:25" s="14" customFormat="1" ht="12.75" customHeight="1" x14ac:dyDescent="0.2">
      <c r="A37" s="98" t="s">
        <v>22</v>
      </c>
      <c r="B37" s="99"/>
      <c r="C37" s="22"/>
      <c r="D37" s="17"/>
      <c r="E37" s="17"/>
      <c r="F37" s="17"/>
      <c r="G37" s="17"/>
      <c r="H37" s="21"/>
      <c r="I37" s="21"/>
      <c r="J37" s="21"/>
      <c r="K37" s="21"/>
      <c r="L37" s="21"/>
      <c r="M37" s="21"/>
      <c r="N37" s="21"/>
      <c r="O37" s="21"/>
      <c r="P37" s="21"/>
      <c r="Q37" s="21" t="str">
        <f t="shared" si="0"/>
        <v/>
      </c>
      <c r="R37" s="21"/>
      <c r="S37" s="24"/>
      <c r="T37" s="24"/>
      <c r="U37" s="21"/>
      <c r="V37" s="21"/>
      <c r="W37" s="21"/>
      <c r="X37" s="21"/>
      <c r="Y37" s="21"/>
    </row>
    <row r="38" spans="1:25" s="14" customFormat="1" ht="12.75" customHeight="1" x14ac:dyDescent="0.2">
      <c r="A38" s="47">
        <v>18480.59</v>
      </c>
      <c r="B38" s="48">
        <v>19500.310000000001</v>
      </c>
      <c r="C38" s="22" t="s">
        <v>23</v>
      </c>
      <c r="D38" s="17">
        <f>B38-A38</f>
        <v>1019.7200000000012</v>
      </c>
      <c r="E38" s="17">
        <v>17.5</v>
      </c>
      <c r="F38" s="17">
        <f>D38*E38</f>
        <v>17845.10000000002</v>
      </c>
      <c r="G38" s="17"/>
      <c r="H38" s="21"/>
      <c r="I38" s="21"/>
      <c r="J38" s="21">
        <f>(D38*$J$78)</f>
        <v>1529.5800000000017</v>
      </c>
      <c r="K38" s="21">
        <f>(D38*$K$78)</f>
        <v>1529.5800000000017</v>
      </c>
      <c r="L38" s="21"/>
      <c r="M38" s="21"/>
      <c r="N38" s="21">
        <f>ROUNDUP(O38/N$77,2)</f>
        <v>1.08</v>
      </c>
      <c r="O38" s="21">
        <f>(F38+K38)/9</f>
        <v>2152.7422222222249</v>
      </c>
      <c r="P38" s="21">
        <f>O38</f>
        <v>2152.7422222222249</v>
      </c>
      <c r="Q38" s="21">
        <f t="shared" si="0"/>
        <v>58.954211974866823</v>
      </c>
      <c r="R38" s="21"/>
      <c r="S38" s="21">
        <f>((F38)*$S$77)/$S$78</f>
        <v>330.46481481481521</v>
      </c>
      <c r="T38" s="21">
        <f>((F38+J38)*$T$77)/$T$78</f>
        <v>358.79037037037079</v>
      </c>
      <c r="U38" s="21">
        <f>((F38/$U$78)*$U$77)*2</f>
        <v>218.10677777777801</v>
      </c>
      <c r="V38" s="21"/>
      <c r="W38" s="21">
        <f>(F38*$W$77)/$W$78</f>
        <v>82.616203703703803</v>
      </c>
      <c r="X38" s="21">
        <f>(F38*$X$77)/$X$78</f>
        <v>96.385570987654432</v>
      </c>
      <c r="Y38" s="21"/>
    </row>
    <row r="39" spans="1:25" s="14" customFormat="1" ht="12.75" customHeight="1" x14ac:dyDescent="0.2">
      <c r="A39" s="20"/>
      <c r="B39" s="19"/>
      <c r="C39" s="22"/>
      <c r="D39" s="17"/>
      <c r="E39" s="17"/>
      <c r="F39" s="17"/>
      <c r="G39" s="17"/>
      <c r="H39" s="21"/>
      <c r="I39" s="21"/>
      <c r="J39" s="21"/>
      <c r="K39" s="21"/>
      <c r="L39" s="21"/>
      <c r="M39" s="21"/>
      <c r="N39" s="21"/>
      <c r="O39" s="21"/>
      <c r="P39" s="21"/>
      <c r="Q39" s="21" t="str">
        <f t="shared" si="0"/>
        <v/>
      </c>
      <c r="R39" s="21"/>
      <c r="S39" s="24"/>
      <c r="T39" s="24"/>
      <c r="U39" s="21"/>
      <c r="V39" s="21"/>
      <c r="W39" s="21"/>
      <c r="X39" s="21"/>
      <c r="Y39" s="21"/>
    </row>
    <row r="40" spans="1:25" s="14" customFormat="1" ht="12.75" customHeight="1" x14ac:dyDescent="0.2">
      <c r="A40" s="100" t="s">
        <v>30</v>
      </c>
      <c r="B40" s="101"/>
      <c r="C40" s="22"/>
      <c r="D40" s="17"/>
      <c r="E40" s="17"/>
      <c r="F40" s="17"/>
      <c r="G40" s="17"/>
      <c r="H40" s="21"/>
      <c r="I40" s="21"/>
      <c r="J40" s="21"/>
      <c r="K40" s="21"/>
      <c r="L40" s="21"/>
      <c r="M40" s="21"/>
      <c r="N40" s="21"/>
      <c r="O40" s="21"/>
      <c r="P40" s="21"/>
      <c r="Q40" s="21" t="str">
        <f t="shared" si="0"/>
        <v/>
      </c>
      <c r="R40" s="21"/>
      <c r="S40" s="24"/>
      <c r="T40" s="24"/>
      <c r="U40" s="21"/>
      <c r="V40" s="21"/>
      <c r="W40" s="21"/>
      <c r="X40" s="21"/>
      <c r="Y40" s="21"/>
    </row>
    <row r="41" spans="1:25" s="14" customFormat="1" ht="12.75" customHeight="1" x14ac:dyDescent="0.2">
      <c r="A41" s="98" t="s">
        <v>22</v>
      </c>
      <c r="B41" s="99"/>
      <c r="C41" s="22"/>
      <c r="D41" s="17"/>
      <c r="E41" s="17"/>
      <c r="F41" s="17"/>
      <c r="G41" s="17"/>
      <c r="H41" s="21"/>
      <c r="I41" s="21"/>
      <c r="J41" s="21"/>
      <c r="K41" s="21"/>
      <c r="L41" s="21"/>
      <c r="M41" s="24"/>
      <c r="N41" s="21"/>
      <c r="O41" s="21"/>
      <c r="P41" s="21"/>
      <c r="Q41" s="21" t="str">
        <f t="shared" si="0"/>
        <v/>
      </c>
      <c r="R41" s="21"/>
      <c r="S41" s="24"/>
      <c r="T41" s="24"/>
      <c r="U41" s="21"/>
      <c r="V41" s="21"/>
      <c r="W41" s="21"/>
      <c r="X41" s="21"/>
      <c r="Y41" s="21"/>
    </row>
    <row r="42" spans="1:25" s="14" customFormat="1" ht="12.75" customHeight="1" x14ac:dyDescent="0.2">
      <c r="A42" s="49">
        <v>19500.310000000001</v>
      </c>
      <c r="B42" s="48">
        <v>19606.060000000001</v>
      </c>
      <c r="C42" s="22" t="s">
        <v>23</v>
      </c>
      <c r="D42" s="17">
        <f>B42-A42</f>
        <v>105.75</v>
      </c>
      <c r="E42" s="17" t="s">
        <v>24</v>
      </c>
      <c r="F42" s="17" t="s">
        <v>24</v>
      </c>
      <c r="G42" s="17">
        <v>3282.5704000000001</v>
      </c>
      <c r="H42" s="21"/>
      <c r="I42" s="21"/>
      <c r="J42" s="21">
        <f>(D42*$J$78)</f>
        <v>158.625</v>
      </c>
      <c r="K42" s="21">
        <f>(D42*$K$78)</f>
        <v>158.625</v>
      </c>
      <c r="L42" s="21"/>
      <c r="M42" s="21"/>
      <c r="N42" s="21">
        <f>ROUNDUP(O42/N$77,2)</f>
        <v>0.2</v>
      </c>
      <c r="O42" s="21">
        <f>(G42+K42)/9</f>
        <v>382.35504444444445</v>
      </c>
      <c r="P42" s="21">
        <f>O42</f>
        <v>382.35504444444445</v>
      </c>
      <c r="Q42" s="21">
        <f t="shared" si="0"/>
        <v>10.471035550447098</v>
      </c>
      <c r="R42" s="21"/>
      <c r="S42" s="21">
        <f>((G42)*$S$77)/$S$78</f>
        <v>60.788340740740743</v>
      </c>
      <c r="T42" s="21">
        <f>((G42+J42)*$T$77)/$T$78</f>
        <v>63.725840740740743</v>
      </c>
      <c r="U42" s="21">
        <f>((G42/$U$78)*$U$77)*2</f>
        <v>40.120304888888889</v>
      </c>
      <c r="V42" s="21"/>
      <c r="W42" s="21">
        <f>(G42*$W$77)/$W$78</f>
        <v>15.197085185185186</v>
      </c>
      <c r="X42" s="21">
        <f>(G42*$X$77)/$X$78</f>
        <v>17.729932716049383</v>
      </c>
      <c r="Y42" s="21"/>
    </row>
    <row r="43" spans="1:25" s="14" customFormat="1" ht="12.75" customHeight="1" x14ac:dyDescent="0.2">
      <c r="A43" s="20"/>
      <c r="B43" s="19"/>
      <c r="C43" s="22"/>
      <c r="D43" s="17"/>
      <c r="E43" s="17"/>
      <c r="F43" s="17"/>
      <c r="G43" s="17"/>
      <c r="H43" s="21"/>
      <c r="I43" s="21"/>
      <c r="J43" s="21"/>
      <c r="K43" s="21"/>
      <c r="L43" s="21"/>
      <c r="M43" s="24"/>
      <c r="N43" s="21"/>
      <c r="O43" s="21"/>
      <c r="P43" s="21"/>
      <c r="Q43" s="21" t="str">
        <f t="shared" si="0"/>
        <v/>
      </c>
      <c r="R43" s="21"/>
      <c r="S43" s="24"/>
      <c r="T43" s="24"/>
      <c r="U43" s="21"/>
      <c r="V43" s="21"/>
      <c r="W43" s="21"/>
      <c r="X43" s="21"/>
      <c r="Y43" s="21"/>
    </row>
    <row r="44" spans="1:25" s="14" customFormat="1" ht="12.75" customHeight="1" x14ac:dyDescent="0.2">
      <c r="A44" s="66" t="s">
        <v>4</v>
      </c>
      <c r="B44" s="67"/>
      <c r="C44" s="22"/>
      <c r="D44" s="17"/>
      <c r="E44" s="17"/>
      <c r="F44" s="17"/>
      <c r="G44" s="17"/>
      <c r="H44" s="21"/>
      <c r="I44" s="21"/>
      <c r="J44" s="21"/>
      <c r="K44" s="21"/>
      <c r="L44" s="21"/>
      <c r="M44" s="21"/>
      <c r="N44" s="21"/>
      <c r="O44" s="21"/>
      <c r="P44" s="21"/>
      <c r="Q44" s="21" t="str">
        <f t="shared" si="0"/>
        <v/>
      </c>
      <c r="R44" s="21"/>
      <c r="S44" s="21"/>
      <c r="T44" s="21"/>
      <c r="U44" s="21"/>
      <c r="V44" s="21"/>
      <c r="W44" s="21"/>
      <c r="X44" s="21"/>
      <c r="Y44" s="21"/>
    </row>
    <row r="45" spans="1:25" s="14" customFormat="1" ht="12.75" customHeight="1" x14ac:dyDescent="0.2">
      <c r="A45" s="98" t="s">
        <v>22</v>
      </c>
      <c r="B45" s="99"/>
      <c r="C45" s="22"/>
      <c r="D45" s="17"/>
      <c r="E45" s="17"/>
      <c r="F45" s="17"/>
      <c r="G45" s="17"/>
      <c r="H45" s="21"/>
      <c r="I45" s="21"/>
      <c r="J45" s="21"/>
      <c r="K45" s="21"/>
      <c r="L45" s="21"/>
      <c r="M45" s="21"/>
      <c r="N45" s="21"/>
      <c r="O45" s="21"/>
      <c r="P45" s="21"/>
      <c r="Q45" s="21" t="str">
        <f t="shared" si="0"/>
        <v/>
      </c>
      <c r="R45" s="21"/>
      <c r="S45" s="21"/>
      <c r="T45" s="21"/>
      <c r="U45" s="21"/>
      <c r="V45" s="21"/>
      <c r="W45" s="21"/>
      <c r="X45" s="21"/>
      <c r="Y45" s="21"/>
    </row>
    <row r="46" spans="1:25" s="14" customFormat="1" ht="12.75" customHeight="1" x14ac:dyDescent="0.2">
      <c r="A46" s="47">
        <v>19606.060000000001</v>
      </c>
      <c r="B46" s="48">
        <v>19801.2</v>
      </c>
      <c r="C46" s="22" t="s">
        <v>23</v>
      </c>
      <c r="D46" s="17">
        <f>B46-A46</f>
        <v>195.13999999999942</v>
      </c>
      <c r="E46" s="17">
        <v>13.670952140000001</v>
      </c>
      <c r="F46" s="17">
        <f>D46*E46</f>
        <v>2667.7496005995922</v>
      </c>
      <c r="G46" s="17"/>
      <c r="H46" s="21"/>
      <c r="I46" s="21"/>
      <c r="J46" s="21">
        <f>(D46*$J$78)</f>
        <v>292.70999999999913</v>
      </c>
      <c r="K46" s="21">
        <f>(D46*$K$78)</f>
        <v>292.70999999999913</v>
      </c>
      <c r="L46" s="21"/>
      <c r="M46" s="21"/>
      <c r="N46" s="21">
        <f>ROUNDUP(O46/N$77,2)</f>
        <v>0.17</v>
      </c>
      <c r="O46" s="21">
        <f>(F46+K46)/9</f>
        <v>328.9399556221768</v>
      </c>
      <c r="P46" s="21">
        <f>O46</f>
        <v>328.9399556221768</v>
      </c>
      <c r="Q46" s="21">
        <f t="shared" ref="Q46:Q73" si="3">IF($O46="","",(0.75*$Q$77*115*0.05)*$O46/$Q$78)</f>
        <v>9.0082294436232058</v>
      </c>
      <c r="R46" s="21"/>
      <c r="S46" s="21">
        <f>((F46)*$S$77)/$S$78</f>
        <v>49.402770381473928</v>
      </c>
      <c r="T46" s="21">
        <f>((F46+J46)*$T$77)/$T$78</f>
        <v>54.823325937029466</v>
      </c>
      <c r="U46" s="21">
        <f>((F46/$U$78)*$U$77)*2</f>
        <v>32.605828451772794</v>
      </c>
      <c r="V46" s="21"/>
      <c r="W46" s="21">
        <f>(F46*$W$77)/$W$78</f>
        <v>12.350692595368482</v>
      </c>
      <c r="X46" s="21">
        <f>(F46*$X$77)/$X$78</f>
        <v>14.409141361263231</v>
      </c>
      <c r="Y46" s="21"/>
    </row>
    <row r="47" spans="1:25" s="14" customFormat="1" ht="12.75" customHeight="1" x14ac:dyDescent="0.2">
      <c r="A47" s="20"/>
      <c r="B47" s="19"/>
      <c r="C47" s="22"/>
      <c r="D47" s="17"/>
      <c r="E47" s="17"/>
      <c r="F47" s="17"/>
      <c r="G47" s="17"/>
      <c r="H47" s="21"/>
      <c r="I47" s="21"/>
      <c r="J47" s="21"/>
      <c r="K47" s="21"/>
      <c r="L47" s="21"/>
      <c r="M47" s="21"/>
      <c r="N47" s="21"/>
      <c r="O47" s="21"/>
      <c r="P47" s="21"/>
      <c r="Q47" s="21" t="str">
        <f t="shared" si="3"/>
        <v/>
      </c>
      <c r="R47" s="21"/>
      <c r="S47" s="21"/>
      <c r="T47" s="21"/>
      <c r="U47" s="21"/>
      <c r="V47" s="21"/>
      <c r="W47" s="21"/>
      <c r="X47" s="21"/>
      <c r="Y47" s="21"/>
    </row>
    <row r="48" spans="1:25" s="14" customFormat="1" ht="12.75" customHeight="1" x14ac:dyDescent="0.2">
      <c r="A48" s="98" t="s">
        <v>25</v>
      </c>
      <c r="B48" s="99"/>
      <c r="C48" s="22"/>
      <c r="D48" s="17"/>
      <c r="E48" s="17"/>
      <c r="F48" s="17"/>
      <c r="G48" s="17"/>
      <c r="H48" s="21"/>
      <c r="I48" s="21"/>
      <c r="J48" s="21"/>
      <c r="K48" s="21"/>
      <c r="L48" s="21"/>
      <c r="M48" s="21"/>
      <c r="N48" s="21"/>
      <c r="O48" s="21"/>
      <c r="P48" s="21"/>
      <c r="Q48" s="21" t="str">
        <f t="shared" si="3"/>
        <v/>
      </c>
      <c r="R48" s="21"/>
      <c r="S48" s="21"/>
      <c r="T48" s="21"/>
      <c r="U48" s="21"/>
      <c r="V48" s="21"/>
      <c r="W48" s="21"/>
      <c r="X48" s="21"/>
      <c r="Y48" s="21"/>
    </row>
    <row r="49" spans="1:25" s="14" customFormat="1" ht="12.75" customHeight="1" x14ac:dyDescent="0.2">
      <c r="A49" s="47">
        <v>19801.2</v>
      </c>
      <c r="B49" s="48">
        <v>20205.91</v>
      </c>
      <c r="C49" s="22" t="s">
        <v>23</v>
      </c>
      <c r="D49" s="17">
        <f>B49-A49</f>
        <v>404.70999999999913</v>
      </c>
      <c r="E49" s="17" t="s">
        <v>24</v>
      </c>
      <c r="F49" s="17" t="s">
        <v>24</v>
      </c>
      <c r="G49" s="17">
        <v>4644.28</v>
      </c>
      <c r="H49" s="21"/>
      <c r="I49" s="21"/>
      <c r="J49" s="21"/>
      <c r="K49" s="21"/>
      <c r="L49" s="21"/>
      <c r="M49" s="24"/>
      <c r="N49" s="21"/>
      <c r="O49" s="21"/>
      <c r="P49" s="21"/>
      <c r="Q49" s="21" t="str">
        <f t="shared" si="3"/>
        <v/>
      </c>
      <c r="R49" s="24">
        <f>G49/9</f>
        <v>516.03111111111104</v>
      </c>
      <c r="S49" s="21"/>
      <c r="T49" s="21"/>
      <c r="U49" s="21">
        <f>(G49/$U$78)*$U$77</f>
        <v>28.381711111111109</v>
      </c>
      <c r="V49" s="21">
        <f>(G49/$V$78)*$V$77</f>
        <v>43.862644444444442</v>
      </c>
      <c r="W49" s="21">
        <f>(G49*$W$77)/$W$78</f>
        <v>21.501296296296296</v>
      </c>
      <c r="X49" s="21">
        <f>(G49*$X$77)/$X$78</f>
        <v>25.084845679012346</v>
      </c>
      <c r="Y49" s="21"/>
    </row>
    <row r="50" spans="1:25" s="14" customFormat="1" ht="12.75" customHeight="1" x14ac:dyDescent="0.2">
      <c r="A50" s="20"/>
      <c r="B50" s="19"/>
      <c r="C50" s="22"/>
      <c r="D50" s="17"/>
      <c r="E50" s="17"/>
      <c r="F50" s="17"/>
      <c r="G50" s="17"/>
      <c r="H50" s="21"/>
      <c r="I50" s="21"/>
      <c r="J50" s="21"/>
      <c r="K50" s="21"/>
      <c r="L50" s="21"/>
      <c r="M50" s="21"/>
      <c r="N50" s="21"/>
      <c r="O50" s="21"/>
      <c r="P50" s="21"/>
      <c r="Q50" s="21" t="str">
        <f t="shared" si="3"/>
        <v/>
      </c>
      <c r="R50" s="21"/>
      <c r="S50" s="24"/>
      <c r="T50" s="24"/>
      <c r="U50" s="21"/>
      <c r="V50" s="21"/>
      <c r="W50" s="21"/>
      <c r="X50" s="21"/>
      <c r="Y50" s="21"/>
    </row>
    <row r="51" spans="1:25" s="14" customFormat="1" ht="12.75" customHeight="1" x14ac:dyDescent="0.2">
      <c r="A51" s="98" t="s">
        <v>22</v>
      </c>
      <c r="B51" s="99"/>
      <c r="C51" s="22"/>
      <c r="D51" s="17"/>
      <c r="E51" s="17"/>
      <c r="F51" s="17"/>
      <c r="G51" s="17"/>
      <c r="H51" s="21"/>
      <c r="I51" s="21"/>
      <c r="J51" s="21"/>
      <c r="K51" s="21"/>
      <c r="L51" s="21"/>
      <c r="M51" s="21"/>
      <c r="N51" s="21"/>
      <c r="O51" s="21"/>
      <c r="P51" s="21"/>
      <c r="Q51" s="21" t="str">
        <f t="shared" si="3"/>
        <v/>
      </c>
      <c r="R51" s="21"/>
      <c r="S51" s="24"/>
      <c r="T51" s="24"/>
      <c r="U51" s="21"/>
      <c r="V51" s="21"/>
      <c r="W51" s="21"/>
      <c r="X51" s="21"/>
      <c r="Y51" s="21"/>
    </row>
    <row r="52" spans="1:25" s="14" customFormat="1" ht="12.75" customHeight="1" x14ac:dyDescent="0.2">
      <c r="A52" s="47">
        <v>20205.91</v>
      </c>
      <c r="B52" s="48">
        <v>20505.89</v>
      </c>
      <c r="C52" s="22" t="s">
        <v>23</v>
      </c>
      <c r="D52" s="17">
        <f>B52-A52</f>
        <v>299.97999999999956</v>
      </c>
      <c r="E52" s="17">
        <v>14.615009669999999</v>
      </c>
      <c r="F52" s="17">
        <f>D52*E52</f>
        <v>4384.210600806593</v>
      </c>
      <c r="G52" s="17"/>
      <c r="H52" s="21"/>
      <c r="I52" s="21"/>
      <c r="J52" s="21">
        <f>(D52*$J$78)</f>
        <v>449.96999999999935</v>
      </c>
      <c r="K52" s="21">
        <f>(D52*$K$78)</f>
        <v>449.96999999999935</v>
      </c>
      <c r="L52" s="21"/>
      <c r="M52" s="21"/>
      <c r="N52" s="21">
        <f>ROUNDUP(O52/N$77,2)</f>
        <v>0.27</v>
      </c>
      <c r="O52" s="21">
        <f>(F52+K52)/9</f>
        <v>537.13117786739917</v>
      </c>
      <c r="P52" s="21">
        <f>O52</f>
        <v>537.13117786739917</v>
      </c>
      <c r="Q52" s="21">
        <f t="shared" si="3"/>
        <v>14.709678191574806</v>
      </c>
      <c r="R52" s="21"/>
      <c r="S52" s="21">
        <f>((F52)*$S$77)/$S$78</f>
        <v>81.189085200122094</v>
      </c>
      <c r="T52" s="21">
        <f>((F52+J52)*$T$77)/$T$78</f>
        <v>89.521862977899858</v>
      </c>
      <c r="U52" s="21">
        <f>((F52/$U$78)*$U$77)*2</f>
        <v>53.584796232080585</v>
      </c>
      <c r="V52" s="21"/>
      <c r="W52" s="21">
        <f>(F52*$W$77)/$W$78</f>
        <v>20.297271300030523</v>
      </c>
      <c r="X52" s="21">
        <f>(F52*$X$77)/$X$78</f>
        <v>23.680149850035612</v>
      </c>
      <c r="Y52" s="21"/>
    </row>
    <row r="53" spans="1:25" s="14" customFormat="1" ht="12.75" customHeight="1" x14ac:dyDescent="0.2">
      <c r="A53" s="20"/>
      <c r="B53" s="19"/>
      <c r="C53" s="22"/>
      <c r="D53" s="17"/>
      <c r="E53" s="17"/>
      <c r="F53" s="17"/>
      <c r="G53" s="17"/>
      <c r="H53" s="21"/>
      <c r="I53" s="21"/>
      <c r="J53" s="21"/>
      <c r="K53" s="21"/>
      <c r="L53" s="21"/>
      <c r="M53" s="24"/>
      <c r="N53" s="21"/>
      <c r="O53" s="21"/>
      <c r="P53" s="21"/>
      <c r="Q53" s="21" t="str">
        <f t="shared" si="3"/>
        <v/>
      </c>
      <c r="R53" s="21"/>
      <c r="S53" s="24"/>
      <c r="T53" s="24"/>
      <c r="U53" s="21"/>
      <c r="V53" s="21"/>
      <c r="W53" s="21"/>
      <c r="X53" s="21"/>
      <c r="Y53" s="21"/>
    </row>
    <row r="54" spans="1:25" s="14" customFormat="1" ht="12.75" customHeight="1" x14ac:dyDescent="0.2">
      <c r="A54" s="47">
        <v>20505.89</v>
      </c>
      <c r="B54" s="48">
        <v>20555.48</v>
      </c>
      <c r="C54" s="22" t="s">
        <v>23</v>
      </c>
      <c r="D54" s="17">
        <f>B54-A54</f>
        <v>49.590000000000146</v>
      </c>
      <c r="E54" s="17">
        <v>17.5</v>
      </c>
      <c r="F54" s="17">
        <f>D54*E54</f>
        <v>867.82500000000255</v>
      </c>
      <c r="G54" s="17"/>
      <c r="H54" s="21"/>
      <c r="I54" s="21"/>
      <c r="J54" s="21">
        <f>(D54*$J$78)</f>
        <v>74.385000000000218</v>
      </c>
      <c r="K54" s="21">
        <f>(D54*$K$78)</f>
        <v>74.385000000000218</v>
      </c>
      <c r="L54" s="21"/>
      <c r="M54" s="21"/>
      <c r="N54" s="21">
        <f>ROUNDUP(O54/N$77,2)</f>
        <v>6.0000000000000005E-2</v>
      </c>
      <c r="O54" s="21">
        <f>(F54+K54)/9</f>
        <v>104.69000000000031</v>
      </c>
      <c r="P54" s="21">
        <f>O54</f>
        <v>104.69000000000031</v>
      </c>
      <c r="Q54" s="21">
        <f t="shared" si="3"/>
        <v>2.8670020906068832</v>
      </c>
      <c r="R54" s="21"/>
      <c r="S54" s="21">
        <f>((F54)*$S$77)/$S$78</f>
        <v>16.070833333333379</v>
      </c>
      <c r="T54" s="21">
        <f>((F54+J54)*$T$77)/$T$78</f>
        <v>17.448333333333384</v>
      </c>
      <c r="U54" s="21">
        <f>((F54/$U$78)*$U$77)*2</f>
        <v>10.606750000000032</v>
      </c>
      <c r="V54" s="21"/>
      <c r="W54" s="21">
        <f>(F54*$W$77)/$W$78</f>
        <v>4.0177083333333448</v>
      </c>
      <c r="X54" s="21">
        <f>(F54*$X$77)/$X$78</f>
        <v>4.687326388888903</v>
      </c>
      <c r="Y54" s="21"/>
    </row>
    <row r="55" spans="1:25" s="14" customFormat="1" ht="12.75" customHeight="1" x14ac:dyDescent="0.2">
      <c r="A55" s="20"/>
      <c r="B55" s="19"/>
      <c r="C55" s="22"/>
      <c r="D55" s="17"/>
      <c r="E55" s="17"/>
      <c r="F55" s="17"/>
      <c r="G55" s="17"/>
      <c r="H55" s="21"/>
      <c r="I55" s="21"/>
      <c r="J55" s="21"/>
      <c r="K55" s="21"/>
      <c r="L55" s="21"/>
      <c r="M55" s="21"/>
      <c r="N55" s="21"/>
      <c r="O55" s="21"/>
      <c r="P55" s="21"/>
      <c r="Q55" s="21" t="str">
        <f t="shared" si="3"/>
        <v/>
      </c>
      <c r="R55" s="21"/>
      <c r="S55" s="24"/>
      <c r="T55" s="24"/>
      <c r="U55" s="21"/>
      <c r="V55" s="21"/>
      <c r="W55" s="21"/>
      <c r="X55" s="21"/>
      <c r="Y55" s="21"/>
    </row>
    <row r="56" spans="1:25" s="14" customFormat="1" ht="12.75" customHeight="1" x14ac:dyDescent="0.2">
      <c r="A56" s="47">
        <v>20555.48</v>
      </c>
      <c r="B56" s="48">
        <v>20605.439999999999</v>
      </c>
      <c r="C56" s="22" t="s">
        <v>23</v>
      </c>
      <c r="D56" s="17">
        <f>B56-A56</f>
        <v>49.959999999999127</v>
      </c>
      <c r="E56" s="17">
        <v>19.658761009999999</v>
      </c>
      <c r="F56" s="17">
        <f>D56*E56</f>
        <v>982.15170005958282</v>
      </c>
      <c r="G56" s="17"/>
      <c r="H56" s="21"/>
      <c r="I56" s="21"/>
      <c r="J56" s="21">
        <f>(D56*$J$78)</f>
        <v>74.93999999999869</v>
      </c>
      <c r="K56" s="21">
        <f>(D56*$K$78)</f>
        <v>74.93999999999869</v>
      </c>
      <c r="L56" s="21"/>
      <c r="M56" s="21"/>
      <c r="N56" s="21">
        <f>ROUNDUP(O56/N$77,2)</f>
        <v>6.0000000000000005E-2</v>
      </c>
      <c r="O56" s="21">
        <f>(F56+K56)/9</f>
        <v>117.45463333995349</v>
      </c>
      <c r="P56" s="21">
        <f>O56</f>
        <v>117.45463333995349</v>
      </c>
      <c r="Q56" s="21">
        <f t="shared" si="3"/>
        <v>3.2165696755861171</v>
      </c>
      <c r="R56" s="21"/>
      <c r="S56" s="21">
        <f>((F56)*$S$77)/$S$78</f>
        <v>18.18799444554783</v>
      </c>
      <c r="T56" s="21">
        <f>((F56+J56)*$T$77)/$T$78</f>
        <v>19.575772223325583</v>
      </c>
      <c r="U56" s="21">
        <f>((F56/$U$78)*$U$77)*2</f>
        <v>12.004076334061567</v>
      </c>
      <c r="V56" s="21"/>
      <c r="W56" s="21">
        <f>(F56*$W$77)/$W$78</f>
        <v>4.5469986113869574</v>
      </c>
      <c r="X56" s="21">
        <f>(F56*$X$77)/$X$78</f>
        <v>5.3048317132847842</v>
      </c>
      <c r="Y56" s="21"/>
    </row>
    <row r="57" spans="1:25" s="14" customFormat="1" ht="12.75" customHeight="1" x14ac:dyDescent="0.2">
      <c r="A57" s="20"/>
      <c r="B57" s="19"/>
      <c r="C57" s="22"/>
      <c r="D57" s="17"/>
      <c r="E57" s="17"/>
      <c r="F57" s="17"/>
      <c r="G57" s="17"/>
      <c r="H57" s="21"/>
      <c r="I57" s="21"/>
      <c r="J57" s="21"/>
      <c r="K57" s="21"/>
      <c r="L57" s="21"/>
      <c r="M57" s="21"/>
      <c r="N57" s="21"/>
      <c r="O57" s="21"/>
      <c r="P57" s="21"/>
      <c r="Q57" s="21" t="str">
        <f t="shared" si="3"/>
        <v/>
      </c>
      <c r="R57" s="21"/>
      <c r="S57" s="24"/>
      <c r="T57" s="24"/>
      <c r="U57" s="21"/>
      <c r="V57" s="21"/>
      <c r="W57" s="21"/>
      <c r="X57" s="21"/>
      <c r="Y57" s="21"/>
    </row>
    <row r="58" spans="1:25" s="14" customFormat="1" ht="12.75" customHeight="1" x14ac:dyDescent="0.2">
      <c r="A58" s="47">
        <v>20605.439999999999</v>
      </c>
      <c r="B58" s="48">
        <v>20680.63</v>
      </c>
      <c r="C58" s="22" t="s">
        <v>23</v>
      </c>
      <c r="D58" s="17">
        <f>B58-A58</f>
        <v>75.190000000002328</v>
      </c>
      <c r="E58" s="17">
        <f>((19.83+20)/2)</f>
        <v>19.914999999999999</v>
      </c>
      <c r="F58" s="17">
        <f>D58*E58</f>
        <v>1497.4088500000464</v>
      </c>
      <c r="G58" s="17"/>
      <c r="H58" s="21"/>
      <c r="I58" s="21"/>
      <c r="J58" s="21">
        <f>(D58*$J$78)</f>
        <v>112.78500000000349</v>
      </c>
      <c r="K58" s="21">
        <f>(D58*$K$78)</f>
        <v>112.78500000000349</v>
      </c>
      <c r="L58" s="21"/>
      <c r="M58" s="21"/>
      <c r="N58" s="21">
        <f>ROUNDUP(O58/N$77,2)</f>
        <v>0.09</v>
      </c>
      <c r="O58" s="21">
        <f>(F58+K58)/9</f>
        <v>178.91042777778333</v>
      </c>
      <c r="P58" s="21">
        <f>O58</f>
        <v>178.91042777778333</v>
      </c>
      <c r="Q58" s="21">
        <f t="shared" si="3"/>
        <v>4.8995756086567495</v>
      </c>
      <c r="R58" s="21"/>
      <c r="S58" s="21">
        <f>((F58)*$S$77)/$S$78</f>
        <v>27.729793518519379</v>
      </c>
      <c r="T58" s="21">
        <f>((F58+J58)*$T$77)/$T$78</f>
        <v>29.818404629630553</v>
      </c>
      <c r="U58" s="21">
        <f>((F58/$U$78)*$U$77)*2</f>
        <v>18.301663722222788</v>
      </c>
      <c r="V58" s="21"/>
      <c r="W58" s="21">
        <f>(F58*$W$77)/$W$78</f>
        <v>6.9324483796298448</v>
      </c>
      <c r="X58" s="21">
        <f>(F58*$X$77)/$X$78</f>
        <v>8.0878564429014865</v>
      </c>
      <c r="Y58" s="21"/>
    </row>
    <row r="59" spans="1:25" s="14" customFormat="1" ht="12.75" customHeight="1" x14ac:dyDescent="0.2">
      <c r="A59" s="20"/>
      <c r="B59" s="19"/>
      <c r="C59" s="22"/>
      <c r="D59" s="17"/>
      <c r="E59" s="17"/>
      <c r="F59" s="17"/>
      <c r="G59" s="17"/>
      <c r="H59" s="21"/>
      <c r="I59" s="21"/>
      <c r="J59" s="21"/>
      <c r="K59" s="21"/>
      <c r="L59" s="21"/>
      <c r="M59" s="24"/>
      <c r="N59" s="21"/>
      <c r="O59" s="21"/>
      <c r="P59" s="21"/>
      <c r="Q59" s="21" t="str">
        <f t="shared" si="3"/>
        <v/>
      </c>
      <c r="R59" s="21"/>
      <c r="S59" s="24"/>
      <c r="T59" s="24"/>
      <c r="U59" s="21"/>
      <c r="V59" s="21"/>
      <c r="W59" s="21"/>
      <c r="X59" s="21"/>
      <c r="Y59" s="21"/>
    </row>
    <row r="60" spans="1:25" s="14" customFormat="1" ht="12.75" customHeight="1" x14ac:dyDescent="0.2">
      <c r="A60" s="47">
        <v>20680.63</v>
      </c>
      <c r="B60" s="48">
        <v>20730.89</v>
      </c>
      <c r="C60" s="22" t="s">
        <v>23</v>
      </c>
      <c r="D60" s="17">
        <f>B60-A60</f>
        <v>50.259999999998399</v>
      </c>
      <c r="E60" s="17">
        <v>19.722554720000002</v>
      </c>
      <c r="F60" s="17">
        <f>D60*E60</f>
        <v>991.25560022716854</v>
      </c>
      <c r="G60" s="17"/>
      <c r="H60" s="21"/>
      <c r="I60" s="21"/>
      <c r="J60" s="21">
        <f>(D60*$J$78)</f>
        <v>75.389999999997599</v>
      </c>
      <c r="K60" s="21">
        <f>(D60*$K$78)</f>
        <v>75.389999999997599</v>
      </c>
      <c r="L60" s="21"/>
      <c r="M60" s="21"/>
      <c r="N60" s="21">
        <f>ROUNDUP(O60/N$77,2)</f>
        <v>6.0000000000000005E-2</v>
      </c>
      <c r="O60" s="21">
        <f>(F60+K60)/9</f>
        <v>118.51617780301846</v>
      </c>
      <c r="P60" s="21">
        <f>O60</f>
        <v>118.51617780301846</v>
      </c>
      <c r="Q60" s="21">
        <f t="shared" si="3"/>
        <v>3.2456407444072024</v>
      </c>
      <c r="R60" s="21"/>
      <c r="S60" s="21">
        <f>((F60)*$S$77)/$S$78</f>
        <v>18.35658518939201</v>
      </c>
      <c r="T60" s="21">
        <f>((F60+J60)*$T$77)/$T$78</f>
        <v>19.752696300503075</v>
      </c>
      <c r="U60" s="21">
        <f>((F60/$U$78)*$U$77)*2</f>
        <v>12.115346224998726</v>
      </c>
      <c r="V60" s="21"/>
      <c r="W60" s="21">
        <f>(F60*$W$77)/$W$78</f>
        <v>4.5891462973480026</v>
      </c>
      <c r="X60" s="21">
        <f>(F60*$X$77)/$X$78</f>
        <v>5.3540040135726699</v>
      </c>
      <c r="Y60" s="21"/>
    </row>
    <row r="61" spans="1:25" s="14" customFormat="1" ht="12.75" customHeight="1" x14ac:dyDescent="0.2">
      <c r="A61" s="20"/>
      <c r="B61" s="19"/>
      <c r="C61" s="28"/>
      <c r="D61" s="17"/>
      <c r="E61" s="17"/>
      <c r="F61" s="17"/>
      <c r="G61" s="27"/>
      <c r="H61" s="26"/>
      <c r="I61" s="26"/>
      <c r="J61" s="26"/>
      <c r="K61" s="26"/>
      <c r="L61" s="26"/>
      <c r="M61" s="24"/>
      <c r="N61" s="21"/>
      <c r="O61" s="26"/>
      <c r="P61" s="21"/>
      <c r="Q61" s="21" t="str">
        <f t="shared" si="3"/>
        <v/>
      </c>
      <c r="R61" s="21"/>
      <c r="S61" s="24"/>
      <c r="T61" s="24"/>
      <c r="U61" s="21"/>
      <c r="V61" s="21"/>
      <c r="W61" s="21"/>
      <c r="X61" s="21"/>
      <c r="Y61" s="21"/>
    </row>
    <row r="62" spans="1:25" s="14" customFormat="1" ht="12.75" customHeight="1" x14ac:dyDescent="0.2">
      <c r="A62" s="47">
        <v>20730.89</v>
      </c>
      <c r="B62" s="48">
        <v>21600</v>
      </c>
      <c r="C62" s="22" t="s">
        <v>23</v>
      </c>
      <c r="D62" s="17">
        <f>B62-A62</f>
        <v>869.11000000000058</v>
      </c>
      <c r="E62" s="17">
        <v>17.5</v>
      </c>
      <c r="F62" s="17">
        <f>D62*E62</f>
        <v>15209.42500000001</v>
      </c>
      <c r="G62" s="17"/>
      <c r="H62" s="21"/>
      <c r="I62" s="21"/>
      <c r="J62" s="21">
        <f>(D62*$J$78)</f>
        <v>1303.6650000000009</v>
      </c>
      <c r="K62" s="21">
        <f>(D62*$K$78)</f>
        <v>1303.6650000000009</v>
      </c>
      <c r="L62" s="21"/>
      <c r="M62" s="21"/>
      <c r="N62" s="21">
        <f>ROUNDUP(O62/N$77,2)</f>
        <v>0.92</v>
      </c>
      <c r="O62" s="21">
        <f>(F62+K62)/9</f>
        <v>1834.787777777779</v>
      </c>
      <c r="P62" s="21">
        <f>O62</f>
        <v>1834.787777777779</v>
      </c>
      <c r="Q62" s="21">
        <f t="shared" si="3"/>
        <v>50.246827726705838</v>
      </c>
      <c r="R62" s="21"/>
      <c r="S62" s="21">
        <f>((F62)*$S$77)/$S$78</f>
        <v>281.65601851851869</v>
      </c>
      <c r="T62" s="21">
        <f>((F62+J62)*$T$77)/$T$78</f>
        <v>305.79796296296314</v>
      </c>
      <c r="U62" s="21">
        <f>((F62/$U$78)*$U$77)*2</f>
        <v>185.89297222222234</v>
      </c>
      <c r="V62" s="21"/>
      <c r="W62" s="21">
        <f>(F62*$W$77)/$W$78</f>
        <v>70.414004629629673</v>
      </c>
      <c r="X62" s="21">
        <f>(F62*$X$77)/$X$78</f>
        <v>82.149672067901307</v>
      </c>
      <c r="Y62" s="21"/>
    </row>
    <row r="63" spans="1:25" s="14" customFormat="1" ht="12.75" customHeight="1" x14ac:dyDescent="0.2">
      <c r="A63" s="20"/>
      <c r="B63" s="19"/>
      <c r="C63" s="28"/>
      <c r="D63" s="17"/>
      <c r="E63" s="17"/>
      <c r="F63" s="17"/>
      <c r="G63" s="27"/>
      <c r="H63" s="26"/>
      <c r="I63" s="26"/>
      <c r="J63" s="26"/>
      <c r="K63" s="26"/>
      <c r="L63" s="26"/>
      <c r="M63" s="24"/>
      <c r="N63" s="21"/>
      <c r="O63" s="21"/>
      <c r="P63" s="21"/>
      <c r="Q63" s="21" t="str">
        <f t="shared" si="3"/>
        <v/>
      </c>
      <c r="R63" s="21"/>
      <c r="S63" s="24"/>
      <c r="T63" s="24"/>
      <c r="U63" s="21"/>
      <c r="V63" s="21"/>
      <c r="W63" s="21"/>
      <c r="X63" s="21"/>
      <c r="Y63" s="21"/>
    </row>
    <row r="64" spans="1:25" s="14" customFormat="1" ht="12.75" customHeight="1" x14ac:dyDescent="0.2">
      <c r="A64" s="47">
        <v>21600</v>
      </c>
      <c r="B64" s="48">
        <v>21700</v>
      </c>
      <c r="C64" s="22" t="s">
        <v>23</v>
      </c>
      <c r="D64" s="17">
        <f>B64-A64</f>
        <v>100</v>
      </c>
      <c r="E64" s="17">
        <f>F64/D64</f>
        <v>21.353400000000001</v>
      </c>
      <c r="F64" s="17">
        <v>2135.34</v>
      </c>
      <c r="G64" s="25"/>
      <c r="H64" s="21"/>
      <c r="I64" s="23"/>
      <c r="J64" s="21">
        <f>(D64*$J$78)</f>
        <v>150</v>
      </c>
      <c r="K64" s="21">
        <f>(D64*$K$78)</f>
        <v>150</v>
      </c>
      <c r="L64" s="23"/>
      <c r="M64" s="21"/>
      <c r="N64" s="21">
        <f>ROUNDUP(O64/N$77,2)</f>
        <v>0.13</v>
      </c>
      <c r="O64" s="21">
        <f>(F64+K64)/9</f>
        <v>253.92666666666668</v>
      </c>
      <c r="P64" s="21">
        <f>O64</f>
        <v>253.92666666666668</v>
      </c>
      <c r="Q64" s="21">
        <f t="shared" si="3"/>
        <v>6.9539429190387656</v>
      </c>
      <c r="R64" s="21"/>
      <c r="S64" s="21">
        <f>((F64)*$S$77)/$S$78</f>
        <v>39.543333333333337</v>
      </c>
      <c r="T64" s="21">
        <f>((F64+J64)*$T$77)/$T$78</f>
        <v>42.321111111111115</v>
      </c>
      <c r="U64" s="21">
        <f>((F64/$U$78)*$U$77)*2</f>
        <v>26.098600000000001</v>
      </c>
      <c r="V64" s="21"/>
      <c r="W64" s="21">
        <f>(F64*$W$77)/$W$78</f>
        <v>9.8858333333333341</v>
      </c>
      <c r="X64" s="21">
        <f>(F64*$X$77)/$X$78</f>
        <v>11.533472222222224</v>
      </c>
      <c r="Y64" s="21"/>
    </row>
    <row r="65" spans="1:30" s="14" customFormat="1" ht="12.75" customHeight="1" x14ac:dyDescent="0.2">
      <c r="A65" s="20"/>
      <c r="B65" s="19"/>
      <c r="C65" s="22"/>
      <c r="D65" s="17"/>
      <c r="E65" s="17"/>
      <c r="F65" s="17"/>
      <c r="G65" s="25"/>
      <c r="H65" s="23"/>
      <c r="I65" s="23"/>
      <c r="J65" s="23"/>
      <c r="K65" s="23"/>
      <c r="L65" s="23"/>
      <c r="M65" s="24"/>
      <c r="N65" s="21"/>
      <c r="O65" s="21"/>
      <c r="P65" s="21"/>
      <c r="Q65" s="21" t="str">
        <f t="shared" si="3"/>
        <v/>
      </c>
      <c r="R65" s="21"/>
      <c r="S65" s="24"/>
      <c r="T65" s="24"/>
      <c r="U65" s="21"/>
      <c r="V65" s="21"/>
      <c r="W65" s="21"/>
      <c r="X65" s="21"/>
      <c r="Y65" s="21"/>
    </row>
    <row r="66" spans="1:30" s="14" customFormat="1" ht="12.75" customHeight="1" x14ac:dyDescent="0.2">
      <c r="A66" s="98" t="s">
        <v>25</v>
      </c>
      <c r="B66" s="99"/>
      <c r="C66" s="22"/>
      <c r="D66" s="17"/>
      <c r="E66" s="17"/>
      <c r="F66" s="17"/>
      <c r="G66" s="25"/>
      <c r="H66" s="23"/>
      <c r="I66" s="21"/>
      <c r="J66" s="23"/>
      <c r="K66" s="21"/>
      <c r="L66" s="21"/>
      <c r="M66" s="24"/>
      <c r="N66" s="21"/>
      <c r="O66" s="21"/>
      <c r="P66" s="21"/>
      <c r="Q66" s="21" t="str">
        <f t="shared" si="3"/>
        <v/>
      </c>
      <c r="R66" s="21"/>
      <c r="S66" s="24"/>
      <c r="T66" s="24"/>
      <c r="U66" s="21"/>
      <c r="V66" s="21"/>
      <c r="W66" s="21"/>
      <c r="X66" s="21"/>
      <c r="Y66" s="21"/>
    </row>
    <row r="67" spans="1:30" s="14" customFormat="1" ht="12.75" customHeight="1" x14ac:dyDescent="0.2">
      <c r="A67" s="47">
        <v>21700</v>
      </c>
      <c r="B67" s="48">
        <v>21873.59</v>
      </c>
      <c r="C67" s="22" t="s">
        <v>23</v>
      </c>
      <c r="D67" s="17">
        <f>B67-A67</f>
        <v>173.59000000000015</v>
      </c>
      <c r="E67" s="17">
        <f>ROUND(F67/D67,2)</f>
        <v>22.71</v>
      </c>
      <c r="F67" s="17">
        <v>3941.8470000000002</v>
      </c>
      <c r="G67" s="25"/>
      <c r="H67" s="21"/>
      <c r="I67" s="21"/>
      <c r="J67" s="21"/>
      <c r="K67" s="21"/>
      <c r="L67" s="21"/>
      <c r="M67" s="24"/>
      <c r="N67" s="21"/>
      <c r="O67" s="21"/>
      <c r="P67" s="21"/>
      <c r="Q67" s="21" t="str">
        <f t="shared" si="3"/>
        <v/>
      </c>
      <c r="R67" s="24">
        <f>F67/9</f>
        <v>437.983</v>
      </c>
      <c r="S67" s="21"/>
      <c r="T67" s="24"/>
      <c r="U67" s="21">
        <f>(F67/$U$78)*$U$77</f>
        <v>24.089065000000002</v>
      </c>
      <c r="V67" s="21">
        <f>(F67/$V$78)*$V$77</f>
        <v>37.228555</v>
      </c>
      <c r="W67" s="21">
        <f>(F67*$W$77)/$W$78</f>
        <v>18.249291666666668</v>
      </c>
      <c r="X67" s="21">
        <f>(F67*$X$77)/$X$78</f>
        <v>21.290840277777782</v>
      </c>
      <c r="Y67" s="21"/>
    </row>
    <row r="68" spans="1:30" s="14" customFormat="1" ht="12.75" customHeight="1" x14ac:dyDescent="0.2">
      <c r="A68" s="20"/>
      <c r="B68" s="19"/>
      <c r="C68" s="22"/>
      <c r="D68" s="17"/>
      <c r="E68" s="17"/>
      <c r="F68" s="17"/>
      <c r="G68" s="25"/>
      <c r="H68" s="23"/>
      <c r="I68" s="21"/>
      <c r="J68" s="23"/>
      <c r="K68" s="21"/>
      <c r="L68" s="21"/>
      <c r="M68" s="24"/>
      <c r="N68" s="21"/>
      <c r="O68" s="21"/>
      <c r="P68" s="21"/>
      <c r="Q68" s="21" t="str">
        <f t="shared" si="3"/>
        <v/>
      </c>
      <c r="R68" s="21"/>
      <c r="S68" s="24"/>
      <c r="T68" s="24"/>
      <c r="U68" s="21"/>
      <c r="V68" s="21"/>
      <c r="W68" s="21"/>
      <c r="X68" s="21"/>
      <c r="Y68" s="21"/>
    </row>
    <row r="69" spans="1:30" s="14" customFormat="1" ht="12.75" customHeight="1" x14ac:dyDescent="0.2">
      <c r="A69" s="47">
        <v>21873.59</v>
      </c>
      <c r="B69" s="48">
        <v>22110</v>
      </c>
      <c r="C69" s="22" t="s">
        <v>23</v>
      </c>
      <c r="D69" s="17">
        <f>B69-A69</f>
        <v>236.40999999999985</v>
      </c>
      <c r="E69" s="17">
        <v>20.551189881984701</v>
      </c>
      <c r="F69" s="17">
        <f>D69*E69</f>
        <v>4858.5068000000001</v>
      </c>
      <c r="G69" s="17"/>
      <c r="H69" s="21"/>
      <c r="I69" s="21"/>
      <c r="J69" s="21"/>
      <c r="K69" s="21"/>
      <c r="L69" s="21"/>
      <c r="M69" s="21"/>
      <c r="N69" s="21"/>
      <c r="O69" s="21"/>
      <c r="P69" s="21"/>
      <c r="Q69" s="21" t="str">
        <f t="shared" si="3"/>
        <v/>
      </c>
      <c r="R69" s="24">
        <f>F69/9</f>
        <v>539.83408888888891</v>
      </c>
      <c r="S69" s="24"/>
      <c r="T69" s="24"/>
      <c r="U69" s="21">
        <f>(F69/$U$78)*$U$77</f>
        <v>29.690874888888889</v>
      </c>
      <c r="V69" s="21">
        <f>(F69/$V$78)*$V$77</f>
        <v>45.885897555555559</v>
      </c>
      <c r="W69" s="21">
        <f>(F69*$W$77)/$W$78</f>
        <v>22.493087037037039</v>
      </c>
      <c r="X69" s="21">
        <f>(F69*$X$77)/$X$78</f>
        <v>26.241934876543215</v>
      </c>
      <c r="Y69" s="21"/>
    </row>
    <row r="70" spans="1:30" s="14" customFormat="1" ht="12.75" customHeight="1" x14ac:dyDescent="0.2">
      <c r="A70" s="20"/>
      <c r="B70" s="19"/>
      <c r="C70" s="22"/>
      <c r="D70" s="17"/>
      <c r="E70" s="17"/>
      <c r="F70" s="17"/>
      <c r="G70" s="17"/>
      <c r="H70" s="21"/>
      <c r="I70" s="21"/>
      <c r="J70" s="21"/>
      <c r="K70" s="21"/>
      <c r="L70" s="21"/>
      <c r="M70" s="21"/>
      <c r="N70" s="21"/>
      <c r="O70" s="21"/>
      <c r="P70" s="21"/>
      <c r="Q70" s="21" t="str">
        <f t="shared" si="3"/>
        <v/>
      </c>
      <c r="R70" s="21"/>
      <c r="S70" s="21"/>
      <c r="T70" s="21"/>
      <c r="U70" s="21"/>
      <c r="V70" s="21"/>
      <c r="W70" s="21"/>
      <c r="X70" s="21"/>
      <c r="Y70" s="21"/>
    </row>
    <row r="71" spans="1:30" s="14" customFormat="1" ht="12.75" customHeight="1" x14ac:dyDescent="0.2">
      <c r="A71" s="20"/>
      <c r="B71" s="19"/>
      <c r="C71" s="22"/>
      <c r="D71" s="17"/>
      <c r="E71" s="17"/>
      <c r="F71" s="17"/>
      <c r="G71" s="17"/>
      <c r="H71" s="21"/>
      <c r="I71" s="21"/>
      <c r="J71" s="21"/>
      <c r="K71" s="21"/>
      <c r="L71" s="21"/>
      <c r="M71" s="21"/>
      <c r="N71" s="21"/>
      <c r="O71" s="21"/>
      <c r="P71" s="21"/>
      <c r="Q71" s="21" t="str">
        <f t="shared" si="3"/>
        <v/>
      </c>
      <c r="R71" s="21"/>
      <c r="S71" s="21"/>
      <c r="T71" s="21"/>
      <c r="U71" s="21"/>
      <c r="V71" s="21"/>
      <c r="W71" s="21"/>
      <c r="X71" s="21"/>
      <c r="Y71" s="21"/>
    </row>
    <row r="72" spans="1:30" s="14" customFormat="1" ht="12.75" customHeight="1" x14ac:dyDescent="0.2">
      <c r="A72" s="20"/>
      <c r="B72" s="19"/>
      <c r="C72" s="22"/>
      <c r="D72" s="17"/>
      <c r="E72" s="17"/>
      <c r="F72" s="17"/>
      <c r="G72" s="17"/>
      <c r="H72" s="21"/>
      <c r="I72" s="21"/>
      <c r="J72" s="21"/>
      <c r="K72" s="21"/>
      <c r="L72" s="21"/>
      <c r="M72" s="21"/>
      <c r="N72" s="21"/>
      <c r="O72" s="21"/>
      <c r="P72" s="21"/>
      <c r="Q72" s="21" t="str">
        <f t="shared" si="3"/>
        <v/>
      </c>
      <c r="R72" s="21"/>
      <c r="S72" s="21"/>
      <c r="T72" s="21"/>
      <c r="U72" s="21"/>
      <c r="V72" s="21"/>
      <c r="W72" s="21"/>
      <c r="X72" s="21"/>
      <c r="Y72" s="21"/>
    </row>
    <row r="73" spans="1:30" s="14" customFormat="1" ht="12.75" customHeight="1" thickBot="1" x14ac:dyDescent="0.25">
      <c r="A73" s="20"/>
      <c r="B73" s="19"/>
      <c r="C73" s="18"/>
      <c r="D73" s="17"/>
      <c r="E73" s="17"/>
      <c r="F73" s="17"/>
      <c r="G73" s="16"/>
      <c r="H73" s="15"/>
      <c r="I73" s="15"/>
      <c r="J73" s="15"/>
      <c r="K73" s="15"/>
      <c r="L73" s="15"/>
      <c r="M73" s="15"/>
      <c r="N73" s="15"/>
      <c r="O73" s="15"/>
      <c r="P73" s="15"/>
      <c r="Q73" s="21" t="str">
        <f t="shared" si="3"/>
        <v/>
      </c>
      <c r="R73" s="15"/>
      <c r="S73" s="15"/>
      <c r="T73" s="15"/>
      <c r="U73" s="15"/>
      <c r="V73" s="15"/>
      <c r="W73" s="15"/>
      <c r="X73" s="15"/>
      <c r="Y73" s="15"/>
    </row>
    <row r="74" spans="1:30" ht="12.75" customHeight="1" x14ac:dyDescent="0.2">
      <c r="A74" s="56" t="s">
        <v>46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8"/>
      <c r="M74" s="62" t="str">
        <f>IF(SUM(M14:M73)&gt;0,(ROUNDUP(SUM(M14:M73),0)),"")</f>
        <v/>
      </c>
      <c r="N74" s="54">
        <f>IF(SUM(N14:N73)&gt;0,(ROUNDUP(SUM(N14:N73),1)),"")</f>
        <v>6.5</v>
      </c>
      <c r="O74" s="62">
        <f>IF(SUM(O14:O73)&gt;0,(ROUNDUP(SUM(O14:O73),0)),"")</f>
        <v>12679</v>
      </c>
      <c r="P74" s="62">
        <f t="shared" ref="P74:X74" si="4">IF(SUM(P14:P73)&gt;0,(ROUNDUP(SUM(P14:P73),0)),"")</f>
        <v>12679</v>
      </c>
      <c r="Q74" s="62">
        <f>IF(SUM(Q14:Q73)&gt;0,(ROUNDUP(SUM(Q14:Q73),0)),"")</f>
        <v>348</v>
      </c>
      <c r="R74" s="62">
        <f t="shared" si="4"/>
        <v>1494</v>
      </c>
      <c r="S74" s="62">
        <f t="shared" si="4"/>
        <v>1951</v>
      </c>
      <c r="T74" s="62">
        <f t="shared" si="4"/>
        <v>2114</v>
      </c>
      <c r="U74" s="62">
        <f t="shared" si="4"/>
        <v>1370</v>
      </c>
      <c r="V74" s="62">
        <f t="shared" si="4"/>
        <v>127</v>
      </c>
      <c r="W74" s="62">
        <f t="shared" si="4"/>
        <v>550</v>
      </c>
      <c r="X74" s="62">
        <f t="shared" si="4"/>
        <v>642</v>
      </c>
      <c r="Y74" s="54" t="str">
        <f>IF(SUM(Y14:Y73)&gt;0,(ROUNDUP(SUM(Y14:Y73),1)),"")</f>
        <v/>
      </c>
    </row>
    <row r="75" spans="1:30" ht="12" customHeight="1" thickBot="1" x14ac:dyDescent="0.25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1"/>
      <c r="M75" s="63"/>
      <c r="N75" s="55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55"/>
    </row>
    <row r="77" spans="1:30" x14ac:dyDescent="0.2">
      <c r="A77" s="7"/>
      <c r="B77" s="7"/>
      <c r="C77" s="7"/>
      <c r="D77" s="7"/>
      <c r="E77" s="7"/>
      <c r="F77" s="7"/>
      <c r="G77" s="13" t="s">
        <v>2</v>
      </c>
      <c r="H77" s="3"/>
      <c r="I77" s="3"/>
      <c r="J77" s="13"/>
      <c r="K77" s="3"/>
      <c r="L77" s="3"/>
      <c r="M77" s="4"/>
      <c r="N77" s="4">
        <v>2000</v>
      </c>
      <c r="O77" s="4">
        <f>14/12</f>
        <v>1.1666666666666667</v>
      </c>
      <c r="P77" s="4"/>
      <c r="Q77" s="4">
        <v>14</v>
      </c>
      <c r="R77" s="4"/>
      <c r="S77" s="4">
        <v>0.5</v>
      </c>
      <c r="T77" s="4">
        <v>0.5</v>
      </c>
      <c r="U77" s="4">
        <v>5.5E-2</v>
      </c>
      <c r="V77" s="4">
        <v>8.5000000000000006E-2</v>
      </c>
      <c r="W77" s="4">
        <f>1.5/12</f>
        <v>0.125</v>
      </c>
      <c r="X77" s="4">
        <f>1.75/12</f>
        <v>0.14583333333333334</v>
      </c>
      <c r="Y77" s="4">
        <v>2000</v>
      </c>
      <c r="Z77" s="3"/>
      <c r="AA77" s="3"/>
      <c r="AB77" s="3"/>
      <c r="AC77" s="3"/>
      <c r="AD77" s="3">
        <v>0.25</v>
      </c>
    </row>
    <row r="78" spans="1:30" x14ac:dyDescent="0.2">
      <c r="A78" s="7"/>
      <c r="B78" s="7"/>
      <c r="C78" s="7"/>
      <c r="D78" s="7"/>
      <c r="E78" s="7"/>
      <c r="F78" s="7"/>
      <c r="G78" s="13" t="s">
        <v>1</v>
      </c>
      <c r="H78" s="11">
        <f>4/12</f>
        <v>0.33333333333333331</v>
      </c>
      <c r="I78" s="11">
        <f>10/12</f>
        <v>0.83333333333333337</v>
      </c>
      <c r="J78" s="12">
        <f>18/12</f>
        <v>1.5</v>
      </c>
      <c r="K78" s="11">
        <v>1.5</v>
      </c>
      <c r="L78" s="11"/>
      <c r="M78" s="10">
        <v>9</v>
      </c>
      <c r="N78" s="10"/>
      <c r="O78" s="10">
        <v>27</v>
      </c>
      <c r="P78" s="10"/>
      <c r="Q78" s="10">
        <v>2204.623</v>
      </c>
      <c r="R78" s="10">
        <v>9</v>
      </c>
      <c r="S78" s="10">
        <v>27</v>
      </c>
      <c r="T78" s="10">
        <v>27</v>
      </c>
      <c r="U78" s="10">
        <v>9</v>
      </c>
      <c r="V78" s="10">
        <v>9</v>
      </c>
      <c r="W78" s="10">
        <v>27</v>
      </c>
      <c r="X78" s="10">
        <v>27</v>
      </c>
      <c r="Y78" s="9"/>
      <c r="Z78" s="8"/>
      <c r="AA78" s="8"/>
      <c r="AB78" s="8"/>
      <c r="AC78" s="3"/>
      <c r="AD78" s="8"/>
    </row>
    <row r="79" spans="1:30" x14ac:dyDescent="0.2">
      <c r="A79" s="7"/>
      <c r="B79" s="7"/>
      <c r="C79" s="7"/>
      <c r="D79" s="7"/>
      <c r="E79" s="7"/>
      <c r="F79" s="7"/>
      <c r="G79" s="6" t="s">
        <v>0</v>
      </c>
      <c r="H79" s="3"/>
      <c r="I79" s="3"/>
      <c r="J79" s="6"/>
      <c r="K79" s="3"/>
      <c r="L79" s="3"/>
      <c r="M79" s="4">
        <v>10000</v>
      </c>
      <c r="N79" s="5">
        <v>45000</v>
      </c>
      <c r="O79" s="4">
        <v>15020</v>
      </c>
      <c r="P79" s="5">
        <v>1500</v>
      </c>
      <c r="Q79" s="4">
        <v>10500</v>
      </c>
      <c r="R79" s="5">
        <v>1000</v>
      </c>
      <c r="S79" s="4">
        <v>46020</v>
      </c>
      <c r="T79" s="4">
        <v>20000</v>
      </c>
      <c r="U79" s="4">
        <v>10000</v>
      </c>
      <c r="V79" s="4">
        <v>10000</v>
      </c>
      <c r="W79" s="4">
        <v>50100</v>
      </c>
      <c r="X79" s="4">
        <v>50300</v>
      </c>
      <c r="Y79" s="4"/>
      <c r="Z79" s="3"/>
      <c r="AA79" s="3"/>
      <c r="AB79" s="3"/>
      <c r="AC79" s="3"/>
      <c r="AD79" s="3">
        <v>10000</v>
      </c>
    </row>
  </sheetData>
  <mergeCells count="57">
    <mergeCell ref="AA17:AB17"/>
    <mergeCell ref="AA18:AB18"/>
    <mergeCell ref="M2:M12"/>
    <mergeCell ref="A44:B44"/>
    <mergeCell ref="A45:B45"/>
    <mergeCell ref="Q2:Q12"/>
    <mergeCell ref="Y2:Y12"/>
    <mergeCell ref="N2:N12"/>
    <mergeCell ref="P2:P12"/>
    <mergeCell ref="R2:R12"/>
    <mergeCell ref="S2:S12"/>
    <mergeCell ref="T2:T12"/>
    <mergeCell ref="V2:V12"/>
    <mergeCell ref="W2:W12"/>
    <mergeCell ref="X2:X12"/>
    <mergeCell ref="U2:U12"/>
    <mergeCell ref="A14:B14"/>
    <mergeCell ref="L1:L12"/>
    <mergeCell ref="I1:I12"/>
    <mergeCell ref="K1:K12"/>
    <mergeCell ref="J1:J12"/>
    <mergeCell ref="H1:H12"/>
    <mergeCell ref="A1:B13"/>
    <mergeCell ref="G1:G12"/>
    <mergeCell ref="F1:F12"/>
    <mergeCell ref="E1:E12"/>
    <mergeCell ref="D1:D12"/>
    <mergeCell ref="O2:O12"/>
    <mergeCell ref="O74:O75"/>
    <mergeCell ref="A36:B36"/>
    <mergeCell ref="A37:B37"/>
    <mergeCell ref="A40:B40"/>
    <mergeCell ref="A41:B41"/>
    <mergeCell ref="A66:B66"/>
    <mergeCell ref="A25:B25"/>
    <mergeCell ref="A28:B28"/>
    <mergeCell ref="A29:B29"/>
    <mergeCell ref="A32:B32"/>
    <mergeCell ref="A33:B33"/>
    <mergeCell ref="C1:C13"/>
    <mergeCell ref="A74:L75"/>
    <mergeCell ref="M74:M75"/>
    <mergeCell ref="N74:N75"/>
    <mergeCell ref="Y74:Y75"/>
    <mergeCell ref="S74:S75"/>
    <mergeCell ref="T74:T75"/>
    <mergeCell ref="V74:V75"/>
    <mergeCell ref="W74:W75"/>
    <mergeCell ref="X74:X75"/>
    <mergeCell ref="U74:U75"/>
    <mergeCell ref="P74:P75"/>
    <mergeCell ref="A15:B15"/>
    <mergeCell ref="A24:B24"/>
    <mergeCell ref="R74:R75"/>
    <mergeCell ref="Q74:Q75"/>
    <mergeCell ref="A48:B48"/>
    <mergeCell ref="A51:B51"/>
  </mergeCells>
  <pageMargins left="0.75" right="0.75" top="1" bottom="1" header="0.5" footer="0.5"/>
  <pageSetup paperSize="3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E5D4-96E6-4C66-B215-0F00396E1ABA}">
  <sheetPr>
    <pageSetUpPr fitToPage="1"/>
  </sheetPr>
  <dimension ref="A1:AD79"/>
  <sheetViews>
    <sheetView zoomScale="85" zoomScaleNormal="85" workbookViewId="0">
      <pane ySplit="13" topLeftCell="A47" activePane="bottomLeft" state="frozen"/>
      <selection activeCell="W13" sqref="W13"/>
      <selection pane="bottomLeft" activeCell="A40" sqref="A40"/>
    </sheetView>
  </sheetViews>
  <sheetFormatPr defaultRowHeight="12.75" x14ac:dyDescent="0.2"/>
  <cols>
    <col min="1" max="1" width="18.7109375" style="1" customWidth="1"/>
    <col min="2" max="2" width="19" style="1" customWidth="1"/>
    <col min="3" max="12" width="9.85546875" style="1" customWidth="1"/>
    <col min="13" max="25" width="9.85546875" style="2" customWidth="1"/>
    <col min="26" max="26" width="9.140625" style="1"/>
    <col min="27" max="27" width="10.42578125" style="1" bestFit="1" customWidth="1"/>
    <col min="28" max="16384" width="9.140625" style="1"/>
  </cols>
  <sheetData>
    <row r="1" spans="1:27" ht="12.75" customHeight="1" x14ac:dyDescent="0.2">
      <c r="A1" s="56" t="s">
        <v>21</v>
      </c>
      <c r="B1" s="73"/>
      <c r="C1" s="78" t="s">
        <v>20</v>
      </c>
      <c r="D1" s="81" t="s">
        <v>19</v>
      </c>
      <c r="E1" s="81" t="s">
        <v>18</v>
      </c>
      <c r="F1" s="81" t="s">
        <v>17</v>
      </c>
      <c r="G1" s="81" t="s">
        <v>16</v>
      </c>
      <c r="H1" s="81" t="s">
        <v>15</v>
      </c>
      <c r="I1" s="81" t="s">
        <v>14</v>
      </c>
      <c r="J1" s="81" t="s">
        <v>40</v>
      </c>
      <c r="K1" s="81" t="s">
        <v>43</v>
      </c>
      <c r="L1" s="81"/>
      <c r="M1" s="34">
        <v>204</v>
      </c>
      <c r="N1" s="34">
        <v>206</v>
      </c>
      <c r="O1" s="34">
        <v>206</v>
      </c>
      <c r="P1" s="34">
        <v>206</v>
      </c>
      <c r="Q1" s="34">
        <v>206</v>
      </c>
      <c r="R1" s="34">
        <v>254</v>
      </c>
      <c r="S1" s="34">
        <v>301</v>
      </c>
      <c r="T1" s="34">
        <v>304</v>
      </c>
      <c r="U1" s="34">
        <v>407</v>
      </c>
      <c r="V1" s="34">
        <v>407</v>
      </c>
      <c r="W1" s="34">
        <v>441</v>
      </c>
      <c r="X1" s="34">
        <v>441</v>
      </c>
      <c r="Y1" s="34"/>
    </row>
    <row r="2" spans="1:27" ht="12.75" customHeight="1" x14ac:dyDescent="0.2">
      <c r="A2" s="74"/>
      <c r="B2" s="75"/>
      <c r="C2" s="79"/>
      <c r="D2" s="82"/>
      <c r="E2" s="82"/>
      <c r="F2" s="82"/>
      <c r="G2" s="82"/>
      <c r="H2" s="82"/>
      <c r="I2" s="82"/>
      <c r="J2" s="82"/>
      <c r="K2" s="82"/>
      <c r="L2" s="82"/>
      <c r="M2" s="69" t="s">
        <v>13</v>
      </c>
      <c r="N2" s="69" t="s">
        <v>12</v>
      </c>
      <c r="O2" s="68" t="s">
        <v>42</v>
      </c>
      <c r="P2" s="68" t="s">
        <v>56</v>
      </c>
      <c r="Q2" s="68" t="s">
        <v>59</v>
      </c>
      <c r="R2" s="68" t="s">
        <v>11</v>
      </c>
      <c r="S2" s="68" t="s">
        <v>62</v>
      </c>
      <c r="T2" s="70" t="s">
        <v>63</v>
      </c>
      <c r="U2" s="68" t="s">
        <v>57</v>
      </c>
      <c r="V2" s="68" t="s">
        <v>58</v>
      </c>
      <c r="W2" s="70" t="s">
        <v>65</v>
      </c>
      <c r="X2" s="68" t="s">
        <v>61</v>
      </c>
      <c r="Y2" s="68"/>
    </row>
    <row r="3" spans="1:27" ht="12.75" customHeight="1" x14ac:dyDescent="0.2">
      <c r="A3" s="74"/>
      <c r="B3" s="75"/>
      <c r="C3" s="79"/>
      <c r="D3" s="82"/>
      <c r="E3" s="82"/>
      <c r="F3" s="82"/>
      <c r="G3" s="82"/>
      <c r="H3" s="82"/>
      <c r="I3" s="82"/>
      <c r="J3" s="82"/>
      <c r="K3" s="82"/>
      <c r="L3" s="82"/>
      <c r="M3" s="69"/>
      <c r="N3" s="69"/>
      <c r="O3" s="69"/>
      <c r="P3" s="69"/>
      <c r="Q3" s="69"/>
      <c r="R3" s="69"/>
      <c r="S3" s="69"/>
      <c r="T3" s="71"/>
      <c r="U3" s="69"/>
      <c r="V3" s="69"/>
      <c r="W3" s="71"/>
      <c r="X3" s="69"/>
      <c r="Y3" s="69"/>
    </row>
    <row r="4" spans="1:27" ht="12.75" customHeight="1" x14ac:dyDescent="0.2">
      <c r="A4" s="74"/>
      <c r="B4" s="75"/>
      <c r="C4" s="79"/>
      <c r="D4" s="82"/>
      <c r="E4" s="82"/>
      <c r="F4" s="82"/>
      <c r="G4" s="82"/>
      <c r="H4" s="82"/>
      <c r="I4" s="82"/>
      <c r="J4" s="82"/>
      <c r="K4" s="82"/>
      <c r="L4" s="82"/>
      <c r="M4" s="69"/>
      <c r="N4" s="69"/>
      <c r="O4" s="69"/>
      <c r="P4" s="69"/>
      <c r="Q4" s="69"/>
      <c r="R4" s="69"/>
      <c r="S4" s="69"/>
      <c r="T4" s="71"/>
      <c r="U4" s="69"/>
      <c r="V4" s="69"/>
      <c r="W4" s="71"/>
      <c r="X4" s="69"/>
      <c r="Y4" s="69"/>
    </row>
    <row r="5" spans="1:27" ht="12.75" customHeight="1" x14ac:dyDescent="0.2">
      <c r="A5" s="74"/>
      <c r="B5" s="75"/>
      <c r="C5" s="79"/>
      <c r="D5" s="82"/>
      <c r="E5" s="82"/>
      <c r="F5" s="82"/>
      <c r="G5" s="82"/>
      <c r="H5" s="82"/>
      <c r="I5" s="82"/>
      <c r="J5" s="82"/>
      <c r="K5" s="82"/>
      <c r="L5" s="82"/>
      <c r="M5" s="69"/>
      <c r="N5" s="69"/>
      <c r="O5" s="69"/>
      <c r="P5" s="69"/>
      <c r="Q5" s="69"/>
      <c r="R5" s="69"/>
      <c r="S5" s="69"/>
      <c r="T5" s="71"/>
      <c r="U5" s="69"/>
      <c r="V5" s="69"/>
      <c r="W5" s="71"/>
      <c r="X5" s="69"/>
      <c r="Y5" s="69"/>
    </row>
    <row r="6" spans="1:27" ht="12.75" customHeight="1" x14ac:dyDescent="0.2">
      <c r="A6" s="74"/>
      <c r="B6" s="75"/>
      <c r="C6" s="79"/>
      <c r="D6" s="82"/>
      <c r="E6" s="82"/>
      <c r="F6" s="82"/>
      <c r="G6" s="82"/>
      <c r="H6" s="82"/>
      <c r="I6" s="82"/>
      <c r="J6" s="82"/>
      <c r="K6" s="82"/>
      <c r="L6" s="82"/>
      <c r="M6" s="69"/>
      <c r="N6" s="69"/>
      <c r="O6" s="69"/>
      <c r="P6" s="69"/>
      <c r="Q6" s="69"/>
      <c r="R6" s="69"/>
      <c r="S6" s="69"/>
      <c r="T6" s="71"/>
      <c r="U6" s="69"/>
      <c r="V6" s="69"/>
      <c r="W6" s="71"/>
      <c r="X6" s="69"/>
      <c r="Y6" s="69"/>
    </row>
    <row r="7" spans="1:27" ht="12.75" customHeight="1" x14ac:dyDescent="0.2">
      <c r="A7" s="74"/>
      <c r="B7" s="75"/>
      <c r="C7" s="79"/>
      <c r="D7" s="82"/>
      <c r="E7" s="82"/>
      <c r="F7" s="82"/>
      <c r="G7" s="82"/>
      <c r="H7" s="82"/>
      <c r="I7" s="82"/>
      <c r="J7" s="82"/>
      <c r="K7" s="82"/>
      <c r="L7" s="82"/>
      <c r="M7" s="69"/>
      <c r="N7" s="69"/>
      <c r="O7" s="69"/>
      <c r="P7" s="69"/>
      <c r="Q7" s="69"/>
      <c r="R7" s="69"/>
      <c r="S7" s="69"/>
      <c r="T7" s="71"/>
      <c r="U7" s="69"/>
      <c r="V7" s="69"/>
      <c r="W7" s="71"/>
      <c r="X7" s="69"/>
      <c r="Y7" s="69"/>
    </row>
    <row r="8" spans="1:27" ht="12.75" customHeight="1" x14ac:dyDescent="0.2">
      <c r="A8" s="74"/>
      <c r="B8" s="75"/>
      <c r="C8" s="79"/>
      <c r="D8" s="82"/>
      <c r="E8" s="82"/>
      <c r="F8" s="82"/>
      <c r="G8" s="82"/>
      <c r="H8" s="82"/>
      <c r="I8" s="82"/>
      <c r="J8" s="82"/>
      <c r="K8" s="82"/>
      <c r="L8" s="82"/>
      <c r="M8" s="69"/>
      <c r="N8" s="69"/>
      <c r="O8" s="69"/>
      <c r="P8" s="69"/>
      <c r="Q8" s="69"/>
      <c r="R8" s="69"/>
      <c r="S8" s="69"/>
      <c r="T8" s="71"/>
      <c r="U8" s="69"/>
      <c r="V8" s="69"/>
      <c r="W8" s="71"/>
      <c r="X8" s="69"/>
      <c r="Y8" s="69"/>
    </row>
    <row r="9" spans="1:27" ht="12.75" customHeight="1" x14ac:dyDescent="0.2">
      <c r="A9" s="74"/>
      <c r="B9" s="75"/>
      <c r="C9" s="79"/>
      <c r="D9" s="82"/>
      <c r="E9" s="82"/>
      <c r="F9" s="82"/>
      <c r="G9" s="82"/>
      <c r="H9" s="82"/>
      <c r="I9" s="82"/>
      <c r="J9" s="82"/>
      <c r="K9" s="82"/>
      <c r="L9" s="82"/>
      <c r="M9" s="69"/>
      <c r="N9" s="69"/>
      <c r="O9" s="69"/>
      <c r="P9" s="69"/>
      <c r="Q9" s="69"/>
      <c r="R9" s="69"/>
      <c r="S9" s="69"/>
      <c r="T9" s="71"/>
      <c r="U9" s="69"/>
      <c r="V9" s="69"/>
      <c r="W9" s="71"/>
      <c r="X9" s="69"/>
      <c r="Y9" s="69"/>
    </row>
    <row r="10" spans="1:27" ht="12.75" customHeight="1" x14ac:dyDescent="0.2">
      <c r="A10" s="74"/>
      <c r="B10" s="75"/>
      <c r="C10" s="79"/>
      <c r="D10" s="82"/>
      <c r="E10" s="82"/>
      <c r="F10" s="82"/>
      <c r="G10" s="82"/>
      <c r="H10" s="82"/>
      <c r="I10" s="82"/>
      <c r="J10" s="82"/>
      <c r="K10" s="82"/>
      <c r="L10" s="82"/>
      <c r="M10" s="69"/>
      <c r="N10" s="69"/>
      <c r="O10" s="69"/>
      <c r="P10" s="69"/>
      <c r="Q10" s="69"/>
      <c r="R10" s="69"/>
      <c r="S10" s="69"/>
      <c r="T10" s="71"/>
      <c r="U10" s="69"/>
      <c r="V10" s="69"/>
      <c r="W10" s="71"/>
      <c r="X10" s="69"/>
      <c r="Y10" s="69"/>
    </row>
    <row r="11" spans="1:27" ht="12.75" customHeight="1" x14ac:dyDescent="0.2">
      <c r="A11" s="74"/>
      <c r="B11" s="75"/>
      <c r="C11" s="79"/>
      <c r="D11" s="82"/>
      <c r="E11" s="82"/>
      <c r="F11" s="82"/>
      <c r="G11" s="82"/>
      <c r="H11" s="82"/>
      <c r="I11" s="82"/>
      <c r="J11" s="82"/>
      <c r="K11" s="82"/>
      <c r="L11" s="82"/>
      <c r="M11" s="69"/>
      <c r="N11" s="69"/>
      <c r="O11" s="69"/>
      <c r="P11" s="69"/>
      <c r="Q11" s="69"/>
      <c r="R11" s="69"/>
      <c r="S11" s="69"/>
      <c r="T11" s="71"/>
      <c r="U11" s="69"/>
      <c r="V11" s="69"/>
      <c r="W11" s="71"/>
      <c r="X11" s="69"/>
      <c r="Y11" s="69"/>
    </row>
    <row r="12" spans="1:27" ht="13.5" customHeight="1" x14ac:dyDescent="0.2">
      <c r="A12" s="74"/>
      <c r="B12" s="75"/>
      <c r="C12" s="79"/>
      <c r="D12" s="82"/>
      <c r="E12" s="82"/>
      <c r="F12" s="82"/>
      <c r="G12" s="82"/>
      <c r="H12" s="82"/>
      <c r="I12" s="82"/>
      <c r="J12" s="82"/>
      <c r="K12" s="83"/>
      <c r="L12" s="82"/>
      <c r="M12" s="69"/>
      <c r="N12" s="69"/>
      <c r="O12" s="69"/>
      <c r="P12" s="69"/>
      <c r="Q12" s="69"/>
      <c r="R12" s="69"/>
      <c r="S12" s="69"/>
      <c r="T12" s="72"/>
      <c r="U12" s="69"/>
      <c r="V12" s="69"/>
      <c r="W12" s="72"/>
      <c r="X12" s="69"/>
      <c r="Y12" s="69"/>
    </row>
    <row r="13" spans="1:27" ht="12.75" customHeight="1" thickBot="1" x14ac:dyDescent="0.25">
      <c r="A13" s="76"/>
      <c r="B13" s="77"/>
      <c r="C13" s="80"/>
      <c r="D13" s="33" t="s">
        <v>8</v>
      </c>
      <c r="E13" s="33" t="s">
        <v>8</v>
      </c>
      <c r="F13" s="33" t="s">
        <v>10</v>
      </c>
      <c r="G13" s="33" t="s">
        <v>10</v>
      </c>
      <c r="H13" s="33" t="s">
        <v>10</v>
      </c>
      <c r="I13" s="33" t="s">
        <v>10</v>
      </c>
      <c r="J13" s="33" t="s">
        <v>10</v>
      </c>
      <c r="K13" s="33" t="s">
        <v>10</v>
      </c>
      <c r="L13" s="33"/>
      <c r="M13" s="32" t="s">
        <v>7</v>
      </c>
      <c r="N13" s="32" t="s">
        <v>9</v>
      </c>
      <c r="O13" s="32" t="s">
        <v>7</v>
      </c>
      <c r="P13" s="32" t="s">
        <v>7</v>
      </c>
      <c r="Q13" s="32" t="s">
        <v>60</v>
      </c>
      <c r="R13" s="32" t="s">
        <v>7</v>
      </c>
      <c r="S13" s="32" t="s">
        <v>5</v>
      </c>
      <c r="T13" s="32" t="s">
        <v>5</v>
      </c>
      <c r="U13" s="32" t="s">
        <v>6</v>
      </c>
      <c r="V13" s="32" t="s">
        <v>6</v>
      </c>
      <c r="W13" s="32" t="s">
        <v>5</v>
      </c>
      <c r="X13" s="32" t="s">
        <v>5</v>
      </c>
      <c r="Y13" s="32"/>
    </row>
    <row r="14" spans="1:27" s="14" customFormat="1" ht="12.75" customHeight="1" x14ac:dyDescent="0.2">
      <c r="A14" s="66" t="s">
        <v>4</v>
      </c>
      <c r="B14" s="67"/>
      <c r="C14" s="22"/>
      <c r="D14" s="25"/>
      <c r="E14" s="25"/>
      <c r="F14" s="25"/>
      <c r="G14" s="25"/>
      <c r="H14" s="23"/>
      <c r="I14" s="23"/>
      <c r="J14" s="23"/>
      <c r="K14" s="23"/>
      <c r="L14" s="23"/>
      <c r="M14" s="23"/>
      <c r="N14" s="23"/>
      <c r="O14" s="23"/>
      <c r="P14" s="23"/>
      <c r="Q14" s="21" t="str">
        <f t="shared" ref="Q14:Q45" si="0">IF($O14="","",(0.75*$Q$77*115*0.05)*$O14/$Q$78)</f>
        <v/>
      </c>
      <c r="R14" s="23"/>
      <c r="S14" s="23"/>
      <c r="T14" s="23"/>
      <c r="U14" s="23"/>
      <c r="V14" s="23"/>
      <c r="W14" s="23"/>
      <c r="X14" s="23"/>
      <c r="Y14" s="23"/>
    </row>
    <row r="15" spans="1:27" s="14" customFormat="1" ht="12.75" customHeight="1" x14ac:dyDescent="0.2">
      <c r="A15" s="98" t="s">
        <v>22</v>
      </c>
      <c r="B15" s="99"/>
      <c r="C15" s="22"/>
      <c r="D15" s="25"/>
      <c r="E15" s="25"/>
      <c r="F15" s="25"/>
      <c r="G15" s="25"/>
      <c r="H15" s="23"/>
      <c r="I15" s="23"/>
      <c r="J15" s="23"/>
      <c r="K15" s="23"/>
      <c r="L15" s="23"/>
      <c r="M15" s="23"/>
      <c r="N15" s="23"/>
      <c r="O15" s="23"/>
      <c r="P15" s="23"/>
      <c r="Q15" s="21" t="str">
        <f t="shared" si="0"/>
        <v/>
      </c>
      <c r="R15" s="23"/>
      <c r="S15" s="23"/>
      <c r="T15" s="23"/>
      <c r="U15" s="23"/>
      <c r="V15" s="23"/>
      <c r="W15" s="23"/>
      <c r="X15" s="23"/>
      <c r="Y15" s="23"/>
      <c r="AA15" s="14" t="s">
        <v>48</v>
      </c>
    </row>
    <row r="16" spans="1:27" s="14" customFormat="1" ht="12.75" customHeight="1" x14ac:dyDescent="0.2">
      <c r="A16" s="47">
        <v>15475</v>
      </c>
      <c r="B16" s="48">
        <v>15700</v>
      </c>
      <c r="C16" s="22" t="s">
        <v>26</v>
      </c>
      <c r="D16" s="17">
        <f>B16-A16</f>
        <v>225</v>
      </c>
      <c r="E16" s="17">
        <v>16.41605289</v>
      </c>
      <c r="F16" s="17">
        <f>D16*E16</f>
        <v>3693.61190025</v>
      </c>
      <c r="G16" s="17"/>
      <c r="H16" s="21"/>
      <c r="I16" s="21"/>
      <c r="J16" s="21">
        <f>(D16*$J$78)</f>
        <v>337.5</v>
      </c>
      <c r="K16" s="21">
        <f>(D16*$K$78)</f>
        <v>337.5</v>
      </c>
      <c r="L16" s="21"/>
      <c r="M16" s="21"/>
      <c r="N16" s="21">
        <f>ROUNDUP(O16/N$77,2)</f>
        <v>0.23</v>
      </c>
      <c r="O16" s="21">
        <f>(F16+K16)/9</f>
        <v>447.90132225000002</v>
      </c>
      <c r="P16" s="21">
        <f>O16</f>
        <v>447.90132225000002</v>
      </c>
      <c r="Q16" s="21">
        <f t="shared" si="0"/>
        <v>12.266061966532941</v>
      </c>
      <c r="R16" s="21"/>
      <c r="S16" s="21">
        <f>(SUM(F16:G16)*$S$77)/$S$78</f>
        <v>68.400220375000004</v>
      </c>
      <c r="T16" s="21">
        <f>((F16+J16)*$T$77)/$T$78</f>
        <v>74.650220375000004</v>
      </c>
      <c r="U16" s="21">
        <f>((F16/$U$78)*$U$77)*2</f>
        <v>45.144145447500001</v>
      </c>
      <c r="V16" s="21"/>
      <c r="W16" s="21">
        <f>(F16*$W$77)/$W$78</f>
        <v>17.100055093750001</v>
      </c>
      <c r="X16" s="21">
        <f>(F16*$X$77)/$X$78</f>
        <v>19.950064276041669</v>
      </c>
      <c r="Y16" s="21"/>
      <c r="AA16" s="35">
        <f>SUM(F16,F18,G22,F26,G30,F34,F36,F39,F42,G46,F50,F53,F54,F56,F57)</f>
        <v>115227.53590866772</v>
      </c>
    </row>
    <row r="17" spans="1:28" s="14" customFormat="1" ht="12.75" customHeight="1" x14ac:dyDescent="0.2">
      <c r="A17" s="20"/>
      <c r="B17" s="19"/>
      <c r="C17" s="22"/>
      <c r="D17" s="17"/>
      <c r="E17" s="17"/>
      <c r="F17" s="17"/>
      <c r="G17" s="17"/>
      <c r="H17" s="21"/>
      <c r="I17" s="21"/>
      <c r="J17" s="21"/>
      <c r="K17" s="21"/>
      <c r="L17" s="21"/>
      <c r="M17" s="21"/>
      <c r="N17" s="21"/>
      <c r="O17" s="21"/>
      <c r="P17" s="21"/>
      <c r="Q17" s="21" t="str">
        <f t="shared" si="0"/>
        <v/>
      </c>
      <c r="R17" s="21"/>
      <c r="S17" s="21"/>
      <c r="T17" s="21"/>
      <c r="U17" s="21"/>
      <c r="V17" s="21"/>
      <c r="W17" s="21"/>
      <c r="X17" s="31"/>
      <c r="Y17" s="21"/>
    </row>
    <row r="18" spans="1:28" s="14" customFormat="1" ht="12.75" customHeight="1" x14ac:dyDescent="0.2">
      <c r="A18" s="47">
        <v>15700</v>
      </c>
      <c r="B18" s="48">
        <v>16399.98</v>
      </c>
      <c r="C18" s="22" t="s">
        <v>26</v>
      </c>
      <c r="D18" s="17">
        <f>B18-A18</f>
        <v>699.97999999999956</v>
      </c>
      <c r="E18" s="17">
        <v>17.5</v>
      </c>
      <c r="F18" s="17">
        <f>D18*E18</f>
        <v>12249.649999999992</v>
      </c>
      <c r="G18" s="17"/>
      <c r="H18" s="21"/>
      <c r="I18" s="21"/>
      <c r="J18" s="21">
        <f>(D18*$J$78)</f>
        <v>1049.9699999999993</v>
      </c>
      <c r="K18" s="21">
        <f>(D18*$K$78)</f>
        <v>1049.9699999999993</v>
      </c>
      <c r="L18" s="21"/>
      <c r="M18" s="21"/>
      <c r="N18" s="21">
        <f>ROUNDUP(O18/N$77,2)</f>
        <v>0.74</v>
      </c>
      <c r="O18" s="21">
        <f>(F18+K18)/9</f>
        <v>1477.7355555555546</v>
      </c>
      <c r="P18" s="21">
        <f>O18</f>
        <v>1477.7355555555546</v>
      </c>
      <c r="Q18" s="21">
        <f t="shared" si="0"/>
        <v>40.468726021032438</v>
      </c>
      <c r="R18" s="21"/>
      <c r="S18" s="21">
        <f>(SUM(F18:G18)*$S$77)/$S$78</f>
        <v>226.84537037037023</v>
      </c>
      <c r="T18" s="21">
        <f>((F18+J18)*$T$77)/$T$78</f>
        <v>246.2892592592591</v>
      </c>
      <c r="U18" s="21">
        <f>((F18/$U$78)*$U$77)*2</f>
        <v>149.71794444444436</v>
      </c>
      <c r="V18" s="21"/>
      <c r="W18" s="21">
        <f>(F18*$W$77)/$W$78</f>
        <v>56.711342592592558</v>
      </c>
      <c r="X18" s="21">
        <f>(F18*$X$77)/$X$78</f>
        <v>66.163233024691323</v>
      </c>
      <c r="Y18" s="21"/>
      <c r="AA18" s="84" t="s">
        <v>49</v>
      </c>
      <c r="AB18" s="84"/>
    </row>
    <row r="19" spans="1:28" s="14" customFormat="1" ht="12.75" customHeight="1" x14ac:dyDescent="0.2">
      <c r="A19" s="20"/>
      <c r="B19" s="19"/>
      <c r="C19" s="22"/>
      <c r="D19" s="17"/>
      <c r="E19" s="17"/>
      <c r="F19" s="17"/>
      <c r="G19" s="17"/>
      <c r="H19" s="21"/>
      <c r="I19" s="21"/>
      <c r="J19" s="21"/>
      <c r="K19" s="21"/>
      <c r="L19" s="21"/>
      <c r="M19" s="21"/>
      <c r="N19" s="21"/>
      <c r="O19" s="21"/>
      <c r="P19" s="21"/>
      <c r="Q19" s="21" t="str">
        <f t="shared" si="0"/>
        <v/>
      </c>
      <c r="R19" s="21"/>
      <c r="S19" s="21"/>
      <c r="T19" s="21"/>
      <c r="U19" s="21"/>
      <c r="V19" s="21"/>
      <c r="W19" s="21"/>
      <c r="X19" s="31"/>
      <c r="Y19" s="21"/>
      <c r="AA19" s="85">
        <f>SUM(F39,F53,F56)</f>
        <v>6436.9465004709991</v>
      </c>
      <c r="AB19" s="84"/>
    </row>
    <row r="20" spans="1:28" s="14" customFormat="1" ht="12.75" customHeight="1" x14ac:dyDescent="0.2">
      <c r="A20" s="100" t="s">
        <v>27</v>
      </c>
      <c r="B20" s="101"/>
      <c r="C20" s="22"/>
      <c r="D20" s="17"/>
      <c r="E20" s="17"/>
      <c r="F20" s="17"/>
      <c r="G20" s="17"/>
      <c r="H20" s="21"/>
      <c r="I20" s="21"/>
      <c r="J20" s="21"/>
      <c r="K20" s="21"/>
      <c r="L20" s="21"/>
      <c r="M20" s="21"/>
      <c r="N20" s="21"/>
      <c r="O20" s="21"/>
      <c r="P20" s="21"/>
      <c r="Q20" s="21" t="str">
        <f t="shared" si="0"/>
        <v/>
      </c>
      <c r="R20" s="21"/>
      <c r="S20" s="21"/>
      <c r="T20" s="21"/>
      <c r="U20" s="21"/>
      <c r="V20" s="21"/>
      <c r="W20" s="21"/>
      <c r="X20" s="31"/>
      <c r="Y20" s="21"/>
    </row>
    <row r="21" spans="1:28" s="14" customFormat="1" ht="12.75" customHeight="1" x14ac:dyDescent="0.2">
      <c r="A21" s="98" t="s">
        <v>22</v>
      </c>
      <c r="B21" s="99"/>
      <c r="C21" s="22"/>
      <c r="D21" s="17"/>
      <c r="E21" s="17"/>
      <c r="F21" s="17"/>
      <c r="G21" s="17"/>
      <c r="H21" s="21"/>
      <c r="I21" s="21"/>
      <c r="J21" s="21"/>
      <c r="K21" s="21"/>
      <c r="L21" s="21"/>
      <c r="M21" s="21"/>
      <c r="N21" s="21"/>
      <c r="O21" s="21"/>
      <c r="P21" s="21"/>
      <c r="Q21" s="21" t="str">
        <f t="shared" si="0"/>
        <v/>
      </c>
      <c r="R21" s="21"/>
      <c r="S21" s="24"/>
      <c r="T21" s="24"/>
      <c r="U21" s="21"/>
      <c r="V21" s="21"/>
      <c r="W21" s="21"/>
      <c r="X21" s="21"/>
      <c r="Y21" s="23"/>
    </row>
    <row r="22" spans="1:28" s="14" customFormat="1" ht="12.75" customHeight="1" x14ac:dyDescent="0.2">
      <c r="A22" s="49">
        <v>16399.98</v>
      </c>
      <c r="B22" s="48">
        <v>16497.98</v>
      </c>
      <c r="C22" s="22" t="s">
        <v>26</v>
      </c>
      <c r="D22" s="17">
        <f t="shared" ref="D22" si="1">B22-A22</f>
        <v>98</v>
      </c>
      <c r="E22" s="17" t="s">
        <v>24</v>
      </c>
      <c r="F22" s="17" t="s">
        <v>24</v>
      </c>
      <c r="G22" s="17">
        <v>3220.8182000000002</v>
      </c>
      <c r="H22" s="21"/>
      <c r="I22" s="21"/>
      <c r="J22" s="21">
        <f>(D22*$J$78)</f>
        <v>147</v>
      </c>
      <c r="K22" s="21">
        <f>(D22*$K$78)</f>
        <v>147</v>
      </c>
      <c r="L22" s="21"/>
      <c r="M22" s="21"/>
      <c r="N22" s="21">
        <f>ROUNDUP(O22/N$77,2)</f>
        <v>0.19</v>
      </c>
      <c r="O22" s="21">
        <f>(G22+K22)/9</f>
        <v>374.20202222222224</v>
      </c>
      <c r="P22" s="21">
        <f>O22</f>
        <v>374.20202222222224</v>
      </c>
      <c r="Q22" s="21">
        <f t="shared" si="0"/>
        <v>10.247759862646207</v>
      </c>
      <c r="R22" s="21"/>
      <c r="S22" s="21">
        <f>(SUM(F22:G22)*$S$77)/$S$78</f>
        <v>59.644781481481488</v>
      </c>
      <c r="T22" s="21">
        <f>((G22+J22)*$T$77)/$T$78</f>
        <v>62.367003703703709</v>
      </c>
      <c r="U22" s="21">
        <f>((G22/$U$78)*$U$77)*2</f>
        <v>39.365555777777779</v>
      </c>
      <c r="V22" s="21"/>
      <c r="W22" s="21">
        <f>(G22*$W$77)/$W$78</f>
        <v>14.911195370370372</v>
      </c>
      <c r="X22" s="21">
        <f>(G22*$X$77)/$X$78</f>
        <v>17.396394598765433</v>
      </c>
      <c r="Y22" s="21"/>
    </row>
    <row r="23" spans="1:28" s="14" customFormat="1" ht="12.75" customHeight="1" x14ac:dyDescent="0.2">
      <c r="A23" s="20"/>
      <c r="B23" s="19"/>
      <c r="C23" s="22"/>
      <c r="D23" s="17"/>
      <c r="E23" s="17"/>
      <c r="F23" s="17"/>
      <c r="G23" s="17"/>
      <c r="H23" s="21"/>
      <c r="I23" s="21"/>
      <c r="J23" s="21"/>
      <c r="K23" s="21"/>
      <c r="L23" s="21"/>
      <c r="M23" s="21"/>
      <c r="N23" s="21"/>
      <c r="O23" s="21"/>
      <c r="P23" s="21"/>
      <c r="Q23" s="21" t="str">
        <f t="shared" si="0"/>
        <v/>
      </c>
      <c r="R23" s="21"/>
      <c r="S23" s="21"/>
      <c r="T23" s="21"/>
      <c r="U23" s="21"/>
      <c r="V23" s="21"/>
      <c r="W23" s="21"/>
      <c r="X23" s="31"/>
      <c r="Y23" s="21"/>
    </row>
    <row r="24" spans="1:28" s="14" customFormat="1" ht="12.75" customHeight="1" x14ac:dyDescent="0.2">
      <c r="A24" s="66" t="s">
        <v>4</v>
      </c>
      <c r="B24" s="67"/>
      <c r="C24" s="22"/>
      <c r="D24" s="17"/>
      <c r="E24" s="17"/>
      <c r="F24" s="17"/>
      <c r="G24" s="17"/>
      <c r="H24" s="21"/>
      <c r="I24" s="21"/>
      <c r="J24" s="21"/>
      <c r="K24" s="21"/>
      <c r="L24" s="21"/>
      <c r="M24" s="21"/>
      <c r="N24" s="21"/>
      <c r="O24" s="21"/>
      <c r="P24" s="21"/>
      <c r="Q24" s="21" t="str">
        <f t="shared" si="0"/>
        <v/>
      </c>
      <c r="R24" s="21"/>
      <c r="S24" s="21"/>
      <c r="T24" s="21"/>
      <c r="U24" s="21"/>
      <c r="V24" s="21"/>
      <c r="W24" s="21"/>
      <c r="X24" s="31"/>
      <c r="Y24" s="21"/>
    </row>
    <row r="25" spans="1:28" s="14" customFormat="1" ht="12.75" customHeight="1" x14ac:dyDescent="0.2">
      <c r="A25" s="98" t="s">
        <v>22</v>
      </c>
      <c r="B25" s="99"/>
      <c r="C25" s="22"/>
      <c r="D25" s="17"/>
      <c r="E25" s="17"/>
      <c r="F25" s="17"/>
      <c r="G25" s="17"/>
      <c r="H25" s="21"/>
      <c r="I25" s="21"/>
      <c r="J25" s="21"/>
      <c r="K25" s="21"/>
      <c r="L25" s="21"/>
      <c r="M25" s="21"/>
      <c r="N25" s="21"/>
      <c r="O25" s="21"/>
      <c r="P25" s="21"/>
      <c r="Q25" s="21" t="str">
        <f t="shared" si="0"/>
        <v/>
      </c>
      <c r="R25" s="21"/>
      <c r="S25" s="21"/>
      <c r="T25" s="21"/>
      <c r="U25" s="21"/>
      <c r="V25" s="21"/>
      <c r="W25" s="21"/>
      <c r="X25" s="31"/>
      <c r="Y25" s="21"/>
    </row>
    <row r="26" spans="1:28" s="14" customFormat="1" ht="12.75" customHeight="1" x14ac:dyDescent="0.2">
      <c r="A26" s="49">
        <v>16497.98</v>
      </c>
      <c r="B26" s="48">
        <v>17343.96</v>
      </c>
      <c r="C26" s="28" t="s">
        <v>26</v>
      </c>
      <c r="D26" s="17">
        <f>B26-A26</f>
        <v>845.97999999999956</v>
      </c>
      <c r="E26" s="17">
        <v>17.5</v>
      </c>
      <c r="F26" s="17">
        <f>D26*E26</f>
        <v>14804.649999999992</v>
      </c>
      <c r="G26" s="17"/>
      <c r="H26" s="21"/>
      <c r="I26" s="21"/>
      <c r="J26" s="21">
        <f>(D26*$J$78)</f>
        <v>1268.9699999999993</v>
      </c>
      <c r="K26" s="21">
        <f>(D26*$K$78)</f>
        <v>1268.9699999999993</v>
      </c>
      <c r="L26" s="21"/>
      <c r="M26" s="21"/>
      <c r="N26" s="21">
        <f>ROUNDUP(O26/N$77,2)</f>
        <v>0.9</v>
      </c>
      <c r="O26" s="21">
        <f>(F26+K26)/9</f>
        <v>1785.9577777777768</v>
      </c>
      <c r="P26" s="21">
        <f>O26</f>
        <v>1785.9577777777768</v>
      </c>
      <c r="Q26" s="21">
        <f t="shared" si="0"/>
        <v>48.909587187166821</v>
      </c>
      <c r="R26" s="21"/>
      <c r="S26" s="21">
        <f>(SUM(F26:G26)*$S$77)/$S$78</f>
        <v>274.16018518518507</v>
      </c>
      <c r="T26" s="21">
        <f>((F26+J26)*$T$77)/$T$78</f>
        <v>297.65962962962948</v>
      </c>
      <c r="U26" s="21">
        <f>((F26/$U$78)*$U$77)*2</f>
        <v>180.94572222222214</v>
      </c>
      <c r="V26" s="21"/>
      <c r="W26" s="21">
        <f>(F26*$W$77)/$W$78</f>
        <v>68.540046296296268</v>
      </c>
      <c r="X26" s="21">
        <f>(F26*$X$77)/$X$78</f>
        <v>79.963387345678981</v>
      </c>
      <c r="Y26" s="21"/>
    </row>
    <row r="27" spans="1:28" s="14" customFormat="1" ht="12.75" customHeight="1" x14ac:dyDescent="0.2">
      <c r="A27" s="50"/>
      <c r="B27" s="19"/>
      <c r="C27" s="28"/>
      <c r="D27" s="17"/>
      <c r="E27" s="17"/>
      <c r="F27" s="17"/>
      <c r="G27" s="17"/>
      <c r="H27" s="21"/>
      <c r="I27" s="21"/>
      <c r="J27" s="21"/>
      <c r="K27" s="21"/>
      <c r="L27" s="21"/>
      <c r="M27" s="21"/>
      <c r="N27" s="21"/>
      <c r="O27" s="26"/>
      <c r="P27" s="21"/>
      <c r="Q27" s="21" t="str">
        <f t="shared" si="0"/>
        <v/>
      </c>
      <c r="R27" s="21"/>
      <c r="S27" s="24"/>
      <c r="T27" s="24"/>
      <c r="U27" s="21"/>
      <c r="V27" s="21"/>
      <c r="W27" s="21"/>
      <c r="X27" s="21"/>
      <c r="Y27" s="21"/>
    </row>
    <row r="28" spans="1:28" s="14" customFormat="1" ht="12.75" customHeight="1" x14ac:dyDescent="0.2">
      <c r="A28" s="100" t="s">
        <v>31</v>
      </c>
      <c r="B28" s="101"/>
      <c r="C28" s="22"/>
      <c r="D28" s="17"/>
      <c r="E28" s="17"/>
      <c r="F28" s="17"/>
      <c r="G28" s="17"/>
      <c r="H28" s="21"/>
      <c r="I28" s="21"/>
      <c r="J28" s="21"/>
      <c r="K28" s="21"/>
      <c r="L28" s="21"/>
      <c r="M28" s="21"/>
      <c r="N28" s="21"/>
      <c r="O28" s="21"/>
      <c r="P28" s="21"/>
      <c r="Q28" s="21" t="str">
        <f t="shared" si="0"/>
        <v/>
      </c>
      <c r="R28" s="21"/>
      <c r="S28" s="24"/>
      <c r="T28" s="24"/>
      <c r="U28" s="21"/>
      <c r="V28" s="21"/>
      <c r="W28" s="21"/>
      <c r="X28" s="21"/>
      <c r="Y28" s="21"/>
    </row>
    <row r="29" spans="1:28" s="14" customFormat="1" ht="12.75" customHeight="1" x14ac:dyDescent="0.2">
      <c r="A29" s="98" t="s">
        <v>22</v>
      </c>
      <c r="B29" s="99"/>
      <c r="C29" s="22"/>
      <c r="D29" s="17"/>
      <c r="E29" s="17"/>
      <c r="F29" s="17"/>
      <c r="G29" s="17"/>
      <c r="H29" s="21"/>
      <c r="I29" s="21"/>
      <c r="J29" s="21"/>
      <c r="K29" s="21"/>
      <c r="L29" s="21"/>
      <c r="M29" s="21"/>
      <c r="N29" s="21"/>
      <c r="O29" s="21"/>
      <c r="P29" s="21"/>
      <c r="Q29" s="21" t="str">
        <f t="shared" si="0"/>
        <v/>
      </c>
      <c r="R29" s="21"/>
      <c r="S29" s="24"/>
      <c r="T29" s="24"/>
      <c r="U29" s="21"/>
      <c r="V29" s="21"/>
      <c r="W29" s="21"/>
      <c r="X29" s="21"/>
      <c r="Y29" s="21"/>
    </row>
    <row r="30" spans="1:28" s="14" customFormat="1" ht="12.75" customHeight="1" x14ac:dyDescent="0.2">
      <c r="A30" s="47">
        <v>17343.96</v>
      </c>
      <c r="B30" s="48">
        <v>17438.939999999999</v>
      </c>
      <c r="C30" s="22" t="s">
        <v>26</v>
      </c>
      <c r="D30" s="17">
        <f>B30-A30</f>
        <v>94.979999999999563</v>
      </c>
      <c r="E30" s="17" t="s">
        <v>24</v>
      </c>
      <c r="F30" s="17" t="s">
        <v>24</v>
      </c>
      <c r="G30" s="17">
        <v>3018.7033999999999</v>
      </c>
      <c r="H30" s="21"/>
      <c r="I30" s="21"/>
      <c r="J30" s="21">
        <f>(D30*$J$78)</f>
        <v>142.46999999999935</v>
      </c>
      <c r="K30" s="21">
        <f>(D30*$K$78)</f>
        <v>142.46999999999935</v>
      </c>
      <c r="L30" s="21"/>
      <c r="M30" s="21"/>
      <c r="N30" s="21">
        <f>ROUNDUP(O30/N$77,2)</f>
        <v>0.18000000000000002</v>
      </c>
      <c r="O30" s="21">
        <f>(G30+K30)/9</f>
        <v>351.2414888888888</v>
      </c>
      <c r="P30" s="21">
        <f>O30</f>
        <v>351.2414888888888</v>
      </c>
      <c r="Q30" s="21">
        <f t="shared" si="0"/>
        <v>9.6189710856081341</v>
      </c>
      <c r="R30" s="21"/>
      <c r="S30" s="21">
        <f>(SUM(F30:G30)*$S$77)/$S$78</f>
        <v>55.901914814814809</v>
      </c>
      <c r="T30" s="21">
        <f>((G30+J30)*$T$77)/$T$78</f>
        <v>58.54024814814813</v>
      </c>
      <c r="U30" s="21">
        <f>((G30/$U$78)*$U$77)*2</f>
        <v>36.895263777777778</v>
      </c>
      <c r="V30" s="21"/>
      <c r="W30" s="21">
        <f>(G30*$W$77)/$W$78</f>
        <v>13.975478703703702</v>
      </c>
      <c r="X30" s="21">
        <f>(G30*$X$77)/$X$78</f>
        <v>16.304725154320987</v>
      </c>
      <c r="Y30" s="21"/>
    </row>
    <row r="31" spans="1:28" s="14" customFormat="1" ht="12.75" customHeight="1" x14ac:dyDescent="0.2">
      <c r="A31" s="50"/>
      <c r="B31" s="19"/>
      <c r="C31" s="22"/>
      <c r="D31" s="17"/>
      <c r="E31" s="17"/>
      <c r="F31" s="17"/>
      <c r="G31" s="17"/>
      <c r="H31" s="21"/>
      <c r="I31" s="21"/>
      <c r="J31" s="21"/>
      <c r="K31" s="21"/>
      <c r="L31" s="21"/>
      <c r="M31" s="24"/>
      <c r="N31" s="21"/>
      <c r="O31" s="21"/>
      <c r="P31" s="21"/>
      <c r="Q31" s="21" t="str">
        <f t="shared" si="0"/>
        <v/>
      </c>
      <c r="R31" s="21"/>
      <c r="S31" s="24"/>
      <c r="T31" s="24"/>
      <c r="U31" s="21"/>
      <c r="V31" s="21"/>
      <c r="W31" s="23"/>
      <c r="X31" s="21"/>
      <c r="Y31" s="21"/>
    </row>
    <row r="32" spans="1:28" s="14" customFormat="1" ht="12.75" customHeight="1" x14ac:dyDescent="0.2">
      <c r="A32" s="66" t="s">
        <v>4</v>
      </c>
      <c r="B32" s="67"/>
      <c r="C32" s="22"/>
      <c r="D32" s="17"/>
      <c r="E32" s="17"/>
      <c r="F32" s="17"/>
      <c r="G32" s="17"/>
      <c r="H32" s="21"/>
      <c r="I32" s="21"/>
      <c r="J32" s="21"/>
      <c r="K32" s="21"/>
      <c r="L32" s="21"/>
      <c r="M32" s="21"/>
      <c r="N32" s="21"/>
      <c r="O32" s="21"/>
      <c r="P32" s="21"/>
      <c r="Q32" s="21" t="str">
        <f t="shared" si="0"/>
        <v/>
      </c>
      <c r="R32" s="21"/>
      <c r="S32" s="24"/>
      <c r="T32" s="24"/>
      <c r="U32" s="21"/>
      <c r="V32" s="21"/>
      <c r="W32" s="21"/>
      <c r="X32" s="21"/>
      <c r="Y32" s="21"/>
    </row>
    <row r="33" spans="1:25" s="14" customFormat="1" ht="12.75" customHeight="1" x14ac:dyDescent="0.2">
      <c r="A33" s="98" t="s">
        <v>22</v>
      </c>
      <c r="B33" s="99"/>
      <c r="C33" s="22"/>
      <c r="D33" s="17"/>
      <c r="E33" s="17"/>
      <c r="F33" s="17"/>
      <c r="G33" s="17"/>
      <c r="H33" s="21"/>
      <c r="I33" s="21"/>
      <c r="J33" s="21"/>
      <c r="K33" s="21"/>
      <c r="L33" s="21"/>
      <c r="M33" s="24"/>
      <c r="N33" s="21"/>
      <c r="O33" s="21"/>
      <c r="P33" s="21"/>
      <c r="Q33" s="21" t="str">
        <f t="shared" si="0"/>
        <v/>
      </c>
      <c r="R33" s="21"/>
      <c r="S33" s="24"/>
      <c r="T33" s="24"/>
      <c r="U33" s="21"/>
      <c r="V33" s="21"/>
      <c r="W33" s="21"/>
      <c r="X33" s="21"/>
      <c r="Y33" s="21"/>
    </row>
    <row r="34" spans="1:25" s="14" customFormat="1" ht="12.75" customHeight="1" x14ac:dyDescent="0.2">
      <c r="A34" s="47">
        <v>17438.939999999999</v>
      </c>
      <c r="B34" s="48">
        <v>19499.689999999999</v>
      </c>
      <c r="C34" s="22" t="s">
        <v>26</v>
      </c>
      <c r="D34" s="17">
        <f>B34-A34</f>
        <v>2060.75</v>
      </c>
      <c r="E34" s="17">
        <v>17.5</v>
      </c>
      <c r="F34" s="17">
        <f>D34*E34</f>
        <v>36063.125</v>
      </c>
      <c r="G34" s="17"/>
      <c r="H34" s="21"/>
      <c r="I34" s="21"/>
      <c r="J34" s="21">
        <f>(D34*$J$78)</f>
        <v>3091.125</v>
      </c>
      <c r="K34" s="21">
        <f>(D34*$K$78)</f>
        <v>3091.125</v>
      </c>
      <c r="L34" s="21"/>
      <c r="M34" s="21"/>
      <c r="N34" s="21">
        <f>ROUNDUP(O34/N$77,2)</f>
        <v>2.1799999999999997</v>
      </c>
      <c r="O34" s="21">
        <f>(F34+K34)/9</f>
        <v>4350.4722222222226</v>
      </c>
      <c r="P34" s="21">
        <f>O34</f>
        <v>4350.4722222222226</v>
      </c>
      <c r="Q34" s="21">
        <f t="shared" si="0"/>
        <v>119.14044279528368</v>
      </c>
      <c r="R34" s="21"/>
      <c r="S34" s="21">
        <f>(SUM(F34:G34)*$S$77)/$S$78</f>
        <v>667.83564814814815</v>
      </c>
      <c r="T34" s="21">
        <f>((F34+J34)*$T$77)/$T$78</f>
        <v>725.0787037037037</v>
      </c>
      <c r="U34" s="21">
        <f>((F34/$U$78)*$U$77)*2</f>
        <v>440.77152777777775</v>
      </c>
      <c r="V34" s="21"/>
      <c r="W34" s="21">
        <f>(F34*$W$77)/$W$78</f>
        <v>166.95891203703704</v>
      </c>
      <c r="X34" s="21">
        <f>(F34*$X$77)/$X$78</f>
        <v>194.78539737654322</v>
      </c>
      <c r="Y34" s="21"/>
    </row>
    <row r="35" spans="1:25" s="14" customFormat="1" ht="12.75" customHeight="1" x14ac:dyDescent="0.2">
      <c r="A35" s="50"/>
      <c r="B35" s="19"/>
      <c r="C35" s="28"/>
      <c r="D35" s="17"/>
      <c r="E35" s="17"/>
      <c r="F35" s="17"/>
      <c r="G35" s="17"/>
      <c r="H35" s="21"/>
      <c r="I35" s="21"/>
      <c r="J35" s="21"/>
      <c r="K35" s="21"/>
      <c r="L35" s="21"/>
      <c r="M35" s="21"/>
      <c r="N35" s="21"/>
      <c r="O35" s="26"/>
      <c r="P35" s="21"/>
      <c r="Q35" s="21" t="str">
        <f t="shared" si="0"/>
        <v/>
      </c>
      <c r="R35" s="21"/>
      <c r="S35" s="24"/>
      <c r="T35" s="24"/>
      <c r="U35" s="21"/>
      <c r="V35" s="21"/>
      <c r="W35" s="21"/>
      <c r="X35" s="21"/>
      <c r="Y35" s="21"/>
    </row>
    <row r="36" spans="1:25" s="14" customFormat="1" ht="12.75" customHeight="1" x14ac:dyDescent="0.2">
      <c r="A36" s="47">
        <v>19499.689999999999</v>
      </c>
      <c r="B36" s="48">
        <v>19801.2</v>
      </c>
      <c r="C36" s="22" t="s">
        <v>26</v>
      </c>
      <c r="D36" s="17">
        <f>B36-A36</f>
        <v>301.51000000000204</v>
      </c>
      <c r="E36" s="17">
        <v>20.341917375697882</v>
      </c>
      <c r="F36" s="17">
        <f>D36*E36</f>
        <v>6133.2915079467102</v>
      </c>
      <c r="G36" s="17"/>
      <c r="H36" s="21"/>
      <c r="I36" s="21"/>
      <c r="J36" s="21">
        <f>(D36*$J$78)</f>
        <v>452.26500000000306</v>
      </c>
      <c r="K36" s="21">
        <f>(D36*$K$78)</f>
        <v>452.26500000000306</v>
      </c>
      <c r="L36" s="21"/>
      <c r="M36" s="21"/>
      <c r="N36" s="21">
        <f>ROUNDUP(O36/N$77,2)</f>
        <v>0.37</v>
      </c>
      <c r="O36" s="21">
        <f>(F36+K36)/9</f>
        <v>731.72850088296809</v>
      </c>
      <c r="P36" s="21">
        <f>O36</f>
        <v>731.72850088296809</v>
      </c>
      <c r="Q36" s="21">
        <f t="shared" si="0"/>
        <v>20.038849381871277</v>
      </c>
      <c r="R36" s="21"/>
      <c r="S36" s="21">
        <f>(SUM(F36:G36)*$S$77)/$S$78</f>
        <v>113.57947236938352</v>
      </c>
      <c r="T36" s="21">
        <f>((F36+J36)*$T$77)/$T$78</f>
        <v>121.95475014716136</v>
      </c>
      <c r="U36" s="21">
        <f>((F36/$U$78)*$U$77)*2</f>
        <v>74.962451763793126</v>
      </c>
      <c r="V36" s="21"/>
      <c r="W36" s="21">
        <f>(F36*$W$77)/$W$78</f>
        <v>28.394868092345881</v>
      </c>
      <c r="X36" s="21">
        <f>(F36*$X$77)/$X$78</f>
        <v>33.127346107736862</v>
      </c>
      <c r="Y36" s="21"/>
    </row>
    <row r="37" spans="1:25" s="14" customFormat="1" ht="12.75" customHeight="1" x14ac:dyDescent="0.2">
      <c r="A37" s="20"/>
      <c r="B37" s="19"/>
      <c r="C37" s="22"/>
      <c r="D37" s="17"/>
      <c r="E37" s="17"/>
      <c r="F37" s="17"/>
      <c r="G37" s="17"/>
      <c r="H37" s="21"/>
      <c r="I37" s="21"/>
      <c r="J37" s="21"/>
      <c r="K37" s="21"/>
      <c r="L37" s="21"/>
      <c r="M37" s="21"/>
      <c r="N37" s="21"/>
      <c r="O37" s="21"/>
      <c r="P37" s="21"/>
      <c r="Q37" s="21" t="str">
        <f t="shared" si="0"/>
        <v/>
      </c>
      <c r="R37" s="21"/>
      <c r="S37" s="24"/>
      <c r="T37" s="24"/>
      <c r="U37" s="21"/>
      <c r="V37" s="21"/>
      <c r="W37" s="21"/>
      <c r="X37" s="21"/>
      <c r="Y37" s="21"/>
    </row>
    <row r="38" spans="1:25" s="14" customFormat="1" ht="12.75" customHeight="1" x14ac:dyDescent="0.2">
      <c r="A38" s="98" t="s">
        <v>25</v>
      </c>
      <c r="B38" s="99"/>
      <c r="C38" s="22"/>
      <c r="D38" s="17"/>
      <c r="E38" s="17"/>
      <c r="F38" s="17"/>
      <c r="G38" s="17"/>
      <c r="H38" s="21"/>
      <c r="I38" s="21"/>
      <c r="J38" s="21"/>
      <c r="K38" s="21"/>
      <c r="L38" s="21"/>
      <c r="M38" s="24"/>
      <c r="N38" s="21"/>
      <c r="O38" s="21"/>
      <c r="P38" s="21"/>
      <c r="Q38" s="21" t="str">
        <f t="shared" si="0"/>
        <v/>
      </c>
      <c r="R38" s="21"/>
      <c r="S38" s="24"/>
      <c r="T38" s="24"/>
      <c r="U38" s="21"/>
      <c r="V38" s="21"/>
      <c r="W38" s="21"/>
      <c r="X38" s="21"/>
      <c r="Y38" s="21"/>
    </row>
    <row r="39" spans="1:25" s="14" customFormat="1" ht="12.75" customHeight="1" x14ac:dyDescent="0.2">
      <c r="A39" s="47">
        <f>+B36</f>
        <v>19801.2</v>
      </c>
      <c r="B39" s="48">
        <v>20206.060000000001</v>
      </c>
      <c r="C39" s="22" t="s">
        <v>26</v>
      </c>
      <c r="D39" s="17">
        <f>B39-A39</f>
        <v>404.86000000000058</v>
      </c>
      <c r="E39" s="17" t="s">
        <v>24</v>
      </c>
      <c r="F39" s="17" t="s">
        <v>24</v>
      </c>
      <c r="G39" s="17">
        <v>9498.98</v>
      </c>
      <c r="H39" s="21"/>
      <c r="I39" s="21"/>
      <c r="J39" s="21"/>
      <c r="K39" s="21"/>
      <c r="L39" s="21"/>
      <c r="M39" s="21"/>
      <c r="N39" s="21"/>
      <c r="O39" s="21"/>
      <c r="P39" s="21"/>
      <c r="Q39" s="21" t="str">
        <f t="shared" si="0"/>
        <v/>
      </c>
      <c r="R39" s="24">
        <f>G39/9</f>
        <v>1055.4422222222222</v>
      </c>
      <c r="S39" s="24"/>
      <c r="T39" s="24"/>
      <c r="U39" s="21">
        <f>(G39/$U$78)*$U$77</f>
        <v>58.049322222222223</v>
      </c>
      <c r="V39" s="21">
        <f>(G39/$V$78)*$V$77</f>
        <v>89.712588888888888</v>
      </c>
      <c r="W39" s="21">
        <f>(G39*$W$77)/$W$78</f>
        <v>43.976759259259261</v>
      </c>
      <c r="X39" s="21">
        <f>(G39*$X$77)/$X$78</f>
        <v>51.306219135802472</v>
      </c>
      <c r="Y39" s="21"/>
    </row>
    <row r="40" spans="1:25" s="14" customFormat="1" ht="12.75" customHeight="1" x14ac:dyDescent="0.2">
      <c r="A40" s="20"/>
      <c r="B40" s="19"/>
      <c r="C40" s="22"/>
      <c r="D40" s="17"/>
      <c r="E40" s="17"/>
      <c r="F40" s="17"/>
      <c r="G40" s="17"/>
      <c r="H40" s="21"/>
      <c r="I40" s="21"/>
      <c r="J40" s="21"/>
      <c r="K40" s="21"/>
      <c r="L40" s="21"/>
      <c r="M40" s="21"/>
      <c r="N40" s="21"/>
      <c r="O40" s="21"/>
      <c r="P40" s="21"/>
      <c r="Q40" s="21" t="str">
        <f t="shared" si="0"/>
        <v/>
      </c>
      <c r="R40" s="21"/>
      <c r="S40" s="24"/>
      <c r="T40" s="24"/>
      <c r="U40" s="21"/>
      <c r="V40" s="21"/>
      <c r="W40" s="21"/>
      <c r="X40" s="21"/>
      <c r="Y40" s="21"/>
    </row>
    <row r="41" spans="1:25" s="14" customFormat="1" ht="12.75" customHeight="1" x14ac:dyDescent="0.2">
      <c r="A41" s="98" t="s">
        <v>22</v>
      </c>
      <c r="B41" s="99"/>
      <c r="C41" s="22"/>
      <c r="D41" s="17"/>
      <c r="E41" s="17"/>
      <c r="F41" s="17"/>
      <c r="G41" s="17"/>
      <c r="H41" s="21"/>
      <c r="I41" s="21"/>
      <c r="J41" s="21"/>
      <c r="K41" s="21"/>
      <c r="L41" s="21"/>
      <c r="M41" s="21"/>
      <c r="N41" s="21"/>
      <c r="O41" s="21"/>
      <c r="P41" s="21"/>
      <c r="Q41" s="21" t="str">
        <f t="shared" si="0"/>
        <v/>
      </c>
      <c r="R41" s="21"/>
      <c r="S41" s="24"/>
      <c r="T41" s="24"/>
      <c r="U41" s="21"/>
      <c r="V41" s="21"/>
      <c r="W41" s="21"/>
      <c r="X41" s="21"/>
      <c r="Y41" s="21"/>
    </row>
    <row r="42" spans="1:25" s="14" customFormat="1" ht="12.75" customHeight="1" x14ac:dyDescent="0.2">
      <c r="A42" s="47">
        <v>20206.060000000001</v>
      </c>
      <c r="B42" s="48">
        <v>20413.09</v>
      </c>
      <c r="C42" s="22" t="s">
        <v>26</v>
      </c>
      <c r="D42" s="17">
        <f>B42-A42</f>
        <v>207.02999999999884</v>
      </c>
      <c r="E42" s="17">
        <v>21.356731391585878</v>
      </c>
      <c r="F42" s="17">
        <f>D42*E42</f>
        <v>4421.4840999999997</v>
      </c>
      <c r="G42" s="17"/>
      <c r="H42" s="21"/>
      <c r="I42" s="21"/>
      <c r="J42" s="21">
        <f>(D42*$J$78)</f>
        <v>310.54499999999825</v>
      </c>
      <c r="K42" s="21">
        <f>(D42*$K$78)</f>
        <v>310.54499999999825</v>
      </c>
      <c r="L42" s="21"/>
      <c r="M42" s="24"/>
      <c r="N42" s="21">
        <f>ROUNDUP(O42/N$77,2)</f>
        <v>0.27</v>
      </c>
      <c r="O42" s="21">
        <f>(F42+K42)/9</f>
        <v>525.78101111111084</v>
      </c>
      <c r="P42" s="21">
        <f>O42</f>
        <v>525.78101111111084</v>
      </c>
      <c r="Q42" s="21">
        <f t="shared" si="0"/>
        <v>14.39884667166827</v>
      </c>
      <c r="R42" s="21"/>
      <c r="S42" s="21">
        <f>(SUM(F42:G42)*$S$77)/$S$78</f>
        <v>81.879335185185184</v>
      </c>
      <c r="T42" s="21">
        <f>((F42+J42)*$T$77)/$T$78</f>
        <v>87.630168518518474</v>
      </c>
      <c r="U42" s="21">
        <f>((F42/$U$78)*$U$77)*2</f>
        <v>54.040361222222216</v>
      </c>
      <c r="V42" s="21"/>
      <c r="W42" s="21">
        <f>(F42*$W$77)/$W$78</f>
        <v>20.469833796296296</v>
      </c>
      <c r="X42" s="21">
        <f>(F42*$X$77)/$X$78</f>
        <v>23.881472762345677</v>
      </c>
      <c r="Y42" s="21"/>
    </row>
    <row r="43" spans="1:25" s="14" customFormat="1" ht="12.75" customHeight="1" x14ac:dyDescent="0.2">
      <c r="A43" s="20"/>
      <c r="B43" s="19"/>
      <c r="C43" s="22"/>
      <c r="D43" s="17"/>
      <c r="E43" s="17"/>
      <c r="F43" s="17"/>
      <c r="G43" s="17"/>
      <c r="H43" s="21"/>
      <c r="I43" s="21"/>
      <c r="J43" s="21"/>
      <c r="K43" s="21"/>
      <c r="L43" s="21"/>
      <c r="M43" s="24"/>
      <c r="N43" s="21"/>
      <c r="O43" s="21"/>
      <c r="P43" s="21"/>
      <c r="Q43" s="21" t="str">
        <f t="shared" si="0"/>
        <v/>
      </c>
      <c r="R43" s="21"/>
      <c r="S43" s="24"/>
      <c r="T43" s="24"/>
      <c r="U43" s="21"/>
      <c r="V43" s="21"/>
      <c r="W43" s="21"/>
      <c r="X43" s="21"/>
      <c r="Y43" s="21"/>
    </row>
    <row r="44" spans="1:25" s="14" customFormat="1" ht="12.75" customHeight="1" x14ac:dyDescent="0.2">
      <c r="A44" s="100" t="s">
        <v>32</v>
      </c>
      <c r="B44" s="101"/>
      <c r="C44" s="22"/>
      <c r="D44" s="17"/>
      <c r="E44" s="17"/>
      <c r="F44" s="17"/>
      <c r="G44" s="17"/>
      <c r="H44" s="21"/>
      <c r="I44" s="21"/>
      <c r="J44" s="21"/>
      <c r="K44" s="21"/>
      <c r="L44" s="21"/>
      <c r="M44" s="21"/>
      <c r="N44" s="21"/>
      <c r="O44" s="21"/>
      <c r="P44" s="21"/>
      <c r="Q44" s="21" t="str">
        <f t="shared" si="0"/>
        <v/>
      </c>
      <c r="R44" s="21"/>
      <c r="S44" s="21"/>
      <c r="T44" s="21"/>
      <c r="U44" s="21"/>
      <c r="V44" s="21"/>
      <c r="W44" s="21"/>
      <c r="X44" s="21"/>
      <c r="Y44" s="21"/>
    </row>
    <row r="45" spans="1:25" s="14" customFormat="1" ht="12.75" customHeight="1" x14ac:dyDescent="0.2">
      <c r="A45" s="98" t="s">
        <v>22</v>
      </c>
      <c r="B45" s="99"/>
      <c r="C45" s="22"/>
      <c r="D45" s="17"/>
      <c r="E45" s="17"/>
      <c r="F45" s="17"/>
      <c r="G45" s="17"/>
      <c r="H45" s="21"/>
      <c r="I45" s="21"/>
      <c r="J45" s="21"/>
      <c r="K45" s="21"/>
      <c r="L45" s="21"/>
      <c r="M45" s="21"/>
      <c r="N45" s="21"/>
      <c r="O45" s="21"/>
      <c r="P45" s="21"/>
      <c r="Q45" s="21" t="str">
        <f t="shared" si="0"/>
        <v/>
      </c>
      <c r="R45" s="21"/>
      <c r="S45" s="21"/>
      <c r="T45" s="21"/>
      <c r="U45" s="21"/>
      <c r="V45" s="21"/>
      <c r="W45" s="21"/>
      <c r="X45" s="21"/>
      <c r="Y45" s="21"/>
    </row>
    <row r="46" spans="1:25" s="14" customFormat="1" ht="12.75" customHeight="1" x14ac:dyDescent="0.2">
      <c r="A46" s="47">
        <v>20413.09</v>
      </c>
      <c r="B46" s="48">
        <v>20518.759999999998</v>
      </c>
      <c r="C46" s="22" t="s">
        <v>26</v>
      </c>
      <c r="D46" s="17">
        <f>B46-A46</f>
        <v>105.66999999999825</v>
      </c>
      <c r="E46" s="17" t="s">
        <v>24</v>
      </c>
      <c r="F46" s="17" t="s">
        <v>24</v>
      </c>
      <c r="G46" s="17">
        <v>3693.5553</v>
      </c>
      <c r="H46" s="21"/>
      <c r="I46" s="21"/>
      <c r="J46" s="21">
        <f>(D46*$J$78)</f>
        <v>158.50499999999738</v>
      </c>
      <c r="K46" s="21">
        <f>(D46*$K$78)</f>
        <v>158.50499999999738</v>
      </c>
      <c r="L46" s="21"/>
      <c r="M46" s="24"/>
      <c r="N46" s="21">
        <f>ROUNDUP(O46/N$77,2)</f>
        <v>0.22</v>
      </c>
      <c r="O46" s="21">
        <f>(G46+K46)/9</f>
        <v>428.00669999999968</v>
      </c>
      <c r="P46" s="21">
        <f>O46</f>
        <v>428.00669999999968</v>
      </c>
      <c r="Q46" s="21">
        <f t="shared" ref="Q46:Q73" si="2">IF($O46="","",(0.75*$Q$77*115*0.05)*$O46/$Q$78)</f>
        <v>11.721235110266008</v>
      </c>
      <c r="R46" s="21"/>
      <c r="S46" s="21">
        <f>(SUM(F46:G46)*$S$77)/$S$78</f>
        <v>68.399172222222219</v>
      </c>
      <c r="T46" s="21">
        <f>((G46+J46)*$T$77)/$T$78</f>
        <v>71.334449999999947</v>
      </c>
      <c r="U46" s="21">
        <f>((G46/$U$78)*$U$77)*2</f>
        <v>45.143453666666666</v>
      </c>
      <c r="V46" s="21"/>
      <c r="W46" s="21">
        <f>(G46*$W$77)/$W$78</f>
        <v>17.099793055555555</v>
      </c>
      <c r="X46" s="21">
        <f>(G46*$X$77)/$X$78</f>
        <v>19.949758564814815</v>
      </c>
      <c r="Y46" s="21"/>
    </row>
    <row r="47" spans="1:25" s="14" customFormat="1" ht="12.75" customHeight="1" x14ac:dyDescent="0.2">
      <c r="A47" s="20"/>
      <c r="B47" s="19"/>
      <c r="C47" s="22"/>
      <c r="D47" s="17"/>
      <c r="E47" s="17"/>
      <c r="F47" s="17"/>
      <c r="G47" s="17"/>
      <c r="H47" s="21"/>
      <c r="I47" s="21"/>
      <c r="J47" s="21"/>
      <c r="K47" s="21"/>
      <c r="L47" s="21"/>
      <c r="M47" s="21"/>
      <c r="N47" s="21"/>
      <c r="O47" s="21"/>
      <c r="P47" s="21"/>
      <c r="Q47" s="21" t="str">
        <f t="shared" si="2"/>
        <v/>
      </c>
      <c r="R47" s="21"/>
      <c r="S47" s="21"/>
      <c r="T47" s="21"/>
      <c r="U47" s="21"/>
      <c r="V47" s="21"/>
      <c r="W47" s="21"/>
      <c r="X47" s="21"/>
      <c r="Y47" s="21"/>
    </row>
    <row r="48" spans="1:25" s="14" customFormat="1" ht="12.75" customHeight="1" x14ac:dyDescent="0.2">
      <c r="A48" s="66" t="s">
        <v>4</v>
      </c>
      <c r="B48" s="67"/>
      <c r="C48" s="22"/>
      <c r="D48" s="17"/>
      <c r="E48" s="17"/>
      <c r="F48" s="17"/>
      <c r="G48" s="17"/>
      <c r="H48" s="21"/>
      <c r="I48" s="21"/>
      <c r="J48" s="21"/>
      <c r="K48" s="21"/>
      <c r="L48" s="21"/>
      <c r="M48" s="21"/>
      <c r="N48" s="21"/>
      <c r="O48" s="21"/>
      <c r="P48" s="21"/>
      <c r="Q48" s="21" t="str">
        <f t="shared" si="2"/>
        <v/>
      </c>
      <c r="R48" s="21"/>
      <c r="S48" s="21"/>
      <c r="T48" s="21"/>
      <c r="U48" s="21"/>
      <c r="V48" s="21"/>
      <c r="W48" s="21"/>
      <c r="X48" s="21"/>
      <c r="Y48" s="21"/>
    </row>
    <row r="49" spans="1:25" s="14" customFormat="1" ht="12.75" customHeight="1" x14ac:dyDescent="0.2">
      <c r="A49" s="98" t="s">
        <v>22</v>
      </c>
      <c r="B49" s="99"/>
      <c r="C49" s="22"/>
      <c r="D49" s="17"/>
      <c r="E49" s="17"/>
      <c r="F49" s="17"/>
      <c r="G49" s="17"/>
      <c r="H49" s="21"/>
      <c r="I49" s="21"/>
      <c r="J49" s="21"/>
      <c r="K49" s="21"/>
      <c r="L49" s="21"/>
      <c r="M49" s="24"/>
      <c r="N49" s="21"/>
      <c r="O49" s="21"/>
      <c r="P49" s="21"/>
      <c r="Q49" s="21" t="str">
        <f t="shared" si="2"/>
        <v/>
      </c>
      <c r="R49" s="21"/>
      <c r="S49" s="24"/>
      <c r="T49" s="24"/>
      <c r="U49" s="21"/>
      <c r="V49" s="21"/>
      <c r="W49" s="21"/>
      <c r="X49" s="21"/>
      <c r="Y49" s="21"/>
    </row>
    <row r="50" spans="1:25" s="14" customFormat="1" ht="12.75" customHeight="1" x14ac:dyDescent="0.2">
      <c r="A50" s="47">
        <v>20518.759999999998</v>
      </c>
      <c r="B50" s="48">
        <v>21700</v>
      </c>
      <c r="C50" s="22" t="s">
        <v>26</v>
      </c>
      <c r="D50" s="17">
        <f>B50-A50</f>
        <v>1181.2400000000016</v>
      </c>
      <c r="E50" s="17">
        <v>17.5</v>
      </c>
      <c r="F50" s="17">
        <f>D50*E50</f>
        <v>20671.700000000026</v>
      </c>
      <c r="G50" s="17"/>
      <c r="H50" s="21"/>
      <c r="I50" s="21"/>
      <c r="J50" s="21">
        <f>(D50*$J$78)</f>
        <v>1771.8600000000024</v>
      </c>
      <c r="K50" s="21">
        <f>(D50*$K$78)</f>
        <v>1771.8600000000024</v>
      </c>
      <c r="L50" s="21"/>
      <c r="M50" s="21"/>
      <c r="N50" s="21">
        <f>ROUNDUP(O50/N$77,2)</f>
        <v>1.25</v>
      </c>
      <c r="O50" s="21">
        <f>(F50+K50)/9</f>
        <v>2493.728888888892</v>
      </c>
      <c r="P50" s="21">
        <f>O50</f>
        <v>2493.728888888892</v>
      </c>
      <c r="Q50" s="21">
        <f t="shared" si="2"/>
        <v>68.292348245784808</v>
      </c>
      <c r="R50" s="21"/>
      <c r="S50" s="21">
        <f>(SUM(F50:G50)*$S$77)/$S$78</f>
        <v>382.80925925925976</v>
      </c>
      <c r="T50" s="21">
        <f>((F50+J50)*$T$77)/$T$78</f>
        <v>415.62148148148196</v>
      </c>
      <c r="U50" s="21">
        <f>((F50/$U$78)*$U$77)*2</f>
        <v>252.65411111111143</v>
      </c>
      <c r="V50" s="21"/>
      <c r="W50" s="21">
        <f>(F50*$W$77)/$W$78</f>
        <v>95.70231481481494</v>
      </c>
      <c r="X50" s="21">
        <f>(F50*$X$77)/$X$78</f>
        <v>111.6527006172841</v>
      </c>
      <c r="Y50" s="21"/>
    </row>
    <row r="51" spans="1:25" s="14" customFormat="1" ht="12.75" customHeight="1" x14ac:dyDescent="0.2">
      <c r="A51" s="20"/>
      <c r="B51" s="19"/>
      <c r="C51" s="22"/>
      <c r="D51" s="17"/>
      <c r="E51" s="17"/>
      <c r="F51" s="17"/>
      <c r="G51" s="17"/>
      <c r="H51" s="21"/>
      <c r="I51" s="21"/>
      <c r="J51" s="21"/>
      <c r="K51" s="21"/>
      <c r="L51" s="21"/>
      <c r="M51" s="21"/>
      <c r="N51" s="21"/>
      <c r="O51" s="21"/>
      <c r="P51" s="21"/>
      <c r="Q51" s="21" t="str">
        <f t="shared" si="2"/>
        <v/>
      </c>
      <c r="R51" s="21"/>
      <c r="S51" s="24"/>
      <c r="T51" s="24"/>
      <c r="U51" s="21"/>
      <c r="V51" s="21"/>
      <c r="W51" s="21"/>
      <c r="X51" s="21"/>
      <c r="Y51" s="21"/>
    </row>
    <row r="52" spans="1:25" s="14" customFormat="1" ht="12.75" customHeight="1" x14ac:dyDescent="0.2">
      <c r="A52" s="98" t="s">
        <v>39</v>
      </c>
      <c r="B52" s="99"/>
      <c r="C52" s="22"/>
      <c r="D52" s="17"/>
      <c r="E52" s="17"/>
      <c r="F52" s="17"/>
      <c r="G52" s="17"/>
      <c r="H52" s="21"/>
      <c r="I52" s="21"/>
      <c r="J52" s="21"/>
      <c r="K52" s="21"/>
      <c r="L52" s="21"/>
      <c r="M52" s="21"/>
      <c r="N52" s="21"/>
      <c r="O52" s="21"/>
      <c r="P52" s="21"/>
      <c r="Q52" s="21" t="str">
        <f t="shared" si="2"/>
        <v/>
      </c>
      <c r="R52" s="21"/>
      <c r="S52" s="24"/>
      <c r="T52" s="24"/>
      <c r="U52" s="21"/>
      <c r="V52" s="21"/>
      <c r="W52" s="21"/>
      <c r="X52" s="21"/>
      <c r="Y52" s="21"/>
    </row>
    <row r="53" spans="1:25" s="14" customFormat="1" ht="12.75" customHeight="1" x14ac:dyDescent="0.2">
      <c r="A53" s="47">
        <v>21700</v>
      </c>
      <c r="B53" s="48">
        <v>22000.11</v>
      </c>
      <c r="C53" s="22" t="s">
        <v>26</v>
      </c>
      <c r="D53" s="17">
        <f>B53-A53</f>
        <v>300.11000000000058</v>
      </c>
      <c r="E53" s="17">
        <v>15.5</v>
      </c>
      <c r="F53" s="17">
        <f>D53*E53</f>
        <v>4651.705000000009</v>
      </c>
      <c r="G53" s="17"/>
      <c r="H53" s="21"/>
      <c r="I53" s="21"/>
      <c r="J53" s="21"/>
      <c r="K53" s="21"/>
      <c r="L53" s="21"/>
      <c r="M53" s="21"/>
      <c r="N53" s="21"/>
      <c r="O53" s="21"/>
      <c r="P53" s="21"/>
      <c r="Q53" s="21" t="str">
        <f t="shared" si="2"/>
        <v/>
      </c>
      <c r="R53" s="24">
        <f>F53/9</f>
        <v>516.85611111111211</v>
      </c>
      <c r="S53" s="24"/>
      <c r="T53" s="24"/>
      <c r="U53" s="21">
        <f>(F53/$U$78)*$U$77</f>
        <v>28.427086111111166</v>
      </c>
      <c r="V53" s="21">
        <f>(F53/$V$78)*$V$77</f>
        <v>43.932769444444531</v>
      </c>
      <c r="W53" s="21">
        <f>(F53*$W$77)/$W$78</f>
        <v>21.535671296296339</v>
      </c>
      <c r="X53" s="21">
        <f>(F53*$X$77)/$X$78</f>
        <v>25.124949845679062</v>
      </c>
      <c r="Y53" s="21"/>
    </row>
    <row r="54" spans="1:25" s="14" customFormat="1" ht="12.75" customHeight="1" x14ac:dyDescent="0.2">
      <c r="A54" s="47">
        <v>21700</v>
      </c>
      <c r="B54" s="48">
        <v>22000.11</v>
      </c>
      <c r="C54" s="22" t="s">
        <v>26</v>
      </c>
      <c r="D54" s="17">
        <f>B54-A54</f>
        <v>300.11000000000058</v>
      </c>
      <c r="E54" s="17">
        <v>2</v>
      </c>
      <c r="F54" s="17">
        <f>D54*E54</f>
        <v>600.22000000000116</v>
      </c>
      <c r="G54" s="17"/>
      <c r="H54" s="21"/>
      <c r="I54" s="21"/>
      <c r="J54" s="21">
        <f>(D54*$J$78)</f>
        <v>450.16500000000087</v>
      </c>
      <c r="K54" s="21"/>
      <c r="L54" s="21"/>
      <c r="M54" s="21">
        <f>(F54+J54)/9</f>
        <v>116.70944444444467</v>
      </c>
      <c r="N54" s="21">
        <f>ROUND(M54/$N$77,2)</f>
        <v>0.06</v>
      </c>
      <c r="O54" s="21"/>
      <c r="P54" s="21"/>
      <c r="Q54" s="21" t="str">
        <f t="shared" si="2"/>
        <v/>
      </c>
      <c r="R54" s="21"/>
      <c r="S54" s="21">
        <f>(SUM(F54:G54)*$S$77)/$S$78</f>
        <v>11.115185185185206</v>
      </c>
      <c r="T54" s="21">
        <f>((F54+J54)*$T$77)/$T$78</f>
        <v>19.451574074074113</v>
      </c>
      <c r="U54" s="21">
        <f>(F54/$U$78)*$U$77</f>
        <v>3.6680111111111184</v>
      </c>
      <c r="V54" s="21">
        <f>(F54/$V$78)*$V$77</f>
        <v>5.6687444444444557</v>
      </c>
      <c r="W54" s="21">
        <f>(F54*$W$77)/$W$78</f>
        <v>2.7787962962963015</v>
      </c>
      <c r="X54" s="21">
        <f>(F54*$X$77)/$X$78</f>
        <v>3.2419290123456852</v>
      </c>
      <c r="Y54" s="21"/>
    </row>
    <row r="55" spans="1:25" s="14" customFormat="1" ht="12.75" customHeight="1" x14ac:dyDescent="0.2">
      <c r="A55" s="20"/>
      <c r="B55" s="19"/>
      <c r="C55" s="22"/>
      <c r="D55" s="17"/>
      <c r="E55" s="17"/>
      <c r="F55" s="17"/>
      <c r="G55" s="17"/>
      <c r="H55" s="21"/>
      <c r="I55" s="21"/>
      <c r="J55" s="21"/>
      <c r="K55" s="21"/>
      <c r="L55" s="21"/>
      <c r="M55" s="24"/>
      <c r="N55" s="21"/>
      <c r="O55" s="21"/>
      <c r="P55" s="21"/>
      <c r="Q55" s="21" t="str">
        <f t="shared" si="2"/>
        <v/>
      </c>
      <c r="R55" s="21"/>
      <c r="S55" s="24"/>
      <c r="T55" s="24"/>
      <c r="U55" s="21"/>
      <c r="V55" s="21"/>
      <c r="W55" s="21"/>
      <c r="X55" s="21"/>
      <c r="Y55" s="21"/>
    </row>
    <row r="56" spans="1:25" s="14" customFormat="1" ht="12.75" customHeight="1" x14ac:dyDescent="0.2">
      <c r="A56" s="47">
        <v>22000.11</v>
      </c>
      <c r="B56" s="48">
        <v>22110</v>
      </c>
      <c r="C56" s="22" t="s">
        <v>26</v>
      </c>
      <c r="D56" s="17">
        <f>B56-A56</f>
        <v>109.88999999999942</v>
      </c>
      <c r="E56" s="17">
        <v>16.245713899999998</v>
      </c>
      <c r="F56" s="17">
        <f>D56*E56</f>
        <v>1785.2415004709903</v>
      </c>
      <c r="G56" s="17"/>
      <c r="H56" s="21"/>
      <c r="I56" s="21"/>
      <c r="J56" s="21"/>
      <c r="K56" s="21"/>
      <c r="L56" s="21"/>
      <c r="M56" s="21"/>
      <c r="N56" s="21"/>
      <c r="O56" s="21"/>
      <c r="P56" s="21"/>
      <c r="Q56" s="21" t="str">
        <f t="shared" si="2"/>
        <v/>
      </c>
      <c r="R56" s="24">
        <f>F56/9</f>
        <v>198.36016671899893</v>
      </c>
      <c r="S56" s="24"/>
      <c r="T56" s="24"/>
      <c r="U56" s="21">
        <f>(F56/$U$78)*$U$77</f>
        <v>10.909809169544941</v>
      </c>
      <c r="V56" s="21">
        <f>(F56/$V$78)*$V$77</f>
        <v>16.860614171114911</v>
      </c>
      <c r="W56" s="21">
        <f>(F56*$W$77)/$W$78</f>
        <v>8.2650069466249558</v>
      </c>
      <c r="X56" s="21">
        <f>(F56*$X$77)/$X$78</f>
        <v>9.6425081043957821</v>
      </c>
      <c r="Y56" s="21"/>
    </row>
    <row r="57" spans="1:25" s="14" customFormat="1" ht="12.75" customHeight="1" x14ac:dyDescent="0.2">
      <c r="A57" s="47">
        <v>22000.11</v>
      </c>
      <c r="B57" s="48">
        <v>22110</v>
      </c>
      <c r="C57" s="22" t="s">
        <v>26</v>
      </c>
      <c r="D57" s="17">
        <f>B57-A57</f>
        <v>109.88999999999942</v>
      </c>
      <c r="E57" s="17">
        <v>2</v>
      </c>
      <c r="F57" s="17">
        <f>D57*E57</f>
        <v>219.77999999999884</v>
      </c>
      <c r="G57" s="17"/>
      <c r="H57" s="21"/>
      <c r="I57" s="21"/>
      <c r="J57" s="21">
        <f>(D57*$J$78)</f>
        <v>164.83499999999913</v>
      </c>
      <c r="K57" s="21"/>
      <c r="L57" s="21"/>
      <c r="M57" s="21">
        <f>(F57+J57)/9</f>
        <v>42.734999999999772</v>
      </c>
      <c r="N57" s="21">
        <f>ROUND(M57/$N$77,2)</f>
        <v>0.02</v>
      </c>
      <c r="O57" s="21"/>
      <c r="P57" s="21"/>
      <c r="Q57" s="21" t="str">
        <f t="shared" si="2"/>
        <v/>
      </c>
      <c r="R57" s="21"/>
      <c r="S57" s="21">
        <f>(SUM(F57:G57)*$S$77)/$S$78</f>
        <v>4.0699999999999781</v>
      </c>
      <c r="T57" s="21">
        <f>((F57+J57)*$T$77)/$T$78</f>
        <v>7.1224999999999623</v>
      </c>
      <c r="U57" s="21">
        <f>((F57/$U$78)*$U$77)*2</f>
        <v>2.6861999999999857</v>
      </c>
      <c r="V57" s="21"/>
      <c r="W57" s="21">
        <f>(F57*$W$77)/$W$78</f>
        <v>1.0174999999999945</v>
      </c>
      <c r="X57" s="21">
        <f>(F57*$X$77)/$X$78</f>
        <v>1.1870833333333271</v>
      </c>
      <c r="Y57" s="21"/>
    </row>
    <row r="58" spans="1:25" s="14" customFormat="1" ht="12.75" customHeight="1" x14ac:dyDescent="0.2">
      <c r="A58" s="20"/>
      <c r="B58" s="19"/>
      <c r="C58" s="22"/>
      <c r="D58" s="17"/>
      <c r="E58" s="17"/>
      <c r="F58" s="17"/>
      <c r="G58" s="17"/>
      <c r="H58" s="21"/>
      <c r="I58" s="21"/>
      <c r="J58" s="21"/>
      <c r="K58" s="21"/>
      <c r="L58" s="21"/>
      <c r="M58" s="24"/>
      <c r="N58" s="21"/>
      <c r="O58" s="21"/>
      <c r="P58" s="21"/>
      <c r="Q58" s="21" t="str">
        <f t="shared" si="2"/>
        <v/>
      </c>
      <c r="R58" s="21"/>
      <c r="S58" s="24"/>
      <c r="T58" s="24"/>
      <c r="U58" s="21"/>
      <c r="V58" s="21"/>
      <c r="W58" s="21"/>
      <c r="X58" s="21"/>
      <c r="Y58" s="21"/>
    </row>
    <row r="59" spans="1:25" s="14" customFormat="1" ht="12.75" customHeight="1" x14ac:dyDescent="0.2">
      <c r="A59" s="20"/>
      <c r="B59" s="19"/>
      <c r="C59" s="22"/>
      <c r="D59" s="17"/>
      <c r="E59" s="17"/>
      <c r="F59" s="17"/>
      <c r="G59" s="17"/>
      <c r="H59" s="21"/>
      <c r="I59" s="21"/>
      <c r="J59" s="21"/>
      <c r="K59" s="21"/>
      <c r="L59" s="21"/>
      <c r="M59" s="24"/>
      <c r="N59" s="21"/>
      <c r="O59" s="21"/>
      <c r="P59" s="21"/>
      <c r="Q59" s="21" t="str">
        <f t="shared" si="2"/>
        <v/>
      </c>
      <c r="R59" s="21"/>
      <c r="S59" s="24"/>
      <c r="T59" s="24"/>
      <c r="U59" s="21"/>
      <c r="V59" s="21"/>
      <c r="W59" s="21"/>
      <c r="X59" s="21"/>
      <c r="Y59" s="21"/>
    </row>
    <row r="60" spans="1:25" s="14" customFormat="1" ht="12.75" customHeight="1" x14ac:dyDescent="0.2">
      <c r="A60" s="20"/>
      <c r="B60" s="19"/>
      <c r="C60" s="22"/>
      <c r="D60" s="17"/>
      <c r="E60" s="17"/>
      <c r="F60" s="17"/>
      <c r="G60" s="17"/>
      <c r="H60" s="21"/>
      <c r="I60" s="21"/>
      <c r="J60" s="21"/>
      <c r="K60" s="21"/>
      <c r="L60" s="21"/>
      <c r="M60" s="21"/>
      <c r="N60" s="21"/>
      <c r="O60" s="21"/>
      <c r="P60" s="21"/>
      <c r="Q60" s="21" t="str">
        <f t="shared" si="2"/>
        <v/>
      </c>
      <c r="R60" s="21"/>
      <c r="S60" s="21"/>
      <c r="T60" s="21"/>
      <c r="U60" s="21"/>
      <c r="V60" s="21"/>
      <c r="W60" s="21"/>
      <c r="X60" s="21"/>
      <c r="Y60" s="21"/>
    </row>
    <row r="61" spans="1:25" s="14" customFormat="1" ht="12.75" customHeight="1" x14ac:dyDescent="0.2">
      <c r="A61" s="20"/>
      <c r="B61" s="19"/>
      <c r="C61" s="28"/>
      <c r="D61" s="17"/>
      <c r="E61" s="17"/>
      <c r="F61" s="17"/>
      <c r="G61" s="27"/>
      <c r="H61" s="26"/>
      <c r="I61" s="26"/>
      <c r="J61" s="26"/>
      <c r="K61" s="26"/>
      <c r="L61" s="26"/>
      <c r="M61" s="24"/>
      <c r="N61" s="21"/>
      <c r="O61" s="26"/>
      <c r="P61" s="21"/>
      <c r="Q61" s="21" t="str">
        <f t="shared" si="2"/>
        <v/>
      </c>
      <c r="R61" s="21"/>
      <c r="S61" s="24"/>
      <c r="T61" s="24"/>
      <c r="U61" s="21"/>
      <c r="V61" s="21"/>
      <c r="W61" s="21"/>
      <c r="X61" s="21"/>
      <c r="Y61" s="21"/>
    </row>
    <row r="62" spans="1:25" s="14" customFormat="1" ht="12.75" customHeight="1" x14ac:dyDescent="0.2">
      <c r="A62" s="20"/>
      <c r="B62" s="19"/>
      <c r="C62" s="22"/>
      <c r="D62" s="17"/>
      <c r="E62" s="17"/>
      <c r="F62" s="17"/>
      <c r="G62" s="17"/>
      <c r="H62" s="21"/>
      <c r="I62" s="21"/>
      <c r="J62" s="21"/>
      <c r="K62" s="21"/>
      <c r="L62" s="21"/>
      <c r="M62" s="24"/>
      <c r="N62" s="21"/>
      <c r="O62" s="21"/>
      <c r="P62" s="21"/>
      <c r="Q62" s="21" t="str">
        <f t="shared" si="2"/>
        <v/>
      </c>
      <c r="R62" s="21"/>
      <c r="S62" s="24"/>
      <c r="T62" s="24"/>
      <c r="U62" s="21"/>
      <c r="V62" s="21"/>
      <c r="W62" s="21"/>
      <c r="X62" s="21"/>
      <c r="Y62" s="21"/>
    </row>
    <row r="63" spans="1:25" s="14" customFormat="1" ht="12.75" customHeight="1" x14ac:dyDescent="0.2">
      <c r="A63" s="20"/>
      <c r="B63" s="19"/>
      <c r="C63" s="28"/>
      <c r="D63" s="17"/>
      <c r="E63" s="17"/>
      <c r="F63" s="17"/>
      <c r="G63" s="27"/>
      <c r="H63" s="26"/>
      <c r="I63" s="26"/>
      <c r="J63" s="26"/>
      <c r="K63" s="26"/>
      <c r="L63" s="26"/>
      <c r="M63" s="24"/>
      <c r="N63" s="21"/>
      <c r="O63" s="26"/>
      <c r="P63" s="21"/>
      <c r="Q63" s="21" t="str">
        <f t="shared" si="2"/>
        <v/>
      </c>
      <c r="R63" s="21"/>
      <c r="S63" s="24"/>
      <c r="T63" s="24"/>
      <c r="U63" s="21"/>
      <c r="V63" s="21"/>
      <c r="W63" s="21"/>
      <c r="X63" s="21"/>
      <c r="Y63" s="21"/>
    </row>
    <row r="64" spans="1:25" s="14" customFormat="1" ht="12.75" customHeight="1" x14ac:dyDescent="0.2">
      <c r="A64" s="20"/>
      <c r="B64" s="19"/>
      <c r="C64" s="22"/>
      <c r="D64" s="17"/>
      <c r="E64" s="17"/>
      <c r="F64" s="17"/>
      <c r="G64" s="25"/>
      <c r="H64" s="23"/>
      <c r="I64" s="23"/>
      <c r="J64" s="23"/>
      <c r="K64" s="23"/>
      <c r="L64" s="23"/>
      <c r="M64" s="24"/>
      <c r="N64" s="21"/>
      <c r="O64" s="23"/>
      <c r="P64" s="21"/>
      <c r="Q64" s="21" t="str">
        <f t="shared" si="2"/>
        <v/>
      </c>
      <c r="R64" s="21"/>
      <c r="S64" s="24"/>
      <c r="T64" s="24"/>
      <c r="U64" s="21"/>
      <c r="V64" s="21"/>
      <c r="W64" s="21"/>
      <c r="X64" s="21"/>
      <c r="Y64" s="21"/>
    </row>
    <row r="65" spans="1:30" s="14" customFormat="1" ht="12.75" customHeight="1" x14ac:dyDescent="0.2">
      <c r="A65" s="20"/>
      <c r="B65" s="19"/>
      <c r="C65" s="22"/>
      <c r="D65" s="17"/>
      <c r="E65" s="17"/>
      <c r="F65" s="17"/>
      <c r="G65" s="25"/>
      <c r="H65" s="23"/>
      <c r="I65" s="23"/>
      <c r="J65" s="23"/>
      <c r="K65" s="23"/>
      <c r="L65" s="23"/>
      <c r="M65" s="24"/>
      <c r="N65" s="21"/>
      <c r="O65" s="23"/>
      <c r="P65" s="21"/>
      <c r="Q65" s="21" t="str">
        <f t="shared" si="2"/>
        <v/>
      </c>
      <c r="R65" s="21"/>
      <c r="S65" s="24"/>
      <c r="T65" s="24"/>
      <c r="U65" s="21"/>
      <c r="V65" s="21"/>
      <c r="W65" s="21"/>
      <c r="X65" s="21"/>
      <c r="Y65" s="21"/>
    </row>
    <row r="66" spans="1:30" s="14" customFormat="1" ht="12.75" customHeight="1" x14ac:dyDescent="0.2">
      <c r="A66" s="20"/>
      <c r="B66" s="19"/>
      <c r="C66" s="22"/>
      <c r="D66" s="17"/>
      <c r="E66" s="17"/>
      <c r="F66" s="17"/>
      <c r="G66" s="25"/>
      <c r="H66" s="23"/>
      <c r="I66" s="21"/>
      <c r="J66" s="23"/>
      <c r="K66" s="21"/>
      <c r="L66" s="21"/>
      <c r="M66" s="24"/>
      <c r="N66" s="21"/>
      <c r="O66" s="21"/>
      <c r="P66" s="21"/>
      <c r="Q66" s="21" t="str">
        <f t="shared" si="2"/>
        <v/>
      </c>
      <c r="R66" s="21"/>
      <c r="S66" s="24"/>
      <c r="T66" s="24"/>
      <c r="U66" s="21"/>
      <c r="V66" s="21"/>
      <c r="W66" s="21"/>
      <c r="X66" s="21"/>
      <c r="Y66" s="21"/>
    </row>
    <row r="67" spans="1:30" s="14" customFormat="1" ht="12.75" customHeight="1" x14ac:dyDescent="0.2">
      <c r="A67" s="20"/>
      <c r="B67" s="19"/>
      <c r="C67" s="22"/>
      <c r="D67" s="17"/>
      <c r="E67" s="17"/>
      <c r="F67" s="17"/>
      <c r="G67" s="25"/>
      <c r="H67" s="23"/>
      <c r="I67" s="21"/>
      <c r="J67" s="23"/>
      <c r="K67" s="21"/>
      <c r="L67" s="21"/>
      <c r="M67" s="24"/>
      <c r="N67" s="21"/>
      <c r="O67" s="21"/>
      <c r="P67" s="21"/>
      <c r="Q67" s="21" t="str">
        <f t="shared" si="2"/>
        <v/>
      </c>
      <c r="R67" s="21"/>
      <c r="S67" s="24"/>
      <c r="T67" s="24"/>
      <c r="U67" s="21"/>
      <c r="V67" s="21"/>
      <c r="W67" s="21"/>
      <c r="X67" s="21"/>
      <c r="Y67" s="21"/>
    </row>
    <row r="68" spans="1:30" s="14" customFormat="1" ht="12.75" customHeight="1" x14ac:dyDescent="0.2">
      <c r="A68" s="20"/>
      <c r="B68" s="19"/>
      <c r="C68" s="22"/>
      <c r="D68" s="17"/>
      <c r="E68" s="17"/>
      <c r="F68" s="17"/>
      <c r="G68" s="25"/>
      <c r="H68" s="23"/>
      <c r="I68" s="21"/>
      <c r="J68" s="23"/>
      <c r="K68" s="21"/>
      <c r="L68" s="21"/>
      <c r="M68" s="24"/>
      <c r="N68" s="21"/>
      <c r="O68" s="21"/>
      <c r="P68" s="21"/>
      <c r="Q68" s="21" t="str">
        <f t="shared" si="2"/>
        <v/>
      </c>
      <c r="R68" s="21"/>
      <c r="S68" s="24"/>
      <c r="T68" s="24"/>
      <c r="U68" s="21"/>
      <c r="V68" s="21"/>
      <c r="W68" s="21"/>
      <c r="X68" s="21"/>
      <c r="Y68" s="21"/>
    </row>
    <row r="69" spans="1:30" s="14" customFormat="1" ht="12.75" customHeight="1" x14ac:dyDescent="0.2">
      <c r="A69" s="20"/>
      <c r="B69" s="19"/>
      <c r="C69" s="22"/>
      <c r="D69" s="17"/>
      <c r="E69" s="17"/>
      <c r="F69" s="17"/>
      <c r="G69" s="17"/>
      <c r="H69" s="21"/>
      <c r="I69" s="21"/>
      <c r="J69" s="21"/>
      <c r="K69" s="21"/>
      <c r="L69" s="21"/>
      <c r="M69" s="21"/>
      <c r="N69" s="21"/>
      <c r="O69" s="21"/>
      <c r="P69" s="21"/>
      <c r="Q69" s="21" t="str">
        <f t="shared" si="2"/>
        <v/>
      </c>
      <c r="R69" s="21"/>
      <c r="S69" s="21"/>
      <c r="T69" s="21"/>
      <c r="U69" s="21"/>
      <c r="V69" s="21"/>
      <c r="W69" s="21"/>
      <c r="X69" s="21"/>
      <c r="Y69" s="21"/>
    </row>
    <row r="70" spans="1:30" s="14" customFormat="1" ht="12.75" customHeight="1" x14ac:dyDescent="0.2">
      <c r="A70" s="20"/>
      <c r="B70" s="19"/>
      <c r="C70" s="22"/>
      <c r="D70" s="17"/>
      <c r="E70" s="17"/>
      <c r="F70" s="17"/>
      <c r="G70" s="17"/>
      <c r="H70" s="21"/>
      <c r="I70" s="21"/>
      <c r="J70" s="21"/>
      <c r="K70" s="21"/>
      <c r="L70" s="21"/>
      <c r="M70" s="21"/>
      <c r="N70" s="21"/>
      <c r="O70" s="21"/>
      <c r="P70" s="21"/>
      <c r="Q70" s="21" t="str">
        <f t="shared" si="2"/>
        <v/>
      </c>
      <c r="R70" s="21"/>
      <c r="S70" s="21"/>
      <c r="T70" s="21"/>
      <c r="U70" s="21"/>
      <c r="V70" s="21"/>
      <c r="W70" s="21"/>
      <c r="X70" s="21"/>
      <c r="Y70" s="21"/>
    </row>
    <row r="71" spans="1:30" s="14" customFormat="1" ht="12.75" customHeight="1" x14ac:dyDescent="0.2">
      <c r="A71" s="20"/>
      <c r="B71" s="19"/>
      <c r="C71" s="22"/>
      <c r="D71" s="17"/>
      <c r="E71" s="17"/>
      <c r="F71" s="17"/>
      <c r="G71" s="17"/>
      <c r="H71" s="21"/>
      <c r="I71" s="21"/>
      <c r="J71" s="21"/>
      <c r="K71" s="21"/>
      <c r="L71" s="21"/>
      <c r="M71" s="21"/>
      <c r="N71" s="21"/>
      <c r="O71" s="21"/>
      <c r="P71" s="21"/>
      <c r="Q71" s="21" t="str">
        <f t="shared" si="2"/>
        <v/>
      </c>
      <c r="R71" s="21"/>
      <c r="S71" s="21"/>
      <c r="T71" s="21"/>
      <c r="U71" s="21"/>
      <c r="V71" s="21"/>
      <c r="W71" s="21"/>
      <c r="X71" s="21"/>
      <c r="Y71" s="21"/>
    </row>
    <row r="72" spans="1:30" s="14" customFormat="1" ht="12.75" customHeight="1" x14ac:dyDescent="0.2">
      <c r="A72" s="20"/>
      <c r="B72" s="19"/>
      <c r="C72" s="22"/>
      <c r="D72" s="17"/>
      <c r="E72" s="17"/>
      <c r="F72" s="17"/>
      <c r="G72" s="17"/>
      <c r="H72" s="21"/>
      <c r="I72" s="21"/>
      <c r="J72" s="21"/>
      <c r="K72" s="21"/>
      <c r="L72" s="21"/>
      <c r="M72" s="21"/>
      <c r="N72" s="21"/>
      <c r="O72" s="21"/>
      <c r="P72" s="21"/>
      <c r="Q72" s="21" t="str">
        <f t="shared" si="2"/>
        <v/>
      </c>
      <c r="R72" s="21"/>
      <c r="S72" s="21"/>
      <c r="T72" s="21"/>
      <c r="U72" s="21"/>
      <c r="V72" s="21"/>
      <c r="W72" s="21"/>
      <c r="X72" s="21"/>
      <c r="Y72" s="21"/>
    </row>
    <row r="73" spans="1:30" s="14" customFormat="1" ht="12.75" customHeight="1" thickBot="1" x14ac:dyDescent="0.25">
      <c r="A73" s="20"/>
      <c r="B73" s="19"/>
      <c r="C73" s="18"/>
      <c r="D73" s="17"/>
      <c r="E73" s="17"/>
      <c r="F73" s="17"/>
      <c r="G73" s="16"/>
      <c r="H73" s="15"/>
      <c r="I73" s="15"/>
      <c r="J73" s="15"/>
      <c r="K73" s="15"/>
      <c r="L73" s="15"/>
      <c r="M73" s="15"/>
      <c r="N73" s="15"/>
      <c r="O73" s="15"/>
      <c r="P73" s="15"/>
      <c r="Q73" s="21" t="str">
        <f t="shared" si="2"/>
        <v/>
      </c>
      <c r="R73" s="15"/>
      <c r="S73" s="15"/>
      <c r="T73" s="15"/>
      <c r="U73" s="15"/>
      <c r="V73" s="15"/>
      <c r="W73" s="15"/>
      <c r="X73" s="15"/>
      <c r="Y73" s="15"/>
    </row>
    <row r="74" spans="1:30" ht="12.75" customHeight="1" x14ac:dyDescent="0.2">
      <c r="A74" s="56" t="s">
        <v>46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8"/>
      <c r="M74" s="62">
        <f>IF(SUM(M14:M73)&gt;0,(ROUNDUP(SUM(M14:M73),0)),"")</f>
        <v>160</v>
      </c>
      <c r="N74" s="62">
        <f>IF(SUM(N14:N73)&gt;0,(ROUNDUP(SUM(N14:N73),1)),"")</f>
        <v>6.6999999999999993</v>
      </c>
      <c r="O74" s="62">
        <f>IF(SUM(O14:O73)&gt;0,(ROUNDUP(SUM(O14:O73),0)),"")</f>
        <v>12967</v>
      </c>
      <c r="P74" s="62">
        <f t="shared" ref="P74:X74" si="3">IF(SUM(P14:P73)&gt;0,(ROUNDUP(SUM(P14:P73),0)),"")</f>
        <v>12967</v>
      </c>
      <c r="Q74" s="62">
        <f>IF(SUM(Q14:Q73)&gt;0,(ROUNDUP(SUM(Q14:Q73),0)),"")</f>
        <v>356</v>
      </c>
      <c r="R74" s="62">
        <f t="shared" si="3"/>
        <v>1771</v>
      </c>
      <c r="S74" s="62">
        <f t="shared" si="3"/>
        <v>2015</v>
      </c>
      <c r="T74" s="62">
        <f t="shared" si="3"/>
        <v>2188</v>
      </c>
      <c r="U74" s="62">
        <f t="shared" si="3"/>
        <v>1424</v>
      </c>
      <c r="V74" s="62">
        <f t="shared" si="3"/>
        <v>157</v>
      </c>
      <c r="W74" s="62">
        <f t="shared" si="3"/>
        <v>578</v>
      </c>
      <c r="X74" s="62">
        <f t="shared" si="3"/>
        <v>674</v>
      </c>
      <c r="Y74" s="62" t="str">
        <f>IF(SUM(Y14:Y73)&gt;0,(ROUNDUP(SUM(Y14:Y73),1)),"")</f>
        <v/>
      </c>
    </row>
    <row r="75" spans="1:30" ht="12" customHeight="1" thickBot="1" x14ac:dyDescent="0.25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1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7" spans="1:30" x14ac:dyDescent="0.2">
      <c r="A77" s="7"/>
      <c r="B77" s="7"/>
      <c r="C77" s="7"/>
      <c r="D77" s="7"/>
      <c r="E77" s="7"/>
      <c r="F77" s="7"/>
      <c r="G77" s="13" t="s">
        <v>2</v>
      </c>
      <c r="H77" s="3"/>
      <c r="I77" s="3"/>
      <c r="J77" s="13"/>
      <c r="K77" s="3"/>
      <c r="L77" s="3"/>
      <c r="M77" s="4"/>
      <c r="N77" s="4">
        <v>2000</v>
      </c>
      <c r="O77" s="4">
        <f>14/12</f>
        <v>1.1666666666666667</v>
      </c>
      <c r="P77" s="4"/>
      <c r="Q77" s="4">
        <v>14</v>
      </c>
      <c r="R77" s="4"/>
      <c r="S77" s="4">
        <v>0.5</v>
      </c>
      <c r="T77" s="4">
        <v>0.5</v>
      </c>
      <c r="U77" s="4">
        <v>5.5E-2</v>
      </c>
      <c r="V77" s="4">
        <v>8.5000000000000006E-2</v>
      </c>
      <c r="W77" s="4">
        <f>1.5/12</f>
        <v>0.125</v>
      </c>
      <c r="X77" s="4">
        <f>1.75/12</f>
        <v>0.14583333333333334</v>
      </c>
      <c r="Y77" s="4">
        <f>N77</f>
        <v>2000</v>
      </c>
      <c r="Z77" s="3"/>
      <c r="AA77" s="3"/>
      <c r="AB77" s="3"/>
      <c r="AC77" s="3"/>
      <c r="AD77" s="3">
        <v>0.25</v>
      </c>
    </row>
    <row r="78" spans="1:30" x14ac:dyDescent="0.2">
      <c r="A78" s="7"/>
      <c r="B78" s="7"/>
      <c r="C78" s="7"/>
      <c r="D78" s="7"/>
      <c r="E78" s="7"/>
      <c r="F78" s="7"/>
      <c r="G78" s="13" t="s">
        <v>1</v>
      </c>
      <c r="H78" s="11">
        <f>4/12</f>
        <v>0.33333333333333331</v>
      </c>
      <c r="I78" s="11">
        <f>10/12</f>
        <v>0.83333333333333337</v>
      </c>
      <c r="J78" s="12">
        <f>18/12</f>
        <v>1.5</v>
      </c>
      <c r="K78" s="11">
        <v>1.5</v>
      </c>
      <c r="L78" s="11"/>
      <c r="M78" s="10">
        <v>9</v>
      </c>
      <c r="N78" s="10"/>
      <c r="O78" s="10">
        <v>27</v>
      </c>
      <c r="P78" s="10"/>
      <c r="Q78" s="10">
        <v>2204.623</v>
      </c>
      <c r="R78" s="10">
        <v>9</v>
      </c>
      <c r="S78" s="10">
        <v>27</v>
      </c>
      <c r="T78" s="10">
        <v>27</v>
      </c>
      <c r="U78" s="10">
        <v>9</v>
      </c>
      <c r="V78" s="10">
        <v>9</v>
      </c>
      <c r="W78" s="10">
        <v>27</v>
      </c>
      <c r="X78" s="10">
        <v>27</v>
      </c>
      <c r="Y78" s="9"/>
      <c r="Z78" s="8"/>
      <c r="AA78" s="8"/>
      <c r="AB78" s="8"/>
      <c r="AC78" s="3"/>
      <c r="AD78" s="8"/>
    </row>
    <row r="79" spans="1:30" x14ac:dyDescent="0.2">
      <c r="A79" s="7"/>
      <c r="B79" s="7"/>
      <c r="C79" s="7"/>
      <c r="D79" s="7"/>
      <c r="E79" s="7"/>
      <c r="F79" s="7"/>
      <c r="G79" s="6" t="s">
        <v>0</v>
      </c>
      <c r="H79" s="3"/>
      <c r="I79" s="3"/>
      <c r="J79" s="6"/>
      <c r="K79" s="3"/>
      <c r="L79" s="3"/>
      <c r="M79" s="4">
        <v>10000</v>
      </c>
      <c r="N79" s="5">
        <v>45000</v>
      </c>
      <c r="O79" s="4">
        <v>15020</v>
      </c>
      <c r="P79" s="5">
        <v>1500</v>
      </c>
      <c r="Q79" s="4">
        <v>10500</v>
      </c>
      <c r="R79" s="5">
        <v>1000</v>
      </c>
      <c r="S79" s="4">
        <v>46020</v>
      </c>
      <c r="T79" s="4">
        <v>20000</v>
      </c>
      <c r="U79" s="4">
        <v>10000</v>
      </c>
      <c r="V79" s="4">
        <v>10000</v>
      </c>
      <c r="W79" s="4">
        <v>50100</v>
      </c>
      <c r="X79" s="4">
        <v>50300</v>
      </c>
      <c r="Y79" s="4"/>
      <c r="Z79" s="3"/>
      <c r="AA79" s="3"/>
      <c r="AB79" s="3"/>
      <c r="AC79" s="3"/>
      <c r="AD79" s="3">
        <v>10000</v>
      </c>
    </row>
  </sheetData>
  <mergeCells count="57">
    <mergeCell ref="AA18:AB18"/>
    <mergeCell ref="AA19:AB19"/>
    <mergeCell ref="A38:B38"/>
    <mergeCell ref="A52:B52"/>
    <mergeCell ref="A41:B41"/>
    <mergeCell ref="A44:B44"/>
    <mergeCell ref="A45:B45"/>
    <mergeCell ref="A48:B48"/>
    <mergeCell ref="A49:B49"/>
    <mergeCell ref="A25:B25"/>
    <mergeCell ref="A28:B28"/>
    <mergeCell ref="A29:B29"/>
    <mergeCell ref="A33:B33"/>
    <mergeCell ref="A32:B32"/>
    <mergeCell ref="M2:M12"/>
    <mergeCell ref="A15:B15"/>
    <mergeCell ref="A20:B20"/>
    <mergeCell ref="A21:B21"/>
    <mergeCell ref="A24:B24"/>
    <mergeCell ref="A1:B13"/>
    <mergeCell ref="A14:B14"/>
    <mergeCell ref="L1:L12"/>
    <mergeCell ref="F1:F12"/>
    <mergeCell ref="E1:E12"/>
    <mergeCell ref="K1:K12"/>
    <mergeCell ref="D1:D12"/>
    <mergeCell ref="G1:G12"/>
    <mergeCell ref="M74:M75"/>
    <mergeCell ref="H1:H12"/>
    <mergeCell ref="I1:I12"/>
    <mergeCell ref="Y2:Y12"/>
    <mergeCell ref="R74:R75"/>
    <mergeCell ref="Y74:Y75"/>
    <mergeCell ref="U74:U75"/>
    <mergeCell ref="A74:L75"/>
    <mergeCell ref="N2:N12"/>
    <mergeCell ref="V74:V75"/>
    <mergeCell ref="S74:S75"/>
    <mergeCell ref="R2:R12"/>
    <mergeCell ref="V2:V12"/>
    <mergeCell ref="C1:C13"/>
    <mergeCell ref="N74:N75"/>
    <mergeCell ref="J1:J12"/>
    <mergeCell ref="Q74:Q75"/>
    <mergeCell ref="O74:O75"/>
    <mergeCell ref="X2:X12"/>
    <mergeCell ref="W74:W75"/>
    <mergeCell ref="W2:W12"/>
    <mergeCell ref="Q2:Q12"/>
    <mergeCell ref="O2:O12"/>
    <mergeCell ref="P2:P12"/>
    <mergeCell ref="P74:P75"/>
    <mergeCell ref="X74:X75"/>
    <mergeCell ref="T2:T12"/>
    <mergeCell ref="U2:U12"/>
    <mergeCell ref="T74:T75"/>
    <mergeCell ref="S2:S12"/>
  </mergeCells>
  <pageMargins left="0.75" right="0.75" top="1" bottom="1" header="0.5" footer="0.5"/>
  <pageSetup paperSize="3" scale="7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6269D-24D4-45C2-A729-8A26189178E1}">
  <sheetPr>
    <pageSetUpPr fitToPage="1"/>
  </sheetPr>
  <dimension ref="A1:AD97"/>
  <sheetViews>
    <sheetView tabSelected="1" zoomScale="85" zoomScaleNormal="85" workbookViewId="0">
      <pane ySplit="13" topLeftCell="A44" activePane="bottomLeft" state="frozen"/>
      <selection activeCell="W13" sqref="W13"/>
      <selection pane="bottomLeft" activeCell="N68" sqref="N68:N75"/>
    </sheetView>
  </sheetViews>
  <sheetFormatPr defaultRowHeight="12.75" x14ac:dyDescent="0.2"/>
  <cols>
    <col min="1" max="1" width="18.7109375" style="1" customWidth="1"/>
    <col min="2" max="2" width="19" style="1" customWidth="1"/>
    <col min="3" max="12" width="9.85546875" style="1" customWidth="1"/>
    <col min="13" max="25" width="9.85546875" style="2" customWidth="1"/>
    <col min="26" max="16384" width="9.140625" style="1"/>
  </cols>
  <sheetData>
    <row r="1" spans="1:28" ht="12.75" customHeight="1" x14ac:dyDescent="0.2">
      <c r="A1" s="56" t="s">
        <v>21</v>
      </c>
      <c r="B1" s="73"/>
      <c r="C1" s="78" t="s">
        <v>20</v>
      </c>
      <c r="D1" s="81" t="s">
        <v>19</v>
      </c>
      <c r="E1" s="81" t="s">
        <v>18</v>
      </c>
      <c r="F1" s="81" t="s">
        <v>17</v>
      </c>
      <c r="G1" s="81" t="s">
        <v>16</v>
      </c>
      <c r="H1" s="81" t="s">
        <v>15</v>
      </c>
      <c r="I1" s="81" t="s">
        <v>14</v>
      </c>
      <c r="J1" s="81" t="s">
        <v>41</v>
      </c>
      <c r="K1" s="81" t="s">
        <v>43</v>
      </c>
      <c r="L1" s="81"/>
      <c r="M1" s="34">
        <v>204</v>
      </c>
      <c r="N1" s="34">
        <v>204</v>
      </c>
      <c r="O1" s="34">
        <v>206</v>
      </c>
      <c r="P1" s="34">
        <v>206</v>
      </c>
      <c r="Q1" s="34">
        <v>206</v>
      </c>
      <c r="R1" s="34">
        <v>254</v>
      </c>
      <c r="S1" s="34">
        <v>301</v>
      </c>
      <c r="T1" s="34">
        <v>304</v>
      </c>
      <c r="U1" s="34">
        <v>407</v>
      </c>
      <c r="V1" s="34">
        <v>407</v>
      </c>
      <c r="W1" s="34">
        <v>441</v>
      </c>
      <c r="X1" s="34">
        <v>441</v>
      </c>
      <c r="Y1" s="34"/>
    </row>
    <row r="2" spans="1:28" ht="12.75" customHeight="1" x14ac:dyDescent="0.2">
      <c r="A2" s="74"/>
      <c r="B2" s="75"/>
      <c r="C2" s="79"/>
      <c r="D2" s="82"/>
      <c r="E2" s="82"/>
      <c r="F2" s="82"/>
      <c r="G2" s="82"/>
      <c r="H2" s="82"/>
      <c r="I2" s="82"/>
      <c r="J2" s="82"/>
      <c r="K2" s="82"/>
      <c r="L2" s="82"/>
      <c r="M2" s="69" t="s">
        <v>13</v>
      </c>
      <c r="N2" s="69" t="s">
        <v>12</v>
      </c>
      <c r="O2" s="68" t="s">
        <v>42</v>
      </c>
      <c r="P2" s="68" t="s">
        <v>56</v>
      </c>
      <c r="Q2" s="68" t="s">
        <v>59</v>
      </c>
      <c r="R2" s="68" t="s">
        <v>11</v>
      </c>
      <c r="S2" s="68" t="s">
        <v>62</v>
      </c>
      <c r="T2" s="70" t="s">
        <v>63</v>
      </c>
      <c r="U2" s="68" t="s">
        <v>57</v>
      </c>
      <c r="V2" s="68" t="s">
        <v>58</v>
      </c>
      <c r="W2" s="70" t="s">
        <v>65</v>
      </c>
      <c r="X2" s="68" t="s">
        <v>61</v>
      </c>
      <c r="Y2" s="68"/>
    </row>
    <row r="3" spans="1:28" ht="12.75" customHeight="1" x14ac:dyDescent="0.2">
      <c r="A3" s="74"/>
      <c r="B3" s="75"/>
      <c r="C3" s="79"/>
      <c r="D3" s="82"/>
      <c r="E3" s="82"/>
      <c r="F3" s="82"/>
      <c r="G3" s="82"/>
      <c r="H3" s="82"/>
      <c r="I3" s="82"/>
      <c r="J3" s="82"/>
      <c r="K3" s="82"/>
      <c r="L3" s="82"/>
      <c r="M3" s="69"/>
      <c r="N3" s="69"/>
      <c r="O3" s="69"/>
      <c r="P3" s="69"/>
      <c r="Q3" s="69"/>
      <c r="R3" s="69"/>
      <c r="S3" s="69"/>
      <c r="T3" s="71"/>
      <c r="U3" s="69"/>
      <c r="V3" s="69"/>
      <c r="W3" s="71"/>
      <c r="X3" s="69"/>
      <c r="Y3" s="69"/>
    </row>
    <row r="4" spans="1:28" ht="12.75" customHeight="1" x14ac:dyDescent="0.2">
      <c r="A4" s="74"/>
      <c r="B4" s="75"/>
      <c r="C4" s="79"/>
      <c r="D4" s="82"/>
      <c r="E4" s="82"/>
      <c r="F4" s="82"/>
      <c r="G4" s="82"/>
      <c r="H4" s="82"/>
      <c r="I4" s="82"/>
      <c r="J4" s="82"/>
      <c r="K4" s="82"/>
      <c r="L4" s="82"/>
      <c r="M4" s="69"/>
      <c r="N4" s="69"/>
      <c r="O4" s="69"/>
      <c r="P4" s="69"/>
      <c r="Q4" s="69"/>
      <c r="R4" s="69"/>
      <c r="S4" s="69"/>
      <c r="T4" s="71"/>
      <c r="U4" s="69"/>
      <c r="V4" s="69"/>
      <c r="W4" s="71"/>
      <c r="X4" s="69"/>
      <c r="Y4" s="69"/>
    </row>
    <row r="5" spans="1:28" ht="12.75" customHeight="1" x14ac:dyDescent="0.2">
      <c r="A5" s="74"/>
      <c r="B5" s="75"/>
      <c r="C5" s="79"/>
      <c r="D5" s="82"/>
      <c r="E5" s="82"/>
      <c r="F5" s="82"/>
      <c r="G5" s="82"/>
      <c r="H5" s="82"/>
      <c r="I5" s="82"/>
      <c r="J5" s="82"/>
      <c r="K5" s="82"/>
      <c r="L5" s="82"/>
      <c r="M5" s="69"/>
      <c r="N5" s="69"/>
      <c r="O5" s="69"/>
      <c r="P5" s="69"/>
      <c r="Q5" s="69"/>
      <c r="R5" s="69"/>
      <c r="S5" s="69"/>
      <c r="T5" s="71"/>
      <c r="U5" s="69"/>
      <c r="V5" s="69"/>
      <c r="W5" s="71"/>
      <c r="X5" s="69"/>
      <c r="Y5" s="69"/>
    </row>
    <row r="6" spans="1:28" ht="12.75" customHeight="1" x14ac:dyDescent="0.2">
      <c r="A6" s="74"/>
      <c r="B6" s="75"/>
      <c r="C6" s="79"/>
      <c r="D6" s="82"/>
      <c r="E6" s="82"/>
      <c r="F6" s="82"/>
      <c r="G6" s="82"/>
      <c r="H6" s="82"/>
      <c r="I6" s="82"/>
      <c r="J6" s="82"/>
      <c r="K6" s="82"/>
      <c r="L6" s="82"/>
      <c r="M6" s="69"/>
      <c r="N6" s="69"/>
      <c r="O6" s="69"/>
      <c r="P6" s="69"/>
      <c r="Q6" s="69"/>
      <c r="R6" s="69"/>
      <c r="S6" s="69"/>
      <c r="T6" s="71"/>
      <c r="U6" s="69"/>
      <c r="V6" s="69"/>
      <c r="W6" s="71"/>
      <c r="X6" s="69"/>
      <c r="Y6" s="69"/>
    </row>
    <row r="7" spans="1:28" ht="12.75" customHeight="1" x14ac:dyDescent="0.2">
      <c r="A7" s="74"/>
      <c r="B7" s="75"/>
      <c r="C7" s="79"/>
      <c r="D7" s="82"/>
      <c r="E7" s="82"/>
      <c r="F7" s="82"/>
      <c r="G7" s="82"/>
      <c r="H7" s="82"/>
      <c r="I7" s="82"/>
      <c r="J7" s="82"/>
      <c r="K7" s="82"/>
      <c r="L7" s="82"/>
      <c r="M7" s="69"/>
      <c r="N7" s="69"/>
      <c r="O7" s="69"/>
      <c r="P7" s="69"/>
      <c r="Q7" s="69"/>
      <c r="R7" s="69"/>
      <c r="S7" s="69"/>
      <c r="T7" s="71"/>
      <c r="U7" s="69"/>
      <c r="V7" s="69"/>
      <c r="W7" s="71"/>
      <c r="X7" s="69"/>
      <c r="Y7" s="69"/>
    </row>
    <row r="8" spans="1:28" ht="12.75" customHeight="1" x14ac:dyDescent="0.2">
      <c r="A8" s="74"/>
      <c r="B8" s="75"/>
      <c r="C8" s="79"/>
      <c r="D8" s="82"/>
      <c r="E8" s="82"/>
      <c r="F8" s="82"/>
      <c r="G8" s="82"/>
      <c r="H8" s="82"/>
      <c r="I8" s="82"/>
      <c r="J8" s="82"/>
      <c r="K8" s="82"/>
      <c r="L8" s="82"/>
      <c r="M8" s="69"/>
      <c r="N8" s="69"/>
      <c r="O8" s="69"/>
      <c r="P8" s="69"/>
      <c r="Q8" s="69"/>
      <c r="R8" s="69"/>
      <c r="S8" s="69"/>
      <c r="T8" s="71"/>
      <c r="U8" s="69"/>
      <c r="V8" s="69"/>
      <c r="W8" s="71"/>
      <c r="X8" s="69"/>
      <c r="Y8" s="69"/>
    </row>
    <row r="9" spans="1:28" ht="12.75" customHeight="1" x14ac:dyDescent="0.2">
      <c r="A9" s="74"/>
      <c r="B9" s="75"/>
      <c r="C9" s="79"/>
      <c r="D9" s="82"/>
      <c r="E9" s="82"/>
      <c r="F9" s="82"/>
      <c r="G9" s="82"/>
      <c r="H9" s="82"/>
      <c r="I9" s="82"/>
      <c r="J9" s="82"/>
      <c r="K9" s="82"/>
      <c r="L9" s="82"/>
      <c r="M9" s="69"/>
      <c r="N9" s="69"/>
      <c r="O9" s="69"/>
      <c r="P9" s="69"/>
      <c r="Q9" s="69"/>
      <c r="R9" s="69"/>
      <c r="S9" s="69"/>
      <c r="T9" s="71"/>
      <c r="U9" s="69"/>
      <c r="V9" s="69"/>
      <c r="W9" s="71"/>
      <c r="X9" s="69"/>
      <c r="Y9" s="69"/>
    </row>
    <row r="10" spans="1:28" ht="12.75" customHeight="1" x14ac:dyDescent="0.2">
      <c r="A10" s="74"/>
      <c r="B10" s="75"/>
      <c r="C10" s="79"/>
      <c r="D10" s="82"/>
      <c r="E10" s="82"/>
      <c r="F10" s="82"/>
      <c r="G10" s="82"/>
      <c r="H10" s="82"/>
      <c r="I10" s="82"/>
      <c r="J10" s="82"/>
      <c r="K10" s="82"/>
      <c r="L10" s="82"/>
      <c r="M10" s="69"/>
      <c r="N10" s="69"/>
      <c r="O10" s="69"/>
      <c r="P10" s="69"/>
      <c r="Q10" s="69"/>
      <c r="R10" s="69"/>
      <c r="S10" s="69"/>
      <c r="T10" s="71"/>
      <c r="U10" s="69"/>
      <c r="V10" s="69"/>
      <c r="W10" s="71"/>
      <c r="X10" s="69"/>
      <c r="Y10" s="69"/>
    </row>
    <row r="11" spans="1:28" ht="12.75" customHeight="1" x14ac:dyDescent="0.2">
      <c r="A11" s="74"/>
      <c r="B11" s="75"/>
      <c r="C11" s="79"/>
      <c r="D11" s="82"/>
      <c r="E11" s="82"/>
      <c r="F11" s="82"/>
      <c r="G11" s="82"/>
      <c r="H11" s="82"/>
      <c r="I11" s="82"/>
      <c r="J11" s="82"/>
      <c r="K11" s="82"/>
      <c r="L11" s="82"/>
      <c r="M11" s="69"/>
      <c r="N11" s="69"/>
      <c r="O11" s="69"/>
      <c r="P11" s="69"/>
      <c r="Q11" s="69"/>
      <c r="R11" s="69"/>
      <c r="S11" s="69"/>
      <c r="T11" s="71"/>
      <c r="U11" s="69"/>
      <c r="V11" s="69"/>
      <c r="W11" s="71"/>
      <c r="X11" s="69"/>
      <c r="Y11" s="69"/>
    </row>
    <row r="12" spans="1:28" ht="13.5" customHeight="1" x14ac:dyDescent="0.2">
      <c r="A12" s="74"/>
      <c r="B12" s="75"/>
      <c r="C12" s="79"/>
      <c r="D12" s="82"/>
      <c r="E12" s="82"/>
      <c r="F12" s="82"/>
      <c r="G12" s="82"/>
      <c r="H12" s="82"/>
      <c r="I12" s="82"/>
      <c r="J12" s="82"/>
      <c r="K12" s="83"/>
      <c r="L12" s="82"/>
      <c r="M12" s="69"/>
      <c r="N12" s="69"/>
      <c r="O12" s="69"/>
      <c r="P12" s="69"/>
      <c r="Q12" s="69"/>
      <c r="R12" s="69"/>
      <c r="S12" s="69"/>
      <c r="T12" s="72"/>
      <c r="U12" s="69"/>
      <c r="V12" s="69"/>
      <c r="W12" s="72"/>
      <c r="X12" s="69"/>
      <c r="Y12" s="69"/>
    </row>
    <row r="13" spans="1:28" ht="12.75" customHeight="1" thickBot="1" x14ac:dyDescent="0.25">
      <c r="A13" s="76"/>
      <c r="B13" s="77"/>
      <c r="C13" s="80"/>
      <c r="D13" s="33" t="s">
        <v>8</v>
      </c>
      <c r="E13" s="33" t="s">
        <v>8</v>
      </c>
      <c r="F13" s="33" t="s">
        <v>10</v>
      </c>
      <c r="G13" s="33" t="s">
        <v>10</v>
      </c>
      <c r="H13" s="33" t="s">
        <v>10</v>
      </c>
      <c r="I13" s="33"/>
      <c r="J13" s="33" t="s">
        <v>10</v>
      </c>
      <c r="K13" s="33" t="s">
        <v>10</v>
      </c>
      <c r="L13" s="33"/>
      <c r="M13" s="32" t="s">
        <v>7</v>
      </c>
      <c r="N13" s="32" t="s">
        <v>9</v>
      </c>
      <c r="O13" s="32" t="s">
        <v>7</v>
      </c>
      <c r="P13" s="32" t="s">
        <v>7</v>
      </c>
      <c r="Q13" s="32" t="s">
        <v>60</v>
      </c>
      <c r="R13" s="32" t="s">
        <v>7</v>
      </c>
      <c r="S13" s="32" t="s">
        <v>5</v>
      </c>
      <c r="T13" s="32" t="s">
        <v>5</v>
      </c>
      <c r="U13" s="32" t="s">
        <v>6</v>
      </c>
      <c r="V13" s="32" t="s">
        <v>6</v>
      </c>
      <c r="W13" s="32" t="s">
        <v>5</v>
      </c>
      <c r="X13" s="32" t="s">
        <v>5</v>
      </c>
      <c r="Y13" s="32"/>
    </row>
    <row r="14" spans="1:28" s="14" customFormat="1" ht="12.75" customHeight="1" x14ac:dyDescent="0.2">
      <c r="A14" s="66" t="s">
        <v>33</v>
      </c>
      <c r="B14" s="67"/>
      <c r="C14" s="22"/>
      <c r="D14" s="25"/>
      <c r="E14" s="25"/>
      <c r="F14" s="25"/>
      <c r="G14" s="25"/>
      <c r="H14" s="23"/>
      <c r="I14" s="23"/>
      <c r="J14" s="23"/>
      <c r="K14" s="23"/>
      <c r="L14" s="23"/>
      <c r="M14" s="23"/>
      <c r="N14" s="23"/>
      <c r="O14" s="23"/>
      <c r="P14" s="23"/>
      <c r="Q14" s="21" t="str">
        <f t="shared" ref="Q14:Q45" si="0">IF($O14="","",(0.75*$Q$77*115*0.05)*$O14/$Q$78)</f>
        <v/>
      </c>
      <c r="R14" s="23"/>
      <c r="S14" s="23"/>
      <c r="T14" s="23"/>
      <c r="U14" s="23"/>
      <c r="V14" s="23"/>
      <c r="W14" s="23"/>
      <c r="X14" s="23"/>
      <c r="Y14" s="23"/>
    </row>
    <row r="15" spans="1:28" s="14" customFormat="1" ht="12.75" customHeight="1" x14ac:dyDescent="0.2">
      <c r="A15" s="47">
        <v>5920</v>
      </c>
      <c r="B15" s="48">
        <v>5947.21</v>
      </c>
      <c r="C15" s="22" t="s">
        <v>23</v>
      </c>
      <c r="D15" s="17">
        <f t="shared" ref="D15:D22" si="1">B15-A15</f>
        <v>27.210000000000036</v>
      </c>
      <c r="E15" s="25">
        <f>((14+13.74)/2)</f>
        <v>13.870000000000001</v>
      </c>
      <c r="F15" s="17">
        <f t="shared" ref="F15" si="2">D15*E15</f>
        <v>377.40270000000055</v>
      </c>
      <c r="G15" s="25"/>
      <c r="H15" s="23"/>
      <c r="I15" s="23"/>
      <c r="J15" s="21">
        <f>(D15*$J$78)</f>
        <v>40.815000000000055</v>
      </c>
      <c r="K15" s="21">
        <f>(D15*$K$78)</f>
        <v>40.815000000000055</v>
      </c>
      <c r="L15" s="23"/>
      <c r="M15" s="21"/>
      <c r="N15" s="21">
        <f>ROUNDUP(O15/N$77,2)</f>
        <v>0.03</v>
      </c>
      <c r="O15" s="21">
        <f>(F15+K15)/9</f>
        <v>46.468633333333401</v>
      </c>
      <c r="P15" s="21">
        <f>O15</f>
        <v>46.468633333333401</v>
      </c>
      <c r="Q15" s="21">
        <f t="shared" si="0"/>
        <v>1.2725730147512768</v>
      </c>
      <c r="R15" s="23"/>
      <c r="S15" s="21">
        <f>((F15)*$S$77)/$S$78</f>
        <v>6.9889388888888995</v>
      </c>
      <c r="T15" s="21">
        <f>((F15+J15)*$T$77)/$T$78</f>
        <v>7.7447722222222337</v>
      </c>
      <c r="U15" s="21">
        <f>((F15/$U$78)*$U$77)*2</f>
        <v>4.612699666666674</v>
      </c>
      <c r="V15" s="21"/>
      <c r="W15" s="21">
        <f>(F15*$W$77)/$W$78</f>
        <v>1.7472347222222249</v>
      </c>
      <c r="X15" s="21">
        <f>(F15*$X$77)/$X$78</f>
        <v>2.0384405092592623</v>
      </c>
      <c r="Y15" s="23"/>
    </row>
    <row r="16" spans="1:28" s="14" customFormat="1" ht="12.75" customHeight="1" x14ac:dyDescent="0.2">
      <c r="A16" s="20"/>
      <c r="B16" s="19"/>
      <c r="C16" s="22"/>
      <c r="D16" s="17"/>
      <c r="E16" s="17"/>
      <c r="F16" s="17"/>
      <c r="G16" s="17"/>
      <c r="H16" s="21"/>
      <c r="I16" s="21"/>
      <c r="J16" s="21"/>
      <c r="K16" s="21"/>
      <c r="L16" s="21"/>
      <c r="M16" s="21"/>
      <c r="N16" s="21"/>
      <c r="O16" s="21"/>
      <c r="P16" s="21"/>
      <c r="Q16" s="21" t="str">
        <f t="shared" si="0"/>
        <v/>
      </c>
      <c r="R16" s="21"/>
      <c r="S16" s="21"/>
      <c r="T16" s="21"/>
      <c r="U16" s="21"/>
      <c r="V16" s="21"/>
      <c r="W16" s="21"/>
      <c r="X16" s="21"/>
      <c r="Y16" s="21"/>
      <c r="AB16" s="14" t="s">
        <v>48</v>
      </c>
    </row>
    <row r="17" spans="1:29" s="14" customFormat="1" ht="12.75" customHeight="1" x14ac:dyDescent="0.2">
      <c r="A17" s="47">
        <v>5920</v>
      </c>
      <c r="B17" s="48">
        <v>5947.91</v>
      </c>
      <c r="C17" s="22" t="s">
        <v>26</v>
      </c>
      <c r="D17" s="17">
        <f t="shared" si="1"/>
        <v>27.909999999999854</v>
      </c>
      <c r="E17" s="17">
        <f>((14+12.56)/2)</f>
        <v>13.280000000000001</v>
      </c>
      <c r="F17" s="17">
        <f t="shared" ref="F17:F22" si="3">D17*E17</f>
        <v>370.6447999999981</v>
      </c>
      <c r="G17" s="17"/>
      <c r="H17" s="23"/>
      <c r="I17" s="21"/>
      <c r="J17" s="21">
        <f>(D17*$J$78)</f>
        <v>41.864999999999782</v>
      </c>
      <c r="K17" s="21">
        <f>(D17*$K$78)</f>
        <v>41.864999999999782</v>
      </c>
      <c r="L17" s="21"/>
      <c r="M17" s="21"/>
      <c r="N17" s="21">
        <f>ROUNDUP(O17/N$77,2)</f>
        <v>0.03</v>
      </c>
      <c r="O17" s="21">
        <f>(F17+K17)/9</f>
        <v>45.834422222221988</v>
      </c>
      <c r="P17" s="21">
        <f>O17</f>
        <v>45.834422222221988</v>
      </c>
      <c r="Q17" s="21">
        <f t="shared" si="0"/>
        <v>1.2552047409768712</v>
      </c>
      <c r="R17" s="21"/>
      <c r="S17" s="21">
        <f>((F17)*$S$77)/$S$78</f>
        <v>6.8637925925925574</v>
      </c>
      <c r="T17" s="21">
        <f>((F17+J17)*$T$77)/$T$78</f>
        <v>7.6390703703703311</v>
      </c>
      <c r="U17" s="21">
        <f>((F17/$U$78)*$U$77)*2</f>
        <v>4.5301031111110879</v>
      </c>
      <c r="V17" s="21"/>
      <c r="W17" s="21">
        <f>(F17*$W$77)/$W$78</f>
        <v>1.7159481481481393</v>
      </c>
      <c r="X17" s="21">
        <f>(F17*$X$77)/$X$78</f>
        <v>2.0019395061728296</v>
      </c>
      <c r="Y17" s="23"/>
      <c r="AB17" s="35">
        <f>SUM(F15,F17,F20,F22,F25,F27,F30,F32,F35,F37,F40,F42)</f>
        <v>6446.4628999999895</v>
      </c>
    </row>
    <row r="18" spans="1:29" s="14" customFormat="1" ht="12.75" customHeight="1" x14ac:dyDescent="0.2">
      <c r="A18" s="20"/>
      <c r="B18" s="19"/>
      <c r="C18" s="22"/>
      <c r="D18" s="17"/>
      <c r="E18" s="17"/>
      <c r="F18" s="17"/>
      <c r="G18" s="17"/>
      <c r="H18" s="21"/>
      <c r="I18" s="21"/>
      <c r="J18" s="21"/>
      <c r="K18" s="21"/>
      <c r="L18" s="21"/>
      <c r="M18" s="21"/>
      <c r="N18" s="21"/>
      <c r="O18" s="21"/>
      <c r="P18" s="21"/>
      <c r="Q18" s="21" t="str">
        <f t="shared" si="0"/>
        <v/>
      </c>
      <c r="R18" s="21"/>
      <c r="S18" s="21"/>
      <c r="T18" s="21"/>
      <c r="U18" s="21"/>
      <c r="V18" s="21"/>
      <c r="W18" s="21"/>
      <c r="X18" s="21"/>
      <c r="Y18" s="21"/>
    </row>
    <row r="19" spans="1:29" s="14" customFormat="1" ht="12.75" customHeight="1" x14ac:dyDescent="0.2">
      <c r="A19" s="66" t="s">
        <v>34</v>
      </c>
      <c r="B19" s="67"/>
      <c r="C19" s="22"/>
      <c r="D19" s="17"/>
      <c r="E19" s="17"/>
      <c r="F19" s="17"/>
      <c r="G19" s="17"/>
      <c r="H19" s="21"/>
      <c r="I19" s="21"/>
      <c r="J19" s="21"/>
      <c r="K19" s="21"/>
      <c r="L19" s="21"/>
      <c r="M19" s="21"/>
      <c r="N19" s="21"/>
      <c r="O19" s="21"/>
      <c r="P19" s="21"/>
      <c r="Q19" s="21" t="str">
        <f t="shared" si="0"/>
        <v/>
      </c>
      <c r="R19" s="21"/>
      <c r="S19" s="21"/>
      <c r="T19" s="21"/>
      <c r="U19" s="21"/>
      <c r="V19" s="21"/>
      <c r="W19" s="21"/>
      <c r="X19" s="21"/>
      <c r="Y19" s="21"/>
      <c r="AB19" s="84" t="s">
        <v>49</v>
      </c>
      <c r="AC19" s="84"/>
    </row>
    <row r="20" spans="1:29" s="14" customFormat="1" ht="12.75" customHeight="1" x14ac:dyDescent="0.2">
      <c r="A20" s="47">
        <v>7052.5</v>
      </c>
      <c r="B20" s="48">
        <v>7108</v>
      </c>
      <c r="C20" s="22" t="s">
        <v>23</v>
      </c>
      <c r="D20" s="17">
        <f t="shared" si="1"/>
        <v>55.5</v>
      </c>
      <c r="E20" s="17">
        <f>((14+12.18)/2)</f>
        <v>13.09</v>
      </c>
      <c r="F20" s="17">
        <f t="shared" si="3"/>
        <v>726.495</v>
      </c>
      <c r="G20" s="17"/>
      <c r="H20" s="23"/>
      <c r="I20" s="21"/>
      <c r="J20" s="21">
        <f>(D20*$J$78)</f>
        <v>83.25</v>
      </c>
      <c r="K20" s="21">
        <f>(D20*$K$78)</f>
        <v>83.25</v>
      </c>
      <c r="L20" s="21"/>
      <c r="M20" s="21"/>
      <c r="N20" s="21">
        <f>ROUNDUP(O20/N$77,2)</f>
        <v>0.05</v>
      </c>
      <c r="O20" s="21">
        <f>(F20+K20)/9</f>
        <v>89.971666666666664</v>
      </c>
      <c r="P20" s="21">
        <f>O20</f>
        <v>89.971666666666664</v>
      </c>
      <c r="Q20" s="21">
        <f t="shared" si="0"/>
        <v>2.4639311914100506</v>
      </c>
      <c r="R20" s="21"/>
      <c r="S20" s="21">
        <f>((F20)*$S$77)/$S$78</f>
        <v>13.453611111111112</v>
      </c>
      <c r="T20" s="21">
        <f>((F20+J20)*$T$77)/$T$78</f>
        <v>14.995277777777778</v>
      </c>
      <c r="U20" s="21">
        <f>((F20/$U$78)*$U$77)*2</f>
        <v>8.8793833333333332</v>
      </c>
      <c r="V20" s="21"/>
      <c r="W20" s="21">
        <f>(F20*$W$77)/$W$78</f>
        <v>3.363402777777778</v>
      </c>
      <c r="X20" s="21">
        <f>(F20*$X$77)/$X$78</f>
        <v>3.9239699074074079</v>
      </c>
      <c r="Y20" s="23"/>
      <c r="AB20" s="85">
        <v>0</v>
      </c>
      <c r="AC20" s="84"/>
    </row>
    <row r="21" spans="1:29" s="14" customFormat="1" ht="12.75" customHeight="1" x14ac:dyDescent="0.2">
      <c r="A21" s="47"/>
      <c r="B21" s="48"/>
      <c r="C21" s="22"/>
      <c r="D21" s="17"/>
      <c r="E21" s="17"/>
      <c r="F21" s="17"/>
      <c r="G21" s="17"/>
      <c r="H21" s="21"/>
      <c r="I21" s="21"/>
      <c r="J21" s="21"/>
      <c r="K21" s="21"/>
      <c r="L21" s="21"/>
      <c r="M21" s="21"/>
      <c r="N21" s="21"/>
      <c r="O21" s="21"/>
      <c r="P21" s="21"/>
      <c r="Q21" s="21" t="str">
        <f t="shared" si="0"/>
        <v/>
      </c>
      <c r="R21" s="21"/>
      <c r="S21" s="24"/>
      <c r="T21" s="24"/>
      <c r="U21" s="21"/>
      <c r="V21" s="21"/>
      <c r="W21" s="21"/>
      <c r="X21" s="21"/>
      <c r="Y21" s="23"/>
    </row>
    <row r="22" spans="1:29" s="14" customFormat="1" ht="12.75" customHeight="1" x14ac:dyDescent="0.2">
      <c r="A22" s="47">
        <v>7052.5</v>
      </c>
      <c r="B22" s="48">
        <v>7108</v>
      </c>
      <c r="C22" s="22" t="s">
        <v>26</v>
      </c>
      <c r="D22" s="17">
        <f t="shared" si="1"/>
        <v>55.5</v>
      </c>
      <c r="E22" s="17">
        <f>((14+13.76)/2)</f>
        <v>13.879999999999999</v>
      </c>
      <c r="F22" s="17">
        <f t="shared" si="3"/>
        <v>770.33999999999992</v>
      </c>
      <c r="G22" s="17"/>
      <c r="H22" s="23"/>
      <c r="I22" s="21"/>
      <c r="J22" s="21">
        <f>(D22*$J$78)</f>
        <v>83.25</v>
      </c>
      <c r="K22" s="21">
        <f>(D22*$K$78)</f>
        <v>83.25</v>
      </c>
      <c r="L22" s="21"/>
      <c r="M22" s="21"/>
      <c r="N22" s="21">
        <f>ROUNDUP(O22/N$77,2)</f>
        <v>0.05</v>
      </c>
      <c r="O22" s="21">
        <f>(F22+K22)/9</f>
        <v>94.84333333333332</v>
      </c>
      <c r="P22" s="21">
        <f>O22</f>
        <v>94.84333333333332</v>
      </c>
      <c r="Q22" s="21">
        <f t="shared" si="0"/>
        <v>2.5973448748380106</v>
      </c>
      <c r="R22" s="21"/>
      <c r="S22" s="21">
        <f>((F22)*$S$77)/$S$78</f>
        <v>14.265555555555554</v>
      </c>
      <c r="T22" s="21">
        <f>((F22+J22)*$T$77)/$T$78</f>
        <v>15.807222222222221</v>
      </c>
      <c r="U22" s="21">
        <f>((F22/$U$78)*$U$77)*2</f>
        <v>9.4152666666666658</v>
      </c>
      <c r="V22" s="21"/>
      <c r="W22" s="21">
        <f>(F22*$W$77)/$W$78</f>
        <v>3.5663888888888886</v>
      </c>
      <c r="X22" s="21">
        <f>(F22*$X$77)/$X$78</f>
        <v>4.1607870370370375</v>
      </c>
      <c r="Y22" s="23"/>
    </row>
    <row r="23" spans="1:29" s="14" customFormat="1" ht="12.75" customHeight="1" x14ac:dyDescent="0.2">
      <c r="A23" s="20"/>
      <c r="B23" s="19"/>
      <c r="C23" s="22"/>
      <c r="D23" s="17"/>
      <c r="E23" s="17"/>
      <c r="F23" s="17"/>
      <c r="G23" s="17"/>
      <c r="H23" s="21"/>
      <c r="I23" s="21"/>
      <c r="J23" s="21"/>
      <c r="K23" s="21"/>
      <c r="L23" s="21"/>
      <c r="M23" s="21"/>
      <c r="N23" s="21"/>
      <c r="O23" s="21"/>
      <c r="P23" s="21"/>
      <c r="Q23" s="21" t="str">
        <f t="shared" si="0"/>
        <v/>
      </c>
      <c r="R23" s="21"/>
      <c r="S23" s="21"/>
      <c r="T23" s="21"/>
      <c r="U23" s="21"/>
      <c r="V23" s="21"/>
      <c r="W23" s="21"/>
      <c r="X23" s="21"/>
      <c r="Y23" s="21"/>
    </row>
    <row r="24" spans="1:29" s="14" customFormat="1" ht="12.75" customHeight="1" x14ac:dyDescent="0.2">
      <c r="A24" s="66" t="s">
        <v>35</v>
      </c>
      <c r="B24" s="67"/>
      <c r="C24" s="22"/>
      <c r="D24" s="17"/>
      <c r="E24" s="17"/>
      <c r="F24" s="17"/>
      <c r="G24" s="17"/>
      <c r="H24" s="21"/>
      <c r="I24" s="21"/>
      <c r="J24" s="21"/>
      <c r="K24" s="21"/>
      <c r="L24" s="21"/>
      <c r="M24" s="21"/>
      <c r="N24" s="21"/>
      <c r="O24" s="21"/>
      <c r="P24" s="21"/>
      <c r="Q24" s="21" t="str">
        <f t="shared" si="0"/>
        <v/>
      </c>
      <c r="R24" s="21"/>
      <c r="S24" s="21"/>
      <c r="T24" s="21"/>
      <c r="U24" s="21"/>
      <c r="V24" s="21"/>
      <c r="W24" s="21"/>
      <c r="X24" s="21"/>
      <c r="Y24" s="21"/>
    </row>
    <row r="25" spans="1:29" s="14" customFormat="1" ht="12.75" customHeight="1" x14ac:dyDescent="0.2">
      <c r="A25" s="49">
        <v>7900</v>
      </c>
      <c r="B25" s="48">
        <v>7952.11</v>
      </c>
      <c r="C25" s="22" t="s">
        <v>23</v>
      </c>
      <c r="D25" s="17">
        <f>B25-A25</f>
        <v>52.109999999999673</v>
      </c>
      <c r="E25" s="17" t="s">
        <v>24</v>
      </c>
      <c r="F25" s="17" t="s">
        <v>24</v>
      </c>
      <c r="G25" s="17">
        <v>582.24</v>
      </c>
      <c r="H25" s="23"/>
      <c r="I25" s="21"/>
      <c r="J25" s="21">
        <f>(D25*$J$78)</f>
        <v>78.164999999999509</v>
      </c>
      <c r="K25" s="21">
        <f>(D25*$K$78)</f>
        <v>78.164999999999509</v>
      </c>
      <c r="L25" s="21"/>
      <c r="M25" s="21"/>
      <c r="N25" s="21">
        <f>ROUNDUP(O25/N$77,2)</f>
        <v>0.04</v>
      </c>
      <c r="O25" s="21">
        <f>(G25+K25)/9</f>
        <v>73.378333333333273</v>
      </c>
      <c r="P25" s="21">
        <f>O25</f>
        <v>73.378333333333273</v>
      </c>
      <c r="Q25" s="21">
        <f t="shared" si="0"/>
        <v>2.0095122272606227</v>
      </c>
      <c r="R25" s="21"/>
      <c r="S25" s="21">
        <f>((G25)*$S$77)/$S$78</f>
        <v>10.782222222222222</v>
      </c>
      <c r="T25" s="21">
        <f>((G25+J25)*$T$77)/$T$78</f>
        <v>12.229722222222213</v>
      </c>
      <c r="U25" s="21">
        <f>((G25/$U$78)*$U$77)*2</f>
        <v>7.1162666666666663</v>
      </c>
      <c r="V25" s="21"/>
      <c r="W25" s="21">
        <f>(G25*$W$77)/$W$78</f>
        <v>2.6955555555555555</v>
      </c>
      <c r="X25" s="21">
        <f>(G25*$X$77)/$X$78</f>
        <v>3.1448148148148154</v>
      </c>
      <c r="Y25" s="23"/>
    </row>
    <row r="26" spans="1:29" s="14" customFormat="1" ht="12.75" customHeight="1" x14ac:dyDescent="0.2">
      <c r="A26" s="50"/>
      <c r="B26" s="19"/>
      <c r="C26" s="28"/>
      <c r="D26" s="17"/>
      <c r="E26" s="17"/>
      <c r="F26" s="17"/>
      <c r="G26" s="17"/>
      <c r="H26" s="21"/>
      <c r="I26" s="21"/>
      <c r="J26" s="21"/>
      <c r="K26" s="21"/>
      <c r="L26" s="21"/>
      <c r="M26" s="21"/>
      <c r="N26" s="21"/>
      <c r="O26" s="26"/>
      <c r="P26" s="21"/>
      <c r="Q26" s="21" t="str">
        <f t="shared" si="0"/>
        <v/>
      </c>
      <c r="R26" s="21"/>
      <c r="S26" s="24"/>
      <c r="T26" s="24"/>
      <c r="U26" s="21"/>
      <c r="V26" s="21"/>
      <c r="W26" s="21"/>
      <c r="X26" s="21"/>
      <c r="Y26" s="21"/>
    </row>
    <row r="27" spans="1:29" s="14" customFormat="1" ht="12.75" customHeight="1" x14ac:dyDescent="0.2">
      <c r="A27" s="49">
        <v>7900</v>
      </c>
      <c r="B27" s="48">
        <v>7952.76</v>
      </c>
      <c r="C27" s="28" t="s">
        <v>26</v>
      </c>
      <c r="D27" s="17">
        <f>B27-A27</f>
        <v>52.760000000000218</v>
      </c>
      <c r="E27" s="17" t="s">
        <v>64</v>
      </c>
      <c r="F27" s="17" t="s">
        <v>64</v>
      </c>
      <c r="G27" s="17">
        <v>840.2</v>
      </c>
      <c r="H27" s="23"/>
      <c r="I27" s="21"/>
      <c r="J27" s="21">
        <f>(D27*$J$78)</f>
        <v>79.140000000000327</v>
      </c>
      <c r="K27" s="21">
        <f>(D27*$K$78)</f>
        <v>79.140000000000327</v>
      </c>
      <c r="L27" s="21"/>
      <c r="M27" s="21"/>
      <c r="N27" s="21">
        <f>ROUNDUP(O27/N$77,2)</f>
        <v>6.0000000000000005E-2</v>
      </c>
      <c r="O27" s="21">
        <f>(G27+K27)/9</f>
        <v>102.14888888888893</v>
      </c>
      <c r="P27" s="21">
        <f>O27</f>
        <v>102.14888888888893</v>
      </c>
      <c r="Q27" s="21">
        <f t="shared" si="0"/>
        <v>2.7974121501348161</v>
      </c>
      <c r="R27" s="21"/>
      <c r="S27" s="21">
        <f>((G27)*$S$77)/$S$78</f>
        <v>15.55925925925926</v>
      </c>
      <c r="T27" s="21">
        <f>((G27+J27)*$T$77)/$T$78</f>
        <v>17.024814814814821</v>
      </c>
      <c r="U27" s="21">
        <f>((G27/$U$78)*$U$77)*2</f>
        <v>10.26911111111111</v>
      </c>
      <c r="V27" s="21"/>
      <c r="W27" s="21">
        <f>(G27*$W$77)/$W$78</f>
        <v>3.8898148148148151</v>
      </c>
      <c r="X27" s="21">
        <f>(G27*$X$77)/$X$78</f>
        <v>4.5381172839506183</v>
      </c>
      <c r="Y27" s="23"/>
    </row>
    <row r="28" spans="1:29" s="14" customFormat="1" ht="12.75" customHeight="1" x14ac:dyDescent="0.2">
      <c r="A28" s="20"/>
      <c r="B28" s="19"/>
      <c r="C28" s="22"/>
      <c r="D28" s="17"/>
      <c r="E28" s="17"/>
      <c r="F28" s="17"/>
      <c r="G28" s="17"/>
      <c r="H28" s="21"/>
      <c r="I28" s="21"/>
      <c r="J28" s="21"/>
      <c r="K28" s="21"/>
      <c r="L28" s="21"/>
      <c r="M28" s="21"/>
      <c r="N28" s="21"/>
      <c r="O28" s="21"/>
      <c r="P28" s="21"/>
      <c r="Q28" s="21" t="str">
        <f t="shared" si="0"/>
        <v/>
      </c>
      <c r="R28" s="21"/>
      <c r="S28" s="51"/>
      <c r="T28" s="51"/>
      <c r="U28" s="21"/>
      <c r="V28" s="21"/>
      <c r="W28" s="21"/>
      <c r="X28" s="21"/>
      <c r="Y28" s="21"/>
    </row>
    <row r="29" spans="1:29" s="14" customFormat="1" ht="12.75" customHeight="1" x14ac:dyDescent="0.2">
      <c r="A29" s="66" t="s">
        <v>36</v>
      </c>
      <c r="B29" s="67"/>
      <c r="C29" s="22"/>
      <c r="D29" s="17"/>
      <c r="E29" s="17"/>
      <c r="F29" s="17"/>
      <c r="G29" s="17"/>
      <c r="H29" s="21"/>
      <c r="I29" s="21"/>
      <c r="J29" s="21"/>
      <c r="K29" s="21"/>
      <c r="L29" s="21"/>
      <c r="M29" s="21"/>
      <c r="N29" s="21"/>
      <c r="O29" s="21"/>
      <c r="P29" s="21"/>
      <c r="Q29" s="21" t="str">
        <f t="shared" si="0"/>
        <v/>
      </c>
      <c r="R29" s="21"/>
      <c r="S29" s="51"/>
      <c r="T29" s="51"/>
      <c r="U29" s="21"/>
      <c r="V29" s="21"/>
      <c r="W29" s="21"/>
      <c r="X29" s="21"/>
      <c r="Y29" s="21"/>
    </row>
    <row r="30" spans="1:29" s="14" customFormat="1" ht="12.75" customHeight="1" x14ac:dyDescent="0.2">
      <c r="A30" s="47">
        <v>9042.82</v>
      </c>
      <c r="B30" s="48">
        <v>9100</v>
      </c>
      <c r="C30" s="22" t="s">
        <v>23</v>
      </c>
      <c r="D30" s="17">
        <f>B30-A30</f>
        <v>57.180000000000291</v>
      </c>
      <c r="E30" s="17">
        <f>((14+10.21)/2)</f>
        <v>12.105</v>
      </c>
      <c r="F30" s="17">
        <f>D30*E30</f>
        <v>692.16390000000354</v>
      </c>
      <c r="G30" s="17"/>
      <c r="H30" s="21">
        <f>(D30*$H$78)</f>
        <v>19.060000000000095</v>
      </c>
      <c r="I30" s="21">
        <f>(D30*$J$78)</f>
        <v>85.770000000000437</v>
      </c>
      <c r="K30" s="21">
        <f>(D30*$K$78)</f>
        <v>85.770000000000437</v>
      </c>
      <c r="L30" s="21"/>
      <c r="M30" s="21"/>
      <c r="N30" s="21">
        <f>ROUNDUP(O30/N$77,2)</f>
        <v>0.05</v>
      </c>
      <c r="O30" s="21">
        <f>(F30+K30)/9</f>
        <v>86.437100000000441</v>
      </c>
      <c r="P30" s="21">
        <f>O30</f>
        <v>86.437100000000441</v>
      </c>
      <c r="Q30" s="21">
        <f t="shared" si="0"/>
        <v>2.3671348400611021</v>
      </c>
      <c r="R30" s="21"/>
      <c r="S30" s="21">
        <f>((F30+H30)*$S$77)/$S$78</f>
        <v>13.17081296296303</v>
      </c>
      <c r="T30" s="21">
        <f>((F30+I30)*$T$77)/$T$78</f>
        <v>14.406183333333408</v>
      </c>
      <c r="U30" s="21">
        <f>((F30/$U$78)*$U$77)*2</f>
        <v>8.459781000000044</v>
      </c>
      <c r="V30" s="21"/>
      <c r="W30" s="21">
        <f>(F30*$W$77)/$W$78</f>
        <v>3.2044625000000164</v>
      </c>
      <c r="X30" s="21">
        <f>(F30*$X$77)/$X$78</f>
        <v>3.7385395833333526</v>
      </c>
      <c r="Y30" s="23"/>
    </row>
    <row r="31" spans="1:29" s="14" customFormat="1" ht="12.75" customHeight="1" x14ac:dyDescent="0.2">
      <c r="A31" s="50"/>
      <c r="B31" s="19"/>
      <c r="C31" s="22"/>
      <c r="D31" s="17"/>
      <c r="E31" s="17"/>
      <c r="F31" s="17"/>
      <c r="G31" s="17"/>
      <c r="H31" s="21"/>
      <c r="I31" s="21"/>
      <c r="J31" s="21"/>
      <c r="K31" s="21"/>
      <c r="L31" s="21"/>
      <c r="M31" s="24"/>
      <c r="N31" s="21"/>
      <c r="O31" s="21"/>
      <c r="P31" s="21"/>
      <c r="Q31" s="21" t="str">
        <f t="shared" si="0"/>
        <v/>
      </c>
      <c r="R31" s="21"/>
      <c r="S31" s="51"/>
      <c r="T31" s="51"/>
      <c r="U31" s="21"/>
      <c r="V31" s="21"/>
      <c r="W31" s="23"/>
      <c r="X31" s="21"/>
      <c r="Y31" s="21"/>
    </row>
    <row r="32" spans="1:29" s="14" customFormat="1" ht="12.75" customHeight="1" x14ac:dyDescent="0.2">
      <c r="A32" s="47">
        <v>9042.82</v>
      </c>
      <c r="B32" s="48">
        <v>9100</v>
      </c>
      <c r="C32" s="22" t="s">
        <v>26</v>
      </c>
      <c r="D32" s="17">
        <f>B32-A32</f>
        <v>57.180000000000291</v>
      </c>
      <c r="E32" s="17">
        <f>((14+10.68)/2)</f>
        <v>12.34</v>
      </c>
      <c r="F32" s="17">
        <f>D32*E32</f>
        <v>705.60120000000359</v>
      </c>
      <c r="G32" s="17"/>
      <c r="H32" s="21">
        <f>(D32*$H$78)</f>
        <v>19.060000000000095</v>
      </c>
      <c r="I32" s="21">
        <f>(D32*$J$78)</f>
        <v>85.770000000000437</v>
      </c>
      <c r="K32" s="21">
        <f>(D32*$K$78)</f>
        <v>85.770000000000437</v>
      </c>
      <c r="L32" s="21"/>
      <c r="M32" s="21"/>
      <c r="N32" s="21">
        <f>ROUNDUP(O32/N$77,2)</f>
        <v>0.05</v>
      </c>
      <c r="O32" s="21">
        <f>(F32+K32)/9</f>
        <v>87.930133333333785</v>
      </c>
      <c r="P32" s="21">
        <f>O32</f>
        <v>87.930133333333785</v>
      </c>
      <c r="Q32" s="21">
        <f t="shared" si="0"/>
        <v>2.408022505435182</v>
      </c>
      <c r="R32" s="21"/>
      <c r="S32" s="21">
        <f>((F32+H32)*$S$77)/$S$78</f>
        <v>13.419651851851919</v>
      </c>
      <c r="T32" s="21">
        <f>((F32+I32)*$T$77)/$T$78</f>
        <v>14.655022222222296</v>
      </c>
      <c r="U32" s="21">
        <f>((F32/$U$78)*$U$77)*2</f>
        <v>8.6240146666667101</v>
      </c>
      <c r="V32" s="21"/>
      <c r="W32" s="21">
        <f>(F32*$W$77)/$W$78</f>
        <v>3.2666722222222386</v>
      </c>
      <c r="X32" s="21">
        <f>(F32*$X$77)/$X$78</f>
        <v>3.8111175925926122</v>
      </c>
      <c r="Y32" s="23"/>
    </row>
    <row r="33" spans="1:25" s="14" customFormat="1" ht="12.75" customHeight="1" x14ac:dyDescent="0.2">
      <c r="A33" s="50"/>
      <c r="B33" s="19"/>
      <c r="C33" s="28"/>
      <c r="D33" s="17"/>
      <c r="E33" s="17"/>
      <c r="F33" s="17"/>
      <c r="G33" s="17"/>
      <c r="H33" s="21"/>
      <c r="I33" s="21"/>
      <c r="J33" s="21"/>
      <c r="K33" s="21"/>
      <c r="L33" s="21"/>
      <c r="M33" s="21"/>
      <c r="N33" s="21"/>
      <c r="O33" s="26"/>
      <c r="P33" s="21"/>
      <c r="Q33" s="21" t="str">
        <f t="shared" si="0"/>
        <v/>
      </c>
      <c r="R33" s="21"/>
      <c r="S33" s="51"/>
      <c r="T33" s="51"/>
      <c r="U33" s="21"/>
      <c r="V33" s="21"/>
      <c r="W33" s="21"/>
      <c r="X33" s="21"/>
      <c r="Y33" s="21"/>
    </row>
    <row r="34" spans="1:25" s="14" customFormat="1" ht="12.75" customHeight="1" x14ac:dyDescent="0.2">
      <c r="A34" s="66" t="s">
        <v>37</v>
      </c>
      <c r="B34" s="67"/>
      <c r="C34" s="22"/>
      <c r="D34" s="17"/>
      <c r="E34" s="17"/>
      <c r="F34" s="17"/>
      <c r="G34" s="17"/>
      <c r="H34" s="21"/>
      <c r="I34" s="21"/>
      <c r="J34" s="21"/>
      <c r="K34" s="21"/>
      <c r="L34" s="21"/>
      <c r="M34" s="21"/>
      <c r="N34" s="21"/>
      <c r="O34" s="21"/>
      <c r="P34" s="21"/>
      <c r="Q34" s="21" t="str">
        <f t="shared" si="0"/>
        <v/>
      </c>
      <c r="R34" s="21"/>
      <c r="S34" s="51"/>
      <c r="T34" s="51"/>
      <c r="U34" s="21"/>
      <c r="V34" s="21"/>
      <c r="W34" s="21"/>
      <c r="X34" s="21"/>
      <c r="Y34" s="21"/>
    </row>
    <row r="35" spans="1:25" s="14" customFormat="1" ht="12.75" customHeight="1" x14ac:dyDescent="0.2">
      <c r="A35" s="47">
        <v>10052.540000000001</v>
      </c>
      <c r="B35" s="48">
        <v>10100</v>
      </c>
      <c r="C35" s="22" t="s">
        <v>23</v>
      </c>
      <c r="D35" s="17">
        <f>B35-A35</f>
        <v>47.459999999999127</v>
      </c>
      <c r="E35" s="17">
        <f>((14+9.28)/2)</f>
        <v>11.64</v>
      </c>
      <c r="F35" s="17">
        <f>D35*E35</f>
        <v>552.43439999998986</v>
      </c>
      <c r="G35" s="17"/>
      <c r="H35" s="21">
        <f>(D35*$H$78)</f>
        <v>15.819999999999709</v>
      </c>
      <c r="I35" s="21">
        <f>(D35*$J$78)</f>
        <v>71.18999999999869</v>
      </c>
      <c r="K35" s="21">
        <f>(D35*$K$78)</f>
        <v>71.18999999999869</v>
      </c>
      <c r="L35" s="21"/>
      <c r="M35" s="21"/>
      <c r="N35" s="21">
        <f>ROUNDUP(O35/N$77,2)</f>
        <v>0.04</v>
      </c>
      <c r="O35" s="21">
        <f>(F35+K35)/9</f>
        <v>69.291599999998724</v>
      </c>
      <c r="P35" s="21">
        <f>O35</f>
        <v>69.291599999998724</v>
      </c>
      <c r="Q35" s="21">
        <f t="shared" si="0"/>
        <v>1.8975944413171424</v>
      </c>
      <c r="R35" s="21"/>
      <c r="S35" s="21">
        <f>((F35+H35)*$S$77)/$S$78</f>
        <v>10.523229629629437</v>
      </c>
      <c r="T35" s="21">
        <f>((F35+I35)*$T$77)/$T$78</f>
        <v>11.548599999999787</v>
      </c>
      <c r="U35" s="21">
        <f>((F35/$U$78)*$U$77)*2</f>
        <v>6.7519759999998765</v>
      </c>
      <c r="V35" s="21"/>
      <c r="W35" s="21">
        <f>(F35*$W$77)/$W$78</f>
        <v>2.5575666666666197</v>
      </c>
      <c r="X35" s="21">
        <f>(F35*$X$77)/$X$78</f>
        <v>2.9838277777777229</v>
      </c>
      <c r="Y35" s="23"/>
    </row>
    <row r="36" spans="1:25" s="14" customFormat="1" ht="12.75" customHeight="1" x14ac:dyDescent="0.2">
      <c r="A36" s="20"/>
      <c r="B36" s="19"/>
      <c r="C36" s="22"/>
      <c r="D36" s="17"/>
      <c r="E36" s="17"/>
      <c r="F36" s="17"/>
      <c r="G36" s="17"/>
      <c r="H36" s="21"/>
      <c r="I36" s="21"/>
      <c r="J36" s="21"/>
      <c r="K36" s="21"/>
      <c r="L36" s="21"/>
      <c r="M36" s="24"/>
      <c r="N36" s="21"/>
      <c r="O36" s="21"/>
      <c r="P36" s="21"/>
      <c r="Q36" s="21" t="str">
        <f t="shared" si="0"/>
        <v/>
      </c>
      <c r="R36" s="21"/>
      <c r="S36" s="51"/>
      <c r="T36" s="51"/>
      <c r="U36" s="21"/>
      <c r="V36" s="21"/>
      <c r="W36" s="21"/>
      <c r="X36" s="21"/>
      <c r="Y36" s="21"/>
    </row>
    <row r="37" spans="1:25" s="14" customFormat="1" ht="12.75" customHeight="1" x14ac:dyDescent="0.2">
      <c r="A37" s="47">
        <v>10052.540000000001</v>
      </c>
      <c r="B37" s="48">
        <v>10100</v>
      </c>
      <c r="C37" s="22" t="s">
        <v>26</v>
      </c>
      <c r="D37" s="17">
        <f>B37-A37</f>
        <v>47.459999999999127</v>
      </c>
      <c r="E37" s="17">
        <f>((14+12.87)/2)</f>
        <v>13.434999999999999</v>
      </c>
      <c r="F37" s="17">
        <f>D37*E37</f>
        <v>637.62509999998827</v>
      </c>
      <c r="G37" s="17"/>
      <c r="H37" s="21">
        <f>(D37*$H$78)</f>
        <v>15.819999999999709</v>
      </c>
      <c r="I37" s="21">
        <f>(D37*$J$78)</f>
        <v>71.18999999999869</v>
      </c>
      <c r="K37" s="21">
        <f>(D37*$K$78)</f>
        <v>71.18999999999869</v>
      </c>
      <c r="L37" s="21"/>
      <c r="M37" s="21"/>
      <c r="N37" s="21">
        <f>ROUNDUP(O37/N$77,2)</f>
        <v>0.04</v>
      </c>
      <c r="O37" s="21">
        <f>(F37+K37)/9</f>
        <v>78.757233333331882</v>
      </c>
      <c r="P37" s="21">
        <f>O37</f>
        <v>78.757233333331882</v>
      </c>
      <c r="Q37" s="21">
        <f t="shared" si="0"/>
        <v>2.1568168174331452</v>
      </c>
      <c r="R37" s="21"/>
      <c r="S37" s="21">
        <f>((F37+H37)*$S$77)/$S$78</f>
        <v>12.100835185184962</v>
      </c>
      <c r="T37" s="21">
        <f>((F37+I37)*$T$77)/$T$78</f>
        <v>13.126205555555314</v>
      </c>
      <c r="U37" s="21">
        <f>((F37/$U$78)*$U$77)*2</f>
        <v>7.7931956666665227</v>
      </c>
      <c r="V37" s="21"/>
      <c r="W37" s="21">
        <f>(F37*$W$77)/$W$78</f>
        <v>2.951968055555501</v>
      </c>
      <c r="X37" s="21">
        <f>(F37*$X$77)/$X$78</f>
        <v>3.4439627314814181</v>
      </c>
      <c r="Y37" s="23"/>
    </row>
    <row r="38" spans="1:25" s="14" customFormat="1" ht="12.75" customHeight="1" x14ac:dyDescent="0.2">
      <c r="A38" s="20"/>
      <c r="B38" s="19"/>
      <c r="C38" s="22"/>
      <c r="D38" s="17"/>
      <c r="E38" s="17"/>
      <c r="F38" s="17"/>
      <c r="G38" s="17"/>
      <c r="H38" s="21"/>
      <c r="I38" s="21"/>
      <c r="J38" s="21"/>
      <c r="K38" s="21"/>
      <c r="L38" s="21"/>
      <c r="M38" s="21"/>
      <c r="N38" s="21"/>
      <c r="O38" s="21"/>
      <c r="P38" s="21"/>
      <c r="Q38" s="21" t="str">
        <f t="shared" si="0"/>
        <v/>
      </c>
      <c r="R38" s="21"/>
      <c r="S38" s="24"/>
      <c r="T38" s="24"/>
      <c r="U38" s="21"/>
      <c r="V38" s="21"/>
      <c r="W38" s="21"/>
      <c r="X38" s="21"/>
      <c r="Y38" s="21"/>
    </row>
    <row r="39" spans="1:25" s="14" customFormat="1" ht="12.75" customHeight="1" x14ac:dyDescent="0.2">
      <c r="A39" s="66" t="s">
        <v>38</v>
      </c>
      <c r="B39" s="67"/>
      <c r="C39" s="22"/>
      <c r="D39" s="17"/>
      <c r="E39" s="17"/>
      <c r="F39" s="17"/>
      <c r="G39" s="17"/>
      <c r="H39" s="21"/>
      <c r="I39" s="21"/>
      <c r="J39" s="21"/>
      <c r="K39" s="21"/>
      <c r="L39" s="21"/>
      <c r="M39" s="21"/>
      <c r="N39" s="21"/>
      <c r="O39" s="21"/>
      <c r="P39" s="21"/>
      <c r="Q39" s="21" t="str">
        <f t="shared" si="0"/>
        <v/>
      </c>
      <c r="R39" s="21"/>
      <c r="S39" s="24"/>
      <c r="T39" s="24"/>
      <c r="U39" s="21"/>
      <c r="V39" s="21"/>
      <c r="W39" s="21"/>
      <c r="X39" s="21"/>
      <c r="Y39" s="21"/>
    </row>
    <row r="40" spans="1:25" s="14" customFormat="1" ht="12.75" customHeight="1" x14ac:dyDescent="0.2">
      <c r="A40" s="47">
        <v>11900</v>
      </c>
      <c r="B40" s="48">
        <v>11947.59</v>
      </c>
      <c r="C40" s="22" t="s">
        <v>23</v>
      </c>
      <c r="D40" s="17">
        <f>B40-A40</f>
        <v>47.590000000000146</v>
      </c>
      <c r="E40" s="17">
        <f>((17.49+17.94)/2)</f>
        <v>17.715</v>
      </c>
      <c r="F40" s="17">
        <f>D40*E40</f>
        <v>843.05685000000256</v>
      </c>
      <c r="G40" s="17"/>
      <c r="H40" s="21"/>
      <c r="I40" s="21"/>
      <c r="J40" s="21">
        <f>(D40*$J$78)</f>
        <v>71.385000000000218</v>
      </c>
      <c r="K40" s="21">
        <f>(D40*$K$78)</f>
        <v>71.385000000000218</v>
      </c>
      <c r="L40" s="21"/>
      <c r="M40" s="21"/>
      <c r="N40" s="21">
        <f>ROUNDUP(O40/N$77,2)</f>
        <v>6.0000000000000005E-2</v>
      </c>
      <c r="O40" s="21">
        <f>(F40+K40)/9</f>
        <v>101.6046500000003</v>
      </c>
      <c r="P40" s="21">
        <f>O40</f>
        <v>101.6046500000003</v>
      </c>
      <c r="Q40" s="21">
        <f t="shared" si="0"/>
        <v>2.7825078227660773</v>
      </c>
      <c r="R40" s="21"/>
      <c r="S40" s="21">
        <f>((F40)*$S$77)/$S$78</f>
        <v>15.612163888888936</v>
      </c>
      <c r="T40" s="21">
        <f>((F40+J40)*$T$77)/$T$78</f>
        <v>16.934108333333384</v>
      </c>
      <c r="U40" s="21">
        <f>((F40/$U$78)*$U$77)*2</f>
        <v>10.304028166666699</v>
      </c>
      <c r="V40" s="21"/>
      <c r="W40" s="21">
        <f>(F40*$W$77)/$W$78</f>
        <v>3.9030409722222341</v>
      </c>
      <c r="X40" s="21">
        <f>(F40*$X$77)/$X$78</f>
        <v>4.5535478009259398</v>
      </c>
      <c r="Y40" s="23"/>
    </row>
    <row r="41" spans="1:25" s="14" customFormat="1" ht="12.75" customHeight="1" x14ac:dyDescent="0.2">
      <c r="A41" s="20"/>
      <c r="B41" s="19"/>
      <c r="C41" s="22"/>
      <c r="D41" s="17"/>
      <c r="E41" s="17"/>
      <c r="F41" s="17"/>
      <c r="G41" s="17"/>
      <c r="H41" s="21"/>
      <c r="I41" s="21"/>
      <c r="J41" s="21"/>
      <c r="K41" s="21"/>
      <c r="L41" s="21"/>
      <c r="M41" s="24"/>
      <c r="N41" s="21"/>
      <c r="O41" s="21"/>
      <c r="P41" s="21"/>
      <c r="Q41" s="21" t="str">
        <f t="shared" si="0"/>
        <v/>
      </c>
      <c r="R41" s="21"/>
      <c r="S41" s="24"/>
      <c r="T41" s="24"/>
      <c r="U41" s="21"/>
      <c r="V41" s="21"/>
      <c r="W41" s="21"/>
      <c r="X41" s="21"/>
      <c r="Y41" s="21"/>
    </row>
    <row r="42" spans="1:25" s="14" customFormat="1" ht="12.75" customHeight="1" x14ac:dyDescent="0.2">
      <c r="A42" s="47">
        <v>11900</v>
      </c>
      <c r="B42" s="48">
        <v>11945.59</v>
      </c>
      <c r="C42" s="22" t="s">
        <v>26</v>
      </c>
      <c r="D42" s="17">
        <f>B42-A42</f>
        <v>45.590000000000146</v>
      </c>
      <c r="E42" s="17">
        <f>((16.76+17.05)/2)</f>
        <v>16.905000000000001</v>
      </c>
      <c r="F42" s="17">
        <f>D42*E42</f>
        <v>770.69895000000247</v>
      </c>
      <c r="G42" s="17"/>
      <c r="H42" s="21"/>
      <c r="I42" s="21"/>
      <c r="J42" s="21">
        <f>(D42*$J$78)</f>
        <v>68.385000000000218</v>
      </c>
      <c r="K42" s="21">
        <f>(D42*$K$78)</f>
        <v>68.385000000000218</v>
      </c>
      <c r="L42" s="21"/>
      <c r="M42" s="21"/>
      <c r="N42" s="21">
        <f>ROUNDUP(O42/N$77,2)</f>
        <v>0.05</v>
      </c>
      <c r="O42" s="21">
        <f>(F42+K42)/9</f>
        <v>93.231550000000297</v>
      </c>
      <c r="P42" s="21">
        <f>O42</f>
        <v>93.231550000000297</v>
      </c>
      <c r="Q42" s="21">
        <f t="shared" si="0"/>
        <v>2.5532051653502745</v>
      </c>
      <c r="R42" s="21"/>
      <c r="S42" s="21">
        <f>((F42)*$S$77)/$S$78</f>
        <v>14.272202777777823</v>
      </c>
      <c r="T42" s="21">
        <f>((F42+J42)*$T$77)/$T$78</f>
        <v>15.538591666666717</v>
      </c>
      <c r="U42" s="21">
        <f>((F42/$U$78)*$U$77)*2</f>
        <v>9.4196538333333635</v>
      </c>
      <c r="V42" s="21"/>
      <c r="W42" s="21">
        <f>(F42*$W$77)/$W$78</f>
        <v>3.5680506944444557</v>
      </c>
      <c r="X42" s="21">
        <f>(F42*$X$77)/$X$78</f>
        <v>4.1627258101851989</v>
      </c>
      <c r="Y42" s="23"/>
    </row>
    <row r="43" spans="1:25" s="14" customFormat="1" ht="12.75" customHeight="1" x14ac:dyDescent="0.2">
      <c r="A43" s="20"/>
      <c r="B43" s="19"/>
      <c r="C43" s="22"/>
      <c r="D43" s="17"/>
      <c r="E43" s="17"/>
      <c r="F43" s="17"/>
      <c r="G43" s="17"/>
      <c r="H43" s="21"/>
      <c r="I43" s="21"/>
      <c r="J43" s="21"/>
      <c r="K43" s="21"/>
      <c r="L43" s="21"/>
      <c r="M43" s="24"/>
      <c r="N43" s="21"/>
      <c r="O43" s="21"/>
      <c r="P43" s="21"/>
      <c r="Q43" s="21" t="str">
        <f t="shared" si="0"/>
        <v/>
      </c>
      <c r="R43" s="21"/>
      <c r="S43" s="24"/>
      <c r="T43" s="24"/>
      <c r="U43" s="21"/>
      <c r="V43" s="21"/>
      <c r="W43" s="21"/>
      <c r="X43" s="21"/>
      <c r="Y43" s="21"/>
    </row>
    <row r="44" spans="1:25" s="14" customFormat="1" ht="12.75" customHeight="1" x14ac:dyDescent="0.2">
      <c r="A44" s="20"/>
      <c r="B44" s="19"/>
      <c r="C44" s="22"/>
      <c r="D44" s="17"/>
      <c r="E44" s="17"/>
      <c r="F44" s="17"/>
      <c r="G44" s="17"/>
      <c r="H44" s="21"/>
      <c r="I44" s="21"/>
      <c r="J44" s="21"/>
      <c r="K44" s="21"/>
      <c r="L44" s="21"/>
      <c r="M44" s="21"/>
      <c r="N44" s="21"/>
      <c r="O44" s="21"/>
      <c r="P44" s="21"/>
      <c r="Q44" s="21" t="str">
        <f t="shared" si="0"/>
        <v/>
      </c>
      <c r="R44" s="21"/>
      <c r="S44" s="21"/>
      <c r="T44" s="21"/>
      <c r="U44" s="21"/>
      <c r="V44" s="21"/>
      <c r="W44" s="21"/>
      <c r="X44" s="21"/>
      <c r="Y44" s="21"/>
    </row>
    <row r="45" spans="1:25" s="14" customFormat="1" ht="12.75" customHeight="1" x14ac:dyDescent="0.2">
      <c r="A45" s="20"/>
      <c r="B45" s="19"/>
      <c r="C45" s="22"/>
      <c r="D45" s="17"/>
      <c r="E45" s="17"/>
      <c r="F45" s="17"/>
      <c r="G45" s="17"/>
      <c r="H45" s="21"/>
      <c r="I45" s="21"/>
      <c r="J45" s="21"/>
      <c r="K45" s="21"/>
      <c r="L45" s="21"/>
      <c r="M45" s="21"/>
      <c r="N45" s="21"/>
      <c r="O45" s="21"/>
      <c r="P45" s="21"/>
      <c r="Q45" s="21" t="str">
        <f t="shared" si="0"/>
        <v/>
      </c>
      <c r="R45" s="21"/>
      <c r="S45" s="21"/>
      <c r="T45" s="21"/>
      <c r="U45" s="21"/>
      <c r="V45" s="21"/>
      <c r="W45" s="21"/>
      <c r="X45" s="21"/>
      <c r="Y45" s="21"/>
    </row>
    <row r="46" spans="1:25" s="14" customFormat="1" ht="12.75" customHeight="1" x14ac:dyDescent="0.2">
      <c r="A46" s="20"/>
      <c r="B46" s="19"/>
      <c r="C46" s="22"/>
      <c r="D46" s="17"/>
      <c r="E46" s="17"/>
      <c r="F46" s="17"/>
      <c r="G46" s="17"/>
      <c r="H46" s="21"/>
      <c r="I46" s="21"/>
      <c r="J46" s="21"/>
      <c r="K46" s="21"/>
      <c r="L46" s="21"/>
      <c r="M46" s="24"/>
      <c r="N46" s="21"/>
      <c r="O46" s="21"/>
      <c r="P46" s="21"/>
      <c r="Q46" s="21" t="str">
        <f t="shared" ref="Q46:Q67" si="4">IF($O46="","",(0.75*$Q$77*115*0.05)*$O46/$Q$78)</f>
        <v/>
      </c>
      <c r="R46" s="21"/>
      <c r="S46" s="24"/>
      <c r="T46" s="24"/>
      <c r="U46" s="21"/>
      <c r="V46" s="21"/>
      <c r="W46" s="21"/>
      <c r="X46" s="21"/>
      <c r="Y46" s="21"/>
    </row>
    <row r="47" spans="1:25" s="14" customFormat="1" ht="12.75" customHeight="1" x14ac:dyDescent="0.2">
      <c r="A47" s="20"/>
      <c r="B47" s="19"/>
      <c r="C47" s="22"/>
      <c r="D47" s="17"/>
      <c r="E47" s="17"/>
      <c r="F47" s="17"/>
      <c r="G47" s="17"/>
      <c r="H47" s="21"/>
      <c r="I47" s="21"/>
      <c r="J47" s="21"/>
      <c r="K47" s="21"/>
      <c r="L47" s="21"/>
      <c r="M47" s="21"/>
      <c r="N47" s="21"/>
      <c r="O47" s="21"/>
      <c r="P47" s="21"/>
      <c r="Q47" s="21" t="str">
        <f t="shared" si="4"/>
        <v/>
      </c>
      <c r="R47" s="21"/>
      <c r="S47" s="21"/>
      <c r="T47" s="21"/>
      <c r="U47" s="21"/>
      <c r="V47" s="21"/>
      <c r="W47" s="21"/>
      <c r="X47" s="21"/>
      <c r="Y47" s="21"/>
    </row>
    <row r="48" spans="1:25" s="14" customFormat="1" ht="12.75" customHeight="1" x14ac:dyDescent="0.2">
      <c r="A48" s="20"/>
      <c r="B48" s="19"/>
      <c r="C48" s="22"/>
      <c r="D48" s="17"/>
      <c r="E48" s="17"/>
      <c r="F48" s="17"/>
      <c r="G48" s="17"/>
      <c r="H48" s="21"/>
      <c r="I48" s="21"/>
      <c r="J48" s="21"/>
      <c r="K48" s="21"/>
      <c r="L48" s="21"/>
      <c r="M48" s="21"/>
      <c r="N48" s="21"/>
      <c r="O48" s="21"/>
      <c r="P48" s="21"/>
      <c r="Q48" s="21" t="str">
        <f t="shared" si="4"/>
        <v/>
      </c>
      <c r="R48" s="21"/>
      <c r="S48" s="21"/>
      <c r="T48" s="21"/>
      <c r="U48" s="21"/>
      <c r="V48" s="21"/>
      <c r="W48" s="21"/>
      <c r="X48" s="21"/>
      <c r="Y48" s="21"/>
    </row>
    <row r="49" spans="1:25" s="14" customFormat="1" ht="12.75" customHeight="1" x14ac:dyDescent="0.2">
      <c r="A49" s="20"/>
      <c r="B49" s="19"/>
      <c r="C49" s="22"/>
      <c r="D49" s="17"/>
      <c r="E49" s="17"/>
      <c r="F49" s="17"/>
      <c r="G49" s="17"/>
      <c r="H49" s="21"/>
      <c r="I49" s="21"/>
      <c r="J49" s="21"/>
      <c r="K49" s="21"/>
      <c r="L49" s="21"/>
      <c r="M49" s="24"/>
      <c r="N49" s="21"/>
      <c r="O49" s="21"/>
      <c r="P49" s="21"/>
      <c r="Q49" s="21" t="str">
        <f t="shared" si="4"/>
        <v/>
      </c>
      <c r="R49" s="21"/>
      <c r="S49" s="24"/>
      <c r="T49" s="24"/>
      <c r="U49" s="21"/>
      <c r="V49" s="21"/>
      <c r="W49" s="21"/>
      <c r="X49" s="21"/>
      <c r="Y49" s="21"/>
    </row>
    <row r="50" spans="1:25" s="14" customFormat="1" ht="12.75" customHeight="1" x14ac:dyDescent="0.2">
      <c r="A50" s="30"/>
      <c r="B50" s="29"/>
      <c r="C50" s="22"/>
      <c r="D50" s="17"/>
      <c r="E50" s="17"/>
      <c r="F50" s="17"/>
      <c r="G50" s="17"/>
      <c r="H50" s="21"/>
      <c r="I50" s="21"/>
      <c r="J50" s="21"/>
      <c r="K50" s="21"/>
      <c r="L50" s="21"/>
      <c r="M50" s="21"/>
      <c r="N50" s="21"/>
      <c r="O50" s="21"/>
      <c r="P50" s="21"/>
      <c r="Q50" s="21" t="str">
        <f t="shared" si="4"/>
        <v/>
      </c>
      <c r="R50" s="21"/>
      <c r="S50" s="24"/>
      <c r="T50" s="24"/>
      <c r="U50" s="21"/>
      <c r="V50" s="21"/>
      <c r="W50" s="21"/>
      <c r="X50" s="21"/>
      <c r="Y50" s="21"/>
    </row>
    <row r="51" spans="1:25" s="14" customFormat="1" ht="12.75" customHeight="1" x14ac:dyDescent="0.2">
      <c r="A51" s="30"/>
      <c r="B51" s="29"/>
      <c r="C51" s="22"/>
      <c r="D51" s="17"/>
      <c r="E51" s="17"/>
      <c r="F51" s="17"/>
      <c r="G51" s="17"/>
      <c r="H51" s="21"/>
      <c r="I51" s="21"/>
      <c r="J51" s="21"/>
      <c r="K51" s="21"/>
      <c r="L51" s="21"/>
      <c r="M51" s="21"/>
      <c r="N51" s="21"/>
      <c r="O51" s="21"/>
      <c r="P51" s="21"/>
      <c r="Q51" s="21" t="str">
        <f t="shared" si="4"/>
        <v/>
      </c>
      <c r="R51" s="21"/>
      <c r="S51" s="24"/>
      <c r="T51" s="24"/>
      <c r="U51" s="21"/>
      <c r="V51" s="21"/>
      <c r="W51" s="21"/>
      <c r="X51" s="21"/>
      <c r="Y51" s="21"/>
    </row>
    <row r="52" spans="1:25" s="14" customFormat="1" ht="12.75" customHeight="1" x14ac:dyDescent="0.2">
      <c r="A52" s="30"/>
      <c r="B52" s="29"/>
      <c r="C52" s="22"/>
      <c r="D52" s="17"/>
      <c r="E52" s="17"/>
      <c r="F52" s="17"/>
      <c r="G52" s="17"/>
      <c r="H52" s="21"/>
      <c r="I52" s="21"/>
      <c r="J52" s="21"/>
      <c r="K52" s="21"/>
      <c r="L52" s="21"/>
      <c r="M52" s="21"/>
      <c r="N52" s="21"/>
      <c r="O52" s="21"/>
      <c r="P52" s="21"/>
      <c r="Q52" s="21" t="str">
        <f t="shared" si="4"/>
        <v/>
      </c>
      <c r="R52" s="21"/>
      <c r="S52" s="24"/>
      <c r="T52" s="24"/>
      <c r="U52" s="21"/>
      <c r="V52" s="21"/>
      <c r="W52" s="21"/>
      <c r="X52" s="21"/>
      <c r="Y52" s="21"/>
    </row>
    <row r="53" spans="1:25" s="14" customFormat="1" ht="12.75" customHeight="1" x14ac:dyDescent="0.2">
      <c r="A53" s="30"/>
      <c r="B53" s="29"/>
      <c r="C53" s="22"/>
      <c r="D53" s="17"/>
      <c r="E53" s="17"/>
      <c r="F53" s="17"/>
      <c r="G53" s="17"/>
      <c r="H53" s="21"/>
      <c r="I53" s="21"/>
      <c r="J53" s="21"/>
      <c r="K53" s="21"/>
      <c r="L53" s="21"/>
      <c r="M53" s="24"/>
      <c r="N53" s="21"/>
      <c r="O53" s="21"/>
      <c r="P53" s="21"/>
      <c r="Q53" s="21" t="str">
        <f t="shared" si="4"/>
        <v/>
      </c>
      <c r="R53" s="21"/>
      <c r="S53" s="24"/>
      <c r="T53" s="24"/>
      <c r="U53" s="21"/>
      <c r="V53" s="21"/>
      <c r="W53" s="21"/>
      <c r="X53" s="21"/>
      <c r="Y53" s="21"/>
    </row>
    <row r="54" spans="1:25" s="14" customFormat="1" ht="12.75" customHeight="1" x14ac:dyDescent="0.2">
      <c r="A54" s="30"/>
      <c r="B54" s="29"/>
      <c r="C54" s="22"/>
      <c r="D54" s="17"/>
      <c r="E54" s="17"/>
      <c r="F54" s="17"/>
      <c r="G54" s="17"/>
      <c r="H54" s="21"/>
      <c r="I54" s="21"/>
      <c r="J54" s="21"/>
      <c r="K54" s="21"/>
      <c r="L54" s="21"/>
      <c r="M54" s="21"/>
      <c r="N54" s="21"/>
      <c r="O54" s="21"/>
      <c r="P54" s="21"/>
      <c r="Q54" s="21" t="str">
        <f t="shared" si="4"/>
        <v/>
      </c>
      <c r="R54" s="21"/>
      <c r="S54" s="24"/>
      <c r="T54" s="24"/>
      <c r="U54" s="21"/>
      <c r="V54" s="21"/>
      <c r="W54" s="21"/>
      <c r="X54" s="21"/>
      <c r="Y54" s="21"/>
    </row>
    <row r="55" spans="1:25" s="14" customFormat="1" ht="12.75" customHeight="1" x14ac:dyDescent="0.2">
      <c r="A55" s="30"/>
      <c r="B55" s="29"/>
      <c r="C55" s="22"/>
      <c r="D55" s="17"/>
      <c r="E55" s="17"/>
      <c r="F55" s="17"/>
      <c r="G55" s="17"/>
      <c r="H55" s="21"/>
      <c r="I55" s="21"/>
      <c r="J55" s="21"/>
      <c r="K55" s="21"/>
      <c r="L55" s="21"/>
      <c r="M55" s="21"/>
      <c r="N55" s="21"/>
      <c r="O55" s="21"/>
      <c r="P55" s="21"/>
      <c r="Q55" s="21" t="str">
        <f t="shared" si="4"/>
        <v/>
      </c>
      <c r="R55" s="21"/>
      <c r="S55" s="24"/>
      <c r="T55" s="24"/>
      <c r="U55" s="21"/>
      <c r="V55" s="21"/>
      <c r="W55" s="21"/>
      <c r="X55" s="21"/>
      <c r="Y55" s="21"/>
    </row>
    <row r="56" spans="1:25" s="14" customFormat="1" ht="12.75" customHeight="1" x14ac:dyDescent="0.2">
      <c r="A56" s="30"/>
      <c r="B56" s="29"/>
      <c r="C56" s="22"/>
      <c r="D56" s="17"/>
      <c r="E56" s="17"/>
      <c r="F56" s="17"/>
      <c r="G56" s="17"/>
      <c r="H56" s="21"/>
      <c r="I56" s="21"/>
      <c r="J56" s="21"/>
      <c r="K56" s="21"/>
      <c r="L56" s="21"/>
      <c r="M56" s="21"/>
      <c r="N56" s="21"/>
      <c r="O56" s="21"/>
      <c r="P56" s="21"/>
      <c r="Q56" s="21" t="str">
        <f t="shared" si="4"/>
        <v/>
      </c>
      <c r="R56" s="21"/>
      <c r="S56" s="24"/>
      <c r="T56" s="24"/>
      <c r="U56" s="21"/>
      <c r="V56" s="21"/>
      <c r="W56" s="21"/>
      <c r="X56" s="21"/>
      <c r="Y56" s="21"/>
    </row>
    <row r="57" spans="1:25" s="14" customFormat="1" ht="12.75" customHeight="1" x14ac:dyDescent="0.2">
      <c r="A57" s="30"/>
      <c r="B57" s="29"/>
      <c r="C57" s="22"/>
      <c r="D57" s="17"/>
      <c r="E57" s="17"/>
      <c r="F57" s="17"/>
      <c r="G57" s="17"/>
      <c r="H57" s="21"/>
      <c r="I57" s="21"/>
      <c r="J57" s="21"/>
      <c r="K57" s="21"/>
      <c r="L57" s="21"/>
      <c r="M57" s="24"/>
      <c r="N57" s="21"/>
      <c r="O57" s="21"/>
      <c r="P57" s="21"/>
      <c r="Q57" s="21" t="str">
        <f t="shared" si="4"/>
        <v/>
      </c>
      <c r="R57" s="21"/>
      <c r="S57" s="24"/>
      <c r="T57" s="24"/>
      <c r="U57" s="21"/>
      <c r="V57" s="21"/>
      <c r="W57" s="21"/>
      <c r="X57" s="21"/>
      <c r="Y57" s="21"/>
    </row>
    <row r="58" spans="1:25" s="14" customFormat="1" ht="12.75" customHeight="1" x14ac:dyDescent="0.2">
      <c r="A58" s="30"/>
      <c r="B58" s="29"/>
      <c r="C58" s="22"/>
      <c r="D58" s="17"/>
      <c r="E58" s="17"/>
      <c r="F58" s="17"/>
      <c r="G58" s="17"/>
      <c r="H58" s="21"/>
      <c r="I58" s="21"/>
      <c r="J58" s="21"/>
      <c r="K58" s="21"/>
      <c r="L58" s="21"/>
      <c r="M58" s="21"/>
      <c r="N58" s="21"/>
      <c r="O58" s="21"/>
      <c r="P58" s="21"/>
      <c r="Q58" s="21" t="str">
        <f t="shared" si="4"/>
        <v/>
      </c>
      <c r="R58" s="21"/>
      <c r="S58" s="24"/>
      <c r="T58" s="24"/>
      <c r="U58" s="21"/>
      <c r="V58" s="21"/>
      <c r="W58" s="21"/>
      <c r="X58" s="21"/>
      <c r="Y58" s="21"/>
    </row>
    <row r="59" spans="1:25" s="14" customFormat="1" ht="12.75" customHeight="1" x14ac:dyDescent="0.2">
      <c r="A59" s="20"/>
      <c r="B59" s="19"/>
      <c r="C59" s="22"/>
      <c r="D59" s="17"/>
      <c r="E59" s="17"/>
      <c r="F59" s="17"/>
      <c r="G59" s="17"/>
      <c r="H59" s="21"/>
      <c r="I59" s="21"/>
      <c r="J59" s="21"/>
      <c r="K59" s="21"/>
      <c r="L59" s="21"/>
      <c r="M59" s="24"/>
      <c r="N59" s="21"/>
      <c r="O59" s="21"/>
      <c r="P59" s="21"/>
      <c r="Q59" s="21" t="str">
        <f t="shared" si="4"/>
        <v/>
      </c>
      <c r="R59" s="21"/>
      <c r="S59" s="24"/>
      <c r="T59" s="24"/>
      <c r="U59" s="21"/>
      <c r="V59" s="21"/>
      <c r="W59" s="21"/>
      <c r="X59" s="21"/>
      <c r="Y59" s="21"/>
    </row>
    <row r="60" spans="1:25" s="14" customFormat="1" ht="12.75" customHeight="1" x14ac:dyDescent="0.2">
      <c r="A60" s="20"/>
      <c r="B60" s="19"/>
      <c r="C60" s="22"/>
      <c r="D60" s="17"/>
      <c r="E60" s="17"/>
      <c r="F60" s="17"/>
      <c r="G60" s="17"/>
      <c r="H60" s="21"/>
      <c r="I60" s="21"/>
      <c r="J60" s="21"/>
      <c r="K60" s="21"/>
      <c r="L60" s="21"/>
      <c r="M60" s="21"/>
      <c r="N60" s="21"/>
      <c r="O60" s="21"/>
      <c r="P60" s="21"/>
      <c r="Q60" s="21" t="str">
        <f t="shared" si="4"/>
        <v/>
      </c>
      <c r="R60" s="21"/>
      <c r="S60" s="21"/>
      <c r="T60" s="21"/>
      <c r="U60" s="21"/>
      <c r="V60" s="21"/>
      <c r="W60" s="21"/>
      <c r="X60" s="21"/>
      <c r="Y60" s="21"/>
    </row>
    <row r="61" spans="1:25" s="14" customFormat="1" ht="12.75" customHeight="1" x14ac:dyDescent="0.2">
      <c r="A61" s="20"/>
      <c r="B61" s="19"/>
      <c r="C61" s="28"/>
      <c r="D61" s="17"/>
      <c r="E61" s="17"/>
      <c r="F61" s="17"/>
      <c r="G61" s="27"/>
      <c r="H61" s="26"/>
      <c r="I61" s="26"/>
      <c r="J61" s="26"/>
      <c r="K61" s="26"/>
      <c r="L61" s="26"/>
      <c r="M61" s="24"/>
      <c r="N61" s="21"/>
      <c r="O61" s="26"/>
      <c r="P61" s="21"/>
      <c r="Q61" s="21" t="str">
        <f t="shared" si="4"/>
        <v/>
      </c>
      <c r="R61" s="21"/>
      <c r="S61" s="24"/>
      <c r="T61" s="24"/>
      <c r="U61" s="21"/>
      <c r="V61" s="21"/>
      <c r="W61" s="21"/>
      <c r="X61" s="21"/>
      <c r="Y61" s="21"/>
    </row>
    <row r="62" spans="1:25" s="14" customFormat="1" ht="12.75" customHeight="1" x14ac:dyDescent="0.2">
      <c r="A62" s="20"/>
      <c r="B62" s="19"/>
      <c r="C62" s="22"/>
      <c r="D62" s="17"/>
      <c r="E62" s="17"/>
      <c r="F62" s="17"/>
      <c r="G62" s="17"/>
      <c r="H62" s="21"/>
      <c r="I62" s="21"/>
      <c r="J62" s="21"/>
      <c r="K62" s="21"/>
      <c r="L62" s="21"/>
      <c r="M62" s="24"/>
      <c r="N62" s="21"/>
      <c r="O62" s="21"/>
      <c r="P62" s="21"/>
      <c r="Q62" s="21" t="str">
        <f t="shared" si="4"/>
        <v/>
      </c>
      <c r="R62" s="21"/>
      <c r="S62" s="24"/>
      <c r="T62" s="24"/>
      <c r="U62" s="21"/>
      <c r="V62" s="21"/>
      <c r="W62" s="21"/>
      <c r="X62" s="21"/>
      <c r="Y62" s="21"/>
    </row>
    <row r="63" spans="1:25" s="14" customFormat="1" ht="12.75" customHeight="1" x14ac:dyDescent="0.2">
      <c r="A63" s="20"/>
      <c r="B63" s="19"/>
      <c r="C63" s="28"/>
      <c r="D63" s="17"/>
      <c r="E63" s="17"/>
      <c r="F63" s="17"/>
      <c r="G63" s="27"/>
      <c r="H63" s="26"/>
      <c r="I63" s="26"/>
      <c r="J63" s="26"/>
      <c r="K63" s="26"/>
      <c r="L63" s="26"/>
      <c r="M63" s="24"/>
      <c r="N63" s="21"/>
      <c r="O63" s="26"/>
      <c r="P63" s="21"/>
      <c r="Q63" s="21" t="str">
        <f t="shared" si="4"/>
        <v/>
      </c>
      <c r="R63" s="21"/>
      <c r="S63" s="24"/>
      <c r="T63" s="24"/>
      <c r="U63" s="21"/>
      <c r="V63" s="21"/>
      <c r="W63" s="21"/>
      <c r="X63" s="21"/>
      <c r="Y63" s="21"/>
    </row>
    <row r="64" spans="1:25" s="14" customFormat="1" ht="12.75" customHeight="1" x14ac:dyDescent="0.2">
      <c r="A64" s="20"/>
      <c r="B64" s="19"/>
      <c r="C64" s="22"/>
      <c r="D64" s="17"/>
      <c r="E64" s="17"/>
      <c r="F64" s="17"/>
      <c r="G64" s="25"/>
      <c r="H64" s="23"/>
      <c r="I64" s="23"/>
      <c r="J64" s="23"/>
      <c r="K64" s="23"/>
      <c r="L64" s="23"/>
      <c r="M64" s="24"/>
      <c r="N64" s="21"/>
      <c r="O64" s="23"/>
      <c r="P64" s="21"/>
      <c r="Q64" s="21" t="str">
        <f t="shared" si="4"/>
        <v/>
      </c>
      <c r="R64" s="21"/>
      <c r="S64" s="24"/>
      <c r="T64" s="24"/>
      <c r="U64" s="21"/>
      <c r="V64" s="21"/>
      <c r="W64" s="21"/>
      <c r="X64" s="21"/>
      <c r="Y64" s="21"/>
    </row>
    <row r="65" spans="1:30" s="14" customFormat="1" ht="12.75" customHeight="1" x14ac:dyDescent="0.2">
      <c r="A65" s="20"/>
      <c r="B65" s="19"/>
      <c r="C65" s="22"/>
      <c r="D65" s="17"/>
      <c r="E65" s="17"/>
      <c r="F65" s="17"/>
      <c r="G65" s="25"/>
      <c r="H65" s="23"/>
      <c r="I65" s="23"/>
      <c r="J65" s="23"/>
      <c r="K65" s="23"/>
      <c r="L65" s="23"/>
      <c r="M65" s="24"/>
      <c r="N65" s="21"/>
      <c r="O65" s="23"/>
      <c r="P65" s="21"/>
      <c r="Q65" s="21" t="str">
        <f t="shared" si="4"/>
        <v/>
      </c>
      <c r="R65" s="21"/>
      <c r="S65" s="24"/>
      <c r="T65" s="24"/>
      <c r="U65" s="21"/>
      <c r="V65" s="21"/>
      <c r="W65" s="21"/>
      <c r="X65" s="21"/>
      <c r="Y65" s="21"/>
    </row>
    <row r="66" spans="1:30" s="14" customFormat="1" ht="12.75" customHeight="1" x14ac:dyDescent="0.2">
      <c r="A66" s="20"/>
      <c r="B66" s="19"/>
      <c r="C66" s="22"/>
      <c r="D66" s="17"/>
      <c r="E66" s="17"/>
      <c r="F66" s="17"/>
      <c r="G66" s="25"/>
      <c r="H66" s="23"/>
      <c r="I66" s="21"/>
      <c r="J66" s="23"/>
      <c r="K66" s="21"/>
      <c r="L66" s="21"/>
      <c r="M66" s="24"/>
      <c r="N66" s="21"/>
      <c r="O66" s="21"/>
      <c r="P66" s="21"/>
      <c r="Q66" s="21" t="str">
        <f t="shared" si="4"/>
        <v/>
      </c>
      <c r="R66" s="21"/>
      <c r="S66" s="24"/>
      <c r="T66" s="24"/>
      <c r="U66" s="21"/>
      <c r="V66" s="21"/>
      <c r="W66" s="21"/>
      <c r="X66" s="21"/>
      <c r="Y66" s="21"/>
    </row>
    <row r="67" spans="1:30" s="14" customFormat="1" ht="12.75" customHeight="1" thickBot="1" x14ac:dyDescent="0.25">
      <c r="A67" s="20"/>
      <c r="B67" s="19"/>
      <c r="C67" s="22"/>
      <c r="D67" s="17"/>
      <c r="E67" s="17"/>
      <c r="F67" s="17"/>
      <c r="G67" s="25"/>
      <c r="H67" s="23"/>
      <c r="I67" s="21"/>
      <c r="J67" s="23"/>
      <c r="K67" s="21"/>
      <c r="L67" s="21"/>
      <c r="M67" s="24"/>
      <c r="N67" s="21"/>
      <c r="O67" s="21"/>
      <c r="P67" s="21"/>
      <c r="Q67" s="21" t="str">
        <f t="shared" si="4"/>
        <v/>
      </c>
      <c r="R67" s="21"/>
      <c r="S67" s="24"/>
      <c r="T67" s="24"/>
      <c r="U67" s="21"/>
      <c r="V67" s="21"/>
      <c r="W67" s="21"/>
      <c r="X67" s="21"/>
      <c r="Y67" s="21"/>
    </row>
    <row r="68" spans="1:30" s="14" customFormat="1" ht="12.75" customHeight="1" x14ac:dyDescent="0.2">
      <c r="A68" s="56" t="s">
        <v>55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8"/>
      <c r="M68" s="52"/>
      <c r="N68" s="54">
        <f>ROUNDUP(SUM(N14:N67),1)</f>
        <v>0.6</v>
      </c>
      <c r="O68" s="52">
        <f t="shared" ref="O68:X68" si="5">ROUNDUP(SUM(O14:O67),0)</f>
        <v>970</v>
      </c>
      <c r="P68" s="52">
        <f t="shared" si="5"/>
        <v>970</v>
      </c>
      <c r="Q68" s="52">
        <f t="shared" si="5"/>
        <v>27</v>
      </c>
      <c r="R68" s="52">
        <f t="shared" si="5"/>
        <v>0</v>
      </c>
      <c r="S68" s="52">
        <f t="shared" si="5"/>
        <v>148</v>
      </c>
      <c r="T68" s="52">
        <f t="shared" si="5"/>
        <v>162</v>
      </c>
      <c r="U68" s="52">
        <f t="shared" si="5"/>
        <v>97</v>
      </c>
      <c r="V68" s="52">
        <f t="shared" si="5"/>
        <v>0</v>
      </c>
      <c r="W68" s="52">
        <f t="shared" si="5"/>
        <v>37</v>
      </c>
      <c r="X68" s="52">
        <f t="shared" si="5"/>
        <v>43</v>
      </c>
      <c r="Y68" s="54"/>
    </row>
    <row r="69" spans="1:30" s="14" customFormat="1" ht="12.75" customHeight="1" thickBot="1" x14ac:dyDescent="0.25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1"/>
      <c r="M69" s="53"/>
      <c r="N69" s="55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5"/>
    </row>
    <row r="70" spans="1:30" s="14" customFormat="1" ht="12.75" customHeight="1" x14ac:dyDescent="0.2">
      <c r="A70" s="56" t="s">
        <v>45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8"/>
      <c r="M70" s="54" t="str">
        <f>'GC001'!M74</f>
        <v/>
      </c>
      <c r="N70" s="54">
        <f>'GC001'!N74</f>
        <v>6.5</v>
      </c>
      <c r="O70" s="62">
        <f>SUM('GC001'!O74:O75)</f>
        <v>12679</v>
      </c>
      <c r="P70" s="62">
        <f>SUM('GC001'!P74:P75)</f>
        <v>12679</v>
      </c>
      <c r="Q70" s="62">
        <f>SUM('GC001'!Q74:Q75)</f>
        <v>348</v>
      </c>
      <c r="R70" s="62">
        <f>SUM('GC001'!R74:R75)</f>
        <v>1494</v>
      </c>
      <c r="S70" s="62">
        <f>SUM('GC001'!S74:S75)</f>
        <v>1951</v>
      </c>
      <c r="T70" s="62">
        <f>SUM('GC001'!T74:T75)</f>
        <v>2114</v>
      </c>
      <c r="U70" s="62">
        <f>SUM('GC001'!U74:U75)</f>
        <v>1370</v>
      </c>
      <c r="V70" s="62">
        <f>SUM('GC001'!V74:V75)</f>
        <v>127</v>
      </c>
      <c r="W70" s="62">
        <f>SUM('GC001'!W74:W75)</f>
        <v>550</v>
      </c>
      <c r="X70" s="62">
        <f>SUM('GC001'!X74:X75)</f>
        <v>642</v>
      </c>
      <c r="Y70" s="62"/>
    </row>
    <row r="71" spans="1:30" s="14" customFormat="1" ht="12.75" customHeight="1" thickBot="1" x14ac:dyDescent="0.25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1"/>
      <c r="M71" s="55"/>
      <c r="N71" s="55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</row>
    <row r="72" spans="1:30" s="14" customFormat="1" ht="12.75" customHeight="1" x14ac:dyDescent="0.2">
      <c r="A72" s="56" t="s">
        <v>47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8"/>
      <c r="M72" s="62">
        <f>'GC002'!M74</f>
        <v>160</v>
      </c>
      <c r="N72" s="62">
        <f>'GC002'!N74</f>
        <v>6.6999999999999993</v>
      </c>
      <c r="O72" s="62">
        <f>SUM('GC002'!O74:O75)</f>
        <v>12967</v>
      </c>
      <c r="P72" s="62">
        <f>SUM('GC002'!P74:P75)</f>
        <v>12967</v>
      </c>
      <c r="Q72" s="62">
        <f>SUM('GC002'!Q74:Q75)</f>
        <v>356</v>
      </c>
      <c r="R72" s="62">
        <f>SUM('GC002'!R74:R75)</f>
        <v>1771</v>
      </c>
      <c r="S72" s="62">
        <f>SUM('GC002'!S74:S75)</f>
        <v>2015</v>
      </c>
      <c r="T72" s="62">
        <f>SUM('GC002'!T74:T75)</f>
        <v>2188</v>
      </c>
      <c r="U72" s="62">
        <f>SUM('GC002'!U74:U75)</f>
        <v>1424</v>
      </c>
      <c r="V72" s="62">
        <f>SUM('GC002'!V74:V75)</f>
        <v>157</v>
      </c>
      <c r="W72" s="62">
        <f>SUM('GC002'!W74:W75)</f>
        <v>578</v>
      </c>
      <c r="X72" s="62">
        <f>SUM('GC002'!X74:X75)</f>
        <v>674</v>
      </c>
      <c r="Y72" s="62"/>
    </row>
    <row r="73" spans="1:30" s="14" customFormat="1" ht="12.75" customHeight="1" thickBot="1" x14ac:dyDescent="0.25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1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</row>
    <row r="74" spans="1:30" ht="12.75" customHeight="1" x14ac:dyDescent="0.2">
      <c r="A74" s="56" t="s">
        <v>3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8"/>
      <c r="M74" s="64">
        <f>SUM(M68:M73)</f>
        <v>160</v>
      </c>
      <c r="N74" s="64">
        <f>ROUNDUP(SUM(N68:N73),0)</f>
        <v>14</v>
      </c>
      <c r="O74" s="64">
        <f>SUM(O68:O73)</f>
        <v>26616</v>
      </c>
      <c r="P74" s="64">
        <f>SUM(P68:P73)</f>
        <v>26616</v>
      </c>
      <c r="Q74" s="64">
        <f>ROUNDUP(SUM(Q68:Q73),0)</f>
        <v>731</v>
      </c>
      <c r="R74" s="64">
        <f t="shared" ref="R74:W74" si="6">SUM(R68:R73)</f>
        <v>3265</v>
      </c>
      <c r="S74" s="64">
        <f t="shared" si="6"/>
        <v>4114</v>
      </c>
      <c r="T74" s="64">
        <f t="shared" si="6"/>
        <v>4464</v>
      </c>
      <c r="U74" s="64">
        <f t="shared" si="6"/>
        <v>2891</v>
      </c>
      <c r="V74" s="64">
        <f t="shared" si="6"/>
        <v>284</v>
      </c>
      <c r="W74" s="64">
        <f t="shared" si="6"/>
        <v>1165</v>
      </c>
      <c r="X74" s="64">
        <f>SUM(X68:X73)</f>
        <v>1359</v>
      </c>
      <c r="Y74" s="52"/>
    </row>
    <row r="75" spans="1:30" ht="12" customHeight="1" thickBot="1" x14ac:dyDescent="0.25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1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53"/>
    </row>
    <row r="77" spans="1:30" x14ac:dyDescent="0.2">
      <c r="A77" s="7"/>
      <c r="B77" s="7"/>
      <c r="C77" s="7"/>
      <c r="D77" s="7"/>
      <c r="E77" s="7"/>
      <c r="F77" s="7"/>
      <c r="G77" s="13" t="s">
        <v>2</v>
      </c>
      <c r="H77" s="3"/>
      <c r="I77" s="3"/>
      <c r="J77" s="13"/>
      <c r="K77" s="3"/>
      <c r="L77" s="3"/>
      <c r="M77" s="4"/>
      <c r="N77" s="4">
        <v>2000</v>
      </c>
      <c r="O77" s="4">
        <f>14/12</f>
        <v>1.1666666666666667</v>
      </c>
      <c r="P77" s="4"/>
      <c r="Q77" s="4">
        <v>14</v>
      </c>
      <c r="R77" s="4"/>
      <c r="S77" s="4">
        <v>0.5</v>
      </c>
      <c r="T77" s="4">
        <v>0.5</v>
      </c>
      <c r="U77" s="4">
        <v>5.5E-2</v>
      </c>
      <c r="V77" s="4">
        <v>8.5000000000000006E-2</v>
      </c>
      <c r="W77" s="4">
        <f>1.5/12</f>
        <v>0.125</v>
      </c>
      <c r="X77" s="4">
        <f>1.75/12</f>
        <v>0.14583333333333334</v>
      </c>
      <c r="Y77" s="4">
        <f>N77</f>
        <v>2000</v>
      </c>
      <c r="Z77" s="3"/>
      <c r="AA77" s="3"/>
      <c r="AB77" s="3"/>
      <c r="AC77" s="3"/>
      <c r="AD77" s="3">
        <v>0.25</v>
      </c>
    </row>
    <row r="78" spans="1:30" x14ac:dyDescent="0.2">
      <c r="A78" s="7"/>
      <c r="B78" s="7"/>
      <c r="C78" s="7"/>
      <c r="D78" s="7"/>
      <c r="E78" s="7"/>
      <c r="F78" s="7"/>
      <c r="G78" s="13" t="s">
        <v>1</v>
      </c>
      <c r="H78" s="11">
        <f>4/12</f>
        <v>0.33333333333333331</v>
      </c>
      <c r="I78" s="11">
        <f>10/12</f>
        <v>0.83333333333333337</v>
      </c>
      <c r="J78" s="12">
        <f>18/12</f>
        <v>1.5</v>
      </c>
      <c r="K78" s="11">
        <v>1.5</v>
      </c>
      <c r="L78" s="11"/>
      <c r="M78" s="10">
        <v>9</v>
      </c>
      <c r="N78" s="10"/>
      <c r="O78" s="10">
        <v>27</v>
      </c>
      <c r="P78" s="10"/>
      <c r="Q78" s="10">
        <v>2204.623</v>
      </c>
      <c r="R78" s="10">
        <v>9</v>
      </c>
      <c r="S78" s="10">
        <v>27</v>
      </c>
      <c r="T78" s="10">
        <v>27</v>
      </c>
      <c r="U78" s="10">
        <v>9</v>
      </c>
      <c r="V78" s="10">
        <v>9</v>
      </c>
      <c r="W78" s="10">
        <v>27</v>
      </c>
      <c r="X78" s="10">
        <v>27</v>
      </c>
      <c r="Y78" s="9"/>
      <c r="Z78" s="8"/>
      <c r="AA78" s="8"/>
      <c r="AB78" s="8"/>
      <c r="AC78" s="3"/>
      <c r="AD78" s="8"/>
    </row>
    <row r="79" spans="1:30" x14ac:dyDescent="0.2">
      <c r="A79" s="7"/>
      <c r="B79" s="7"/>
      <c r="C79" s="7"/>
      <c r="D79" s="7"/>
      <c r="E79" s="7"/>
      <c r="F79" s="7"/>
      <c r="G79" s="6" t="s">
        <v>0</v>
      </c>
      <c r="H79" s="3"/>
      <c r="I79" s="3"/>
      <c r="J79" s="6"/>
      <c r="K79" s="3"/>
      <c r="L79" s="3"/>
      <c r="M79" s="4">
        <v>10000</v>
      </c>
      <c r="N79" s="5">
        <v>45000</v>
      </c>
      <c r="O79" s="4">
        <v>15020</v>
      </c>
      <c r="P79" s="5">
        <v>1500</v>
      </c>
      <c r="Q79" s="4">
        <v>10500</v>
      </c>
      <c r="R79" s="5">
        <v>1000</v>
      </c>
      <c r="S79" s="4">
        <v>46020</v>
      </c>
      <c r="T79" s="4">
        <v>20000</v>
      </c>
      <c r="U79" s="4">
        <v>10000</v>
      </c>
      <c r="V79" s="4">
        <v>10000</v>
      </c>
      <c r="W79" s="4">
        <v>50100</v>
      </c>
      <c r="X79" s="4">
        <v>50300</v>
      </c>
      <c r="Y79" s="4"/>
      <c r="Z79" s="3"/>
      <c r="AA79" s="3"/>
      <c r="AB79" s="3"/>
      <c r="AC79" s="3"/>
      <c r="AD79" s="3">
        <v>10000</v>
      </c>
    </row>
    <row r="88" spans="3:10" ht="13.5" thickBot="1" x14ac:dyDescent="0.25"/>
    <row r="89" spans="3:10" ht="15" customHeight="1" x14ac:dyDescent="0.2">
      <c r="C89" s="40"/>
      <c r="D89" s="86" t="s">
        <v>54</v>
      </c>
      <c r="E89" s="86"/>
      <c r="F89" s="87"/>
      <c r="G89" s="40"/>
      <c r="H89" s="86" t="s">
        <v>51</v>
      </c>
      <c r="I89" s="86"/>
      <c r="J89" s="87"/>
    </row>
    <row r="90" spans="3:10" x14ac:dyDescent="0.2">
      <c r="C90" s="41"/>
      <c r="D90" s="42">
        <f>SUM('GC001'!AA15)</f>
        <v>114139.3383511344</v>
      </c>
      <c r="E90" s="42">
        <f>SUM('GC002'!AA16)</f>
        <v>115227.53590866772</v>
      </c>
      <c r="F90" s="43">
        <f>SUM(AB17)</f>
        <v>6446.4628999999895</v>
      </c>
      <c r="G90" s="41"/>
      <c r="H90" s="42">
        <f>SUM('GC001'!AA18:AB18)</f>
        <v>8800.3538000000008</v>
      </c>
      <c r="I90" s="42">
        <f>SUM('GC002'!AA19:AB19)</f>
        <v>6436.9465004709991</v>
      </c>
      <c r="J90" s="43">
        <f>AB20</f>
        <v>0</v>
      </c>
    </row>
    <row r="91" spans="3:10" x14ac:dyDescent="0.2">
      <c r="C91" s="41"/>
      <c r="D91" s="44"/>
      <c r="E91" s="44"/>
      <c r="F91" s="45"/>
      <c r="G91" s="41"/>
      <c r="H91" s="44"/>
      <c r="I91" s="44"/>
      <c r="J91" s="45"/>
    </row>
    <row r="92" spans="3:10" x14ac:dyDescent="0.2">
      <c r="C92" s="41"/>
      <c r="D92" s="44"/>
      <c r="E92" s="42">
        <f>SUM(D90:F90)</f>
        <v>235813.33715980209</v>
      </c>
      <c r="F92" s="45" t="s">
        <v>10</v>
      </c>
      <c r="G92" s="41"/>
      <c r="H92" s="44"/>
      <c r="I92" s="42">
        <f>SUM(H90:J90)</f>
        <v>15237.300300471001</v>
      </c>
      <c r="J92" s="45" t="s">
        <v>10</v>
      </c>
    </row>
    <row r="93" spans="3:10" ht="15" customHeight="1" x14ac:dyDescent="0.2">
      <c r="C93" s="96" t="s">
        <v>53</v>
      </c>
      <c r="D93" s="97"/>
      <c r="E93" s="46">
        <f>ROUNDUP(E92,0)</f>
        <v>235814</v>
      </c>
      <c r="F93" s="45" t="s">
        <v>10</v>
      </c>
      <c r="G93" s="96" t="s">
        <v>52</v>
      </c>
      <c r="H93" s="97"/>
      <c r="I93" s="46">
        <f>ROUNDUP(I92,0)</f>
        <v>15238</v>
      </c>
      <c r="J93" s="45" t="s">
        <v>10</v>
      </c>
    </row>
    <row r="94" spans="3:10" ht="12.75" customHeight="1" x14ac:dyDescent="0.2">
      <c r="C94" s="41"/>
      <c r="D94" s="44"/>
      <c r="E94" s="44"/>
      <c r="F94" s="45"/>
      <c r="G94" s="41"/>
      <c r="H94" s="44"/>
      <c r="I94" s="44"/>
      <c r="J94" s="45"/>
    </row>
    <row r="95" spans="3:10" ht="12.75" customHeight="1" x14ac:dyDescent="0.2">
      <c r="C95" s="88" t="s">
        <v>50</v>
      </c>
      <c r="D95" s="89"/>
      <c r="E95" s="36">
        <f>ROUNDUP(E93*0.1,0)</f>
        <v>23582</v>
      </c>
      <c r="F95" s="37" t="s">
        <v>10</v>
      </c>
      <c r="G95" s="92" t="s">
        <v>44</v>
      </c>
      <c r="H95" s="93"/>
      <c r="I95" s="36">
        <f>ROUNDUP(I93*0.1,0)</f>
        <v>1524</v>
      </c>
      <c r="J95" s="37" t="s">
        <v>10</v>
      </c>
    </row>
    <row r="96" spans="3:10" ht="12.75" customHeight="1" thickBot="1" x14ac:dyDescent="0.25">
      <c r="C96" s="90"/>
      <c r="D96" s="91"/>
      <c r="E96" s="38">
        <f>ROUNDUP(E95/9,0)</f>
        <v>2621</v>
      </c>
      <c r="F96" s="39" t="s">
        <v>7</v>
      </c>
      <c r="G96" s="94"/>
      <c r="H96" s="95"/>
      <c r="I96" s="38">
        <f>ROUNDUP(I95/9,0)</f>
        <v>170</v>
      </c>
      <c r="J96" s="39" t="s">
        <v>7</v>
      </c>
    </row>
    <row r="97" ht="12.75" customHeight="1" x14ac:dyDescent="0.2"/>
  </sheetData>
  <mergeCells count="94">
    <mergeCell ref="AB19:AC19"/>
    <mergeCell ref="AB20:AC20"/>
    <mergeCell ref="D89:F89"/>
    <mergeCell ref="H89:J89"/>
    <mergeCell ref="C95:D96"/>
    <mergeCell ref="G95:H96"/>
    <mergeCell ref="C93:D93"/>
    <mergeCell ref="G93:H93"/>
    <mergeCell ref="R74:R75"/>
    <mergeCell ref="O74:O75"/>
    <mergeCell ref="R72:R73"/>
    <mergeCell ref="S72:S73"/>
    <mergeCell ref="T72:T73"/>
    <mergeCell ref="U72:U73"/>
    <mergeCell ref="V72:V73"/>
    <mergeCell ref="W72:W73"/>
    <mergeCell ref="M2:M12"/>
    <mergeCell ref="A1:B13"/>
    <mergeCell ref="C1:C13"/>
    <mergeCell ref="D1:D12"/>
    <mergeCell ref="E1:E12"/>
    <mergeCell ref="F1:F12"/>
    <mergeCell ref="G1:G12"/>
    <mergeCell ref="H1:H12"/>
    <mergeCell ref="J1:J12"/>
    <mergeCell ref="K1:K12"/>
    <mergeCell ref="I1:I12"/>
    <mergeCell ref="L1:L12"/>
    <mergeCell ref="Q2:Q12"/>
    <mergeCell ref="Y2:Y12"/>
    <mergeCell ref="N2:N12"/>
    <mergeCell ref="P2:P12"/>
    <mergeCell ref="R2:R12"/>
    <mergeCell ref="S2:S12"/>
    <mergeCell ref="T2:T12"/>
    <mergeCell ref="U2:U12"/>
    <mergeCell ref="V2:V12"/>
    <mergeCell ref="W2:W12"/>
    <mergeCell ref="X2:X12"/>
    <mergeCell ref="O2:O12"/>
    <mergeCell ref="O72:O73"/>
    <mergeCell ref="A14:B14"/>
    <mergeCell ref="A74:L75"/>
    <mergeCell ref="M74:M75"/>
    <mergeCell ref="N74:N75"/>
    <mergeCell ref="A19:B19"/>
    <mergeCell ref="A24:B24"/>
    <mergeCell ref="A29:B29"/>
    <mergeCell ref="A34:B34"/>
    <mergeCell ref="A39:B39"/>
    <mergeCell ref="A72:L73"/>
    <mergeCell ref="A70:L71"/>
    <mergeCell ref="M72:M73"/>
    <mergeCell ref="N72:N73"/>
    <mergeCell ref="M70:M71"/>
    <mergeCell ref="N70:N71"/>
    <mergeCell ref="P72:P73"/>
    <mergeCell ref="Q74:Q75"/>
    <mergeCell ref="Y74:Y75"/>
    <mergeCell ref="S74:S75"/>
    <mergeCell ref="T74:T75"/>
    <mergeCell ref="U74:U75"/>
    <mergeCell ref="V74:V75"/>
    <mergeCell ref="W74:W75"/>
    <mergeCell ref="X74:X75"/>
    <mergeCell ref="Q72:Q73"/>
    <mergeCell ref="Y72:Y73"/>
    <mergeCell ref="X72:X73"/>
    <mergeCell ref="P74:P75"/>
    <mergeCell ref="P70:P71"/>
    <mergeCell ref="R70:R71"/>
    <mergeCell ref="S70:S71"/>
    <mergeCell ref="O70:O71"/>
    <mergeCell ref="Q70:Q71"/>
    <mergeCell ref="Y70:Y71"/>
    <mergeCell ref="T70:T71"/>
    <mergeCell ref="U70:U71"/>
    <mergeCell ref="V70:V71"/>
    <mergeCell ref="W70:W71"/>
    <mergeCell ref="X70:X71"/>
    <mergeCell ref="A68:L69"/>
    <mergeCell ref="M68:M69"/>
    <mergeCell ref="N68:N69"/>
    <mergeCell ref="O68:O69"/>
    <mergeCell ref="P68:P69"/>
    <mergeCell ref="W68:W69"/>
    <mergeCell ref="X68:X69"/>
    <mergeCell ref="Q68:Q69"/>
    <mergeCell ref="Y68:Y69"/>
    <mergeCell ref="R68:R69"/>
    <mergeCell ref="S68:S69"/>
    <mergeCell ref="T68:T69"/>
    <mergeCell ref="U68:U69"/>
    <mergeCell ref="V68:V69"/>
  </mergeCells>
  <pageMargins left="0.75" right="0.75" top="1" bottom="1" header="0.5" footer="0.5"/>
  <pageSetup paperSize="3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GC001</vt:lpstr>
      <vt:lpstr>GC002</vt:lpstr>
      <vt:lpstr>GC003</vt:lpstr>
      <vt:lpstr>'GC001'!Print_Area</vt:lpstr>
      <vt:lpstr>'GC002'!Print_Area</vt:lpstr>
      <vt:lpstr>'GC003'!Print_Area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Jay</dc:creator>
  <cp:lastModifiedBy>Backus, Harrison</cp:lastModifiedBy>
  <cp:lastPrinted>2023-06-20T15:25:55Z</cp:lastPrinted>
  <dcterms:created xsi:type="dcterms:W3CDTF">2021-06-10T11:16:22Z</dcterms:created>
  <dcterms:modified xsi:type="dcterms:W3CDTF">2026-10-19T18:23:36Z</dcterms:modified>
</cp:coreProperties>
</file>